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Cingelová\Sanita REA,Oristo, Excellent, Besco\Rea\"/>
    </mc:Choice>
  </mc:AlternateContent>
  <xr:revisionPtr revIDLastSave="0" documentId="13_ncr:1_{2B347A03-7271-4F29-97F4-C27F545EB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list SK" sheetId="1" r:id="rId1"/>
    <sheet name="Rea - SK" sheetId="2" r:id="rId2"/>
    <sheet name="KPL - SK" sheetId="3" r:id="rId3"/>
    <sheet name="AKCESORIA - SK" sheetId="4" r:id="rId4"/>
    <sheet name="----------" sheetId="5" r:id="rId5"/>
    <sheet name="PL" sheetId="6" r:id="rId6"/>
  </sheets>
  <definedNames>
    <definedName name="_xlnm._FilterDatabase" localSheetId="2" hidden="1">'KPL - SK'!$A$1:$L$523</definedName>
    <definedName name="_xlnm._FilterDatabase" localSheetId="0" hidden="1">'Pricelist SK'!$A$1:$D$3367</definedName>
    <definedName name="_xlnm._FilterDatabase" localSheetId="1" hidden="1">'Rea - SK'!$A$1:$G$2385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2" i="1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57" i="6"/>
  <c r="C4357" i="6"/>
  <c r="B4357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A4342" i="6"/>
  <c r="D4341" i="6"/>
  <c r="C4341" i="6"/>
  <c r="B4341" i="6"/>
  <c r="A4341" i="6"/>
  <c r="D4340" i="6"/>
  <c r="C4340" i="6"/>
  <c r="B4340" i="6"/>
  <c r="A4340" i="6"/>
  <c r="D4339" i="6"/>
  <c r="C4339" i="6"/>
  <c r="B4339" i="6"/>
  <c r="A4339" i="6"/>
  <c r="D4338" i="6"/>
  <c r="C4338" i="6"/>
  <c r="B4338" i="6"/>
  <c r="A4338" i="6"/>
  <c r="D4337" i="6"/>
  <c r="C4337" i="6"/>
  <c r="B4337" i="6"/>
  <c r="A4337" i="6"/>
  <c r="D4336" i="6"/>
  <c r="C4336" i="6"/>
  <c r="B4336" i="6"/>
  <c r="A4336" i="6"/>
  <c r="D4335" i="6"/>
  <c r="C4335" i="6"/>
  <c r="B4335" i="6"/>
  <c r="A4335" i="6"/>
  <c r="D4334" i="6"/>
  <c r="C4334" i="6"/>
  <c r="B4334" i="6"/>
  <c r="A4334" i="6"/>
  <c r="D4333" i="6"/>
  <c r="C4333" i="6"/>
  <c r="B4333" i="6"/>
  <c r="A4333" i="6"/>
  <c r="D4332" i="6"/>
  <c r="C4332" i="6"/>
  <c r="B4332" i="6"/>
  <c r="A4332" i="6"/>
  <c r="D4331" i="6"/>
  <c r="C4331" i="6"/>
  <c r="B4331" i="6"/>
  <c r="A4331" i="6"/>
  <c r="D4330" i="6"/>
  <c r="C4330" i="6"/>
  <c r="B4330" i="6"/>
  <c r="A4330" i="6"/>
  <c r="D4329" i="6"/>
  <c r="C4329" i="6"/>
  <c r="B4329" i="6"/>
  <c r="A4329" i="6"/>
  <c r="D4328" i="6"/>
  <c r="C4328" i="6"/>
  <c r="B4328" i="6"/>
  <c r="A4328" i="6"/>
  <c r="D4327" i="6"/>
  <c r="C4327" i="6"/>
  <c r="B4327" i="6"/>
  <c r="A4327" i="6"/>
  <c r="D4326" i="6"/>
  <c r="C4326" i="6"/>
  <c r="B4326" i="6"/>
  <c r="A4326" i="6"/>
  <c r="D4325" i="6"/>
  <c r="C4325" i="6"/>
  <c r="B4325" i="6"/>
  <c r="A4325" i="6"/>
  <c r="D4324" i="6"/>
  <c r="C4324" i="6"/>
  <c r="B4324" i="6"/>
  <c r="A4324" i="6"/>
  <c r="D4323" i="6"/>
  <c r="C4323" i="6"/>
  <c r="B4323" i="6"/>
  <c r="A4323" i="6"/>
  <c r="D4322" i="6"/>
  <c r="C4322" i="6"/>
  <c r="B4322" i="6"/>
  <c r="A4322" i="6"/>
  <c r="D4321" i="6"/>
  <c r="C4321" i="6"/>
  <c r="B4321" i="6"/>
  <c r="A4321" i="6"/>
  <c r="D4320" i="6"/>
  <c r="C4320" i="6"/>
  <c r="B4320" i="6"/>
  <c r="A4320" i="6"/>
  <c r="D4319" i="6"/>
  <c r="C4319" i="6"/>
  <c r="B4319" i="6"/>
  <c r="A4319" i="6"/>
  <c r="D4318" i="6"/>
  <c r="C4318" i="6"/>
  <c r="B4318" i="6"/>
  <c r="A4318" i="6"/>
  <c r="D4317" i="6"/>
  <c r="C4317" i="6"/>
  <c r="B4317" i="6"/>
  <c r="A4317" i="6"/>
  <c r="D4316" i="6"/>
  <c r="C4316" i="6"/>
  <c r="B4316" i="6"/>
  <c r="A4316" i="6"/>
  <c r="D4315" i="6"/>
  <c r="C4315" i="6"/>
  <c r="B4315" i="6"/>
  <c r="A4315" i="6"/>
  <c r="D4314" i="6"/>
  <c r="C4314" i="6"/>
  <c r="B4314" i="6"/>
  <c r="A4314" i="6"/>
  <c r="D4313" i="6"/>
  <c r="C4313" i="6"/>
  <c r="B4313" i="6"/>
  <c r="A4313" i="6"/>
  <c r="D4312" i="6"/>
  <c r="C4312" i="6"/>
  <c r="B4312" i="6"/>
  <c r="A4312" i="6"/>
  <c r="D4311" i="6"/>
  <c r="C4311" i="6"/>
  <c r="B4311" i="6"/>
  <c r="A4311" i="6"/>
  <c r="D4310" i="6"/>
  <c r="C4310" i="6"/>
  <c r="B4310" i="6"/>
  <c r="A4310" i="6"/>
  <c r="D4309" i="6"/>
  <c r="C4309" i="6"/>
  <c r="B4309" i="6"/>
  <c r="A4309" i="6"/>
  <c r="D4308" i="6"/>
  <c r="C4308" i="6"/>
  <c r="B4308" i="6"/>
  <c r="A4308" i="6"/>
  <c r="D4307" i="6"/>
  <c r="C4307" i="6"/>
  <c r="B4307" i="6"/>
  <c r="A4307" i="6"/>
  <c r="D4306" i="6"/>
  <c r="C4306" i="6"/>
  <c r="B4306" i="6"/>
  <c r="A4306" i="6"/>
  <c r="D4305" i="6"/>
  <c r="C4305" i="6"/>
  <c r="B4305" i="6"/>
  <c r="A4305" i="6"/>
  <c r="D4304" i="6"/>
  <c r="C4304" i="6"/>
  <c r="B4304" i="6"/>
  <c r="A4304" i="6"/>
  <c r="D4303" i="6"/>
  <c r="C4303" i="6"/>
  <c r="B4303" i="6"/>
  <c r="A4303" i="6"/>
  <c r="D4302" i="6"/>
  <c r="C4302" i="6"/>
  <c r="B4302" i="6"/>
  <c r="A4302" i="6"/>
  <c r="D4301" i="6"/>
  <c r="C4301" i="6"/>
  <c r="B4301" i="6"/>
  <c r="A4301" i="6"/>
  <c r="D4300" i="6"/>
  <c r="C4300" i="6"/>
  <c r="B4300" i="6"/>
  <c r="A4300" i="6"/>
  <c r="D4299" i="6"/>
  <c r="C4299" i="6"/>
  <c r="B4299" i="6"/>
  <c r="A4299" i="6"/>
  <c r="D4298" i="6"/>
  <c r="C4298" i="6"/>
  <c r="B4298" i="6"/>
  <c r="A4298" i="6"/>
  <c r="D4297" i="6"/>
  <c r="C4297" i="6"/>
  <c r="B4297" i="6"/>
  <c r="A4297" i="6"/>
  <c r="D4296" i="6"/>
  <c r="C4296" i="6"/>
  <c r="B4296" i="6"/>
  <c r="A4296" i="6"/>
  <c r="D4295" i="6"/>
  <c r="C4295" i="6"/>
  <c r="B4295" i="6"/>
  <c r="A4295" i="6"/>
  <c r="D4294" i="6"/>
  <c r="C4294" i="6"/>
  <c r="B4294" i="6"/>
  <c r="A4294" i="6"/>
  <c r="D4293" i="6"/>
  <c r="C4293" i="6"/>
  <c r="B4293" i="6"/>
  <c r="A4293" i="6"/>
  <c r="D4292" i="6"/>
  <c r="C4292" i="6"/>
  <c r="B4292" i="6"/>
  <c r="A4292" i="6"/>
  <c r="D4291" i="6"/>
  <c r="C4291" i="6"/>
  <c r="B4291" i="6"/>
  <c r="A4291" i="6"/>
  <c r="D4290" i="6"/>
  <c r="C4290" i="6"/>
  <c r="B4290" i="6"/>
  <c r="A4290" i="6"/>
  <c r="D4289" i="6"/>
  <c r="C4289" i="6"/>
  <c r="B4289" i="6"/>
  <c r="A4289" i="6"/>
  <c r="D4288" i="6"/>
  <c r="C4288" i="6"/>
  <c r="B4288" i="6"/>
  <c r="A4288" i="6"/>
  <c r="D4287" i="6"/>
  <c r="C4287" i="6"/>
  <c r="B4287" i="6"/>
  <c r="A4287" i="6"/>
  <c r="D4286" i="6"/>
  <c r="C4286" i="6"/>
  <c r="B4286" i="6"/>
  <c r="A4286" i="6"/>
  <c r="D4285" i="6"/>
  <c r="C4285" i="6"/>
  <c r="B4285" i="6"/>
  <c r="A4285" i="6"/>
  <c r="D4284" i="6"/>
  <c r="C4284" i="6"/>
  <c r="B4284" i="6"/>
  <c r="A4284" i="6"/>
  <c r="D4283" i="6"/>
  <c r="C4283" i="6"/>
  <c r="B4283" i="6"/>
  <c r="A4283" i="6"/>
  <c r="D4282" i="6"/>
  <c r="C4282" i="6"/>
  <c r="B4282" i="6"/>
  <c r="A4282" i="6"/>
  <c r="D4281" i="6"/>
  <c r="C4281" i="6"/>
  <c r="B4281" i="6"/>
  <c r="A4281" i="6"/>
  <c r="D4280" i="6"/>
  <c r="C4280" i="6"/>
  <c r="B4280" i="6"/>
  <c r="A4280" i="6"/>
  <c r="D4279" i="6"/>
  <c r="C4279" i="6"/>
  <c r="B4279" i="6"/>
  <c r="A4279" i="6"/>
  <c r="D4278" i="6"/>
  <c r="C4278" i="6"/>
  <c r="B4278" i="6"/>
  <c r="A4278" i="6"/>
  <c r="D4277" i="6"/>
  <c r="C4277" i="6"/>
  <c r="B4277" i="6"/>
  <c r="A4277" i="6"/>
  <c r="D4276" i="6"/>
  <c r="C4276" i="6"/>
  <c r="B4276" i="6"/>
  <c r="A4276" i="6"/>
  <c r="D4275" i="6"/>
  <c r="C4275" i="6"/>
  <c r="B4275" i="6"/>
  <c r="A4275" i="6"/>
  <c r="D4274" i="6"/>
  <c r="C4274" i="6"/>
  <c r="B4274" i="6"/>
  <c r="A4274" i="6"/>
  <c r="D4273" i="6"/>
  <c r="C4273" i="6"/>
  <c r="B4273" i="6"/>
  <c r="A4273" i="6"/>
  <c r="D4272" i="6"/>
  <c r="C4272" i="6"/>
  <c r="B4272" i="6"/>
  <c r="A4272" i="6"/>
  <c r="D4271" i="6"/>
  <c r="C4271" i="6"/>
  <c r="B4271" i="6"/>
  <c r="A4271" i="6"/>
  <c r="D4270" i="6"/>
  <c r="C4270" i="6"/>
  <c r="B4270" i="6"/>
  <c r="A4270" i="6"/>
  <c r="D4269" i="6"/>
  <c r="C4269" i="6"/>
  <c r="B4269" i="6"/>
  <c r="A4269" i="6"/>
  <c r="D4268" i="6"/>
  <c r="C4268" i="6"/>
  <c r="B4268" i="6"/>
  <c r="A4268" i="6"/>
  <c r="D4267" i="6"/>
  <c r="C4267" i="6"/>
  <c r="B4267" i="6"/>
  <c r="A4267" i="6"/>
  <c r="D4266" i="6"/>
  <c r="C4266" i="6"/>
  <c r="B4266" i="6"/>
  <c r="A4266" i="6"/>
  <c r="D4265" i="6"/>
  <c r="C4265" i="6"/>
  <c r="B4265" i="6"/>
  <c r="A4265" i="6"/>
  <c r="D4264" i="6"/>
  <c r="C4264" i="6"/>
  <c r="B4264" i="6"/>
  <c r="A4264" i="6"/>
  <c r="D4263" i="6"/>
  <c r="C4263" i="6"/>
  <c r="B4263" i="6"/>
  <c r="A4263" i="6"/>
  <c r="D4262" i="6"/>
  <c r="C4262" i="6"/>
  <c r="B4262" i="6"/>
  <c r="A4262" i="6"/>
  <c r="D4261" i="6"/>
  <c r="C4261" i="6"/>
  <c r="B4261" i="6"/>
  <c r="A4261" i="6"/>
  <c r="D4260" i="6"/>
  <c r="C4260" i="6"/>
  <c r="B4260" i="6"/>
  <c r="A4260" i="6"/>
  <c r="D4259" i="6"/>
  <c r="C4259" i="6"/>
  <c r="B4259" i="6"/>
  <c r="A4259" i="6"/>
  <c r="D4258" i="6"/>
  <c r="C4258" i="6"/>
  <c r="B4258" i="6"/>
  <c r="A4258" i="6"/>
  <c r="D4257" i="6"/>
  <c r="C4257" i="6"/>
  <c r="B4257" i="6"/>
  <c r="A4257" i="6"/>
  <c r="D4256" i="6"/>
  <c r="C4256" i="6"/>
  <c r="B4256" i="6"/>
  <c r="A4256" i="6"/>
  <c r="D4255" i="6"/>
  <c r="C4255" i="6"/>
  <c r="B4255" i="6"/>
  <c r="A4255" i="6"/>
  <c r="D4254" i="6"/>
  <c r="C4254" i="6"/>
  <c r="B4254" i="6"/>
  <c r="A4254" i="6"/>
  <c r="D4253" i="6"/>
  <c r="C4253" i="6"/>
  <c r="B4253" i="6"/>
  <c r="A4253" i="6"/>
  <c r="D4252" i="6"/>
  <c r="C4252" i="6"/>
  <c r="B4252" i="6"/>
  <c r="A4252" i="6"/>
  <c r="D4251" i="6"/>
  <c r="C4251" i="6"/>
  <c r="B4251" i="6"/>
  <c r="A4251" i="6"/>
  <c r="D4250" i="6"/>
  <c r="C4250" i="6"/>
  <c r="B4250" i="6"/>
  <c r="A4250" i="6"/>
  <c r="D4249" i="6"/>
  <c r="C4249" i="6"/>
  <c r="B4249" i="6"/>
  <c r="A4249" i="6"/>
  <c r="E4248" i="6"/>
  <c r="D4248" i="6"/>
  <c r="C4248" i="6"/>
  <c r="B4248" i="6"/>
  <c r="A4248" i="6"/>
  <c r="E4247" i="6"/>
  <c r="D4247" i="6"/>
  <c r="C4247" i="6"/>
  <c r="B4247" i="6"/>
  <c r="A4247" i="6"/>
  <c r="E4246" i="6"/>
  <c r="D4246" i="6"/>
  <c r="C4246" i="6"/>
  <c r="B4246" i="6"/>
  <c r="A4246" i="6"/>
  <c r="E4245" i="6"/>
  <c r="D4245" i="6"/>
  <c r="C4245" i="6"/>
  <c r="B4245" i="6"/>
  <c r="A4245" i="6"/>
  <c r="E4244" i="6"/>
  <c r="D4244" i="6"/>
  <c r="C4244" i="6"/>
  <c r="B4244" i="6"/>
  <c r="A4244" i="6"/>
  <c r="E4243" i="6"/>
  <c r="D4243" i="6"/>
  <c r="C4243" i="6"/>
  <c r="B4243" i="6"/>
  <c r="A4243" i="6"/>
  <c r="E4242" i="6"/>
  <c r="D4242" i="6"/>
  <c r="C4242" i="6"/>
  <c r="B4242" i="6"/>
  <c r="A4242" i="6"/>
  <c r="E4241" i="6"/>
  <c r="D4241" i="6"/>
  <c r="C4241" i="6"/>
  <c r="B4241" i="6"/>
  <c r="A4241" i="6"/>
  <c r="E4240" i="6"/>
  <c r="D4240" i="6"/>
  <c r="C4240" i="6"/>
  <c r="B4240" i="6"/>
  <c r="A4240" i="6"/>
  <c r="E4239" i="6"/>
  <c r="D4239" i="6"/>
  <c r="C4239" i="6"/>
  <c r="B4239" i="6"/>
  <c r="A4239" i="6"/>
  <c r="E4238" i="6"/>
  <c r="D4238" i="6"/>
  <c r="C4238" i="6"/>
  <c r="B4238" i="6"/>
  <c r="A4238" i="6"/>
  <c r="E4237" i="6"/>
  <c r="D4237" i="6"/>
  <c r="C4237" i="6"/>
  <c r="B4237" i="6"/>
  <c r="A4237" i="6"/>
  <c r="E4236" i="6"/>
  <c r="D4236" i="6"/>
  <c r="C4236" i="6"/>
  <c r="B4236" i="6"/>
  <c r="A4236" i="6"/>
  <c r="E4235" i="6"/>
  <c r="D4235" i="6"/>
  <c r="C4235" i="6"/>
  <c r="B4235" i="6"/>
  <c r="A4235" i="6"/>
  <c r="E4234" i="6"/>
  <c r="D4234" i="6"/>
  <c r="C4234" i="6"/>
  <c r="B4234" i="6"/>
  <c r="A4234" i="6"/>
  <c r="E4233" i="6"/>
  <c r="D4233" i="6"/>
  <c r="C4233" i="6"/>
  <c r="B4233" i="6"/>
  <c r="A4233" i="6"/>
  <c r="E4232" i="6"/>
  <c r="D4232" i="6"/>
  <c r="C4232" i="6"/>
  <c r="B4232" i="6"/>
  <c r="A4232" i="6"/>
  <c r="E4231" i="6"/>
  <c r="D4231" i="6"/>
  <c r="C4231" i="6"/>
  <c r="B4231" i="6"/>
  <c r="A4231" i="6"/>
  <c r="E4230" i="6"/>
  <c r="D4230" i="6"/>
  <c r="C4230" i="6"/>
  <c r="B4230" i="6"/>
  <c r="A4230" i="6"/>
  <c r="E4229" i="6"/>
  <c r="D4229" i="6"/>
  <c r="C4229" i="6"/>
  <c r="B4229" i="6"/>
  <c r="A4229" i="6"/>
  <c r="E4228" i="6"/>
  <c r="D4228" i="6"/>
  <c r="C4228" i="6"/>
  <c r="B4228" i="6"/>
  <c r="A4228" i="6"/>
  <c r="E4227" i="6"/>
  <c r="D4227" i="6"/>
  <c r="C4227" i="6"/>
  <c r="B4227" i="6"/>
  <c r="A4227" i="6"/>
  <c r="E4226" i="6"/>
  <c r="D4226" i="6"/>
  <c r="C4226" i="6"/>
  <c r="B4226" i="6"/>
  <c r="A4226" i="6"/>
  <c r="E4225" i="6"/>
  <c r="D4225" i="6"/>
  <c r="C4225" i="6"/>
  <c r="B4225" i="6"/>
  <c r="A4225" i="6"/>
  <c r="E4224" i="6"/>
  <c r="D4224" i="6"/>
  <c r="C4224" i="6"/>
  <c r="B4224" i="6"/>
  <c r="A4224" i="6"/>
  <c r="E4223" i="6"/>
  <c r="D4223" i="6"/>
  <c r="C4223" i="6"/>
  <c r="B4223" i="6"/>
  <c r="A4223" i="6"/>
  <c r="D4222" i="6"/>
  <c r="C4222" i="6"/>
  <c r="B4222" i="6"/>
  <c r="A4222" i="6"/>
  <c r="D4221" i="6"/>
  <c r="C4221" i="6"/>
  <c r="B4221" i="6"/>
  <c r="A4221" i="6"/>
  <c r="E4220" i="6"/>
  <c r="D4220" i="6"/>
  <c r="C4220" i="6"/>
  <c r="B4220" i="6"/>
  <c r="A4220" i="6"/>
  <c r="E4219" i="6"/>
  <c r="D4219" i="6"/>
  <c r="C4219" i="6"/>
  <c r="B4219" i="6"/>
  <c r="A4219" i="6"/>
  <c r="E4218" i="6"/>
  <c r="D4218" i="6"/>
  <c r="C4218" i="6"/>
  <c r="B4218" i="6"/>
  <c r="A4218" i="6"/>
  <c r="E4217" i="6"/>
  <c r="D4217" i="6"/>
  <c r="C4217" i="6"/>
  <c r="B4217" i="6"/>
  <c r="A4217" i="6"/>
  <c r="E4216" i="6"/>
  <c r="D4216" i="6"/>
  <c r="C4216" i="6"/>
  <c r="B4216" i="6"/>
  <c r="A4216" i="6"/>
  <c r="E4215" i="6"/>
  <c r="D4215" i="6"/>
  <c r="C4215" i="6"/>
  <c r="B4215" i="6"/>
  <c r="A4215" i="6"/>
  <c r="E4214" i="6"/>
  <c r="D4214" i="6"/>
  <c r="C4214" i="6"/>
  <c r="B4214" i="6"/>
  <c r="A4214" i="6"/>
  <c r="E4213" i="6"/>
  <c r="D4213" i="6"/>
  <c r="C4213" i="6"/>
  <c r="B4213" i="6"/>
  <c r="A4213" i="6"/>
  <c r="E4212" i="6"/>
  <c r="D4212" i="6"/>
  <c r="C4212" i="6"/>
  <c r="B4212" i="6"/>
  <c r="A4212" i="6"/>
  <c r="E4211" i="6"/>
  <c r="D4211" i="6"/>
  <c r="C4211" i="6"/>
  <c r="B4211" i="6"/>
  <c r="A4211" i="6"/>
  <c r="E4210" i="6"/>
  <c r="D4210" i="6"/>
  <c r="C4210" i="6"/>
  <c r="B4210" i="6"/>
  <c r="A4210" i="6"/>
  <c r="E4209" i="6"/>
  <c r="D4209" i="6"/>
  <c r="C4209" i="6"/>
  <c r="B4209" i="6"/>
  <c r="A4209" i="6"/>
  <c r="E4208" i="6"/>
  <c r="D4208" i="6"/>
  <c r="C4208" i="6"/>
  <c r="B4208" i="6"/>
  <c r="A4208" i="6"/>
  <c r="E4207" i="6"/>
  <c r="D4207" i="6"/>
  <c r="C4207" i="6"/>
  <c r="B4207" i="6"/>
  <c r="A4207" i="6"/>
  <c r="E4206" i="6"/>
  <c r="D4206" i="6"/>
  <c r="C4206" i="6"/>
  <c r="B4206" i="6"/>
  <c r="A4206" i="6"/>
  <c r="E4205" i="6"/>
  <c r="D4205" i="6"/>
  <c r="C4205" i="6"/>
  <c r="B4205" i="6"/>
  <c r="A4205" i="6"/>
  <c r="E4204" i="6"/>
  <c r="D4204" i="6"/>
  <c r="C4204" i="6"/>
  <c r="B4204" i="6"/>
  <c r="A4204" i="6"/>
  <c r="E4203" i="6"/>
  <c r="D4203" i="6"/>
  <c r="C4203" i="6"/>
  <c r="B4203" i="6"/>
  <c r="A4203" i="6"/>
  <c r="E4202" i="6"/>
  <c r="D4202" i="6"/>
  <c r="C4202" i="6"/>
  <c r="B4202" i="6"/>
  <c r="A4202" i="6"/>
  <c r="E4201" i="6"/>
  <c r="D4201" i="6"/>
  <c r="C4201" i="6"/>
  <c r="B4201" i="6"/>
  <c r="A4201" i="6"/>
  <c r="E4200" i="6"/>
  <c r="D4200" i="6"/>
  <c r="C4200" i="6"/>
  <c r="B4200" i="6"/>
  <c r="A4200" i="6"/>
  <c r="E4199" i="6"/>
  <c r="D4199" i="6"/>
  <c r="C4199" i="6"/>
  <c r="B4199" i="6"/>
  <c r="A4199" i="6"/>
  <c r="E4198" i="6"/>
  <c r="D4198" i="6"/>
  <c r="C4198" i="6"/>
  <c r="B4198" i="6"/>
  <c r="A4198" i="6"/>
  <c r="E4197" i="6"/>
  <c r="D4197" i="6"/>
  <c r="C4197" i="6"/>
  <c r="B4197" i="6"/>
  <c r="A4197" i="6"/>
  <c r="E4196" i="6"/>
  <c r="D4196" i="6"/>
  <c r="C4196" i="6"/>
  <c r="B4196" i="6"/>
  <c r="A4196" i="6"/>
  <c r="E4195" i="6"/>
  <c r="D4195" i="6"/>
  <c r="C4195" i="6"/>
  <c r="B4195" i="6"/>
  <c r="A4195" i="6"/>
  <c r="E4194" i="6"/>
  <c r="D4194" i="6"/>
  <c r="C4194" i="6"/>
  <c r="B4194" i="6"/>
  <c r="A4194" i="6"/>
  <c r="E4193" i="6"/>
  <c r="D4193" i="6"/>
  <c r="C4193" i="6"/>
  <c r="B4193" i="6"/>
  <c r="A4193" i="6"/>
  <c r="E4192" i="6"/>
  <c r="D4192" i="6"/>
  <c r="C4192" i="6"/>
  <c r="B4192" i="6"/>
  <c r="A4192" i="6"/>
  <c r="E4191" i="6"/>
  <c r="D4191" i="6"/>
  <c r="C4191" i="6"/>
  <c r="B4191" i="6"/>
  <c r="A4191" i="6"/>
  <c r="E4190" i="6"/>
  <c r="D4190" i="6"/>
  <c r="C4190" i="6"/>
  <c r="B4190" i="6"/>
  <c r="A4190" i="6"/>
  <c r="E4189" i="6"/>
  <c r="D4189" i="6"/>
  <c r="C4189" i="6"/>
  <c r="B4189" i="6"/>
  <c r="A4189" i="6"/>
  <c r="D4188" i="6"/>
  <c r="C4188" i="6"/>
  <c r="B4188" i="6"/>
  <c r="A4188" i="6"/>
  <c r="E4187" i="6"/>
  <c r="D4187" i="6"/>
  <c r="C4187" i="6"/>
  <c r="B4187" i="6"/>
  <c r="A4187" i="6"/>
  <c r="E4186" i="6"/>
  <c r="D4186" i="6"/>
  <c r="C4186" i="6"/>
  <c r="B4186" i="6"/>
  <c r="A4186" i="6"/>
  <c r="E4185" i="6"/>
  <c r="D4185" i="6"/>
  <c r="C4185" i="6"/>
  <c r="B4185" i="6"/>
  <c r="A4185" i="6"/>
  <c r="E4184" i="6"/>
  <c r="D4184" i="6"/>
  <c r="C4184" i="6"/>
  <c r="B4184" i="6"/>
  <c r="A4184" i="6"/>
  <c r="E4183" i="6"/>
  <c r="D4183" i="6"/>
  <c r="C4183" i="6"/>
  <c r="B4183" i="6"/>
  <c r="A4183" i="6"/>
  <c r="E4182" i="6"/>
  <c r="D4182" i="6"/>
  <c r="C4182" i="6"/>
  <c r="B4182" i="6"/>
  <c r="A4182" i="6"/>
  <c r="E4181" i="6"/>
  <c r="D4181" i="6"/>
  <c r="C4181" i="6"/>
  <c r="B4181" i="6"/>
  <c r="A4181" i="6"/>
  <c r="E4180" i="6"/>
  <c r="D4180" i="6"/>
  <c r="C4180" i="6"/>
  <c r="B4180" i="6"/>
  <c r="A4180" i="6"/>
  <c r="E4179" i="6"/>
  <c r="D4179" i="6"/>
  <c r="C4179" i="6"/>
  <c r="B4179" i="6"/>
  <c r="A4179" i="6"/>
  <c r="E4178" i="6"/>
  <c r="D4178" i="6"/>
  <c r="C4178" i="6"/>
  <c r="B4178" i="6"/>
  <c r="A4178" i="6"/>
  <c r="E4177" i="6"/>
  <c r="D4177" i="6"/>
  <c r="C4177" i="6"/>
  <c r="B4177" i="6"/>
  <c r="A4177" i="6"/>
  <c r="E4176" i="6"/>
  <c r="D4176" i="6"/>
  <c r="C4176" i="6"/>
  <c r="B4176" i="6"/>
  <c r="A4176" i="6"/>
  <c r="E4175" i="6"/>
  <c r="D4175" i="6"/>
  <c r="C4175" i="6"/>
  <c r="B4175" i="6"/>
  <c r="A4175" i="6"/>
  <c r="E4174" i="6"/>
  <c r="D4174" i="6"/>
  <c r="C4174" i="6"/>
  <c r="B4174" i="6"/>
  <c r="A4174" i="6"/>
  <c r="E4173" i="6"/>
  <c r="D4173" i="6"/>
  <c r="C4173" i="6"/>
  <c r="B4173" i="6"/>
  <c r="A4173" i="6"/>
  <c r="E4172" i="6"/>
  <c r="D4172" i="6"/>
  <c r="C4172" i="6"/>
  <c r="B4172" i="6"/>
  <c r="A4172" i="6"/>
  <c r="E4171" i="6"/>
  <c r="D4171" i="6"/>
  <c r="C4171" i="6"/>
  <c r="B4171" i="6"/>
  <c r="A4171" i="6"/>
  <c r="E4170" i="6"/>
  <c r="D4170" i="6"/>
  <c r="C4170" i="6"/>
  <c r="B4170" i="6"/>
  <c r="A4170" i="6"/>
  <c r="E4169" i="6"/>
  <c r="D4169" i="6"/>
  <c r="C4169" i="6"/>
  <c r="B4169" i="6"/>
  <c r="A4169" i="6"/>
  <c r="E4168" i="6"/>
  <c r="D4168" i="6"/>
  <c r="C4168" i="6"/>
  <c r="B4168" i="6"/>
  <c r="A4168" i="6"/>
  <c r="E4167" i="6"/>
  <c r="D4167" i="6"/>
  <c r="C4167" i="6"/>
  <c r="B4167" i="6"/>
  <c r="A4167" i="6"/>
  <c r="E4166" i="6"/>
  <c r="D4166" i="6"/>
  <c r="C4166" i="6"/>
  <c r="B4166" i="6"/>
  <c r="A4166" i="6"/>
  <c r="E4165" i="6"/>
  <c r="D4165" i="6"/>
  <c r="C4165" i="6"/>
  <c r="B4165" i="6"/>
  <c r="A4165" i="6"/>
  <c r="E4164" i="6"/>
  <c r="D4164" i="6"/>
  <c r="C4164" i="6"/>
  <c r="B4164" i="6"/>
  <c r="A4164" i="6"/>
  <c r="E4163" i="6"/>
  <c r="D4163" i="6"/>
  <c r="C4163" i="6"/>
  <c r="B4163" i="6"/>
  <c r="A4163" i="6"/>
  <c r="E4162" i="6"/>
  <c r="D4162" i="6"/>
  <c r="C4162" i="6"/>
  <c r="B4162" i="6"/>
  <c r="A4162" i="6"/>
  <c r="E4161" i="6"/>
  <c r="D4161" i="6"/>
  <c r="C4161" i="6"/>
  <c r="B4161" i="6"/>
  <c r="A4161" i="6"/>
  <c r="D4160" i="6"/>
  <c r="C4160" i="6"/>
  <c r="B4160" i="6"/>
  <c r="A4160" i="6"/>
  <c r="D4159" i="6"/>
  <c r="C4159" i="6"/>
  <c r="B4159" i="6"/>
  <c r="A4159" i="6"/>
  <c r="E4158" i="6"/>
  <c r="D4158" i="6"/>
  <c r="C4158" i="6"/>
  <c r="B4158" i="6"/>
  <c r="A4158" i="6"/>
  <c r="E4157" i="6"/>
  <c r="D4157" i="6"/>
  <c r="C4157" i="6"/>
  <c r="B4157" i="6"/>
  <c r="A4157" i="6"/>
  <c r="E4156" i="6"/>
  <c r="D4156" i="6"/>
  <c r="C4156" i="6"/>
  <c r="B4156" i="6"/>
  <c r="A4156" i="6"/>
  <c r="E4155" i="6"/>
  <c r="D4155" i="6"/>
  <c r="C4155" i="6"/>
  <c r="B4155" i="6"/>
  <c r="A4155" i="6"/>
  <c r="E4154" i="6"/>
  <c r="D4154" i="6"/>
  <c r="C4154" i="6"/>
  <c r="B4154" i="6"/>
  <c r="A4154" i="6"/>
  <c r="E4153" i="6"/>
  <c r="D4153" i="6"/>
  <c r="C4153" i="6"/>
  <c r="B4153" i="6"/>
  <c r="A4153" i="6"/>
  <c r="E4152" i="6"/>
  <c r="D4152" i="6"/>
  <c r="C4152" i="6"/>
  <c r="B4152" i="6"/>
  <c r="A4152" i="6"/>
  <c r="E4151" i="6"/>
  <c r="D4151" i="6"/>
  <c r="C4151" i="6"/>
  <c r="B4151" i="6"/>
  <c r="A4151" i="6"/>
  <c r="E4150" i="6"/>
  <c r="D4150" i="6"/>
  <c r="C4150" i="6"/>
  <c r="B4150" i="6"/>
  <c r="A4150" i="6"/>
  <c r="E4149" i="6"/>
  <c r="D4149" i="6"/>
  <c r="C4149" i="6"/>
  <c r="B4149" i="6"/>
  <c r="A4149" i="6"/>
  <c r="E4148" i="6"/>
  <c r="D4148" i="6"/>
  <c r="C4148" i="6"/>
  <c r="B4148" i="6"/>
  <c r="A4148" i="6"/>
  <c r="E4147" i="6"/>
  <c r="D4147" i="6"/>
  <c r="C4147" i="6"/>
  <c r="B4147" i="6"/>
  <c r="A4147" i="6"/>
  <c r="E4146" i="6"/>
  <c r="D4146" i="6"/>
  <c r="C4146" i="6"/>
  <c r="B4146" i="6"/>
  <c r="A4146" i="6"/>
  <c r="E4145" i="6"/>
  <c r="D4145" i="6"/>
  <c r="C4145" i="6"/>
  <c r="B4145" i="6"/>
  <c r="A4145" i="6"/>
  <c r="E4144" i="6"/>
  <c r="D4144" i="6"/>
  <c r="C4144" i="6"/>
  <c r="B4144" i="6"/>
  <c r="A4144" i="6"/>
  <c r="E4143" i="6"/>
  <c r="D4143" i="6"/>
  <c r="C4143" i="6"/>
  <c r="B4143" i="6"/>
  <c r="A4143" i="6"/>
  <c r="E4142" i="6"/>
  <c r="D4142" i="6"/>
  <c r="C4142" i="6"/>
  <c r="B4142" i="6"/>
  <c r="A4142" i="6"/>
  <c r="E4141" i="6"/>
  <c r="D4141" i="6"/>
  <c r="C4141" i="6"/>
  <c r="B4141" i="6"/>
  <c r="A4141" i="6"/>
  <c r="E4140" i="6"/>
  <c r="D4140" i="6"/>
  <c r="C4140" i="6"/>
  <c r="B4140" i="6"/>
  <c r="A4140" i="6"/>
  <c r="E4139" i="6"/>
  <c r="D4139" i="6"/>
  <c r="C4139" i="6"/>
  <c r="B4139" i="6"/>
  <c r="A4139" i="6"/>
  <c r="E4138" i="6"/>
  <c r="D4138" i="6"/>
  <c r="C4138" i="6"/>
  <c r="B4138" i="6"/>
  <c r="A4138" i="6"/>
  <c r="E4137" i="6"/>
  <c r="D4137" i="6"/>
  <c r="C4137" i="6"/>
  <c r="B4137" i="6"/>
  <c r="A4137" i="6"/>
  <c r="E4136" i="6"/>
  <c r="D4136" i="6"/>
  <c r="C4136" i="6"/>
  <c r="B4136" i="6"/>
  <c r="A4136" i="6"/>
  <c r="E4135" i="6"/>
  <c r="D4135" i="6"/>
  <c r="C4135" i="6"/>
  <c r="B4135" i="6"/>
  <c r="A4135" i="6"/>
  <c r="E4134" i="6"/>
  <c r="D4134" i="6"/>
  <c r="C4134" i="6"/>
  <c r="B4134" i="6"/>
  <c r="A4134" i="6"/>
  <c r="E4133" i="6"/>
  <c r="D4133" i="6"/>
  <c r="C4133" i="6"/>
  <c r="B4133" i="6"/>
  <c r="A4133" i="6"/>
  <c r="E4132" i="6"/>
  <c r="D4132" i="6"/>
  <c r="C4132" i="6"/>
  <c r="B4132" i="6"/>
  <c r="A4132" i="6"/>
  <c r="E4131" i="6"/>
  <c r="D4131" i="6"/>
  <c r="C4131" i="6"/>
  <c r="B4131" i="6"/>
  <c r="A4131" i="6"/>
  <c r="E4130" i="6"/>
  <c r="D4130" i="6"/>
  <c r="C4130" i="6"/>
  <c r="B4130" i="6"/>
  <c r="A4130" i="6"/>
  <c r="E4129" i="6"/>
  <c r="D4129" i="6"/>
  <c r="C4129" i="6"/>
  <c r="B4129" i="6"/>
  <c r="A4129" i="6"/>
  <c r="E4128" i="6"/>
  <c r="D4128" i="6"/>
  <c r="C4128" i="6"/>
  <c r="B4128" i="6"/>
  <c r="A4128" i="6"/>
  <c r="E4127" i="6"/>
  <c r="D4127" i="6"/>
  <c r="C4127" i="6"/>
  <c r="B4127" i="6"/>
  <c r="A4127" i="6"/>
  <c r="E4126" i="6"/>
  <c r="D4126" i="6"/>
  <c r="C4126" i="6"/>
  <c r="B4126" i="6"/>
  <c r="A4126" i="6"/>
  <c r="E4125" i="6"/>
  <c r="D4125" i="6"/>
  <c r="C4125" i="6"/>
  <c r="B4125" i="6"/>
  <c r="A4125" i="6"/>
  <c r="E4124" i="6"/>
  <c r="D4124" i="6"/>
  <c r="C4124" i="6"/>
  <c r="B4124" i="6"/>
  <c r="A4124" i="6"/>
  <c r="E4123" i="6"/>
  <c r="D4123" i="6"/>
  <c r="C4123" i="6"/>
  <c r="B4123" i="6"/>
  <c r="A4123" i="6"/>
  <c r="E4122" i="6"/>
  <c r="D4122" i="6"/>
  <c r="C4122" i="6"/>
  <c r="B4122" i="6"/>
  <c r="A4122" i="6"/>
  <c r="E4121" i="6"/>
  <c r="D4121" i="6"/>
  <c r="C4121" i="6"/>
  <c r="B4121" i="6"/>
  <c r="A4121" i="6"/>
  <c r="E4120" i="6"/>
  <c r="D4120" i="6"/>
  <c r="C4120" i="6"/>
  <c r="B4120" i="6"/>
  <c r="A4120" i="6"/>
  <c r="E4119" i="6"/>
  <c r="D4119" i="6"/>
  <c r="C4119" i="6"/>
  <c r="B4119" i="6"/>
  <c r="A4119" i="6"/>
  <c r="E4118" i="6"/>
  <c r="D4118" i="6"/>
  <c r="C4118" i="6"/>
  <c r="B4118" i="6"/>
  <c r="A4118" i="6"/>
  <c r="E4117" i="6"/>
  <c r="D4117" i="6"/>
  <c r="C4117" i="6"/>
  <c r="B4117" i="6"/>
  <c r="A4117" i="6"/>
  <c r="E4116" i="6"/>
  <c r="D4116" i="6"/>
  <c r="C4116" i="6"/>
  <c r="B4116" i="6"/>
  <c r="A4116" i="6"/>
  <c r="E4115" i="6"/>
  <c r="D4115" i="6"/>
  <c r="C4115" i="6"/>
  <c r="B4115" i="6"/>
  <c r="A4115" i="6"/>
  <c r="E4114" i="6"/>
  <c r="D4114" i="6"/>
  <c r="C4114" i="6"/>
  <c r="B4114" i="6"/>
  <c r="A4114" i="6"/>
  <c r="E4113" i="6"/>
  <c r="D4113" i="6"/>
  <c r="C4113" i="6"/>
  <c r="B4113" i="6"/>
  <c r="A4113" i="6"/>
  <c r="E4112" i="6"/>
  <c r="D4112" i="6"/>
  <c r="C4112" i="6"/>
  <c r="B4112" i="6"/>
  <c r="A4112" i="6"/>
  <c r="E4111" i="6"/>
  <c r="D4111" i="6"/>
  <c r="C4111" i="6"/>
  <c r="B4111" i="6"/>
  <c r="A4111" i="6"/>
  <c r="E4110" i="6"/>
  <c r="D4110" i="6"/>
  <c r="C4110" i="6"/>
  <c r="B4110" i="6"/>
  <c r="A4110" i="6"/>
  <c r="E4109" i="6"/>
  <c r="D4109" i="6"/>
  <c r="C4109" i="6"/>
  <c r="B4109" i="6"/>
  <c r="A4109" i="6"/>
  <c r="E4108" i="6"/>
  <c r="D4108" i="6"/>
  <c r="C4108" i="6"/>
  <c r="B4108" i="6"/>
  <c r="A4108" i="6"/>
  <c r="E4107" i="6"/>
  <c r="D4107" i="6"/>
  <c r="C4107" i="6"/>
  <c r="B4107" i="6"/>
  <c r="A4107" i="6"/>
  <c r="E4106" i="6"/>
  <c r="D4106" i="6"/>
  <c r="C4106" i="6"/>
  <c r="B4106" i="6"/>
  <c r="A4106" i="6"/>
  <c r="E4105" i="6"/>
  <c r="D4105" i="6"/>
  <c r="C4105" i="6"/>
  <c r="B4105" i="6"/>
  <c r="A4105" i="6"/>
  <c r="E4104" i="6"/>
  <c r="D4104" i="6"/>
  <c r="C4104" i="6"/>
  <c r="B4104" i="6"/>
  <c r="A4104" i="6"/>
  <c r="E4103" i="6"/>
  <c r="D4103" i="6"/>
  <c r="C4103" i="6"/>
  <c r="B4103" i="6"/>
  <c r="A4103" i="6"/>
  <c r="E4102" i="6"/>
  <c r="D4102" i="6"/>
  <c r="C4102" i="6"/>
  <c r="B4102" i="6"/>
  <c r="A4102" i="6"/>
  <c r="E4101" i="6"/>
  <c r="D4101" i="6"/>
  <c r="C4101" i="6"/>
  <c r="B4101" i="6"/>
  <c r="A4101" i="6"/>
  <c r="E4100" i="6"/>
  <c r="D4100" i="6"/>
  <c r="C4100" i="6"/>
  <c r="B4100" i="6"/>
  <c r="A4100" i="6"/>
  <c r="E4099" i="6"/>
  <c r="D4099" i="6"/>
  <c r="C4099" i="6"/>
  <c r="B4099" i="6"/>
  <c r="A4099" i="6"/>
  <c r="E4098" i="6"/>
  <c r="D4098" i="6"/>
  <c r="C4098" i="6"/>
  <c r="B4098" i="6"/>
  <c r="A4098" i="6"/>
  <c r="E4097" i="6"/>
  <c r="D4097" i="6"/>
  <c r="C4097" i="6"/>
  <c r="B4097" i="6"/>
  <c r="A4097" i="6"/>
  <c r="E4096" i="6"/>
  <c r="D4096" i="6"/>
  <c r="C4096" i="6"/>
  <c r="B4096" i="6"/>
  <c r="A4096" i="6"/>
  <c r="E4095" i="6"/>
  <c r="D4095" i="6"/>
  <c r="C4095" i="6"/>
  <c r="B4095" i="6"/>
  <c r="A4095" i="6"/>
  <c r="E4094" i="6"/>
  <c r="D4094" i="6"/>
  <c r="C4094" i="6"/>
  <c r="B4094" i="6"/>
  <c r="A4094" i="6"/>
  <c r="E4093" i="6"/>
  <c r="D4093" i="6"/>
  <c r="C4093" i="6"/>
  <c r="B4093" i="6"/>
  <c r="A4093" i="6"/>
  <c r="E4092" i="6"/>
  <c r="D4092" i="6"/>
  <c r="C4092" i="6"/>
  <c r="B4092" i="6"/>
  <c r="A4092" i="6"/>
  <c r="E4091" i="6"/>
  <c r="D4091" i="6"/>
  <c r="C4091" i="6"/>
  <c r="B4091" i="6"/>
  <c r="A4091" i="6"/>
  <c r="E4090" i="6"/>
  <c r="D4090" i="6"/>
  <c r="C4090" i="6"/>
  <c r="B4090" i="6"/>
  <c r="A4090" i="6"/>
  <c r="E4089" i="6"/>
  <c r="D4089" i="6"/>
  <c r="C4089" i="6"/>
  <c r="B4089" i="6"/>
  <c r="A4089" i="6"/>
  <c r="E4088" i="6"/>
  <c r="D4088" i="6"/>
  <c r="C4088" i="6"/>
  <c r="B4088" i="6"/>
  <c r="A4088" i="6"/>
  <c r="E4087" i="6"/>
  <c r="D4087" i="6"/>
  <c r="C4087" i="6"/>
  <c r="B4087" i="6"/>
  <c r="A4087" i="6"/>
  <c r="E4086" i="6"/>
  <c r="D4086" i="6"/>
  <c r="C4086" i="6"/>
  <c r="B4086" i="6"/>
  <c r="A4086" i="6"/>
  <c r="E4085" i="6"/>
  <c r="D4085" i="6"/>
  <c r="C4085" i="6"/>
  <c r="B4085" i="6"/>
  <c r="A4085" i="6"/>
  <c r="E4084" i="6"/>
  <c r="D4084" i="6"/>
  <c r="C4084" i="6"/>
  <c r="B4084" i="6"/>
  <c r="A4084" i="6"/>
  <c r="E4083" i="6"/>
  <c r="D4083" i="6"/>
  <c r="C4083" i="6"/>
  <c r="B4083" i="6"/>
  <c r="A4083" i="6"/>
  <c r="E4082" i="6"/>
  <c r="D4082" i="6"/>
  <c r="C4082" i="6"/>
  <c r="B4082" i="6"/>
  <c r="A4082" i="6"/>
  <c r="E4081" i="6"/>
  <c r="D4081" i="6"/>
  <c r="C4081" i="6"/>
  <c r="B4081" i="6"/>
  <c r="A4081" i="6"/>
  <c r="E4080" i="6"/>
  <c r="D4080" i="6"/>
  <c r="C4080" i="6"/>
  <c r="B4080" i="6"/>
  <c r="A4080" i="6"/>
  <c r="E4079" i="6"/>
  <c r="D4079" i="6"/>
  <c r="C4079" i="6"/>
  <c r="B4079" i="6"/>
  <c r="A4079" i="6"/>
  <c r="E4078" i="6"/>
  <c r="D4078" i="6"/>
  <c r="C4078" i="6"/>
  <c r="B4078" i="6"/>
  <c r="A4078" i="6"/>
  <c r="E4077" i="6"/>
  <c r="D4077" i="6"/>
  <c r="C4077" i="6"/>
  <c r="B4077" i="6"/>
  <c r="A4077" i="6"/>
  <c r="E4076" i="6"/>
  <c r="D4076" i="6"/>
  <c r="C4076" i="6"/>
  <c r="B4076" i="6"/>
  <c r="A4076" i="6"/>
  <c r="E4075" i="6"/>
  <c r="D4075" i="6"/>
  <c r="C4075" i="6"/>
  <c r="B4075" i="6"/>
  <c r="A4075" i="6"/>
  <c r="E4074" i="6"/>
  <c r="D4074" i="6"/>
  <c r="C4074" i="6"/>
  <c r="B4074" i="6"/>
  <c r="A4074" i="6"/>
  <c r="E4073" i="6"/>
  <c r="D4073" i="6"/>
  <c r="C4073" i="6"/>
  <c r="B4073" i="6"/>
  <c r="A4073" i="6"/>
  <c r="E4072" i="6"/>
  <c r="D4072" i="6"/>
  <c r="C4072" i="6"/>
  <c r="B4072" i="6"/>
  <c r="A4072" i="6"/>
  <c r="E4071" i="6"/>
  <c r="D4071" i="6"/>
  <c r="C4071" i="6"/>
  <c r="B4071" i="6"/>
  <c r="A4071" i="6"/>
  <c r="E4070" i="6"/>
  <c r="D4070" i="6"/>
  <c r="C4070" i="6"/>
  <c r="B4070" i="6"/>
  <c r="A4070" i="6"/>
  <c r="E4069" i="6"/>
  <c r="D4069" i="6"/>
  <c r="C4069" i="6"/>
  <c r="B4069" i="6"/>
  <c r="A4069" i="6"/>
  <c r="E4068" i="6"/>
  <c r="D4068" i="6"/>
  <c r="C4068" i="6"/>
  <c r="B4068" i="6"/>
  <c r="A4068" i="6"/>
  <c r="E4067" i="6"/>
  <c r="D4067" i="6"/>
  <c r="C4067" i="6"/>
  <c r="B4067" i="6"/>
  <c r="A4067" i="6"/>
  <c r="E4066" i="6"/>
  <c r="D4066" i="6"/>
  <c r="C4066" i="6"/>
  <c r="B4066" i="6"/>
  <c r="A4066" i="6"/>
  <c r="E4065" i="6"/>
  <c r="D4065" i="6"/>
  <c r="C4065" i="6"/>
  <c r="B4065" i="6"/>
  <c r="A4065" i="6"/>
  <c r="E4064" i="6"/>
  <c r="D4064" i="6"/>
  <c r="C4064" i="6"/>
  <c r="B4064" i="6"/>
  <c r="A4064" i="6"/>
  <c r="E4063" i="6"/>
  <c r="D4063" i="6"/>
  <c r="C4063" i="6"/>
  <c r="B4063" i="6"/>
  <c r="A4063" i="6"/>
  <c r="E4062" i="6"/>
  <c r="D4062" i="6"/>
  <c r="C4062" i="6"/>
  <c r="B4062" i="6"/>
  <c r="A4062" i="6"/>
  <c r="E4061" i="6"/>
  <c r="D4061" i="6"/>
  <c r="C4061" i="6"/>
  <c r="B4061" i="6"/>
  <c r="A4061" i="6"/>
  <c r="E4060" i="6"/>
  <c r="D4060" i="6"/>
  <c r="C4060" i="6"/>
  <c r="B4060" i="6"/>
  <c r="A4060" i="6"/>
  <c r="E4059" i="6"/>
  <c r="D4059" i="6"/>
  <c r="C4059" i="6"/>
  <c r="B4059" i="6"/>
  <c r="A4059" i="6"/>
  <c r="E4058" i="6"/>
  <c r="D4058" i="6"/>
  <c r="C4058" i="6"/>
  <c r="B4058" i="6"/>
  <c r="A4058" i="6"/>
  <c r="E4057" i="6"/>
  <c r="D4057" i="6"/>
  <c r="C4057" i="6"/>
  <c r="B4057" i="6"/>
  <c r="A4057" i="6"/>
  <c r="E4056" i="6"/>
  <c r="D4056" i="6"/>
  <c r="C4056" i="6"/>
  <c r="B4056" i="6"/>
  <c r="A4056" i="6"/>
  <c r="E4055" i="6"/>
  <c r="D4055" i="6"/>
  <c r="C4055" i="6"/>
  <c r="B4055" i="6"/>
  <c r="A4055" i="6"/>
  <c r="E4054" i="6"/>
  <c r="D4054" i="6"/>
  <c r="C4054" i="6"/>
  <c r="B4054" i="6"/>
  <c r="A4054" i="6"/>
  <c r="E4053" i="6"/>
  <c r="D4053" i="6"/>
  <c r="C4053" i="6"/>
  <c r="B4053" i="6"/>
  <c r="A4053" i="6"/>
  <c r="E4052" i="6"/>
  <c r="D4052" i="6"/>
  <c r="C4052" i="6"/>
  <c r="B4052" i="6"/>
  <c r="A4052" i="6"/>
  <c r="E4051" i="6"/>
  <c r="D4051" i="6"/>
  <c r="C4051" i="6"/>
  <c r="B4051" i="6"/>
  <c r="A4051" i="6"/>
  <c r="E4050" i="6"/>
  <c r="D4050" i="6"/>
  <c r="C4050" i="6"/>
  <c r="B4050" i="6"/>
  <c r="A4050" i="6"/>
  <c r="E4049" i="6"/>
  <c r="D4049" i="6"/>
  <c r="C4049" i="6"/>
  <c r="B4049" i="6"/>
  <c r="A4049" i="6"/>
  <c r="E4048" i="6"/>
  <c r="D4048" i="6"/>
  <c r="C4048" i="6"/>
  <c r="B4048" i="6"/>
  <c r="A4048" i="6"/>
  <c r="E4047" i="6"/>
  <c r="D4047" i="6"/>
  <c r="C4047" i="6"/>
  <c r="B4047" i="6"/>
  <c r="A4047" i="6"/>
  <c r="E4046" i="6"/>
  <c r="D4046" i="6"/>
  <c r="C4046" i="6"/>
  <c r="B4046" i="6"/>
  <c r="A4046" i="6"/>
  <c r="E4045" i="6"/>
  <c r="D4045" i="6"/>
  <c r="C4045" i="6"/>
  <c r="B4045" i="6"/>
  <c r="A4045" i="6"/>
  <c r="E4044" i="6"/>
  <c r="D4044" i="6"/>
  <c r="C4044" i="6"/>
  <c r="B4044" i="6"/>
  <c r="A4044" i="6"/>
  <c r="E4043" i="6"/>
  <c r="D4043" i="6"/>
  <c r="C4043" i="6"/>
  <c r="B4043" i="6"/>
  <c r="A4043" i="6"/>
  <c r="E4042" i="6"/>
  <c r="D4042" i="6"/>
  <c r="C4042" i="6"/>
  <c r="B4042" i="6"/>
  <c r="A4042" i="6"/>
  <c r="E4041" i="6"/>
  <c r="D4041" i="6"/>
  <c r="C4041" i="6"/>
  <c r="B4041" i="6"/>
  <c r="A4041" i="6"/>
  <c r="E4040" i="6"/>
  <c r="D4040" i="6"/>
  <c r="C4040" i="6"/>
  <c r="B4040" i="6"/>
  <c r="A4040" i="6"/>
  <c r="E4039" i="6"/>
  <c r="D4039" i="6"/>
  <c r="C4039" i="6"/>
  <c r="B4039" i="6"/>
  <c r="A4039" i="6"/>
  <c r="E4038" i="6"/>
  <c r="D4038" i="6"/>
  <c r="C4038" i="6"/>
  <c r="B4038" i="6"/>
  <c r="A4038" i="6"/>
  <c r="E4037" i="6"/>
  <c r="D4037" i="6"/>
  <c r="C4037" i="6"/>
  <c r="B4037" i="6"/>
  <c r="A4037" i="6"/>
  <c r="E4036" i="6"/>
  <c r="D4036" i="6"/>
  <c r="C4036" i="6"/>
  <c r="B4036" i="6"/>
  <c r="A4036" i="6"/>
  <c r="E4035" i="6"/>
  <c r="D4035" i="6"/>
  <c r="C4035" i="6"/>
  <c r="B4035" i="6"/>
  <c r="A4035" i="6"/>
  <c r="E4034" i="6"/>
  <c r="D4034" i="6"/>
  <c r="C4034" i="6"/>
  <c r="B4034" i="6"/>
  <c r="A4034" i="6"/>
  <c r="E4033" i="6"/>
  <c r="D4033" i="6"/>
  <c r="C4033" i="6"/>
  <c r="B4033" i="6"/>
  <c r="A4033" i="6"/>
  <c r="E4032" i="6"/>
  <c r="D4032" i="6"/>
  <c r="C4032" i="6"/>
  <c r="B4032" i="6"/>
  <c r="A4032" i="6"/>
  <c r="E4031" i="6"/>
  <c r="D4031" i="6"/>
  <c r="C4031" i="6"/>
  <c r="B4031" i="6"/>
  <c r="A4031" i="6"/>
  <c r="E4030" i="6"/>
  <c r="D4030" i="6"/>
  <c r="C4030" i="6"/>
  <c r="B4030" i="6"/>
  <c r="A4030" i="6"/>
  <c r="E4029" i="6"/>
  <c r="D4029" i="6"/>
  <c r="C4029" i="6"/>
  <c r="B4029" i="6"/>
  <c r="A4029" i="6"/>
  <c r="E4028" i="6"/>
  <c r="D4028" i="6"/>
  <c r="C4028" i="6"/>
  <c r="B4028" i="6"/>
  <c r="A4028" i="6"/>
  <c r="E4027" i="6"/>
  <c r="D4027" i="6"/>
  <c r="C4027" i="6"/>
  <c r="B4027" i="6"/>
  <c r="A4027" i="6"/>
  <c r="E4026" i="6"/>
  <c r="D4026" i="6"/>
  <c r="C4026" i="6"/>
  <c r="B4026" i="6"/>
  <c r="A4026" i="6"/>
  <c r="E4025" i="6"/>
  <c r="D4025" i="6"/>
  <c r="C4025" i="6"/>
  <c r="B4025" i="6"/>
  <c r="A4025" i="6"/>
  <c r="E4024" i="6"/>
  <c r="D4024" i="6"/>
  <c r="C4024" i="6"/>
  <c r="B4024" i="6"/>
  <c r="A4024" i="6"/>
  <c r="E4023" i="6"/>
  <c r="D4023" i="6"/>
  <c r="C4023" i="6"/>
  <c r="B4023" i="6"/>
  <c r="A4023" i="6"/>
  <c r="E4022" i="6"/>
  <c r="D4022" i="6"/>
  <c r="C4022" i="6"/>
  <c r="B4022" i="6"/>
  <c r="A4022" i="6"/>
  <c r="E4021" i="6"/>
  <c r="D4021" i="6"/>
  <c r="C4021" i="6"/>
  <c r="B4021" i="6"/>
  <c r="A4021" i="6"/>
  <c r="E4020" i="6"/>
  <c r="D4020" i="6"/>
  <c r="C4020" i="6"/>
  <c r="B4020" i="6"/>
  <c r="A4020" i="6"/>
  <c r="E4019" i="6"/>
  <c r="D4019" i="6"/>
  <c r="C4019" i="6"/>
  <c r="B4019" i="6"/>
  <c r="A4019" i="6"/>
  <c r="E4018" i="6"/>
  <c r="D4018" i="6"/>
  <c r="C4018" i="6"/>
  <c r="B4018" i="6"/>
  <c r="A4018" i="6"/>
  <c r="E4017" i="6"/>
  <c r="D4017" i="6"/>
  <c r="C4017" i="6"/>
  <c r="B4017" i="6"/>
  <c r="A4017" i="6"/>
  <c r="E4016" i="6"/>
  <c r="D4016" i="6"/>
  <c r="C4016" i="6"/>
  <c r="B4016" i="6"/>
  <c r="A4016" i="6"/>
  <c r="E4015" i="6"/>
  <c r="D4015" i="6"/>
  <c r="C4015" i="6"/>
  <c r="B4015" i="6"/>
  <c r="A4015" i="6"/>
  <c r="E4014" i="6"/>
  <c r="D4014" i="6"/>
  <c r="C4014" i="6"/>
  <c r="B4014" i="6"/>
  <c r="A4014" i="6"/>
  <c r="E4013" i="6"/>
  <c r="D4013" i="6"/>
  <c r="C4013" i="6"/>
  <c r="B4013" i="6"/>
  <c r="A4013" i="6"/>
  <c r="E4012" i="6"/>
  <c r="D4012" i="6"/>
  <c r="C4012" i="6"/>
  <c r="B4012" i="6"/>
  <c r="A4012" i="6"/>
  <c r="E4011" i="6"/>
  <c r="D4011" i="6"/>
  <c r="C4011" i="6"/>
  <c r="B4011" i="6"/>
  <c r="A4011" i="6"/>
  <c r="E4010" i="6"/>
  <c r="D4010" i="6"/>
  <c r="C4010" i="6"/>
  <c r="B4010" i="6"/>
  <c r="A4010" i="6"/>
  <c r="E4009" i="6"/>
  <c r="D4009" i="6"/>
  <c r="C4009" i="6"/>
  <c r="B4009" i="6"/>
  <c r="A4009" i="6"/>
  <c r="E4008" i="6"/>
  <c r="D4008" i="6"/>
  <c r="C4008" i="6"/>
  <c r="B4008" i="6"/>
  <c r="A4008" i="6"/>
  <c r="E4007" i="6"/>
  <c r="D4007" i="6"/>
  <c r="C4007" i="6"/>
  <c r="B4007" i="6"/>
  <c r="A4007" i="6"/>
  <c r="E4006" i="6"/>
  <c r="D4006" i="6"/>
  <c r="C4006" i="6"/>
  <c r="B4006" i="6"/>
  <c r="A4006" i="6"/>
  <c r="E4005" i="6"/>
  <c r="D4005" i="6"/>
  <c r="C4005" i="6"/>
  <c r="B4005" i="6"/>
  <c r="A4005" i="6"/>
  <c r="E4004" i="6"/>
  <c r="D4004" i="6"/>
  <c r="C4004" i="6"/>
  <c r="B4004" i="6"/>
  <c r="A4004" i="6"/>
  <c r="E4003" i="6"/>
  <c r="D4003" i="6"/>
  <c r="C4003" i="6"/>
  <c r="B4003" i="6"/>
  <c r="A4003" i="6"/>
  <c r="E4002" i="6"/>
  <c r="D4002" i="6"/>
  <c r="C4002" i="6"/>
  <c r="B4002" i="6"/>
  <c r="A4002" i="6"/>
  <c r="E4001" i="6"/>
  <c r="D4001" i="6"/>
  <c r="C4001" i="6"/>
  <c r="B4001" i="6"/>
  <c r="A4001" i="6"/>
  <c r="E4000" i="6"/>
  <c r="D4000" i="6"/>
  <c r="C4000" i="6"/>
  <c r="B4000" i="6"/>
  <c r="A4000" i="6"/>
  <c r="E3999" i="6"/>
  <c r="D3999" i="6"/>
  <c r="C3999" i="6"/>
  <c r="B3999" i="6"/>
  <c r="A3999" i="6"/>
  <c r="E3998" i="6"/>
  <c r="D3998" i="6"/>
  <c r="C3998" i="6"/>
  <c r="B3998" i="6"/>
  <c r="A3998" i="6"/>
  <c r="E3997" i="6"/>
  <c r="D3997" i="6"/>
  <c r="C3997" i="6"/>
  <c r="B3997" i="6"/>
  <c r="A3997" i="6"/>
  <c r="E3996" i="6"/>
  <c r="D3996" i="6"/>
  <c r="C3996" i="6"/>
  <c r="B3996" i="6"/>
  <c r="A3996" i="6"/>
  <c r="E3995" i="6"/>
  <c r="D3995" i="6"/>
  <c r="C3995" i="6"/>
  <c r="B3995" i="6"/>
  <c r="A3995" i="6"/>
  <c r="E3994" i="6"/>
  <c r="D3994" i="6"/>
  <c r="C3994" i="6"/>
  <c r="B3994" i="6"/>
  <c r="A3994" i="6"/>
  <c r="E3993" i="6"/>
  <c r="D3993" i="6"/>
  <c r="C3993" i="6"/>
  <c r="B3993" i="6"/>
  <c r="A3993" i="6"/>
  <c r="E3992" i="6"/>
  <c r="D3992" i="6"/>
  <c r="C3992" i="6"/>
  <c r="B3992" i="6"/>
  <c r="A3992" i="6"/>
  <c r="E3991" i="6"/>
  <c r="D3991" i="6"/>
  <c r="C3991" i="6"/>
  <c r="B3991" i="6"/>
  <c r="A3991" i="6"/>
  <c r="E3990" i="6"/>
  <c r="D3990" i="6"/>
  <c r="C3990" i="6"/>
  <c r="B3990" i="6"/>
  <c r="A3990" i="6"/>
  <c r="E3989" i="6"/>
  <c r="D3989" i="6"/>
  <c r="C3989" i="6"/>
  <c r="B3989" i="6"/>
  <c r="A3989" i="6"/>
  <c r="E3988" i="6"/>
  <c r="D3988" i="6"/>
  <c r="C3988" i="6"/>
  <c r="B3988" i="6"/>
  <c r="A3988" i="6"/>
  <c r="E3987" i="6"/>
  <c r="D3987" i="6"/>
  <c r="C3987" i="6"/>
  <c r="B3987" i="6"/>
  <c r="A3987" i="6"/>
  <c r="E3986" i="6"/>
  <c r="D3986" i="6"/>
  <c r="C3986" i="6"/>
  <c r="B3986" i="6"/>
  <c r="A3986" i="6"/>
  <c r="E3985" i="6"/>
  <c r="D3985" i="6"/>
  <c r="C3985" i="6"/>
  <c r="B3985" i="6"/>
  <c r="A3985" i="6"/>
  <c r="E3984" i="6"/>
  <c r="D3984" i="6"/>
  <c r="C3984" i="6"/>
  <c r="B3984" i="6"/>
  <c r="A3984" i="6"/>
  <c r="E3983" i="6"/>
  <c r="D3983" i="6"/>
  <c r="C3983" i="6"/>
  <c r="B3983" i="6"/>
  <c r="A3983" i="6"/>
  <c r="E3982" i="6"/>
  <c r="D3982" i="6"/>
  <c r="C3982" i="6"/>
  <c r="B3982" i="6"/>
  <c r="A3982" i="6"/>
  <c r="E3981" i="6"/>
  <c r="D3981" i="6"/>
  <c r="C3981" i="6"/>
  <c r="B3981" i="6"/>
  <c r="A3981" i="6"/>
  <c r="E3980" i="6"/>
  <c r="D3980" i="6"/>
  <c r="C3980" i="6"/>
  <c r="B3980" i="6"/>
  <c r="A3980" i="6"/>
  <c r="E3979" i="6"/>
  <c r="D3979" i="6"/>
  <c r="C3979" i="6"/>
  <c r="B3979" i="6"/>
  <c r="A3979" i="6"/>
  <c r="E3978" i="6"/>
  <c r="D3978" i="6"/>
  <c r="C3978" i="6"/>
  <c r="B3978" i="6"/>
  <c r="A3978" i="6"/>
  <c r="E3977" i="6"/>
  <c r="D3977" i="6"/>
  <c r="C3977" i="6"/>
  <c r="B3977" i="6"/>
  <c r="A3977" i="6"/>
  <c r="E3976" i="6"/>
  <c r="D3976" i="6"/>
  <c r="C3976" i="6"/>
  <c r="B3976" i="6"/>
  <c r="A3976" i="6"/>
  <c r="E3975" i="6"/>
  <c r="D3975" i="6"/>
  <c r="C3975" i="6"/>
  <c r="B3975" i="6"/>
  <c r="A3975" i="6"/>
  <c r="E3974" i="6"/>
  <c r="D3974" i="6"/>
  <c r="C3974" i="6"/>
  <c r="B3974" i="6"/>
  <c r="A3974" i="6"/>
  <c r="E3973" i="6"/>
  <c r="D3973" i="6"/>
  <c r="C3973" i="6"/>
  <c r="B3973" i="6"/>
  <c r="A3973" i="6"/>
  <c r="E3972" i="6"/>
  <c r="D3972" i="6"/>
  <c r="C3972" i="6"/>
  <c r="B3972" i="6"/>
  <c r="A3972" i="6"/>
  <c r="E3971" i="6"/>
  <c r="D3971" i="6"/>
  <c r="C3971" i="6"/>
  <c r="B3971" i="6"/>
  <c r="A3971" i="6"/>
  <c r="E3970" i="6"/>
  <c r="D3970" i="6"/>
  <c r="C3970" i="6"/>
  <c r="B3970" i="6"/>
  <c r="A3970" i="6"/>
  <c r="E3969" i="6"/>
  <c r="D3969" i="6"/>
  <c r="C3969" i="6"/>
  <c r="B3969" i="6"/>
  <c r="A3969" i="6"/>
  <c r="E3968" i="6"/>
  <c r="D3968" i="6"/>
  <c r="C3968" i="6"/>
  <c r="B3968" i="6"/>
  <c r="A3968" i="6"/>
  <c r="E3967" i="6"/>
  <c r="D3967" i="6"/>
  <c r="C3967" i="6"/>
  <c r="B3967" i="6"/>
  <c r="A3967" i="6"/>
  <c r="E3966" i="6"/>
  <c r="D3966" i="6"/>
  <c r="C3966" i="6"/>
  <c r="B3966" i="6"/>
  <c r="A3966" i="6"/>
  <c r="E3965" i="6"/>
  <c r="D3965" i="6"/>
  <c r="C3965" i="6"/>
  <c r="B3965" i="6"/>
  <c r="A3965" i="6"/>
  <c r="E3964" i="6"/>
  <c r="D3964" i="6"/>
  <c r="C3964" i="6"/>
  <c r="B3964" i="6"/>
  <c r="A3964" i="6"/>
  <c r="E3963" i="6"/>
  <c r="D3963" i="6"/>
  <c r="C3963" i="6"/>
  <c r="B3963" i="6"/>
  <c r="A3963" i="6"/>
  <c r="E3962" i="6"/>
  <c r="D3962" i="6"/>
  <c r="C3962" i="6"/>
  <c r="B3962" i="6"/>
  <c r="A3962" i="6"/>
  <c r="E3961" i="6"/>
  <c r="D3961" i="6"/>
  <c r="C3961" i="6"/>
  <c r="B3961" i="6"/>
  <c r="A3961" i="6"/>
  <c r="E3960" i="6"/>
  <c r="D3960" i="6"/>
  <c r="C3960" i="6"/>
  <c r="B3960" i="6"/>
  <c r="A3960" i="6"/>
  <c r="E3959" i="6"/>
  <c r="D3959" i="6"/>
  <c r="C3959" i="6"/>
  <c r="B3959" i="6"/>
  <c r="A3959" i="6"/>
  <c r="E3958" i="6"/>
  <c r="D3958" i="6"/>
  <c r="C3958" i="6"/>
  <c r="B3958" i="6"/>
  <c r="A3958" i="6"/>
  <c r="E3957" i="6"/>
  <c r="D3957" i="6"/>
  <c r="C3957" i="6"/>
  <c r="B3957" i="6"/>
  <c r="A3957" i="6"/>
  <c r="E3956" i="6"/>
  <c r="D3956" i="6"/>
  <c r="C3956" i="6"/>
  <c r="B3956" i="6"/>
  <c r="A3956" i="6"/>
  <c r="E3955" i="6"/>
  <c r="D3955" i="6"/>
  <c r="C3955" i="6"/>
  <c r="B3955" i="6"/>
  <c r="A3955" i="6"/>
  <c r="E3954" i="6"/>
  <c r="D3954" i="6"/>
  <c r="C3954" i="6"/>
  <c r="B3954" i="6"/>
  <c r="A3954" i="6"/>
  <c r="E3953" i="6"/>
  <c r="D3953" i="6"/>
  <c r="C3953" i="6"/>
  <c r="B3953" i="6"/>
  <c r="A3953" i="6"/>
  <c r="E3952" i="6"/>
  <c r="D3952" i="6"/>
  <c r="C3952" i="6"/>
  <c r="B3952" i="6"/>
  <c r="A3952" i="6"/>
  <c r="E3951" i="6"/>
  <c r="D3951" i="6"/>
  <c r="C3951" i="6"/>
  <c r="B3951" i="6"/>
  <c r="A3951" i="6"/>
  <c r="E3950" i="6"/>
  <c r="D3950" i="6"/>
  <c r="C3950" i="6"/>
  <c r="B3950" i="6"/>
  <c r="A3950" i="6"/>
  <c r="E3949" i="6"/>
  <c r="D3949" i="6"/>
  <c r="C3949" i="6"/>
  <c r="B3949" i="6"/>
  <c r="A3949" i="6"/>
  <c r="E3948" i="6"/>
  <c r="D3948" i="6"/>
  <c r="C3948" i="6"/>
  <c r="B3948" i="6"/>
  <c r="A3948" i="6"/>
  <c r="E3947" i="6"/>
  <c r="D3947" i="6"/>
  <c r="C3947" i="6"/>
  <c r="B3947" i="6"/>
  <c r="A3947" i="6"/>
  <c r="E3946" i="6"/>
  <c r="D3946" i="6"/>
  <c r="C3946" i="6"/>
  <c r="B3946" i="6"/>
  <c r="A3946" i="6"/>
  <c r="E3945" i="6"/>
  <c r="D3945" i="6"/>
  <c r="C3945" i="6"/>
  <c r="B3945" i="6"/>
  <c r="A3945" i="6"/>
  <c r="E3944" i="6"/>
  <c r="D3944" i="6"/>
  <c r="C3944" i="6"/>
  <c r="B3944" i="6"/>
  <c r="A3944" i="6"/>
  <c r="E3943" i="6"/>
  <c r="D3943" i="6"/>
  <c r="C3943" i="6"/>
  <c r="B3943" i="6"/>
  <c r="A3943" i="6"/>
  <c r="E3942" i="6"/>
  <c r="D3942" i="6"/>
  <c r="C3942" i="6"/>
  <c r="B3942" i="6"/>
  <c r="A3942" i="6"/>
  <c r="E3941" i="6"/>
  <c r="D3941" i="6"/>
  <c r="C3941" i="6"/>
  <c r="B3941" i="6"/>
  <c r="A3941" i="6"/>
  <c r="E3940" i="6"/>
  <c r="D3940" i="6"/>
  <c r="C3940" i="6"/>
  <c r="B3940" i="6"/>
  <c r="A3940" i="6"/>
  <c r="E3939" i="6"/>
  <c r="D3939" i="6"/>
  <c r="C3939" i="6"/>
  <c r="B3939" i="6"/>
  <c r="A3939" i="6"/>
  <c r="E3938" i="6"/>
  <c r="D3938" i="6"/>
  <c r="C3938" i="6"/>
  <c r="B3938" i="6"/>
  <c r="A3938" i="6"/>
  <c r="E3937" i="6"/>
  <c r="D3937" i="6"/>
  <c r="C3937" i="6"/>
  <c r="B3937" i="6"/>
  <c r="A3937" i="6"/>
  <c r="E3936" i="6"/>
  <c r="D3936" i="6"/>
  <c r="C3936" i="6"/>
  <c r="B3936" i="6"/>
  <c r="A3936" i="6"/>
  <c r="E3935" i="6"/>
  <c r="D3935" i="6"/>
  <c r="C3935" i="6"/>
  <c r="B3935" i="6"/>
  <c r="A3935" i="6"/>
  <c r="E3934" i="6"/>
  <c r="D3934" i="6"/>
  <c r="C3934" i="6"/>
  <c r="B3934" i="6"/>
  <c r="A3934" i="6"/>
  <c r="E3933" i="6"/>
  <c r="D3933" i="6"/>
  <c r="C3933" i="6"/>
  <c r="B3933" i="6"/>
  <c r="A3933" i="6"/>
  <c r="E3932" i="6"/>
  <c r="D3932" i="6"/>
  <c r="C3932" i="6"/>
  <c r="B3932" i="6"/>
  <c r="A3932" i="6"/>
  <c r="E3931" i="6"/>
  <c r="D3931" i="6"/>
  <c r="C3931" i="6"/>
  <c r="B3931" i="6"/>
  <c r="A3931" i="6"/>
  <c r="E3930" i="6"/>
  <c r="D3930" i="6"/>
  <c r="C3930" i="6"/>
  <c r="B3930" i="6"/>
  <c r="A3930" i="6"/>
  <c r="E3929" i="6"/>
  <c r="D3929" i="6"/>
  <c r="C3929" i="6"/>
  <c r="B3929" i="6"/>
  <c r="A3929" i="6"/>
  <c r="E3928" i="6"/>
  <c r="D3928" i="6"/>
  <c r="C3928" i="6"/>
  <c r="B3928" i="6"/>
  <c r="A3928" i="6"/>
  <c r="E3927" i="6"/>
  <c r="D3927" i="6"/>
  <c r="C3927" i="6"/>
  <c r="B3927" i="6"/>
  <c r="A3927" i="6"/>
  <c r="E3926" i="6"/>
  <c r="D3926" i="6"/>
  <c r="C3926" i="6"/>
  <c r="B3926" i="6"/>
  <c r="A3926" i="6"/>
  <c r="E3925" i="6"/>
  <c r="D3925" i="6"/>
  <c r="C3925" i="6"/>
  <c r="B3925" i="6"/>
  <c r="A3925" i="6"/>
  <c r="E3924" i="6"/>
  <c r="D3924" i="6"/>
  <c r="C3924" i="6"/>
  <c r="B3924" i="6"/>
  <c r="A3924" i="6"/>
  <c r="E3923" i="6"/>
  <c r="D3923" i="6"/>
  <c r="C3923" i="6"/>
  <c r="B3923" i="6"/>
  <c r="A3923" i="6"/>
  <c r="E3922" i="6"/>
  <c r="D3922" i="6"/>
  <c r="C3922" i="6"/>
  <c r="B3922" i="6"/>
  <c r="A3922" i="6"/>
  <c r="E3921" i="6"/>
  <c r="D3921" i="6"/>
  <c r="C3921" i="6"/>
  <c r="B3921" i="6"/>
  <c r="A3921" i="6"/>
  <c r="E3920" i="6"/>
  <c r="D3920" i="6"/>
  <c r="C3920" i="6"/>
  <c r="B3920" i="6"/>
  <c r="A3920" i="6"/>
  <c r="E3919" i="6"/>
  <c r="D3919" i="6"/>
  <c r="C3919" i="6"/>
  <c r="B3919" i="6"/>
  <c r="A3919" i="6"/>
  <c r="E3918" i="6"/>
  <c r="D3918" i="6"/>
  <c r="C3918" i="6"/>
  <c r="B3918" i="6"/>
  <c r="A3918" i="6"/>
  <c r="E3917" i="6"/>
  <c r="D3917" i="6"/>
  <c r="C3917" i="6"/>
  <c r="B3917" i="6"/>
  <c r="A3917" i="6"/>
  <c r="E3916" i="6"/>
  <c r="D3916" i="6"/>
  <c r="C3916" i="6"/>
  <c r="B3916" i="6"/>
  <c r="A3916" i="6"/>
  <c r="E3915" i="6"/>
  <c r="D3915" i="6"/>
  <c r="C3915" i="6"/>
  <c r="B3915" i="6"/>
  <c r="A3915" i="6"/>
  <c r="E3914" i="6"/>
  <c r="D3914" i="6"/>
  <c r="C3914" i="6"/>
  <c r="B3914" i="6"/>
  <c r="A3914" i="6"/>
  <c r="E3913" i="6"/>
  <c r="D3913" i="6"/>
  <c r="C3913" i="6"/>
  <c r="B3913" i="6"/>
  <c r="A3913" i="6"/>
  <c r="E3912" i="6"/>
  <c r="D3912" i="6"/>
  <c r="C3912" i="6"/>
  <c r="B3912" i="6"/>
  <c r="A3912" i="6"/>
  <c r="E3911" i="6"/>
  <c r="D3911" i="6"/>
  <c r="C3911" i="6"/>
  <c r="B3911" i="6"/>
  <c r="A3911" i="6"/>
  <c r="E3910" i="6"/>
  <c r="D3910" i="6"/>
  <c r="C3910" i="6"/>
  <c r="B3910" i="6"/>
  <c r="A3910" i="6"/>
  <c r="E3909" i="6"/>
  <c r="D3909" i="6"/>
  <c r="C3909" i="6"/>
  <c r="B3909" i="6"/>
  <c r="A3909" i="6"/>
  <c r="E3908" i="6"/>
  <c r="D3908" i="6"/>
  <c r="C3908" i="6"/>
  <c r="B3908" i="6"/>
  <c r="A3908" i="6"/>
  <c r="E3907" i="6"/>
  <c r="D3907" i="6"/>
  <c r="C3907" i="6"/>
  <c r="B3907" i="6"/>
  <c r="A3907" i="6"/>
  <c r="E3906" i="6"/>
  <c r="D3906" i="6"/>
  <c r="C3906" i="6"/>
  <c r="B3906" i="6"/>
  <c r="A3906" i="6"/>
  <c r="E3905" i="6"/>
  <c r="D3905" i="6"/>
  <c r="C3905" i="6"/>
  <c r="B3905" i="6"/>
  <c r="A3905" i="6"/>
  <c r="E3904" i="6"/>
  <c r="D3904" i="6"/>
  <c r="C3904" i="6"/>
  <c r="B3904" i="6"/>
  <c r="A3904" i="6"/>
  <c r="E3903" i="6"/>
  <c r="D3903" i="6"/>
  <c r="C3903" i="6"/>
  <c r="B3903" i="6"/>
  <c r="A3903" i="6"/>
  <c r="E3902" i="6"/>
  <c r="D3902" i="6"/>
  <c r="C3902" i="6"/>
  <c r="B3902" i="6"/>
  <c r="A3902" i="6"/>
  <c r="E3901" i="6"/>
  <c r="D3901" i="6"/>
  <c r="C3901" i="6"/>
  <c r="B3901" i="6"/>
  <c r="A3901" i="6"/>
  <c r="E3900" i="6"/>
  <c r="D3900" i="6"/>
  <c r="C3900" i="6"/>
  <c r="B3900" i="6"/>
  <c r="A3900" i="6"/>
  <c r="E3899" i="6"/>
  <c r="D3899" i="6"/>
  <c r="C3899" i="6"/>
  <c r="B3899" i="6"/>
  <c r="A3899" i="6"/>
  <c r="E3898" i="6"/>
  <c r="D3898" i="6"/>
  <c r="C3898" i="6"/>
  <c r="B3898" i="6"/>
  <c r="A3898" i="6"/>
  <c r="E3897" i="6"/>
  <c r="D3897" i="6"/>
  <c r="C3897" i="6"/>
  <c r="B3897" i="6"/>
  <c r="A3897" i="6"/>
  <c r="E3896" i="6"/>
  <c r="D3896" i="6"/>
  <c r="C3896" i="6"/>
  <c r="B3896" i="6"/>
  <c r="A3896" i="6"/>
  <c r="E3895" i="6"/>
  <c r="D3895" i="6"/>
  <c r="C3895" i="6"/>
  <c r="B3895" i="6"/>
  <c r="A3895" i="6"/>
  <c r="E3894" i="6"/>
  <c r="D3894" i="6"/>
  <c r="C3894" i="6"/>
  <c r="B3894" i="6"/>
  <c r="A3894" i="6"/>
  <c r="E3893" i="6"/>
  <c r="D3893" i="6"/>
  <c r="C3893" i="6"/>
  <c r="B3893" i="6"/>
  <c r="A3893" i="6"/>
  <c r="E3892" i="6"/>
  <c r="D3892" i="6"/>
  <c r="C3892" i="6"/>
  <c r="B3892" i="6"/>
  <c r="A3892" i="6"/>
  <c r="E3891" i="6"/>
  <c r="D3891" i="6"/>
  <c r="C3891" i="6"/>
  <c r="B3891" i="6"/>
  <c r="A3891" i="6"/>
  <c r="E3890" i="6"/>
  <c r="D3890" i="6"/>
  <c r="C3890" i="6"/>
  <c r="B3890" i="6"/>
  <c r="A3890" i="6"/>
  <c r="E3889" i="6"/>
  <c r="D3889" i="6"/>
  <c r="C3889" i="6"/>
  <c r="B3889" i="6"/>
  <c r="A3889" i="6"/>
  <c r="E3888" i="6"/>
  <c r="D3888" i="6"/>
  <c r="C3888" i="6"/>
  <c r="B3888" i="6"/>
  <c r="A3888" i="6"/>
  <c r="E3887" i="6"/>
  <c r="D3887" i="6"/>
  <c r="C3887" i="6"/>
  <c r="B3887" i="6"/>
  <c r="A3887" i="6"/>
  <c r="E3886" i="6"/>
  <c r="D3886" i="6"/>
  <c r="C3886" i="6"/>
  <c r="B3886" i="6"/>
  <c r="A3886" i="6"/>
  <c r="E3885" i="6"/>
  <c r="D3885" i="6"/>
  <c r="C3885" i="6"/>
  <c r="B3885" i="6"/>
  <c r="A3885" i="6"/>
  <c r="E3884" i="6"/>
  <c r="D3884" i="6"/>
  <c r="C3884" i="6"/>
  <c r="B3884" i="6"/>
  <c r="A3884" i="6"/>
  <c r="E3883" i="6"/>
  <c r="D3883" i="6"/>
  <c r="C3883" i="6"/>
  <c r="B3883" i="6"/>
  <c r="A3883" i="6"/>
  <c r="E3882" i="6"/>
  <c r="D3882" i="6"/>
  <c r="C3882" i="6"/>
  <c r="B3882" i="6"/>
  <c r="A3882" i="6"/>
  <c r="E3881" i="6"/>
  <c r="D3881" i="6"/>
  <c r="C3881" i="6"/>
  <c r="B3881" i="6"/>
  <c r="A3881" i="6"/>
  <c r="E3880" i="6"/>
  <c r="D3880" i="6"/>
  <c r="C3880" i="6"/>
  <c r="B3880" i="6"/>
  <c r="A3880" i="6"/>
  <c r="E3879" i="6"/>
  <c r="D3879" i="6"/>
  <c r="C3879" i="6"/>
  <c r="B3879" i="6"/>
  <c r="A3879" i="6"/>
  <c r="E3878" i="6"/>
  <c r="D3878" i="6"/>
  <c r="C3878" i="6"/>
  <c r="B3878" i="6"/>
  <c r="A3878" i="6"/>
  <c r="E3877" i="6"/>
  <c r="D3877" i="6"/>
  <c r="C3877" i="6"/>
  <c r="B3877" i="6"/>
  <c r="A3877" i="6"/>
  <c r="E3876" i="6"/>
  <c r="D3876" i="6"/>
  <c r="C3876" i="6"/>
  <c r="B3876" i="6"/>
  <c r="A3876" i="6"/>
  <c r="E3875" i="6"/>
  <c r="D3875" i="6"/>
  <c r="C3875" i="6"/>
  <c r="B3875" i="6"/>
  <c r="A3875" i="6"/>
  <c r="E3874" i="6"/>
  <c r="D3874" i="6"/>
  <c r="C3874" i="6"/>
  <c r="B3874" i="6"/>
  <c r="A3874" i="6"/>
  <c r="E3873" i="6"/>
  <c r="D3873" i="6"/>
  <c r="C3873" i="6"/>
  <c r="B3873" i="6"/>
  <c r="A3873" i="6"/>
  <c r="E3872" i="6"/>
  <c r="D3872" i="6"/>
  <c r="C3872" i="6"/>
  <c r="B3872" i="6"/>
  <c r="A3872" i="6"/>
  <c r="E3871" i="6"/>
  <c r="D3871" i="6"/>
  <c r="C3871" i="6"/>
  <c r="B3871" i="6"/>
  <c r="A3871" i="6"/>
  <c r="E3870" i="6"/>
  <c r="D3870" i="6"/>
  <c r="C3870" i="6"/>
  <c r="B3870" i="6"/>
  <c r="A3870" i="6"/>
  <c r="E3869" i="6"/>
  <c r="D3869" i="6"/>
  <c r="C3869" i="6"/>
  <c r="B3869" i="6"/>
  <c r="A3869" i="6"/>
  <c r="E3868" i="6"/>
  <c r="D3868" i="6"/>
  <c r="C3868" i="6"/>
  <c r="B3868" i="6"/>
  <c r="A3868" i="6"/>
  <c r="E3867" i="6"/>
  <c r="D3867" i="6"/>
  <c r="C3867" i="6"/>
  <c r="B3867" i="6"/>
  <c r="A3867" i="6"/>
  <c r="E3866" i="6"/>
  <c r="D3866" i="6"/>
  <c r="C3866" i="6"/>
  <c r="B3866" i="6"/>
  <c r="A3866" i="6"/>
  <c r="E3865" i="6"/>
  <c r="D3865" i="6"/>
  <c r="C3865" i="6"/>
  <c r="B3865" i="6"/>
  <c r="A3865" i="6"/>
  <c r="E3864" i="6"/>
  <c r="D3864" i="6"/>
  <c r="C3864" i="6"/>
  <c r="B3864" i="6"/>
  <c r="A3864" i="6"/>
  <c r="E3863" i="6"/>
  <c r="D3863" i="6"/>
  <c r="C3863" i="6"/>
  <c r="B3863" i="6"/>
  <c r="A3863" i="6"/>
  <c r="E3862" i="6"/>
  <c r="D3862" i="6"/>
  <c r="C3862" i="6"/>
  <c r="B3862" i="6"/>
  <c r="A3862" i="6"/>
  <c r="E3861" i="6"/>
  <c r="D3861" i="6"/>
  <c r="C3861" i="6"/>
  <c r="B3861" i="6"/>
  <c r="A3861" i="6"/>
  <c r="E3860" i="6"/>
  <c r="D3860" i="6"/>
  <c r="C3860" i="6"/>
  <c r="B3860" i="6"/>
  <c r="A3860" i="6"/>
  <c r="E3859" i="6"/>
  <c r="D3859" i="6"/>
  <c r="C3859" i="6"/>
  <c r="B3859" i="6"/>
  <c r="A3859" i="6"/>
  <c r="E3858" i="6"/>
  <c r="D3858" i="6"/>
  <c r="C3858" i="6"/>
  <c r="B3858" i="6"/>
  <c r="A3858" i="6"/>
  <c r="E3857" i="6"/>
  <c r="D3857" i="6"/>
  <c r="C3857" i="6"/>
  <c r="B3857" i="6"/>
  <c r="A3857" i="6"/>
  <c r="E3856" i="6"/>
  <c r="D3856" i="6"/>
  <c r="C3856" i="6"/>
  <c r="B3856" i="6"/>
  <c r="A3856" i="6"/>
  <c r="E3855" i="6"/>
  <c r="D3855" i="6"/>
  <c r="C3855" i="6"/>
  <c r="B3855" i="6"/>
  <c r="A3855" i="6"/>
  <c r="E3854" i="6"/>
  <c r="D3854" i="6"/>
  <c r="C3854" i="6"/>
  <c r="B3854" i="6"/>
  <c r="A3854" i="6"/>
  <c r="E3853" i="6"/>
  <c r="D3853" i="6"/>
  <c r="C3853" i="6"/>
  <c r="B3853" i="6"/>
  <c r="A3853" i="6"/>
  <c r="E3852" i="6"/>
  <c r="D3852" i="6"/>
  <c r="C3852" i="6"/>
  <c r="B3852" i="6"/>
  <c r="A3852" i="6"/>
  <c r="E3851" i="6"/>
  <c r="D3851" i="6"/>
  <c r="C3851" i="6"/>
  <c r="B3851" i="6"/>
  <c r="A3851" i="6"/>
  <c r="E3850" i="6"/>
  <c r="D3850" i="6"/>
  <c r="C3850" i="6"/>
  <c r="B3850" i="6"/>
  <c r="A3850" i="6"/>
  <c r="E3849" i="6"/>
  <c r="D3849" i="6"/>
  <c r="C3849" i="6"/>
  <c r="B3849" i="6"/>
  <c r="A3849" i="6"/>
  <c r="E3848" i="6"/>
  <c r="D3848" i="6"/>
  <c r="C3848" i="6"/>
  <c r="B3848" i="6"/>
  <c r="A3848" i="6"/>
  <c r="E3847" i="6"/>
  <c r="D3847" i="6"/>
  <c r="C3847" i="6"/>
  <c r="B3847" i="6"/>
  <c r="A3847" i="6"/>
  <c r="E3846" i="6"/>
  <c r="D3846" i="6"/>
  <c r="C3846" i="6"/>
  <c r="B3846" i="6"/>
  <c r="A3846" i="6"/>
  <c r="E3845" i="6"/>
  <c r="D3845" i="6"/>
  <c r="C3845" i="6"/>
  <c r="B3845" i="6"/>
  <c r="A3845" i="6"/>
  <c r="E3844" i="6"/>
  <c r="D3844" i="6"/>
  <c r="C3844" i="6"/>
  <c r="B3844" i="6"/>
  <c r="A3844" i="6"/>
  <c r="E3843" i="6"/>
  <c r="D3843" i="6"/>
  <c r="C3843" i="6"/>
  <c r="B3843" i="6"/>
  <c r="A3843" i="6"/>
  <c r="E3842" i="6"/>
  <c r="D3842" i="6"/>
  <c r="C3842" i="6"/>
  <c r="B3842" i="6"/>
  <c r="A3842" i="6"/>
  <c r="E3841" i="6"/>
  <c r="D3841" i="6"/>
  <c r="C3841" i="6"/>
  <c r="B3841" i="6"/>
  <c r="A3841" i="6"/>
  <c r="E3840" i="6"/>
  <c r="D3840" i="6"/>
  <c r="C3840" i="6"/>
  <c r="B3840" i="6"/>
  <c r="A3840" i="6"/>
  <c r="E3839" i="6"/>
  <c r="D3839" i="6"/>
  <c r="C3839" i="6"/>
  <c r="B3839" i="6"/>
  <c r="A3839" i="6"/>
  <c r="E3838" i="6"/>
  <c r="D3838" i="6"/>
  <c r="C3838" i="6"/>
  <c r="B3838" i="6"/>
  <c r="A3838" i="6"/>
  <c r="E3837" i="6"/>
  <c r="D3837" i="6"/>
  <c r="C3837" i="6"/>
  <c r="B3837" i="6"/>
  <c r="A3837" i="6"/>
  <c r="E3836" i="6"/>
  <c r="D3836" i="6"/>
  <c r="C3836" i="6"/>
  <c r="B3836" i="6"/>
  <c r="A3836" i="6"/>
  <c r="E3835" i="6"/>
  <c r="D3835" i="6"/>
  <c r="C3835" i="6"/>
  <c r="B3835" i="6"/>
  <c r="A3835" i="6"/>
  <c r="E3834" i="6"/>
  <c r="D3834" i="6"/>
  <c r="C3834" i="6"/>
  <c r="B3834" i="6"/>
  <c r="A3834" i="6"/>
  <c r="E3833" i="6"/>
  <c r="D3833" i="6"/>
  <c r="C3833" i="6"/>
  <c r="B3833" i="6"/>
  <c r="A3833" i="6"/>
  <c r="E3832" i="6"/>
  <c r="D3832" i="6"/>
  <c r="C3832" i="6"/>
  <c r="B3832" i="6"/>
  <c r="A3832" i="6"/>
  <c r="E3831" i="6"/>
  <c r="D3831" i="6"/>
  <c r="C3831" i="6"/>
  <c r="B3831" i="6"/>
  <c r="A3831" i="6"/>
  <c r="E3830" i="6"/>
  <c r="D3830" i="6"/>
  <c r="C3830" i="6"/>
  <c r="B3830" i="6"/>
  <c r="A3830" i="6"/>
  <c r="E3829" i="6"/>
  <c r="D3829" i="6"/>
  <c r="C3829" i="6"/>
  <c r="B3829" i="6"/>
  <c r="A3829" i="6"/>
  <c r="E3828" i="6"/>
  <c r="D3828" i="6"/>
  <c r="C3828" i="6"/>
  <c r="B3828" i="6"/>
  <c r="A3828" i="6"/>
  <c r="E3827" i="6"/>
  <c r="D3827" i="6"/>
  <c r="C3827" i="6"/>
  <c r="B3827" i="6"/>
  <c r="A3827" i="6"/>
  <c r="E3826" i="6"/>
  <c r="D3826" i="6"/>
  <c r="C3826" i="6"/>
  <c r="B3826" i="6"/>
  <c r="A3826" i="6"/>
  <c r="E3825" i="6"/>
  <c r="D3825" i="6"/>
  <c r="C3825" i="6"/>
  <c r="B3825" i="6"/>
  <c r="A3825" i="6"/>
  <c r="E3824" i="6"/>
  <c r="D3824" i="6"/>
  <c r="C3824" i="6"/>
  <c r="B3824" i="6"/>
  <c r="A3824" i="6"/>
  <c r="E3823" i="6"/>
  <c r="D3823" i="6"/>
  <c r="C3823" i="6"/>
  <c r="B3823" i="6"/>
  <c r="A3823" i="6"/>
  <c r="E3822" i="6"/>
  <c r="D3822" i="6"/>
  <c r="C3822" i="6"/>
  <c r="B3822" i="6"/>
  <c r="A3822" i="6"/>
  <c r="E3821" i="6"/>
  <c r="D3821" i="6"/>
  <c r="C3821" i="6"/>
  <c r="B3821" i="6"/>
  <c r="A3821" i="6"/>
  <c r="E3820" i="6"/>
  <c r="D3820" i="6"/>
  <c r="C3820" i="6"/>
  <c r="B3820" i="6"/>
  <c r="A3820" i="6"/>
  <c r="E3819" i="6"/>
  <c r="D3819" i="6"/>
  <c r="C3819" i="6"/>
  <c r="B3819" i="6"/>
  <c r="A3819" i="6"/>
  <c r="E3818" i="6"/>
  <c r="D3818" i="6"/>
  <c r="C3818" i="6"/>
  <c r="B3818" i="6"/>
  <c r="A3818" i="6"/>
  <c r="E3817" i="6"/>
  <c r="D3817" i="6"/>
  <c r="C3817" i="6"/>
  <c r="B3817" i="6"/>
  <c r="A3817" i="6"/>
  <c r="E3816" i="6"/>
  <c r="D3816" i="6"/>
  <c r="C3816" i="6"/>
  <c r="B3816" i="6"/>
  <c r="A3816" i="6"/>
  <c r="E3815" i="6"/>
  <c r="D3815" i="6"/>
  <c r="C3815" i="6"/>
  <c r="B3815" i="6"/>
  <c r="A3815" i="6"/>
  <c r="E3814" i="6"/>
  <c r="D3814" i="6"/>
  <c r="C3814" i="6"/>
  <c r="B3814" i="6"/>
  <c r="A3814" i="6"/>
  <c r="E3813" i="6"/>
  <c r="D3813" i="6"/>
  <c r="C3813" i="6"/>
  <c r="B3813" i="6"/>
  <c r="A3813" i="6"/>
  <c r="E3812" i="6"/>
  <c r="D3812" i="6"/>
  <c r="C3812" i="6"/>
  <c r="B3812" i="6"/>
  <c r="A3812" i="6"/>
  <c r="E3811" i="6"/>
  <c r="D3811" i="6"/>
  <c r="C3811" i="6"/>
  <c r="B3811" i="6"/>
  <c r="A3811" i="6"/>
  <c r="E3810" i="6"/>
  <c r="D3810" i="6"/>
  <c r="C3810" i="6"/>
  <c r="B3810" i="6"/>
  <c r="A3810" i="6"/>
  <c r="E3809" i="6"/>
  <c r="D3809" i="6"/>
  <c r="C3809" i="6"/>
  <c r="B3809" i="6"/>
  <c r="A3809" i="6"/>
  <c r="E3808" i="6"/>
  <c r="D3808" i="6"/>
  <c r="C3808" i="6"/>
  <c r="B3808" i="6"/>
  <c r="A3808" i="6"/>
  <c r="E3807" i="6"/>
  <c r="D3807" i="6"/>
  <c r="C3807" i="6"/>
  <c r="B3807" i="6"/>
  <c r="A3807" i="6"/>
  <c r="E3806" i="6"/>
  <c r="D3806" i="6"/>
  <c r="C3806" i="6"/>
  <c r="B3806" i="6"/>
  <c r="A3806" i="6"/>
  <c r="E3805" i="6"/>
  <c r="D3805" i="6"/>
  <c r="C3805" i="6"/>
  <c r="B3805" i="6"/>
  <c r="A3805" i="6"/>
  <c r="E3804" i="6"/>
  <c r="D3804" i="6"/>
  <c r="C3804" i="6"/>
  <c r="B3804" i="6"/>
  <c r="A3804" i="6"/>
  <c r="E3803" i="6"/>
  <c r="D3803" i="6"/>
  <c r="C3803" i="6"/>
  <c r="B3803" i="6"/>
  <c r="A3803" i="6"/>
  <c r="E3802" i="6"/>
  <c r="D3802" i="6"/>
  <c r="C3802" i="6"/>
  <c r="B3802" i="6"/>
  <c r="A3802" i="6"/>
  <c r="E3801" i="6"/>
  <c r="D3801" i="6"/>
  <c r="C3801" i="6"/>
  <c r="B3801" i="6"/>
  <c r="A3801" i="6"/>
  <c r="E3800" i="6"/>
  <c r="D3800" i="6"/>
  <c r="C3800" i="6"/>
  <c r="B3800" i="6"/>
  <c r="A3800" i="6"/>
  <c r="E3799" i="6"/>
  <c r="D3799" i="6"/>
  <c r="C3799" i="6"/>
  <c r="B3799" i="6"/>
  <c r="A3799" i="6"/>
  <c r="E3798" i="6"/>
  <c r="D3798" i="6"/>
  <c r="C3798" i="6"/>
  <c r="B3798" i="6"/>
  <c r="A3798" i="6"/>
  <c r="E3797" i="6"/>
  <c r="D3797" i="6"/>
  <c r="C3797" i="6"/>
  <c r="B3797" i="6"/>
  <c r="A3797" i="6"/>
  <c r="E3796" i="6"/>
  <c r="D3796" i="6"/>
  <c r="C3796" i="6"/>
  <c r="B3796" i="6"/>
  <c r="A3796" i="6"/>
  <c r="E3795" i="6"/>
  <c r="D3795" i="6"/>
  <c r="C3795" i="6"/>
  <c r="B3795" i="6"/>
  <c r="A3795" i="6"/>
  <c r="E3794" i="6"/>
  <c r="D3794" i="6"/>
  <c r="C3794" i="6"/>
  <c r="B3794" i="6"/>
  <c r="A3794" i="6"/>
  <c r="E3793" i="6"/>
  <c r="D3793" i="6"/>
  <c r="C3793" i="6"/>
  <c r="B3793" i="6"/>
  <c r="A3793" i="6"/>
  <c r="E3792" i="6"/>
  <c r="D3792" i="6"/>
  <c r="C3792" i="6"/>
  <c r="B3792" i="6"/>
  <c r="A3792" i="6"/>
  <c r="E3791" i="6"/>
  <c r="D3791" i="6"/>
  <c r="C3791" i="6"/>
  <c r="B3791" i="6"/>
  <c r="A3791" i="6"/>
  <c r="E3790" i="6"/>
  <c r="D3790" i="6"/>
  <c r="C3790" i="6"/>
  <c r="B3790" i="6"/>
  <c r="A3790" i="6"/>
  <c r="E3789" i="6"/>
  <c r="D3789" i="6"/>
  <c r="C3789" i="6"/>
  <c r="B3789" i="6"/>
  <c r="A3789" i="6"/>
  <c r="E3788" i="6"/>
  <c r="D3788" i="6"/>
  <c r="C3788" i="6"/>
  <c r="B3788" i="6"/>
  <c r="A3788" i="6"/>
  <c r="E3787" i="6"/>
  <c r="D3787" i="6"/>
  <c r="C3787" i="6"/>
  <c r="B3787" i="6"/>
  <c r="A3787" i="6"/>
  <c r="E3786" i="6"/>
  <c r="D3786" i="6"/>
  <c r="C3786" i="6"/>
  <c r="B3786" i="6"/>
  <c r="A3786" i="6"/>
  <c r="E3785" i="6"/>
  <c r="D3785" i="6"/>
  <c r="C3785" i="6"/>
  <c r="B3785" i="6"/>
  <c r="A3785" i="6"/>
  <c r="E3784" i="6"/>
  <c r="D3784" i="6"/>
  <c r="C3784" i="6"/>
  <c r="B3784" i="6"/>
  <c r="A3784" i="6"/>
  <c r="E3783" i="6"/>
  <c r="D3783" i="6"/>
  <c r="C3783" i="6"/>
  <c r="B3783" i="6"/>
  <c r="A3783" i="6"/>
  <c r="E3782" i="6"/>
  <c r="D3782" i="6"/>
  <c r="C3782" i="6"/>
  <c r="B3782" i="6"/>
  <c r="A3782" i="6"/>
  <c r="E3781" i="6"/>
  <c r="D3781" i="6"/>
  <c r="C3781" i="6"/>
  <c r="B3781" i="6"/>
  <c r="A3781" i="6"/>
  <c r="E3780" i="6"/>
  <c r="D3780" i="6"/>
  <c r="C3780" i="6"/>
  <c r="B3780" i="6"/>
  <c r="A3780" i="6"/>
  <c r="E3779" i="6"/>
  <c r="D3779" i="6"/>
  <c r="C3779" i="6"/>
  <c r="B3779" i="6"/>
  <c r="A3779" i="6"/>
  <c r="E3778" i="6"/>
  <c r="D3778" i="6"/>
  <c r="C3778" i="6"/>
  <c r="B3778" i="6"/>
  <c r="A3778" i="6"/>
  <c r="E3777" i="6"/>
  <c r="D3777" i="6"/>
  <c r="C3777" i="6"/>
  <c r="B3777" i="6"/>
  <c r="A3777" i="6"/>
  <c r="E3776" i="6"/>
  <c r="D3776" i="6"/>
  <c r="C3776" i="6"/>
  <c r="B3776" i="6"/>
  <c r="A3776" i="6"/>
  <c r="E3775" i="6"/>
  <c r="D3775" i="6"/>
  <c r="C3775" i="6"/>
  <c r="B3775" i="6"/>
  <c r="A3775" i="6"/>
  <c r="E3774" i="6"/>
  <c r="D3774" i="6"/>
  <c r="C3774" i="6"/>
  <c r="B3774" i="6"/>
  <c r="A3774" i="6"/>
  <c r="E3773" i="6"/>
  <c r="D3773" i="6"/>
  <c r="C3773" i="6"/>
  <c r="B3773" i="6"/>
  <c r="A3773" i="6"/>
  <c r="E3772" i="6"/>
  <c r="D3772" i="6"/>
  <c r="C3772" i="6"/>
  <c r="B3772" i="6"/>
  <c r="A3772" i="6"/>
  <c r="E3771" i="6"/>
  <c r="D3771" i="6"/>
  <c r="C3771" i="6"/>
  <c r="B3771" i="6"/>
  <c r="A3771" i="6"/>
  <c r="E3770" i="6"/>
  <c r="D3770" i="6"/>
  <c r="C3770" i="6"/>
  <c r="B3770" i="6"/>
  <c r="A3770" i="6"/>
  <c r="E3769" i="6"/>
  <c r="D3769" i="6"/>
  <c r="C3769" i="6"/>
  <c r="B3769" i="6"/>
  <c r="A3769" i="6"/>
  <c r="E3768" i="6"/>
  <c r="D3768" i="6"/>
  <c r="C3768" i="6"/>
  <c r="B3768" i="6"/>
  <c r="A3768" i="6"/>
  <c r="E3767" i="6"/>
  <c r="D3767" i="6"/>
  <c r="C3767" i="6"/>
  <c r="B3767" i="6"/>
  <c r="A3767" i="6"/>
  <c r="E3766" i="6"/>
  <c r="D3766" i="6"/>
  <c r="C3766" i="6"/>
  <c r="B3766" i="6"/>
  <c r="A3766" i="6"/>
  <c r="E3765" i="6"/>
  <c r="D3765" i="6"/>
  <c r="C3765" i="6"/>
  <c r="B3765" i="6"/>
  <c r="A3765" i="6"/>
  <c r="E3764" i="6"/>
  <c r="D3764" i="6"/>
  <c r="C3764" i="6"/>
  <c r="B3764" i="6"/>
  <c r="A3764" i="6"/>
  <c r="E3763" i="6"/>
  <c r="D3763" i="6"/>
  <c r="C3763" i="6"/>
  <c r="B3763" i="6"/>
  <c r="A3763" i="6"/>
  <c r="E3762" i="6"/>
  <c r="D3762" i="6"/>
  <c r="C3762" i="6"/>
  <c r="B3762" i="6"/>
  <c r="A3762" i="6"/>
  <c r="E3761" i="6"/>
  <c r="D3761" i="6"/>
  <c r="C3761" i="6"/>
  <c r="B3761" i="6"/>
  <c r="A3761" i="6"/>
  <c r="E3760" i="6"/>
  <c r="D3760" i="6"/>
  <c r="C3760" i="6"/>
  <c r="B3760" i="6"/>
  <c r="A3760" i="6"/>
  <c r="E3759" i="6"/>
  <c r="D3759" i="6"/>
  <c r="C3759" i="6"/>
  <c r="B3759" i="6"/>
  <c r="A3759" i="6"/>
  <c r="E3758" i="6"/>
  <c r="D3758" i="6"/>
  <c r="C3758" i="6"/>
  <c r="B3758" i="6"/>
  <c r="A3758" i="6"/>
  <c r="E3757" i="6"/>
  <c r="D3757" i="6"/>
  <c r="C3757" i="6"/>
  <c r="B3757" i="6"/>
  <c r="A3757" i="6"/>
  <c r="E3756" i="6"/>
  <c r="D3756" i="6"/>
  <c r="C3756" i="6"/>
  <c r="B3756" i="6"/>
  <c r="A3756" i="6"/>
  <c r="E3755" i="6"/>
  <c r="D3755" i="6"/>
  <c r="C3755" i="6"/>
  <c r="B3755" i="6"/>
  <c r="A3755" i="6"/>
  <c r="E3754" i="6"/>
  <c r="D3754" i="6"/>
  <c r="C3754" i="6"/>
  <c r="B3754" i="6"/>
  <c r="A3754" i="6"/>
  <c r="E3753" i="6"/>
  <c r="D3753" i="6"/>
  <c r="C3753" i="6"/>
  <c r="B3753" i="6"/>
  <c r="A3753" i="6"/>
  <c r="E3752" i="6"/>
  <c r="D3752" i="6"/>
  <c r="C3752" i="6"/>
  <c r="B3752" i="6"/>
  <c r="A3752" i="6"/>
  <c r="E3751" i="6"/>
  <c r="D3751" i="6"/>
  <c r="C3751" i="6"/>
  <c r="B3751" i="6"/>
  <c r="A3751" i="6"/>
  <c r="E3750" i="6"/>
  <c r="D3750" i="6"/>
  <c r="C3750" i="6"/>
  <c r="B3750" i="6"/>
  <c r="A3750" i="6"/>
  <c r="E3749" i="6"/>
  <c r="D3749" i="6"/>
  <c r="C3749" i="6"/>
  <c r="B3749" i="6"/>
  <c r="A3749" i="6"/>
  <c r="E3748" i="6"/>
  <c r="D3748" i="6"/>
  <c r="C3748" i="6"/>
  <c r="B3748" i="6"/>
  <c r="A3748" i="6"/>
  <c r="E3747" i="6"/>
  <c r="D3747" i="6"/>
  <c r="C3747" i="6"/>
  <c r="B3747" i="6"/>
  <c r="A3747" i="6"/>
  <c r="E3746" i="6"/>
  <c r="D3746" i="6"/>
  <c r="C3746" i="6"/>
  <c r="B3746" i="6"/>
  <c r="A3746" i="6"/>
  <c r="E3745" i="6"/>
  <c r="D3745" i="6"/>
  <c r="C3745" i="6"/>
  <c r="B3745" i="6"/>
  <c r="A3745" i="6"/>
  <c r="E3744" i="6"/>
  <c r="D3744" i="6"/>
  <c r="C3744" i="6"/>
  <c r="B3744" i="6"/>
  <c r="A3744" i="6"/>
  <c r="E3743" i="6"/>
  <c r="D3743" i="6"/>
  <c r="C3743" i="6"/>
  <c r="B3743" i="6"/>
  <c r="A3743" i="6"/>
  <c r="E3742" i="6"/>
  <c r="D3742" i="6"/>
  <c r="C3742" i="6"/>
  <c r="B3742" i="6"/>
  <c r="A3742" i="6"/>
  <c r="E3741" i="6"/>
  <c r="D3741" i="6"/>
  <c r="C3741" i="6"/>
  <c r="B3741" i="6"/>
  <c r="A3741" i="6"/>
  <c r="E3740" i="6"/>
  <c r="D3740" i="6"/>
  <c r="C3740" i="6"/>
  <c r="B3740" i="6"/>
  <c r="A3740" i="6"/>
  <c r="E3739" i="6"/>
  <c r="D3739" i="6"/>
  <c r="C3739" i="6"/>
  <c r="B3739" i="6"/>
  <c r="A3739" i="6"/>
  <c r="E3738" i="6"/>
  <c r="D3738" i="6"/>
  <c r="C3738" i="6"/>
  <c r="B3738" i="6"/>
  <c r="A3738" i="6"/>
  <c r="E3737" i="6"/>
  <c r="D3737" i="6"/>
  <c r="C3737" i="6"/>
  <c r="B3737" i="6"/>
  <c r="A3737" i="6"/>
  <c r="E3736" i="6"/>
  <c r="D3736" i="6"/>
  <c r="C3736" i="6"/>
  <c r="B3736" i="6"/>
  <c r="A3736" i="6"/>
  <c r="E3735" i="6"/>
  <c r="D3735" i="6"/>
  <c r="C3735" i="6"/>
  <c r="B3735" i="6"/>
  <c r="A3735" i="6"/>
  <c r="E3734" i="6"/>
  <c r="D3734" i="6"/>
  <c r="C3734" i="6"/>
  <c r="B3734" i="6"/>
  <c r="A3734" i="6"/>
  <c r="E3733" i="6"/>
  <c r="D3733" i="6"/>
  <c r="C3733" i="6"/>
  <c r="B3733" i="6"/>
  <c r="A3733" i="6"/>
  <c r="E3732" i="6"/>
  <c r="D3732" i="6"/>
  <c r="C3732" i="6"/>
  <c r="B3732" i="6"/>
  <c r="A3732" i="6"/>
  <c r="E3731" i="6"/>
  <c r="D3731" i="6"/>
  <c r="C3731" i="6"/>
  <c r="B3731" i="6"/>
  <c r="A3731" i="6"/>
  <c r="E3730" i="6"/>
  <c r="D3730" i="6"/>
  <c r="C3730" i="6"/>
  <c r="B3730" i="6"/>
  <c r="A3730" i="6"/>
  <c r="E3729" i="6"/>
  <c r="D3729" i="6"/>
  <c r="C3729" i="6"/>
  <c r="B3729" i="6"/>
  <c r="A3729" i="6"/>
  <c r="E3728" i="6"/>
  <c r="D3728" i="6"/>
  <c r="C3728" i="6"/>
  <c r="B3728" i="6"/>
  <c r="A3728" i="6"/>
  <c r="E3727" i="6"/>
  <c r="D3727" i="6"/>
  <c r="C3727" i="6"/>
  <c r="B3727" i="6"/>
  <c r="A3727" i="6"/>
  <c r="E3726" i="6"/>
  <c r="D3726" i="6"/>
  <c r="C3726" i="6"/>
  <c r="B3726" i="6"/>
  <c r="A3726" i="6"/>
  <c r="E3725" i="6"/>
  <c r="D3725" i="6"/>
  <c r="C3725" i="6"/>
  <c r="B3725" i="6"/>
  <c r="A3725" i="6"/>
  <c r="E3724" i="6"/>
  <c r="D3724" i="6"/>
  <c r="C3724" i="6"/>
  <c r="B3724" i="6"/>
  <c r="A3724" i="6"/>
  <c r="E3723" i="6"/>
  <c r="D3723" i="6"/>
  <c r="C3723" i="6"/>
  <c r="B3723" i="6"/>
  <c r="A3723" i="6"/>
  <c r="E3722" i="6"/>
  <c r="D3722" i="6"/>
  <c r="C3722" i="6"/>
  <c r="B3722" i="6"/>
  <c r="A3722" i="6"/>
  <c r="E3721" i="6"/>
  <c r="D3721" i="6"/>
  <c r="C3721" i="6"/>
  <c r="B3721" i="6"/>
  <c r="A3721" i="6"/>
  <c r="E3720" i="6"/>
  <c r="D3720" i="6"/>
  <c r="C3720" i="6"/>
  <c r="B3720" i="6"/>
  <c r="A3720" i="6"/>
  <c r="E3719" i="6"/>
  <c r="D3719" i="6"/>
  <c r="C3719" i="6"/>
  <c r="B3719" i="6"/>
  <c r="A3719" i="6"/>
  <c r="E3718" i="6"/>
  <c r="D3718" i="6"/>
  <c r="C3718" i="6"/>
  <c r="B3718" i="6"/>
  <c r="A3718" i="6"/>
  <c r="E3717" i="6"/>
  <c r="D3717" i="6"/>
  <c r="C3717" i="6"/>
  <c r="B3717" i="6"/>
  <c r="A3717" i="6"/>
  <c r="E3716" i="6"/>
  <c r="D3716" i="6"/>
  <c r="C3716" i="6"/>
  <c r="B3716" i="6"/>
  <c r="A3716" i="6"/>
  <c r="E3715" i="6"/>
  <c r="D3715" i="6"/>
  <c r="C3715" i="6"/>
  <c r="B3715" i="6"/>
  <c r="A3715" i="6"/>
  <c r="E3714" i="6"/>
  <c r="D3714" i="6"/>
  <c r="C3714" i="6"/>
  <c r="B3714" i="6"/>
  <c r="A3714" i="6"/>
  <c r="E3713" i="6"/>
  <c r="D3713" i="6"/>
  <c r="C3713" i="6"/>
  <c r="B3713" i="6"/>
  <c r="A3713" i="6"/>
  <c r="E3712" i="6"/>
  <c r="D3712" i="6"/>
  <c r="C3712" i="6"/>
  <c r="B3712" i="6"/>
  <c r="A3712" i="6"/>
  <c r="E3711" i="6"/>
  <c r="D3711" i="6"/>
  <c r="C3711" i="6"/>
  <c r="B3711" i="6"/>
  <c r="A3711" i="6"/>
  <c r="E3710" i="6"/>
  <c r="D3710" i="6"/>
  <c r="C3710" i="6"/>
  <c r="B3710" i="6"/>
  <c r="A3710" i="6"/>
  <c r="E3709" i="6"/>
  <c r="D3709" i="6"/>
  <c r="C3709" i="6"/>
  <c r="B3709" i="6"/>
  <c r="A3709" i="6"/>
  <c r="E3708" i="6"/>
  <c r="D3708" i="6"/>
  <c r="C3708" i="6"/>
  <c r="B3708" i="6"/>
  <c r="A3708" i="6"/>
  <c r="E3707" i="6"/>
  <c r="D3707" i="6"/>
  <c r="C3707" i="6"/>
  <c r="B3707" i="6"/>
  <c r="A3707" i="6"/>
  <c r="E3706" i="6"/>
  <c r="D3706" i="6"/>
  <c r="C3706" i="6"/>
  <c r="B3706" i="6"/>
  <c r="A3706" i="6"/>
  <c r="E3705" i="6"/>
  <c r="D3705" i="6"/>
  <c r="C3705" i="6"/>
  <c r="B3705" i="6"/>
  <c r="A3705" i="6"/>
  <c r="E3704" i="6"/>
  <c r="D3704" i="6"/>
  <c r="C3704" i="6"/>
  <c r="B3704" i="6"/>
  <c r="A3704" i="6"/>
  <c r="E3703" i="6"/>
  <c r="D3703" i="6"/>
  <c r="C3703" i="6"/>
  <c r="B3703" i="6"/>
  <c r="A3703" i="6"/>
  <c r="E3702" i="6"/>
  <c r="D3702" i="6"/>
  <c r="C3702" i="6"/>
  <c r="B3702" i="6"/>
  <c r="A3702" i="6"/>
  <c r="E3701" i="6"/>
  <c r="D3701" i="6"/>
  <c r="C3701" i="6"/>
  <c r="B3701" i="6"/>
  <c r="A3701" i="6"/>
  <c r="E3700" i="6"/>
  <c r="D3700" i="6"/>
  <c r="C3700" i="6"/>
  <c r="B3700" i="6"/>
  <c r="A3700" i="6"/>
  <c r="E3699" i="6"/>
  <c r="D3699" i="6"/>
  <c r="C3699" i="6"/>
  <c r="B3699" i="6"/>
  <c r="A3699" i="6"/>
  <c r="E3698" i="6"/>
  <c r="D3698" i="6"/>
  <c r="C3698" i="6"/>
  <c r="B3698" i="6"/>
  <c r="A3698" i="6"/>
  <c r="E3697" i="6"/>
  <c r="D3697" i="6"/>
  <c r="C3697" i="6"/>
  <c r="B3697" i="6"/>
  <c r="A3697" i="6"/>
  <c r="E3696" i="6"/>
  <c r="D3696" i="6"/>
  <c r="C3696" i="6"/>
  <c r="B3696" i="6"/>
  <c r="A3696" i="6"/>
  <c r="E3695" i="6"/>
  <c r="D3695" i="6"/>
  <c r="C3695" i="6"/>
  <c r="B3695" i="6"/>
  <c r="A3695" i="6"/>
  <c r="E3694" i="6"/>
  <c r="D3694" i="6"/>
  <c r="C3694" i="6"/>
  <c r="B3694" i="6"/>
  <c r="A3694" i="6"/>
  <c r="D3693" i="6"/>
  <c r="C3693" i="6"/>
  <c r="B3693" i="6"/>
  <c r="A3693" i="6"/>
  <c r="E3692" i="6"/>
  <c r="D3692" i="6"/>
  <c r="C3692" i="6"/>
  <c r="B3692" i="6"/>
  <c r="A3692" i="6"/>
  <c r="E3691" i="6"/>
  <c r="D3691" i="6"/>
  <c r="C3691" i="6"/>
  <c r="B3691" i="6"/>
  <c r="A3691" i="6"/>
  <c r="E3690" i="6"/>
  <c r="D3690" i="6"/>
  <c r="C3690" i="6"/>
  <c r="B3690" i="6"/>
  <c r="A3690" i="6"/>
  <c r="E3689" i="6"/>
  <c r="D3689" i="6"/>
  <c r="C3689" i="6"/>
  <c r="B3689" i="6"/>
  <c r="A3689" i="6"/>
  <c r="E3688" i="6"/>
  <c r="D3688" i="6"/>
  <c r="C3688" i="6"/>
  <c r="B3688" i="6"/>
  <c r="A3688" i="6"/>
  <c r="E3687" i="6"/>
  <c r="D3687" i="6"/>
  <c r="C3687" i="6"/>
  <c r="B3687" i="6"/>
  <c r="A3687" i="6"/>
  <c r="E3686" i="6"/>
  <c r="D3686" i="6"/>
  <c r="C3686" i="6"/>
  <c r="B3686" i="6"/>
  <c r="A3686" i="6"/>
  <c r="E3685" i="6"/>
  <c r="D3685" i="6"/>
  <c r="C3685" i="6"/>
  <c r="B3685" i="6"/>
  <c r="A3685" i="6"/>
  <c r="E3684" i="6"/>
  <c r="D3684" i="6"/>
  <c r="C3684" i="6"/>
  <c r="B3684" i="6"/>
  <c r="A3684" i="6"/>
  <c r="E3683" i="6"/>
  <c r="D3683" i="6"/>
  <c r="C3683" i="6"/>
  <c r="B3683" i="6"/>
  <c r="A3683" i="6"/>
  <c r="E3682" i="6"/>
  <c r="D3682" i="6"/>
  <c r="C3682" i="6"/>
  <c r="B3682" i="6"/>
  <c r="A3682" i="6"/>
  <c r="E3681" i="6"/>
  <c r="D3681" i="6"/>
  <c r="C3681" i="6"/>
  <c r="B3681" i="6"/>
  <c r="A3681" i="6"/>
  <c r="E3680" i="6"/>
  <c r="D3680" i="6"/>
  <c r="C3680" i="6"/>
  <c r="B3680" i="6"/>
  <c r="A3680" i="6"/>
  <c r="E3679" i="6"/>
  <c r="D3679" i="6"/>
  <c r="C3679" i="6"/>
  <c r="B3679" i="6"/>
  <c r="A3679" i="6"/>
  <c r="E3678" i="6"/>
  <c r="D3678" i="6"/>
  <c r="C3678" i="6"/>
  <c r="B3678" i="6"/>
  <c r="A3678" i="6"/>
  <c r="E3677" i="6"/>
  <c r="D3677" i="6"/>
  <c r="C3677" i="6"/>
  <c r="B3677" i="6"/>
  <c r="A3677" i="6"/>
  <c r="E3676" i="6"/>
  <c r="D3676" i="6"/>
  <c r="C3676" i="6"/>
  <c r="B3676" i="6"/>
  <c r="A3676" i="6"/>
  <c r="E3675" i="6"/>
  <c r="D3675" i="6"/>
  <c r="C3675" i="6"/>
  <c r="B3675" i="6"/>
  <c r="A3675" i="6"/>
  <c r="E3674" i="6"/>
  <c r="D3674" i="6"/>
  <c r="C3674" i="6"/>
  <c r="B3674" i="6"/>
  <c r="A3674" i="6"/>
  <c r="E3673" i="6"/>
  <c r="D3673" i="6"/>
  <c r="C3673" i="6"/>
  <c r="B3673" i="6"/>
  <c r="A3673" i="6"/>
  <c r="E3672" i="6"/>
  <c r="D3672" i="6"/>
  <c r="C3672" i="6"/>
  <c r="B3672" i="6"/>
  <c r="A3672" i="6"/>
  <c r="E3671" i="6"/>
  <c r="D3671" i="6"/>
  <c r="C3671" i="6"/>
  <c r="B3671" i="6"/>
  <c r="A3671" i="6"/>
  <c r="E3670" i="6"/>
  <c r="D3670" i="6"/>
  <c r="C3670" i="6"/>
  <c r="B3670" i="6"/>
  <c r="A3670" i="6"/>
  <c r="E3669" i="6"/>
  <c r="D3669" i="6"/>
  <c r="C3669" i="6"/>
  <c r="B3669" i="6"/>
  <c r="A3669" i="6"/>
  <c r="E3668" i="6"/>
  <c r="D3668" i="6"/>
  <c r="C3668" i="6"/>
  <c r="B3668" i="6"/>
  <c r="A3668" i="6"/>
  <c r="E3667" i="6"/>
  <c r="D3667" i="6"/>
  <c r="C3667" i="6"/>
  <c r="B3667" i="6"/>
  <c r="A3667" i="6"/>
  <c r="E3666" i="6"/>
  <c r="D3666" i="6"/>
  <c r="C3666" i="6"/>
  <c r="B3666" i="6"/>
  <c r="A3666" i="6"/>
  <c r="E3665" i="6"/>
  <c r="D3665" i="6"/>
  <c r="C3665" i="6"/>
  <c r="B3665" i="6"/>
  <c r="A3665" i="6"/>
  <c r="E3664" i="6"/>
  <c r="D3664" i="6"/>
  <c r="C3664" i="6"/>
  <c r="B3664" i="6"/>
  <c r="A3664" i="6"/>
  <c r="E3663" i="6"/>
  <c r="D3663" i="6"/>
  <c r="C3663" i="6"/>
  <c r="B3663" i="6"/>
  <c r="A3663" i="6"/>
  <c r="E3662" i="6"/>
  <c r="D3662" i="6"/>
  <c r="C3662" i="6"/>
  <c r="B3662" i="6"/>
  <c r="A3662" i="6"/>
  <c r="E3661" i="6"/>
  <c r="D3661" i="6"/>
  <c r="C3661" i="6"/>
  <c r="B3661" i="6"/>
  <c r="A3661" i="6"/>
  <c r="E3660" i="6"/>
  <c r="D3660" i="6"/>
  <c r="C3660" i="6"/>
  <c r="B3660" i="6"/>
  <c r="A3660" i="6"/>
  <c r="E3659" i="6"/>
  <c r="D3659" i="6"/>
  <c r="C3659" i="6"/>
  <c r="B3659" i="6"/>
  <c r="A3659" i="6"/>
  <c r="E3658" i="6"/>
  <c r="D3658" i="6"/>
  <c r="C3658" i="6"/>
  <c r="B3658" i="6"/>
  <c r="A3658" i="6"/>
  <c r="E3657" i="6"/>
  <c r="D3657" i="6"/>
  <c r="C3657" i="6"/>
  <c r="B3657" i="6"/>
  <c r="A3657" i="6"/>
  <c r="E3656" i="6"/>
  <c r="D3656" i="6"/>
  <c r="C3656" i="6"/>
  <c r="B3656" i="6"/>
  <c r="A3656" i="6"/>
  <c r="E3655" i="6"/>
  <c r="D3655" i="6"/>
  <c r="C3655" i="6"/>
  <c r="B3655" i="6"/>
  <c r="A3655" i="6"/>
  <c r="E3654" i="6"/>
  <c r="D3654" i="6"/>
  <c r="C3654" i="6"/>
  <c r="B3654" i="6"/>
  <c r="A3654" i="6"/>
  <c r="E3653" i="6"/>
  <c r="D3653" i="6"/>
  <c r="C3653" i="6"/>
  <c r="B3653" i="6"/>
  <c r="A3653" i="6"/>
  <c r="E3652" i="6"/>
  <c r="D3652" i="6"/>
  <c r="C3652" i="6"/>
  <c r="B3652" i="6"/>
  <c r="A3652" i="6"/>
  <c r="E3651" i="6"/>
  <c r="D3651" i="6"/>
  <c r="C3651" i="6"/>
  <c r="B3651" i="6"/>
  <c r="A3651" i="6"/>
  <c r="E3650" i="6"/>
  <c r="D3650" i="6"/>
  <c r="C3650" i="6"/>
  <c r="B3650" i="6"/>
  <c r="A3650" i="6"/>
  <c r="E3649" i="6"/>
  <c r="D3649" i="6"/>
  <c r="C3649" i="6"/>
  <c r="B3649" i="6"/>
  <c r="A3649" i="6"/>
  <c r="E3648" i="6"/>
  <c r="D3648" i="6"/>
  <c r="C3648" i="6"/>
  <c r="B3648" i="6"/>
  <c r="A3648" i="6"/>
  <c r="E3647" i="6"/>
  <c r="D3647" i="6"/>
  <c r="C3647" i="6"/>
  <c r="B3647" i="6"/>
  <c r="A3647" i="6"/>
  <c r="E3646" i="6"/>
  <c r="D3646" i="6"/>
  <c r="C3646" i="6"/>
  <c r="B3646" i="6"/>
  <c r="A3646" i="6"/>
  <c r="E3645" i="6"/>
  <c r="D3645" i="6"/>
  <c r="C3645" i="6"/>
  <c r="B3645" i="6"/>
  <c r="A3645" i="6"/>
  <c r="E3644" i="6"/>
  <c r="D3644" i="6"/>
  <c r="C3644" i="6"/>
  <c r="B3644" i="6"/>
  <c r="A3644" i="6"/>
  <c r="E3643" i="6"/>
  <c r="D3643" i="6"/>
  <c r="C3643" i="6"/>
  <c r="B3643" i="6"/>
  <c r="A3643" i="6"/>
  <c r="E3642" i="6"/>
  <c r="D3642" i="6"/>
  <c r="C3642" i="6"/>
  <c r="B3642" i="6"/>
  <c r="A3642" i="6"/>
  <c r="E3641" i="6"/>
  <c r="D3641" i="6"/>
  <c r="C3641" i="6"/>
  <c r="B3641" i="6"/>
  <c r="A3641" i="6"/>
  <c r="E3640" i="6"/>
  <c r="D3640" i="6"/>
  <c r="C3640" i="6"/>
  <c r="B3640" i="6"/>
  <c r="A3640" i="6"/>
  <c r="E3639" i="6"/>
  <c r="D3639" i="6"/>
  <c r="C3639" i="6"/>
  <c r="B3639" i="6"/>
  <c r="A3639" i="6"/>
  <c r="E3638" i="6"/>
  <c r="D3638" i="6"/>
  <c r="C3638" i="6"/>
  <c r="B3638" i="6"/>
  <c r="A3638" i="6"/>
  <c r="E3637" i="6"/>
  <c r="D3637" i="6"/>
  <c r="C3637" i="6"/>
  <c r="B3637" i="6"/>
  <c r="A3637" i="6"/>
  <c r="E3636" i="6"/>
  <c r="D3636" i="6"/>
  <c r="C3636" i="6"/>
  <c r="B3636" i="6"/>
  <c r="A3636" i="6"/>
  <c r="E3635" i="6"/>
  <c r="D3635" i="6"/>
  <c r="C3635" i="6"/>
  <c r="B3635" i="6"/>
  <c r="A3635" i="6"/>
  <c r="E3634" i="6"/>
  <c r="D3634" i="6"/>
  <c r="C3634" i="6"/>
  <c r="B3634" i="6"/>
  <c r="A3634" i="6"/>
  <c r="E3633" i="6"/>
  <c r="D3633" i="6"/>
  <c r="C3633" i="6"/>
  <c r="B3633" i="6"/>
  <c r="A3633" i="6"/>
  <c r="D3632" i="6"/>
  <c r="C3632" i="6"/>
  <c r="B3632" i="6"/>
  <c r="A3632" i="6"/>
  <c r="E3631" i="6"/>
  <c r="D3631" i="6"/>
  <c r="C3631" i="6"/>
  <c r="B3631" i="6"/>
  <c r="A3631" i="6"/>
  <c r="E3630" i="6"/>
  <c r="D3630" i="6"/>
  <c r="C3630" i="6"/>
  <c r="B3630" i="6"/>
  <c r="A3630" i="6"/>
  <c r="D3629" i="6"/>
  <c r="C3629" i="6"/>
  <c r="B3629" i="6"/>
  <c r="A3629" i="6"/>
  <c r="E3628" i="6"/>
  <c r="D3628" i="6"/>
  <c r="C3628" i="6"/>
  <c r="B3628" i="6"/>
  <c r="A3628" i="6"/>
  <c r="E3627" i="6"/>
  <c r="D3627" i="6"/>
  <c r="C3627" i="6"/>
  <c r="B3627" i="6"/>
  <c r="A3627" i="6"/>
  <c r="E3626" i="6"/>
  <c r="D3626" i="6"/>
  <c r="C3626" i="6"/>
  <c r="B3626" i="6"/>
  <c r="A3626" i="6"/>
  <c r="E3625" i="6"/>
  <c r="D3625" i="6"/>
  <c r="C3625" i="6"/>
  <c r="B3625" i="6"/>
  <c r="A3625" i="6"/>
  <c r="E3624" i="6"/>
  <c r="D3624" i="6"/>
  <c r="C3624" i="6"/>
  <c r="B3624" i="6"/>
  <c r="A3624" i="6"/>
  <c r="E3623" i="6"/>
  <c r="D3623" i="6"/>
  <c r="C3623" i="6"/>
  <c r="B3623" i="6"/>
  <c r="A3623" i="6"/>
  <c r="E3622" i="6"/>
  <c r="D3622" i="6"/>
  <c r="C3622" i="6"/>
  <c r="B3622" i="6"/>
  <c r="A3622" i="6"/>
  <c r="E3621" i="6"/>
  <c r="D3621" i="6"/>
  <c r="C3621" i="6"/>
  <c r="B3621" i="6"/>
  <c r="A3621" i="6"/>
  <c r="E3620" i="6"/>
  <c r="D3620" i="6"/>
  <c r="C3620" i="6"/>
  <c r="B3620" i="6"/>
  <c r="A3620" i="6"/>
  <c r="E3619" i="6"/>
  <c r="D3619" i="6"/>
  <c r="C3619" i="6"/>
  <c r="B3619" i="6"/>
  <c r="A3619" i="6"/>
  <c r="E3618" i="6"/>
  <c r="D3618" i="6"/>
  <c r="C3618" i="6"/>
  <c r="B3618" i="6"/>
  <c r="A3618" i="6"/>
  <c r="E3617" i="6"/>
  <c r="D3617" i="6"/>
  <c r="C3617" i="6"/>
  <c r="B3617" i="6"/>
  <c r="A3617" i="6"/>
  <c r="E3616" i="6"/>
  <c r="D3616" i="6"/>
  <c r="C3616" i="6"/>
  <c r="B3616" i="6"/>
  <c r="A3616" i="6"/>
  <c r="E3615" i="6"/>
  <c r="D3615" i="6"/>
  <c r="C3615" i="6"/>
  <c r="B3615" i="6"/>
  <c r="A3615" i="6"/>
  <c r="E3614" i="6"/>
  <c r="D3614" i="6"/>
  <c r="C3614" i="6"/>
  <c r="B3614" i="6"/>
  <c r="A3614" i="6"/>
  <c r="E3613" i="6"/>
  <c r="D3613" i="6"/>
  <c r="C3613" i="6"/>
  <c r="B3613" i="6"/>
  <c r="A3613" i="6"/>
  <c r="E3612" i="6"/>
  <c r="D3612" i="6"/>
  <c r="C3612" i="6"/>
  <c r="B3612" i="6"/>
  <c r="A3612" i="6"/>
  <c r="E3611" i="6"/>
  <c r="D3611" i="6"/>
  <c r="C3611" i="6"/>
  <c r="B3611" i="6"/>
  <c r="A3611" i="6"/>
  <c r="E3610" i="6"/>
  <c r="D3610" i="6"/>
  <c r="C3610" i="6"/>
  <c r="B3610" i="6"/>
  <c r="A3610" i="6"/>
  <c r="E3609" i="6"/>
  <c r="D3609" i="6"/>
  <c r="C3609" i="6"/>
  <c r="B3609" i="6"/>
  <c r="A3609" i="6"/>
  <c r="E3608" i="6"/>
  <c r="D3608" i="6"/>
  <c r="C3608" i="6"/>
  <c r="B3608" i="6"/>
  <c r="A3608" i="6"/>
  <c r="E3607" i="6"/>
  <c r="D3607" i="6"/>
  <c r="C3607" i="6"/>
  <c r="B3607" i="6"/>
  <c r="A3607" i="6"/>
  <c r="E3606" i="6"/>
  <c r="D3606" i="6"/>
  <c r="C3606" i="6"/>
  <c r="B3606" i="6"/>
  <c r="A3606" i="6"/>
  <c r="E3605" i="6"/>
  <c r="D3605" i="6"/>
  <c r="C3605" i="6"/>
  <c r="B3605" i="6"/>
  <c r="A3605" i="6"/>
  <c r="E3604" i="6"/>
  <c r="D3604" i="6"/>
  <c r="C3604" i="6"/>
  <c r="B3604" i="6"/>
  <c r="A3604" i="6"/>
  <c r="E3603" i="6"/>
  <c r="D3603" i="6"/>
  <c r="C3603" i="6"/>
  <c r="B3603" i="6"/>
  <c r="A3603" i="6"/>
  <c r="E3602" i="6"/>
  <c r="D3602" i="6"/>
  <c r="C3602" i="6"/>
  <c r="B3602" i="6"/>
  <c r="A3602" i="6"/>
  <c r="E3601" i="6"/>
  <c r="D3601" i="6"/>
  <c r="C3601" i="6"/>
  <c r="B3601" i="6"/>
  <c r="A3601" i="6"/>
  <c r="E3600" i="6"/>
  <c r="D3600" i="6"/>
  <c r="C3600" i="6"/>
  <c r="B3600" i="6"/>
  <c r="A3600" i="6"/>
  <c r="E3599" i="6"/>
  <c r="D3599" i="6"/>
  <c r="C3599" i="6"/>
  <c r="B3599" i="6"/>
  <c r="A3599" i="6"/>
  <c r="E3598" i="6"/>
  <c r="D3598" i="6"/>
  <c r="C3598" i="6"/>
  <c r="B3598" i="6"/>
  <c r="A3598" i="6"/>
  <c r="E3597" i="6"/>
  <c r="D3597" i="6"/>
  <c r="C3597" i="6"/>
  <c r="B3597" i="6"/>
  <c r="A3597" i="6"/>
  <c r="E3596" i="6"/>
  <c r="D3596" i="6"/>
  <c r="C3596" i="6"/>
  <c r="B3596" i="6"/>
  <c r="A3596" i="6"/>
  <c r="E3595" i="6"/>
  <c r="D3595" i="6"/>
  <c r="C3595" i="6"/>
  <c r="B3595" i="6"/>
  <c r="A3595" i="6"/>
  <c r="E3594" i="6"/>
  <c r="D3594" i="6"/>
  <c r="C3594" i="6"/>
  <c r="B3594" i="6"/>
  <c r="A3594" i="6"/>
  <c r="E3593" i="6"/>
  <c r="D3593" i="6"/>
  <c r="C3593" i="6"/>
  <c r="B3593" i="6"/>
  <c r="A3593" i="6"/>
  <c r="E3592" i="6"/>
  <c r="D3592" i="6"/>
  <c r="C3592" i="6"/>
  <c r="B3592" i="6"/>
  <c r="A3592" i="6"/>
  <c r="E3591" i="6"/>
  <c r="D3591" i="6"/>
  <c r="C3591" i="6"/>
  <c r="B3591" i="6"/>
  <c r="A3591" i="6"/>
  <c r="E3590" i="6"/>
  <c r="D3590" i="6"/>
  <c r="C3590" i="6"/>
  <c r="B3590" i="6"/>
  <c r="A3590" i="6"/>
  <c r="E3589" i="6"/>
  <c r="D3589" i="6"/>
  <c r="C3589" i="6"/>
  <c r="B3589" i="6"/>
  <c r="A3589" i="6"/>
  <c r="E3588" i="6"/>
  <c r="D3588" i="6"/>
  <c r="C3588" i="6"/>
  <c r="B3588" i="6"/>
  <c r="A3588" i="6"/>
  <c r="E3587" i="6"/>
  <c r="D3587" i="6"/>
  <c r="C3587" i="6"/>
  <c r="B3587" i="6"/>
  <c r="A3587" i="6"/>
  <c r="E3586" i="6"/>
  <c r="D3586" i="6"/>
  <c r="C3586" i="6"/>
  <c r="B3586" i="6"/>
  <c r="A3586" i="6"/>
  <c r="E3585" i="6"/>
  <c r="D3585" i="6"/>
  <c r="C3585" i="6"/>
  <c r="B3585" i="6"/>
  <c r="A3585" i="6"/>
  <c r="E3584" i="6"/>
  <c r="D3584" i="6"/>
  <c r="C3584" i="6"/>
  <c r="B3584" i="6"/>
  <c r="A3584" i="6"/>
  <c r="E3583" i="6"/>
  <c r="D3583" i="6"/>
  <c r="C3583" i="6"/>
  <c r="B3583" i="6"/>
  <c r="A3583" i="6"/>
  <c r="E3582" i="6"/>
  <c r="D3582" i="6"/>
  <c r="C3582" i="6"/>
  <c r="B3582" i="6"/>
  <c r="A3582" i="6"/>
  <c r="E3581" i="6"/>
  <c r="D3581" i="6"/>
  <c r="C3581" i="6"/>
  <c r="B3581" i="6"/>
  <c r="A3581" i="6"/>
  <c r="E3580" i="6"/>
  <c r="D3580" i="6"/>
  <c r="C3580" i="6"/>
  <c r="B3580" i="6"/>
  <c r="A3580" i="6"/>
  <c r="E3579" i="6"/>
  <c r="D3579" i="6"/>
  <c r="C3579" i="6"/>
  <c r="B3579" i="6"/>
  <c r="A3579" i="6"/>
  <c r="E3578" i="6"/>
  <c r="D3578" i="6"/>
  <c r="C3578" i="6"/>
  <c r="B3578" i="6"/>
  <c r="A3578" i="6"/>
  <c r="E3577" i="6"/>
  <c r="D3577" i="6"/>
  <c r="C3577" i="6"/>
  <c r="B3577" i="6"/>
  <c r="A3577" i="6"/>
  <c r="E3576" i="6"/>
  <c r="D3576" i="6"/>
  <c r="C3576" i="6"/>
  <c r="B3576" i="6"/>
  <c r="A3576" i="6"/>
  <c r="E3575" i="6"/>
  <c r="D3575" i="6"/>
  <c r="C3575" i="6"/>
  <c r="B3575" i="6"/>
  <c r="A3575" i="6"/>
  <c r="E3574" i="6"/>
  <c r="D3574" i="6"/>
  <c r="C3574" i="6"/>
  <c r="B3574" i="6"/>
  <c r="A3574" i="6"/>
  <c r="E3573" i="6"/>
  <c r="D3573" i="6"/>
  <c r="C3573" i="6"/>
  <c r="B3573" i="6"/>
  <c r="A3573" i="6"/>
  <c r="E3572" i="6"/>
  <c r="D3572" i="6"/>
  <c r="C3572" i="6"/>
  <c r="B3572" i="6"/>
  <c r="A3572" i="6"/>
  <c r="E3571" i="6"/>
  <c r="D3571" i="6"/>
  <c r="C3571" i="6"/>
  <c r="B3571" i="6"/>
  <c r="A3571" i="6"/>
  <c r="E3570" i="6"/>
  <c r="D3570" i="6"/>
  <c r="C3570" i="6"/>
  <c r="B3570" i="6"/>
  <c r="A3570" i="6"/>
  <c r="E3569" i="6"/>
  <c r="D3569" i="6"/>
  <c r="C3569" i="6"/>
  <c r="B3569" i="6"/>
  <c r="A3569" i="6"/>
  <c r="E3568" i="6"/>
  <c r="D3568" i="6"/>
  <c r="C3568" i="6"/>
  <c r="B3568" i="6"/>
  <c r="A3568" i="6"/>
  <c r="E3567" i="6"/>
  <c r="D3567" i="6"/>
  <c r="C3567" i="6"/>
  <c r="B3567" i="6"/>
  <c r="A3567" i="6"/>
  <c r="E3566" i="6"/>
  <c r="D3566" i="6"/>
  <c r="C3566" i="6"/>
  <c r="B3566" i="6"/>
  <c r="A3566" i="6"/>
  <c r="E3565" i="6"/>
  <c r="D3565" i="6"/>
  <c r="C3565" i="6"/>
  <c r="B3565" i="6"/>
  <c r="A3565" i="6"/>
  <c r="E3564" i="6"/>
  <c r="D3564" i="6"/>
  <c r="C3564" i="6"/>
  <c r="B3564" i="6"/>
  <c r="A3564" i="6"/>
  <c r="E3563" i="6"/>
  <c r="D3563" i="6"/>
  <c r="C3563" i="6"/>
  <c r="B3563" i="6"/>
  <c r="A3563" i="6"/>
  <c r="E3562" i="6"/>
  <c r="D3562" i="6"/>
  <c r="C3562" i="6"/>
  <c r="B3562" i="6"/>
  <c r="A3562" i="6"/>
  <c r="E3561" i="6"/>
  <c r="D3561" i="6"/>
  <c r="C3561" i="6"/>
  <c r="B3561" i="6"/>
  <c r="A3561" i="6"/>
  <c r="E3560" i="6"/>
  <c r="D3560" i="6"/>
  <c r="C3560" i="6"/>
  <c r="B3560" i="6"/>
  <c r="A3560" i="6"/>
  <c r="E3559" i="6"/>
  <c r="D3559" i="6"/>
  <c r="C3559" i="6"/>
  <c r="B3559" i="6"/>
  <c r="A3559" i="6"/>
  <c r="E3558" i="6"/>
  <c r="D3558" i="6"/>
  <c r="C3558" i="6"/>
  <c r="B3558" i="6"/>
  <c r="A3558" i="6"/>
  <c r="E3557" i="6"/>
  <c r="D3557" i="6"/>
  <c r="C3557" i="6"/>
  <c r="B3557" i="6"/>
  <c r="A3557" i="6"/>
  <c r="E3556" i="6"/>
  <c r="D3556" i="6"/>
  <c r="C3556" i="6"/>
  <c r="B3556" i="6"/>
  <c r="A3556" i="6"/>
  <c r="E3555" i="6"/>
  <c r="D3555" i="6"/>
  <c r="C3555" i="6"/>
  <c r="B3555" i="6"/>
  <c r="A3555" i="6"/>
  <c r="E3554" i="6"/>
  <c r="D3554" i="6"/>
  <c r="C3554" i="6"/>
  <c r="B3554" i="6"/>
  <c r="A3554" i="6"/>
  <c r="E3553" i="6"/>
  <c r="D3553" i="6"/>
  <c r="C3553" i="6"/>
  <c r="B3553" i="6"/>
  <c r="A3553" i="6"/>
  <c r="E3552" i="6"/>
  <c r="D3552" i="6"/>
  <c r="C3552" i="6"/>
  <c r="B3552" i="6"/>
  <c r="A3552" i="6"/>
  <c r="E3551" i="6"/>
  <c r="D3551" i="6"/>
  <c r="C3551" i="6"/>
  <c r="B3551" i="6"/>
  <c r="A3551" i="6"/>
  <c r="E3550" i="6"/>
  <c r="D3550" i="6"/>
  <c r="C3550" i="6"/>
  <c r="B3550" i="6"/>
  <c r="A3550" i="6"/>
  <c r="E3549" i="6"/>
  <c r="D3549" i="6"/>
  <c r="C3549" i="6"/>
  <c r="B3549" i="6"/>
  <c r="A3549" i="6"/>
  <c r="E3548" i="6"/>
  <c r="D3548" i="6"/>
  <c r="C3548" i="6"/>
  <c r="B3548" i="6"/>
  <c r="A3548" i="6"/>
  <c r="E3547" i="6"/>
  <c r="D3547" i="6"/>
  <c r="C3547" i="6"/>
  <c r="B3547" i="6"/>
  <c r="A3547" i="6"/>
  <c r="E3546" i="6"/>
  <c r="D3546" i="6"/>
  <c r="C3546" i="6"/>
  <c r="B3546" i="6"/>
  <c r="A3546" i="6"/>
  <c r="E3545" i="6"/>
  <c r="D3545" i="6"/>
  <c r="C3545" i="6"/>
  <c r="B3545" i="6"/>
  <c r="A3545" i="6"/>
  <c r="E3544" i="6"/>
  <c r="D3544" i="6"/>
  <c r="C3544" i="6"/>
  <c r="B3544" i="6"/>
  <c r="A3544" i="6"/>
  <c r="E3543" i="6"/>
  <c r="D3543" i="6"/>
  <c r="C3543" i="6"/>
  <c r="B3543" i="6"/>
  <c r="A3543" i="6"/>
  <c r="E3542" i="6"/>
  <c r="D3542" i="6"/>
  <c r="C3542" i="6"/>
  <c r="B3542" i="6"/>
  <c r="A3542" i="6"/>
  <c r="E3541" i="6"/>
  <c r="D3541" i="6"/>
  <c r="C3541" i="6"/>
  <c r="B3541" i="6"/>
  <c r="A3541" i="6"/>
  <c r="E3540" i="6"/>
  <c r="D3540" i="6"/>
  <c r="C3540" i="6"/>
  <c r="B3540" i="6"/>
  <c r="A3540" i="6"/>
  <c r="E3539" i="6"/>
  <c r="D3539" i="6"/>
  <c r="C3539" i="6"/>
  <c r="B3539" i="6"/>
  <c r="A3539" i="6"/>
  <c r="E3538" i="6"/>
  <c r="D3538" i="6"/>
  <c r="C3538" i="6"/>
  <c r="B3538" i="6"/>
  <c r="A3538" i="6"/>
  <c r="E3537" i="6"/>
  <c r="D3537" i="6"/>
  <c r="C3537" i="6"/>
  <c r="B3537" i="6"/>
  <c r="A3537" i="6"/>
  <c r="E3536" i="6"/>
  <c r="D3536" i="6"/>
  <c r="C3536" i="6"/>
  <c r="B3536" i="6"/>
  <c r="A3536" i="6"/>
  <c r="E3535" i="6"/>
  <c r="D3535" i="6"/>
  <c r="C3535" i="6"/>
  <c r="B3535" i="6"/>
  <c r="A3535" i="6"/>
  <c r="E3534" i="6"/>
  <c r="D3534" i="6"/>
  <c r="C3534" i="6"/>
  <c r="B3534" i="6"/>
  <c r="A3534" i="6"/>
  <c r="E3533" i="6"/>
  <c r="D3533" i="6"/>
  <c r="C3533" i="6"/>
  <c r="B3533" i="6"/>
  <c r="A3533" i="6"/>
  <c r="E3532" i="6"/>
  <c r="D3532" i="6"/>
  <c r="C3532" i="6"/>
  <c r="B3532" i="6"/>
  <c r="A3532" i="6"/>
  <c r="E3531" i="6"/>
  <c r="D3531" i="6"/>
  <c r="C3531" i="6"/>
  <c r="B3531" i="6"/>
  <c r="A3531" i="6"/>
  <c r="E3530" i="6"/>
  <c r="D3530" i="6"/>
  <c r="C3530" i="6"/>
  <c r="B3530" i="6"/>
  <c r="A3530" i="6"/>
  <c r="E3529" i="6"/>
  <c r="D3529" i="6"/>
  <c r="C3529" i="6"/>
  <c r="B3529" i="6"/>
  <c r="A3529" i="6"/>
  <c r="E3528" i="6"/>
  <c r="D3528" i="6"/>
  <c r="C3528" i="6"/>
  <c r="B3528" i="6"/>
  <c r="A3528" i="6"/>
  <c r="E3527" i="6"/>
  <c r="D3527" i="6"/>
  <c r="C3527" i="6"/>
  <c r="B3527" i="6"/>
  <c r="A3527" i="6"/>
  <c r="E3526" i="6"/>
  <c r="D3526" i="6"/>
  <c r="C3526" i="6"/>
  <c r="B3526" i="6"/>
  <c r="A3526" i="6"/>
  <c r="E3525" i="6"/>
  <c r="D3525" i="6"/>
  <c r="C3525" i="6"/>
  <c r="B3525" i="6"/>
  <c r="A3525" i="6"/>
  <c r="E3524" i="6"/>
  <c r="D3524" i="6"/>
  <c r="C3524" i="6"/>
  <c r="B3524" i="6"/>
  <c r="A3524" i="6"/>
  <c r="E3523" i="6"/>
  <c r="D3523" i="6"/>
  <c r="C3523" i="6"/>
  <c r="B3523" i="6"/>
  <c r="A3523" i="6"/>
  <c r="E3522" i="6"/>
  <c r="D3522" i="6"/>
  <c r="C3522" i="6"/>
  <c r="B3522" i="6"/>
  <c r="A3522" i="6"/>
  <c r="E3521" i="6"/>
  <c r="D3521" i="6"/>
  <c r="C3521" i="6"/>
  <c r="B3521" i="6"/>
  <c r="A3521" i="6"/>
  <c r="E3520" i="6"/>
  <c r="D3520" i="6"/>
  <c r="C3520" i="6"/>
  <c r="B3520" i="6"/>
  <c r="A3520" i="6"/>
  <c r="E3519" i="6"/>
  <c r="D3519" i="6"/>
  <c r="C3519" i="6"/>
  <c r="B3519" i="6"/>
  <c r="A3519" i="6"/>
  <c r="E3518" i="6"/>
  <c r="D3518" i="6"/>
  <c r="C3518" i="6"/>
  <c r="B3518" i="6"/>
  <c r="A3518" i="6"/>
  <c r="E3517" i="6"/>
  <c r="D3517" i="6"/>
  <c r="C3517" i="6"/>
  <c r="B3517" i="6"/>
  <c r="A3517" i="6"/>
  <c r="E3516" i="6"/>
  <c r="D3516" i="6"/>
  <c r="C3516" i="6"/>
  <c r="B3516" i="6"/>
  <c r="A3516" i="6"/>
  <c r="E3515" i="6"/>
  <c r="D3515" i="6"/>
  <c r="C3515" i="6"/>
  <c r="B3515" i="6"/>
  <c r="A3515" i="6"/>
  <c r="E3514" i="6"/>
  <c r="D3514" i="6"/>
  <c r="C3514" i="6"/>
  <c r="B3514" i="6"/>
  <c r="A3514" i="6"/>
  <c r="E3513" i="6"/>
  <c r="D3513" i="6"/>
  <c r="C3513" i="6"/>
  <c r="B3513" i="6"/>
  <c r="A3513" i="6"/>
  <c r="E3512" i="6"/>
  <c r="D3512" i="6"/>
  <c r="C3512" i="6"/>
  <c r="B3512" i="6"/>
  <c r="A3512" i="6"/>
  <c r="E3511" i="6"/>
  <c r="D3511" i="6"/>
  <c r="C3511" i="6"/>
  <c r="B3511" i="6"/>
  <c r="A3511" i="6"/>
  <c r="E3510" i="6"/>
  <c r="D3510" i="6"/>
  <c r="C3510" i="6"/>
  <c r="B3510" i="6"/>
  <c r="A3510" i="6"/>
  <c r="E3509" i="6"/>
  <c r="D3509" i="6"/>
  <c r="C3509" i="6"/>
  <c r="B3509" i="6"/>
  <c r="A3509" i="6"/>
  <c r="E3508" i="6"/>
  <c r="D3508" i="6"/>
  <c r="C3508" i="6"/>
  <c r="B3508" i="6"/>
  <c r="A3508" i="6"/>
  <c r="E3507" i="6"/>
  <c r="D3507" i="6"/>
  <c r="C3507" i="6"/>
  <c r="B3507" i="6"/>
  <c r="A3507" i="6"/>
  <c r="E3506" i="6"/>
  <c r="D3506" i="6"/>
  <c r="C3506" i="6"/>
  <c r="B3506" i="6"/>
  <c r="A3506" i="6"/>
  <c r="E3505" i="6"/>
  <c r="D3505" i="6"/>
  <c r="C3505" i="6"/>
  <c r="B3505" i="6"/>
  <c r="A3505" i="6"/>
  <c r="E3504" i="6"/>
  <c r="D3504" i="6"/>
  <c r="C3504" i="6"/>
  <c r="B3504" i="6"/>
  <c r="A3504" i="6"/>
  <c r="E3503" i="6"/>
  <c r="D3503" i="6"/>
  <c r="C3503" i="6"/>
  <c r="B3503" i="6"/>
  <c r="A3503" i="6"/>
  <c r="E3502" i="6"/>
  <c r="D3502" i="6"/>
  <c r="C3502" i="6"/>
  <c r="B3502" i="6"/>
  <c r="A3502" i="6"/>
  <c r="E3501" i="6"/>
  <c r="D3501" i="6"/>
  <c r="C3501" i="6"/>
  <c r="B3501" i="6"/>
  <c r="A3501" i="6"/>
  <c r="E3500" i="6"/>
  <c r="D3500" i="6"/>
  <c r="C3500" i="6"/>
  <c r="B3500" i="6"/>
  <c r="A3500" i="6"/>
  <c r="E3499" i="6"/>
  <c r="D3499" i="6"/>
  <c r="C3499" i="6"/>
  <c r="B3499" i="6"/>
  <c r="A3499" i="6"/>
  <c r="E3498" i="6"/>
  <c r="D3498" i="6"/>
  <c r="C3498" i="6"/>
  <c r="B3498" i="6"/>
  <c r="A3498" i="6"/>
  <c r="E3497" i="6"/>
  <c r="D3497" i="6"/>
  <c r="C3497" i="6"/>
  <c r="B3497" i="6"/>
  <c r="A3497" i="6"/>
  <c r="E3496" i="6"/>
  <c r="D3496" i="6"/>
  <c r="C3496" i="6"/>
  <c r="B3496" i="6"/>
  <c r="A3496" i="6"/>
  <c r="E3495" i="6"/>
  <c r="D3495" i="6"/>
  <c r="C3495" i="6"/>
  <c r="B3495" i="6"/>
  <c r="A3495" i="6"/>
  <c r="E3494" i="6"/>
  <c r="D3494" i="6"/>
  <c r="C3494" i="6"/>
  <c r="B3494" i="6"/>
  <c r="A3494" i="6"/>
  <c r="E3493" i="6"/>
  <c r="D3493" i="6"/>
  <c r="C3493" i="6"/>
  <c r="B3493" i="6"/>
  <c r="A3493" i="6"/>
  <c r="E3492" i="6"/>
  <c r="D3492" i="6"/>
  <c r="C3492" i="6"/>
  <c r="B3492" i="6"/>
  <c r="A3492" i="6"/>
  <c r="E3491" i="6"/>
  <c r="D3491" i="6"/>
  <c r="C3491" i="6"/>
  <c r="B3491" i="6"/>
  <c r="A3491" i="6"/>
  <c r="E3490" i="6"/>
  <c r="D3490" i="6"/>
  <c r="C3490" i="6"/>
  <c r="B3490" i="6"/>
  <c r="A3490" i="6"/>
  <c r="E3489" i="6"/>
  <c r="D3489" i="6"/>
  <c r="C3489" i="6"/>
  <c r="B3489" i="6"/>
  <c r="A3489" i="6"/>
  <c r="E3488" i="6"/>
  <c r="D3488" i="6"/>
  <c r="C3488" i="6"/>
  <c r="B3488" i="6"/>
  <c r="A3488" i="6"/>
  <c r="E3487" i="6"/>
  <c r="D3487" i="6"/>
  <c r="C3487" i="6"/>
  <c r="B3487" i="6"/>
  <c r="A3487" i="6"/>
  <c r="E3486" i="6"/>
  <c r="D3486" i="6"/>
  <c r="C3486" i="6"/>
  <c r="B3486" i="6"/>
  <c r="A3486" i="6"/>
  <c r="E3485" i="6"/>
  <c r="D3485" i="6"/>
  <c r="C3485" i="6"/>
  <c r="B3485" i="6"/>
  <c r="A3485" i="6"/>
  <c r="E3484" i="6"/>
  <c r="D3484" i="6"/>
  <c r="C3484" i="6"/>
  <c r="B3484" i="6"/>
  <c r="A3484" i="6"/>
  <c r="E3483" i="6"/>
  <c r="D3483" i="6"/>
  <c r="C3483" i="6"/>
  <c r="B3483" i="6"/>
  <c r="A3483" i="6"/>
  <c r="E3482" i="6"/>
  <c r="D3482" i="6"/>
  <c r="C3482" i="6"/>
  <c r="B3482" i="6"/>
  <c r="A3482" i="6"/>
  <c r="E3481" i="6"/>
  <c r="D3481" i="6"/>
  <c r="C3481" i="6"/>
  <c r="B3481" i="6"/>
  <c r="A3481" i="6"/>
  <c r="E3480" i="6"/>
  <c r="D3480" i="6"/>
  <c r="C3480" i="6"/>
  <c r="B3480" i="6"/>
  <c r="A3480" i="6"/>
  <c r="E3479" i="6"/>
  <c r="D3479" i="6"/>
  <c r="C3479" i="6"/>
  <c r="B3479" i="6"/>
  <c r="A3479" i="6"/>
  <c r="E3478" i="6"/>
  <c r="D3478" i="6"/>
  <c r="C3478" i="6"/>
  <c r="B3478" i="6"/>
  <c r="A3478" i="6"/>
  <c r="E3477" i="6"/>
  <c r="D3477" i="6"/>
  <c r="C3477" i="6"/>
  <c r="B3477" i="6"/>
  <c r="A3477" i="6"/>
  <c r="E3476" i="6"/>
  <c r="D3476" i="6"/>
  <c r="C3476" i="6"/>
  <c r="B3476" i="6"/>
  <c r="A3476" i="6"/>
  <c r="E3475" i="6"/>
  <c r="D3475" i="6"/>
  <c r="C3475" i="6"/>
  <c r="B3475" i="6"/>
  <c r="A3475" i="6"/>
  <c r="E3474" i="6"/>
  <c r="D3474" i="6"/>
  <c r="C3474" i="6"/>
  <c r="B3474" i="6"/>
  <c r="A3474" i="6"/>
  <c r="E3473" i="6"/>
  <c r="D3473" i="6"/>
  <c r="B3473" i="6"/>
  <c r="A3473" i="6"/>
  <c r="E3472" i="6"/>
  <c r="D3472" i="6"/>
  <c r="B3472" i="6"/>
  <c r="A3472" i="6"/>
  <c r="E3471" i="6"/>
  <c r="D3471" i="6"/>
  <c r="B3471" i="6"/>
  <c r="A3471" i="6"/>
  <c r="E3470" i="6"/>
  <c r="D3470" i="6"/>
  <c r="B3470" i="6"/>
  <c r="A3470" i="6"/>
  <c r="E3469" i="6"/>
  <c r="D3469" i="6"/>
  <c r="B3469" i="6"/>
  <c r="A3469" i="6"/>
  <c r="E3468" i="6"/>
  <c r="D3468" i="6"/>
  <c r="B3468" i="6"/>
  <c r="A3468" i="6"/>
  <c r="E3467" i="6"/>
  <c r="D3467" i="6"/>
  <c r="B3467" i="6"/>
  <c r="A3467" i="6"/>
  <c r="E3466" i="6"/>
  <c r="D3466" i="6"/>
  <c r="B3466" i="6"/>
  <c r="A3466" i="6"/>
  <c r="E3465" i="6"/>
  <c r="D3465" i="6"/>
  <c r="B3465" i="6"/>
  <c r="A3465" i="6"/>
  <c r="E3464" i="6"/>
  <c r="D3464" i="6"/>
  <c r="B3464" i="6"/>
  <c r="A3464" i="6"/>
  <c r="E3463" i="6"/>
  <c r="D3463" i="6"/>
  <c r="B3463" i="6"/>
  <c r="A3463" i="6"/>
  <c r="E3462" i="6"/>
  <c r="D3462" i="6"/>
  <c r="B3462" i="6"/>
  <c r="A3462" i="6"/>
  <c r="E3461" i="6"/>
  <c r="D3461" i="6"/>
  <c r="B3461" i="6"/>
  <c r="A3461" i="6"/>
  <c r="E3460" i="6"/>
  <c r="D3460" i="6"/>
  <c r="B3460" i="6"/>
  <c r="A3460" i="6"/>
  <c r="E3459" i="6"/>
  <c r="D3459" i="6"/>
  <c r="B3459" i="6"/>
  <c r="A3459" i="6"/>
  <c r="E3458" i="6"/>
  <c r="D3458" i="6"/>
  <c r="B3458" i="6"/>
  <c r="A3458" i="6"/>
  <c r="E3457" i="6"/>
  <c r="D3457" i="6"/>
  <c r="B3457" i="6"/>
  <c r="A3457" i="6"/>
  <c r="E3456" i="6"/>
  <c r="D3456" i="6"/>
  <c r="B3456" i="6"/>
  <c r="A3456" i="6"/>
  <c r="E3455" i="6"/>
  <c r="D3455" i="6"/>
  <c r="B3455" i="6"/>
  <c r="A3455" i="6"/>
  <c r="E3454" i="6"/>
  <c r="D3454" i="6"/>
  <c r="B3454" i="6"/>
  <c r="A3454" i="6"/>
  <c r="E3453" i="6"/>
  <c r="D3453" i="6"/>
  <c r="B3453" i="6"/>
  <c r="A3453" i="6"/>
  <c r="E3452" i="6"/>
  <c r="D3452" i="6"/>
  <c r="B3452" i="6"/>
  <c r="A3452" i="6"/>
  <c r="E3451" i="6"/>
  <c r="D3451" i="6"/>
  <c r="B3451" i="6"/>
  <c r="A3451" i="6"/>
  <c r="E3450" i="6"/>
  <c r="D3450" i="6"/>
  <c r="B3450" i="6"/>
  <c r="A3450" i="6"/>
  <c r="E3449" i="6"/>
  <c r="D3449" i="6"/>
  <c r="B3449" i="6"/>
  <c r="A3449" i="6"/>
  <c r="E3448" i="6"/>
  <c r="D3448" i="6"/>
  <c r="B3448" i="6"/>
  <c r="A3448" i="6"/>
  <c r="E3447" i="6"/>
  <c r="D3447" i="6"/>
  <c r="B3447" i="6"/>
  <c r="A3447" i="6"/>
  <c r="E3446" i="6"/>
  <c r="D3446" i="6"/>
  <c r="B3446" i="6"/>
  <c r="A3446" i="6"/>
  <c r="E3445" i="6"/>
  <c r="D3445" i="6"/>
  <c r="B3445" i="6"/>
  <c r="A3445" i="6"/>
  <c r="E3444" i="6"/>
  <c r="D3444" i="6"/>
  <c r="B3444" i="6"/>
  <c r="A3444" i="6"/>
  <c r="E3443" i="6"/>
  <c r="D3443" i="6"/>
  <c r="B3443" i="6"/>
  <c r="A3443" i="6"/>
  <c r="E3442" i="6"/>
  <c r="D3442" i="6"/>
  <c r="B3442" i="6"/>
  <c r="A3442" i="6"/>
  <c r="E3441" i="6"/>
  <c r="D3441" i="6"/>
  <c r="B3441" i="6"/>
  <c r="A3441" i="6"/>
  <c r="E3440" i="6"/>
  <c r="D3440" i="6"/>
  <c r="B3440" i="6"/>
  <c r="A3440" i="6"/>
  <c r="E3439" i="6"/>
  <c r="D3439" i="6"/>
  <c r="B3439" i="6"/>
  <c r="A3439" i="6"/>
  <c r="E3438" i="6"/>
  <c r="D3438" i="6"/>
  <c r="B3438" i="6"/>
  <c r="A3438" i="6"/>
  <c r="E3437" i="6"/>
  <c r="D3437" i="6"/>
  <c r="B3437" i="6"/>
  <c r="A3437" i="6"/>
  <c r="E3436" i="6"/>
  <c r="D3436" i="6"/>
  <c r="B3436" i="6"/>
  <c r="A3436" i="6"/>
  <c r="E3435" i="6"/>
  <c r="D3435" i="6"/>
  <c r="B3435" i="6"/>
  <c r="A3435" i="6"/>
  <c r="E3434" i="6"/>
  <c r="D3434" i="6"/>
  <c r="B3434" i="6"/>
  <c r="A3434" i="6"/>
  <c r="E3433" i="6"/>
  <c r="D3433" i="6"/>
  <c r="B3433" i="6"/>
  <c r="A3433" i="6"/>
  <c r="E3432" i="6"/>
  <c r="D3432" i="6"/>
  <c r="B3432" i="6"/>
  <c r="A3432" i="6"/>
  <c r="E3431" i="6"/>
  <c r="D3431" i="6"/>
  <c r="B3431" i="6"/>
  <c r="A3431" i="6"/>
  <c r="E3430" i="6"/>
  <c r="D3430" i="6"/>
  <c r="B3430" i="6"/>
  <c r="A3430" i="6"/>
  <c r="E3429" i="6"/>
  <c r="D3429" i="6"/>
  <c r="B3429" i="6"/>
  <c r="A3429" i="6"/>
  <c r="E3428" i="6"/>
  <c r="D3428" i="6"/>
  <c r="B3428" i="6"/>
  <c r="A3428" i="6"/>
  <c r="E3427" i="6"/>
  <c r="D3427" i="6"/>
  <c r="B3427" i="6"/>
  <c r="A3427" i="6"/>
  <c r="E3426" i="6"/>
  <c r="D3426" i="6"/>
  <c r="B3426" i="6"/>
  <c r="A3426" i="6"/>
  <c r="E3425" i="6"/>
  <c r="D3425" i="6"/>
  <c r="B3425" i="6"/>
  <c r="A3425" i="6"/>
  <c r="E3424" i="6"/>
  <c r="D3424" i="6"/>
  <c r="B3424" i="6"/>
  <c r="A3424" i="6"/>
  <c r="E3423" i="6"/>
  <c r="D3423" i="6"/>
  <c r="B3423" i="6"/>
  <c r="A3423" i="6"/>
  <c r="E3422" i="6"/>
  <c r="D3422" i="6"/>
  <c r="B3422" i="6"/>
  <c r="A3422" i="6"/>
  <c r="E3421" i="6"/>
  <c r="D3421" i="6"/>
  <c r="B3421" i="6"/>
  <c r="A3421" i="6"/>
  <c r="E3420" i="6"/>
  <c r="D3420" i="6"/>
  <c r="B3420" i="6"/>
  <c r="A3420" i="6"/>
  <c r="E3419" i="6"/>
  <c r="D3419" i="6"/>
  <c r="B3419" i="6"/>
  <c r="A3419" i="6"/>
  <c r="E3418" i="6"/>
  <c r="D3418" i="6"/>
  <c r="B3418" i="6"/>
  <c r="A3418" i="6"/>
  <c r="E3417" i="6"/>
  <c r="D3417" i="6"/>
  <c r="B3417" i="6"/>
  <c r="A3417" i="6"/>
  <c r="E3416" i="6"/>
  <c r="D3416" i="6"/>
  <c r="B3416" i="6"/>
  <c r="A3416" i="6"/>
  <c r="E3415" i="6"/>
  <c r="D3415" i="6"/>
  <c r="B3415" i="6"/>
  <c r="A3415" i="6"/>
  <c r="E3414" i="6"/>
  <c r="D3414" i="6"/>
  <c r="B3414" i="6"/>
  <c r="A3414" i="6"/>
  <c r="E3413" i="6"/>
  <c r="D3413" i="6"/>
  <c r="B3413" i="6"/>
  <c r="A3413" i="6"/>
  <c r="E3412" i="6"/>
  <c r="D3412" i="6"/>
  <c r="B3412" i="6"/>
  <c r="A3412" i="6"/>
  <c r="E3411" i="6"/>
  <c r="D3411" i="6"/>
  <c r="B3411" i="6"/>
  <c r="A3411" i="6"/>
  <c r="E3410" i="6"/>
  <c r="D3410" i="6"/>
  <c r="B3410" i="6"/>
  <c r="A3410" i="6"/>
  <c r="E3409" i="6"/>
  <c r="D3409" i="6"/>
  <c r="B3409" i="6"/>
  <c r="A3409" i="6"/>
  <c r="E3408" i="6"/>
  <c r="D3408" i="6"/>
  <c r="B3408" i="6"/>
  <c r="A3408" i="6"/>
  <c r="E3407" i="6"/>
  <c r="D3407" i="6"/>
  <c r="B3407" i="6"/>
  <c r="A3407" i="6"/>
  <c r="E3406" i="6"/>
  <c r="D3406" i="6"/>
  <c r="B3406" i="6"/>
  <c r="A3406" i="6"/>
  <c r="E3405" i="6"/>
  <c r="D3405" i="6"/>
  <c r="B3405" i="6"/>
  <c r="A3405" i="6"/>
  <c r="E3404" i="6"/>
  <c r="D3404" i="6"/>
  <c r="B3404" i="6"/>
  <c r="A3404" i="6"/>
  <c r="E3403" i="6"/>
  <c r="D3403" i="6"/>
  <c r="B3403" i="6"/>
  <c r="A3403" i="6"/>
  <c r="E3402" i="6"/>
  <c r="D3402" i="6"/>
  <c r="B3402" i="6"/>
  <c r="A3402" i="6"/>
  <c r="E3401" i="6"/>
  <c r="D3401" i="6"/>
  <c r="B3401" i="6"/>
  <c r="A3401" i="6"/>
  <c r="E3400" i="6"/>
  <c r="D3400" i="6"/>
  <c r="B3400" i="6"/>
  <c r="A3400" i="6"/>
  <c r="E3399" i="6"/>
  <c r="D3399" i="6"/>
  <c r="B3399" i="6"/>
  <c r="A3399" i="6"/>
  <c r="E3398" i="6"/>
  <c r="D3398" i="6"/>
  <c r="B3398" i="6"/>
  <c r="A3398" i="6"/>
  <c r="E3397" i="6"/>
  <c r="D3397" i="6"/>
  <c r="B3397" i="6"/>
  <c r="A3397" i="6"/>
  <c r="E3396" i="6"/>
  <c r="D3396" i="6"/>
  <c r="B3396" i="6"/>
  <c r="A3396" i="6"/>
  <c r="E3395" i="6"/>
  <c r="D3395" i="6"/>
  <c r="B3395" i="6"/>
  <c r="A3395" i="6"/>
  <c r="E3394" i="6"/>
  <c r="D3394" i="6"/>
  <c r="B3394" i="6"/>
  <c r="A3394" i="6"/>
  <c r="E3393" i="6"/>
  <c r="D3393" i="6"/>
  <c r="B3393" i="6"/>
  <c r="A3393" i="6"/>
  <c r="E3392" i="6"/>
  <c r="D3392" i="6"/>
  <c r="B3392" i="6"/>
  <c r="A3392" i="6"/>
  <c r="E3391" i="6"/>
  <c r="D3391" i="6"/>
  <c r="B3391" i="6"/>
  <c r="A3391" i="6"/>
  <c r="E3390" i="6"/>
  <c r="D3390" i="6"/>
  <c r="B3390" i="6"/>
  <c r="A3390" i="6"/>
  <c r="E3389" i="6"/>
  <c r="D3389" i="6"/>
  <c r="B3389" i="6"/>
  <c r="A3389" i="6"/>
  <c r="E3388" i="6"/>
  <c r="D3388" i="6"/>
  <c r="B3388" i="6"/>
  <c r="A3388" i="6"/>
  <c r="E3387" i="6"/>
  <c r="D3387" i="6"/>
  <c r="B3387" i="6"/>
  <c r="A3387" i="6"/>
  <c r="E3386" i="6"/>
  <c r="D3386" i="6"/>
  <c r="B3386" i="6"/>
  <c r="A3386" i="6"/>
  <c r="E3385" i="6"/>
  <c r="D3385" i="6"/>
  <c r="B3385" i="6"/>
  <c r="A3385" i="6"/>
  <c r="E3384" i="6"/>
  <c r="D3384" i="6"/>
  <c r="B3384" i="6"/>
  <c r="A3384" i="6"/>
  <c r="E3383" i="6"/>
  <c r="D3383" i="6"/>
  <c r="B3383" i="6"/>
  <c r="A3383" i="6"/>
  <c r="E3382" i="6"/>
  <c r="D3382" i="6"/>
  <c r="B3382" i="6"/>
  <c r="A3382" i="6"/>
  <c r="E3381" i="6"/>
  <c r="D3381" i="6"/>
  <c r="B3381" i="6"/>
  <c r="A3381" i="6"/>
  <c r="E3380" i="6"/>
  <c r="D3380" i="6"/>
  <c r="B3380" i="6"/>
  <c r="A3380" i="6"/>
  <c r="E3379" i="6"/>
  <c r="D3379" i="6"/>
  <c r="B3379" i="6"/>
  <c r="A3379" i="6"/>
  <c r="E3378" i="6"/>
  <c r="D3378" i="6"/>
  <c r="B3378" i="6"/>
  <c r="A3378" i="6"/>
  <c r="E3377" i="6"/>
  <c r="D3377" i="6"/>
  <c r="B3377" i="6"/>
  <c r="A3377" i="6"/>
  <c r="E3376" i="6"/>
  <c r="D3376" i="6"/>
  <c r="B3376" i="6"/>
  <c r="A3376" i="6"/>
  <c r="E3375" i="6"/>
  <c r="D3375" i="6"/>
  <c r="B3375" i="6"/>
  <c r="A3375" i="6"/>
  <c r="E3374" i="6"/>
  <c r="D3374" i="6"/>
  <c r="B3374" i="6"/>
  <c r="A3374" i="6"/>
  <c r="E3373" i="6"/>
  <c r="D3373" i="6"/>
  <c r="B3373" i="6"/>
  <c r="A3373" i="6"/>
  <c r="E3372" i="6"/>
  <c r="D3372" i="6"/>
  <c r="B3372" i="6"/>
  <c r="A3372" i="6"/>
  <c r="E3371" i="6"/>
  <c r="D3371" i="6"/>
  <c r="B3371" i="6"/>
  <c r="A3371" i="6"/>
  <c r="E3370" i="6"/>
  <c r="D3370" i="6"/>
  <c r="B3370" i="6"/>
  <c r="A3370" i="6"/>
  <c r="E3369" i="6"/>
  <c r="D3369" i="6"/>
  <c r="B3369" i="6"/>
  <c r="A3369" i="6"/>
  <c r="E3368" i="6"/>
  <c r="D3368" i="6"/>
  <c r="B3368" i="6"/>
  <c r="A3368" i="6"/>
  <c r="E3367" i="6"/>
  <c r="D3367" i="6"/>
  <c r="B3367" i="6"/>
  <c r="A3367" i="6"/>
  <c r="E3366" i="6"/>
  <c r="D3366" i="6"/>
  <c r="B3366" i="6"/>
  <c r="A3366" i="6"/>
  <c r="E3365" i="6"/>
  <c r="D3365" i="6"/>
  <c r="B3365" i="6"/>
  <c r="A3365" i="6"/>
  <c r="E3364" i="6"/>
  <c r="D3364" i="6"/>
  <c r="B3364" i="6"/>
  <c r="A3364" i="6"/>
  <c r="E3363" i="6"/>
  <c r="D3363" i="6"/>
  <c r="B3363" i="6"/>
  <c r="A3363" i="6"/>
  <c r="E3362" i="6"/>
  <c r="D3362" i="6"/>
  <c r="B3362" i="6"/>
  <c r="A3362" i="6"/>
  <c r="E3361" i="6"/>
  <c r="D3361" i="6"/>
  <c r="B3361" i="6"/>
  <c r="A3361" i="6"/>
  <c r="E3360" i="6"/>
  <c r="D3360" i="6"/>
  <c r="B3360" i="6"/>
  <c r="A3360" i="6"/>
  <c r="E3359" i="6"/>
  <c r="D3359" i="6"/>
  <c r="B3359" i="6"/>
  <c r="A3359" i="6"/>
  <c r="E3358" i="6"/>
  <c r="D3358" i="6"/>
  <c r="B3358" i="6"/>
  <c r="A3358" i="6"/>
  <c r="E3357" i="6"/>
  <c r="D3357" i="6"/>
  <c r="B3357" i="6"/>
  <c r="A3357" i="6"/>
  <c r="E3356" i="6"/>
  <c r="D3356" i="6"/>
  <c r="B3356" i="6"/>
  <c r="A3356" i="6"/>
  <c r="E3355" i="6"/>
  <c r="D3355" i="6"/>
  <c r="B3355" i="6"/>
  <c r="A3355" i="6"/>
  <c r="E3354" i="6"/>
  <c r="D3354" i="6"/>
  <c r="B3354" i="6"/>
  <c r="A3354" i="6"/>
  <c r="E3353" i="6"/>
  <c r="D3353" i="6"/>
  <c r="B3353" i="6"/>
  <c r="A3353" i="6"/>
  <c r="E3352" i="6"/>
  <c r="D3352" i="6"/>
  <c r="B3352" i="6"/>
  <c r="A3352" i="6"/>
  <c r="E3351" i="6"/>
  <c r="D3351" i="6"/>
  <c r="B3351" i="6"/>
  <c r="A3351" i="6"/>
  <c r="E3350" i="6"/>
  <c r="D3350" i="6"/>
  <c r="B3350" i="6"/>
  <c r="A3350" i="6"/>
  <c r="E3349" i="6"/>
  <c r="D3349" i="6"/>
  <c r="B3349" i="6"/>
  <c r="A3349" i="6"/>
  <c r="E3348" i="6"/>
  <c r="D3348" i="6"/>
  <c r="B3348" i="6"/>
  <c r="A3348" i="6"/>
  <c r="E3347" i="6"/>
  <c r="D3347" i="6"/>
  <c r="B3347" i="6"/>
  <c r="A3347" i="6"/>
  <c r="E3346" i="6"/>
  <c r="D3346" i="6"/>
  <c r="B3346" i="6"/>
  <c r="A3346" i="6"/>
  <c r="E3345" i="6"/>
  <c r="D3345" i="6"/>
  <c r="B3345" i="6"/>
  <c r="A3345" i="6"/>
  <c r="E3344" i="6"/>
  <c r="D3344" i="6"/>
  <c r="B3344" i="6"/>
  <c r="A3344" i="6"/>
  <c r="E3343" i="6"/>
  <c r="D3343" i="6"/>
  <c r="B3343" i="6"/>
  <c r="A3343" i="6"/>
  <c r="E3342" i="6"/>
  <c r="D3342" i="6"/>
  <c r="B3342" i="6"/>
  <c r="A3342" i="6"/>
  <c r="E3341" i="6"/>
  <c r="D3341" i="6"/>
  <c r="B3341" i="6"/>
  <c r="A3341" i="6"/>
  <c r="E3340" i="6"/>
  <c r="D3340" i="6"/>
  <c r="B3340" i="6"/>
  <c r="A3340" i="6"/>
  <c r="E3339" i="6"/>
  <c r="D3339" i="6"/>
  <c r="B3339" i="6"/>
  <c r="A3339" i="6"/>
  <c r="E3338" i="6"/>
  <c r="D3338" i="6"/>
  <c r="B3338" i="6"/>
  <c r="A3338" i="6"/>
  <c r="E3337" i="6"/>
  <c r="D3337" i="6"/>
  <c r="B3337" i="6"/>
  <c r="A3337" i="6"/>
  <c r="E3336" i="6"/>
  <c r="D3336" i="6"/>
  <c r="B3336" i="6"/>
  <c r="A3336" i="6"/>
  <c r="E3335" i="6"/>
  <c r="D3335" i="6"/>
  <c r="B3335" i="6"/>
  <c r="A3335" i="6"/>
  <c r="E3334" i="6"/>
  <c r="D3334" i="6"/>
  <c r="B3334" i="6"/>
  <c r="A3334" i="6"/>
  <c r="E3333" i="6"/>
  <c r="D3333" i="6"/>
  <c r="B3333" i="6"/>
  <c r="A3333" i="6"/>
  <c r="E3332" i="6"/>
  <c r="D3332" i="6"/>
  <c r="B3332" i="6"/>
  <c r="A3332" i="6"/>
  <c r="E3331" i="6"/>
  <c r="D3331" i="6"/>
  <c r="B3331" i="6"/>
  <c r="A3331" i="6"/>
  <c r="E3330" i="6"/>
  <c r="D3330" i="6"/>
  <c r="B3330" i="6"/>
  <c r="A3330" i="6"/>
  <c r="E3329" i="6"/>
  <c r="D3329" i="6"/>
  <c r="B3329" i="6"/>
  <c r="A3329" i="6"/>
  <c r="E3328" i="6"/>
  <c r="D3328" i="6"/>
  <c r="B3328" i="6"/>
  <c r="A3328" i="6"/>
  <c r="E3327" i="6"/>
  <c r="D3327" i="6"/>
  <c r="B3327" i="6"/>
  <c r="A3327" i="6"/>
  <c r="E3326" i="6"/>
  <c r="D3326" i="6"/>
  <c r="B3326" i="6"/>
  <c r="A3326" i="6"/>
  <c r="E3325" i="6"/>
  <c r="D3325" i="6"/>
  <c r="B3325" i="6"/>
  <c r="A3325" i="6"/>
  <c r="E3324" i="6"/>
  <c r="D3324" i="6"/>
  <c r="B3324" i="6"/>
  <c r="A3324" i="6"/>
  <c r="E3323" i="6"/>
  <c r="D3323" i="6"/>
  <c r="B3323" i="6"/>
  <c r="A3323" i="6"/>
  <c r="E3322" i="6"/>
  <c r="D3322" i="6"/>
  <c r="B3322" i="6"/>
  <c r="A3322" i="6"/>
  <c r="E3321" i="6"/>
  <c r="D3321" i="6"/>
  <c r="B3321" i="6"/>
  <c r="A3321" i="6"/>
  <c r="E3320" i="6"/>
  <c r="D3320" i="6"/>
  <c r="B3320" i="6"/>
  <c r="A3320" i="6"/>
  <c r="E3319" i="6"/>
  <c r="D3319" i="6"/>
  <c r="B3319" i="6"/>
  <c r="A3319" i="6"/>
  <c r="E3318" i="6"/>
  <c r="D3318" i="6"/>
  <c r="B3318" i="6"/>
  <c r="A3318" i="6"/>
  <c r="E3317" i="6"/>
  <c r="D3317" i="6"/>
  <c r="B3317" i="6"/>
  <c r="A3317" i="6"/>
  <c r="E3316" i="6"/>
  <c r="D3316" i="6"/>
  <c r="B3316" i="6"/>
  <c r="A3316" i="6"/>
  <c r="E3315" i="6"/>
  <c r="D3315" i="6"/>
  <c r="B3315" i="6"/>
  <c r="A3315" i="6"/>
  <c r="E3314" i="6"/>
  <c r="D3314" i="6"/>
  <c r="B3314" i="6"/>
  <c r="A3314" i="6"/>
  <c r="E3313" i="6"/>
  <c r="D3313" i="6"/>
  <c r="B3313" i="6"/>
  <c r="A3313" i="6"/>
  <c r="E3312" i="6"/>
  <c r="D3312" i="6"/>
  <c r="B3312" i="6"/>
  <c r="A3312" i="6"/>
  <c r="E3311" i="6"/>
  <c r="D3311" i="6"/>
  <c r="B3311" i="6"/>
  <c r="A3311" i="6"/>
  <c r="E3310" i="6"/>
  <c r="D3310" i="6"/>
  <c r="B3310" i="6"/>
  <c r="A3310" i="6"/>
  <c r="E3309" i="6"/>
  <c r="D3309" i="6"/>
  <c r="B3309" i="6"/>
  <c r="A3309" i="6"/>
  <c r="E3308" i="6"/>
  <c r="D3308" i="6"/>
  <c r="B3308" i="6"/>
  <c r="A3308" i="6"/>
  <c r="E3307" i="6"/>
  <c r="D3307" i="6"/>
  <c r="B3307" i="6"/>
  <c r="A3307" i="6"/>
  <c r="E3306" i="6"/>
  <c r="D3306" i="6"/>
  <c r="B3306" i="6"/>
  <c r="A3306" i="6"/>
  <c r="E3305" i="6"/>
  <c r="D3305" i="6"/>
  <c r="B3305" i="6"/>
  <c r="A3305" i="6"/>
  <c r="E3304" i="6"/>
  <c r="D3304" i="6"/>
  <c r="B3304" i="6"/>
  <c r="A3304" i="6"/>
  <c r="E3303" i="6"/>
  <c r="D3303" i="6"/>
  <c r="B3303" i="6"/>
  <c r="A3303" i="6"/>
  <c r="E3302" i="6"/>
  <c r="D3302" i="6"/>
  <c r="B3302" i="6"/>
  <c r="A3302" i="6"/>
  <c r="E3301" i="6"/>
  <c r="D3301" i="6"/>
  <c r="B3301" i="6"/>
  <c r="A3301" i="6"/>
  <c r="E3300" i="6"/>
  <c r="D3300" i="6"/>
  <c r="B3300" i="6"/>
  <c r="A3300" i="6"/>
  <c r="E3299" i="6"/>
  <c r="D3299" i="6"/>
  <c r="B3299" i="6"/>
  <c r="A3299" i="6"/>
  <c r="E3298" i="6"/>
  <c r="D3298" i="6"/>
  <c r="B3298" i="6"/>
  <c r="A3298" i="6"/>
  <c r="E3297" i="6"/>
  <c r="D3297" i="6"/>
  <c r="B3297" i="6"/>
  <c r="A3297" i="6"/>
  <c r="E3296" i="6"/>
  <c r="D3296" i="6"/>
  <c r="B3296" i="6"/>
  <c r="A3296" i="6"/>
  <c r="E3295" i="6"/>
  <c r="D3295" i="6"/>
  <c r="B3295" i="6"/>
  <c r="A3295" i="6"/>
  <c r="E3294" i="6"/>
  <c r="D3294" i="6"/>
  <c r="B3294" i="6"/>
  <c r="A3294" i="6"/>
  <c r="E3293" i="6"/>
  <c r="D3293" i="6"/>
  <c r="B3293" i="6"/>
  <c r="A3293" i="6"/>
  <c r="E3292" i="6"/>
  <c r="D3292" i="6"/>
  <c r="B3292" i="6"/>
  <c r="A3292" i="6"/>
  <c r="E3291" i="6"/>
  <c r="D3291" i="6"/>
  <c r="B3291" i="6"/>
  <c r="A3291" i="6"/>
  <c r="E3290" i="6"/>
  <c r="D3290" i="6"/>
  <c r="B3290" i="6"/>
  <c r="A3290" i="6"/>
  <c r="E3289" i="6"/>
  <c r="D3289" i="6"/>
  <c r="B3289" i="6"/>
  <c r="A3289" i="6"/>
  <c r="E3288" i="6"/>
  <c r="D3288" i="6"/>
  <c r="B3288" i="6"/>
  <c r="A3288" i="6"/>
  <c r="E3287" i="6"/>
  <c r="D3287" i="6"/>
  <c r="B3287" i="6"/>
  <c r="A3287" i="6"/>
  <c r="E3286" i="6"/>
  <c r="D3286" i="6"/>
  <c r="B3286" i="6"/>
  <c r="A3286" i="6"/>
  <c r="E3285" i="6"/>
  <c r="D3285" i="6"/>
  <c r="B3285" i="6"/>
  <c r="A3285" i="6"/>
  <c r="E3284" i="6"/>
  <c r="D3284" i="6"/>
  <c r="B3284" i="6"/>
  <c r="A3284" i="6"/>
  <c r="E3283" i="6"/>
  <c r="D3283" i="6"/>
  <c r="B3283" i="6"/>
  <c r="A3283" i="6"/>
  <c r="E3282" i="6"/>
  <c r="D3282" i="6"/>
  <c r="B3282" i="6"/>
  <c r="A3282" i="6"/>
  <c r="E3281" i="6"/>
  <c r="D3281" i="6"/>
  <c r="B3281" i="6"/>
  <c r="A3281" i="6"/>
  <c r="E3280" i="6"/>
  <c r="D3280" i="6"/>
  <c r="B3280" i="6"/>
  <c r="A3280" i="6"/>
  <c r="E3279" i="6"/>
  <c r="D3279" i="6"/>
  <c r="B3279" i="6"/>
  <c r="A3279" i="6"/>
  <c r="E3278" i="6"/>
  <c r="D3278" i="6"/>
  <c r="B3278" i="6"/>
  <c r="A3278" i="6"/>
  <c r="E3277" i="6"/>
  <c r="D3277" i="6"/>
  <c r="B3277" i="6"/>
  <c r="A3277" i="6"/>
  <c r="E3276" i="6"/>
  <c r="D3276" i="6"/>
  <c r="B3276" i="6"/>
  <c r="A3276" i="6"/>
  <c r="E3275" i="6"/>
  <c r="D3275" i="6"/>
  <c r="B3275" i="6"/>
  <c r="A3275" i="6"/>
  <c r="E3274" i="6"/>
  <c r="D3274" i="6"/>
  <c r="B3274" i="6"/>
  <c r="A3274" i="6"/>
  <c r="E3273" i="6"/>
  <c r="D3273" i="6"/>
  <c r="B3273" i="6"/>
  <c r="A3273" i="6"/>
  <c r="E3272" i="6"/>
  <c r="D3272" i="6"/>
  <c r="B3272" i="6"/>
  <c r="A3272" i="6"/>
  <c r="E3271" i="6"/>
  <c r="D3271" i="6"/>
  <c r="B3271" i="6"/>
  <c r="A3271" i="6"/>
  <c r="E3270" i="6"/>
  <c r="D3270" i="6"/>
  <c r="B3270" i="6"/>
  <c r="A3270" i="6"/>
  <c r="E3269" i="6"/>
  <c r="D3269" i="6"/>
  <c r="B3269" i="6"/>
  <c r="A3269" i="6"/>
  <c r="E3268" i="6"/>
  <c r="D3268" i="6"/>
  <c r="B3268" i="6"/>
  <c r="A3268" i="6"/>
  <c r="E3267" i="6"/>
  <c r="D3267" i="6"/>
  <c r="B3267" i="6"/>
  <c r="A3267" i="6"/>
  <c r="E3266" i="6"/>
  <c r="D3266" i="6"/>
  <c r="B3266" i="6"/>
  <c r="A3266" i="6"/>
  <c r="E3265" i="6"/>
  <c r="D3265" i="6"/>
  <c r="B3265" i="6"/>
  <c r="A3265" i="6"/>
  <c r="E3264" i="6"/>
  <c r="D3264" i="6"/>
  <c r="B3264" i="6"/>
  <c r="A3264" i="6"/>
  <c r="E3263" i="6"/>
  <c r="D3263" i="6"/>
  <c r="B3263" i="6"/>
  <c r="A3263" i="6"/>
  <c r="E3262" i="6"/>
  <c r="D3262" i="6"/>
  <c r="B3262" i="6"/>
  <c r="A3262" i="6"/>
  <c r="E3261" i="6"/>
  <c r="D3261" i="6"/>
  <c r="B3261" i="6"/>
  <c r="A3261" i="6"/>
  <c r="E3260" i="6"/>
  <c r="D3260" i="6"/>
  <c r="B3260" i="6"/>
  <c r="A3260" i="6"/>
  <c r="E3259" i="6"/>
  <c r="D3259" i="6"/>
  <c r="B3259" i="6"/>
  <c r="A3259" i="6"/>
  <c r="E3258" i="6"/>
  <c r="D3258" i="6"/>
  <c r="B3258" i="6"/>
  <c r="A3258" i="6"/>
  <c r="E3257" i="6"/>
  <c r="D3257" i="6"/>
  <c r="B3257" i="6"/>
  <c r="A3257" i="6"/>
  <c r="E3256" i="6"/>
  <c r="D3256" i="6"/>
  <c r="B3256" i="6"/>
  <c r="A3256" i="6"/>
  <c r="E3255" i="6"/>
  <c r="D3255" i="6"/>
  <c r="B3255" i="6"/>
  <c r="A3255" i="6"/>
  <c r="E3254" i="6"/>
  <c r="D3254" i="6"/>
  <c r="B3254" i="6"/>
  <c r="A3254" i="6"/>
  <c r="E3253" i="6"/>
  <c r="D3253" i="6"/>
  <c r="B3253" i="6"/>
  <c r="A3253" i="6"/>
  <c r="E3252" i="6"/>
  <c r="D3252" i="6"/>
  <c r="B3252" i="6"/>
  <c r="A3252" i="6"/>
  <c r="E3251" i="6"/>
  <c r="D3251" i="6"/>
  <c r="B3251" i="6"/>
  <c r="A3251" i="6"/>
  <c r="E3250" i="6"/>
  <c r="D3250" i="6"/>
  <c r="B3250" i="6"/>
  <c r="A3250" i="6"/>
  <c r="E3249" i="6"/>
  <c r="D3249" i="6"/>
  <c r="B3249" i="6"/>
  <c r="A3249" i="6"/>
  <c r="E3248" i="6"/>
  <c r="D3248" i="6"/>
  <c r="B3248" i="6"/>
  <c r="A3248" i="6"/>
  <c r="E3247" i="6"/>
  <c r="D3247" i="6"/>
  <c r="B3247" i="6"/>
  <c r="A3247" i="6"/>
  <c r="E3246" i="6"/>
  <c r="D3246" i="6"/>
  <c r="B3246" i="6"/>
  <c r="A3246" i="6"/>
  <c r="E3245" i="6"/>
  <c r="D3245" i="6"/>
  <c r="B3245" i="6"/>
  <c r="A3245" i="6"/>
  <c r="E3244" i="6"/>
  <c r="D3244" i="6"/>
  <c r="B3244" i="6"/>
  <c r="A3244" i="6"/>
  <c r="E3243" i="6"/>
  <c r="D3243" i="6"/>
  <c r="B3243" i="6"/>
  <c r="A3243" i="6"/>
  <c r="E3242" i="6"/>
  <c r="D3242" i="6"/>
  <c r="B3242" i="6"/>
  <c r="A3242" i="6"/>
  <c r="E3241" i="6"/>
  <c r="D3241" i="6"/>
  <c r="B3241" i="6"/>
  <c r="A3241" i="6"/>
  <c r="E3240" i="6"/>
  <c r="D3240" i="6"/>
  <c r="B3240" i="6"/>
  <c r="A3240" i="6"/>
  <c r="E3239" i="6"/>
  <c r="D3239" i="6"/>
  <c r="B3239" i="6"/>
  <c r="A3239" i="6"/>
  <c r="E3238" i="6"/>
  <c r="D3238" i="6"/>
  <c r="B3238" i="6"/>
  <c r="A3238" i="6"/>
  <c r="E3237" i="6"/>
  <c r="D3237" i="6"/>
  <c r="B3237" i="6"/>
  <c r="A3237" i="6"/>
  <c r="E3236" i="6"/>
  <c r="D3236" i="6"/>
  <c r="B3236" i="6"/>
  <c r="A3236" i="6"/>
  <c r="E3235" i="6"/>
  <c r="D3235" i="6"/>
  <c r="B3235" i="6"/>
  <c r="A3235" i="6"/>
  <c r="E3234" i="6"/>
  <c r="D3234" i="6"/>
  <c r="B3234" i="6"/>
  <c r="A3234" i="6"/>
  <c r="E3233" i="6"/>
  <c r="D3233" i="6"/>
  <c r="B3233" i="6"/>
  <c r="A3233" i="6"/>
  <c r="E3232" i="6"/>
  <c r="D3232" i="6"/>
  <c r="B3232" i="6"/>
  <c r="A3232" i="6"/>
  <c r="E3231" i="6"/>
  <c r="D3231" i="6"/>
  <c r="B3231" i="6"/>
  <c r="A3231" i="6"/>
  <c r="E3230" i="6"/>
  <c r="D3230" i="6"/>
  <c r="B3230" i="6"/>
  <c r="A3230" i="6"/>
  <c r="E3229" i="6"/>
  <c r="D3229" i="6"/>
  <c r="B3229" i="6"/>
  <c r="A3229" i="6"/>
  <c r="E3228" i="6"/>
  <c r="D3228" i="6"/>
  <c r="B3228" i="6"/>
  <c r="A3228" i="6"/>
  <c r="E3227" i="6"/>
  <c r="D3227" i="6"/>
  <c r="B3227" i="6"/>
  <c r="A3227" i="6"/>
  <c r="E3226" i="6"/>
  <c r="D3226" i="6"/>
  <c r="B3226" i="6"/>
  <c r="A3226" i="6"/>
  <c r="E3225" i="6"/>
  <c r="D3225" i="6"/>
  <c r="B3225" i="6"/>
  <c r="A3225" i="6"/>
  <c r="E3224" i="6"/>
  <c r="D3224" i="6"/>
  <c r="B3224" i="6"/>
  <c r="A3224" i="6"/>
  <c r="E3223" i="6"/>
  <c r="D3223" i="6"/>
  <c r="B3223" i="6"/>
  <c r="A3223" i="6"/>
  <c r="E3222" i="6"/>
  <c r="D3222" i="6"/>
  <c r="B3222" i="6"/>
  <c r="A3222" i="6"/>
  <c r="E3221" i="6"/>
  <c r="D3221" i="6"/>
  <c r="B3221" i="6"/>
  <c r="A3221" i="6"/>
  <c r="E3220" i="6"/>
  <c r="D3220" i="6"/>
  <c r="B3220" i="6"/>
  <c r="A3220" i="6"/>
  <c r="E3219" i="6"/>
  <c r="D3219" i="6"/>
  <c r="B3219" i="6"/>
  <c r="A3219" i="6"/>
  <c r="E3218" i="6"/>
  <c r="D3218" i="6"/>
  <c r="B3218" i="6"/>
  <c r="A3218" i="6"/>
  <c r="E3217" i="6"/>
  <c r="D3217" i="6"/>
  <c r="B3217" i="6"/>
  <c r="A3217" i="6"/>
  <c r="E3216" i="6"/>
  <c r="D3216" i="6"/>
  <c r="B3216" i="6"/>
  <c r="A3216" i="6"/>
  <c r="E3215" i="6"/>
  <c r="D3215" i="6"/>
  <c r="B3215" i="6"/>
  <c r="A3215" i="6"/>
  <c r="E3214" i="6"/>
  <c r="D3214" i="6"/>
  <c r="B3214" i="6"/>
  <c r="A3214" i="6"/>
  <c r="E3213" i="6"/>
  <c r="D3213" i="6"/>
  <c r="B3213" i="6"/>
  <c r="A3213" i="6"/>
  <c r="E3212" i="6"/>
  <c r="D3212" i="6"/>
  <c r="B3212" i="6"/>
  <c r="A3212" i="6"/>
  <c r="E3211" i="6"/>
  <c r="D3211" i="6"/>
  <c r="B3211" i="6"/>
  <c r="A3211" i="6"/>
  <c r="E3210" i="6"/>
  <c r="D3210" i="6"/>
  <c r="B3210" i="6"/>
  <c r="A3210" i="6"/>
  <c r="E3209" i="6"/>
  <c r="D3209" i="6"/>
  <c r="B3209" i="6"/>
  <c r="A3209" i="6"/>
  <c r="E3208" i="6"/>
  <c r="D3208" i="6"/>
  <c r="B3208" i="6"/>
  <c r="A3208" i="6"/>
  <c r="E3207" i="6"/>
  <c r="D3207" i="6"/>
  <c r="B3207" i="6"/>
  <c r="A3207" i="6"/>
  <c r="E3206" i="6"/>
  <c r="D3206" i="6"/>
  <c r="B3206" i="6"/>
  <c r="A3206" i="6"/>
  <c r="E3205" i="6"/>
  <c r="D3205" i="6"/>
  <c r="B3205" i="6"/>
  <c r="A3205" i="6"/>
  <c r="E3204" i="6"/>
  <c r="D3204" i="6"/>
  <c r="B3204" i="6"/>
  <c r="A3204" i="6"/>
  <c r="E3203" i="6"/>
  <c r="D3203" i="6"/>
  <c r="B3203" i="6"/>
  <c r="A3203" i="6"/>
  <c r="E3202" i="6"/>
  <c r="D3202" i="6"/>
  <c r="B3202" i="6"/>
  <c r="A3202" i="6"/>
  <c r="E3201" i="6"/>
  <c r="D3201" i="6"/>
  <c r="B3201" i="6"/>
  <c r="A3201" i="6"/>
  <c r="E3200" i="6"/>
  <c r="D3200" i="6"/>
  <c r="B3200" i="6"/>
  <c r="A3200" i="6"/>
  <c r="E3199" i="6"/>
  <c r="D3199" i="6"/>
  <c r="B3199" i="6"/>
  <c r="A3199" i="6"/>
  <c r="E3198" i="6"/>
  <c r="D3198" i="6"/>
  <c r="B3198" i="6"/>
  <c r="A3198" i="6"/>
  <c r="E3197" i="6"/>
  <c r="D3197" i="6"/>
  <c r="B3197" i="6"/>
  <c r="A3197" i="6"/>
  <c r="E3196" i="6"/>
  <c r="D3196" i="6"/>
  <c r="B3196" i="6"/>
  <c r="A3196" i="6"/>
  <c r="E3195" i="6"/>
  <c r="D3195" i="6"/>
  <c r="B3195" i="6"/>
  <c r="A3195" i="6"/>
  <c r="E3194" i="6"/>
  <c r="D3194" i="6"/>
  <c r="B3194" i="6"/>
  <c r="A3194" i="6"/>
  <c r="E3193" i="6"/>
  <c r="D3193" i="6"/>
  <c r="B3193" i="6"/>
  <c r="A3193" i="6"/>
  <c r="E3192" i="6"/>
  <c r="D3192" i="6"/>
  <c r="B3192" i="6"/>
  <c r="A3192" i="6"/>
  <c r="E3191" i="6"/>
  <c r="D3191" i="6"/>
  <c r="B3191" i="6"/>
  <c r="A3191" i="6"/>
  <c r="E3190" i="6"/>
  <c r="D3190" i="6"/>
  <c r="B3190" i="6"/>
  <c r="A3190" i="6"/>
  <c r="E3189" i="6"/>
  <c r="D3189" i="6"/>
  <c r="B3189" i="6"/>
  <c r="A3189" i="6"/>
  <c r="E3188" i="6"/>
  <c r="D3188" i="6"/>
  <c r="B3188" i="6"/>
  <c r="A3188" i="6"/>
  <c r="E3187" i="6"/>
  <c r="D3187" i="6"/>
  <c r="B3187" i="6"/>
  <c r="A3187" i="6"/>
  <c r="E3186" i="6"/>
  <c r="D3186" i="6"/>
  <c r="B3186" i="6"/>
  <c r="A3186" i="6"/>
  <c r="E3185" i="6"/>
  <c r="D3185" i="6"/>
  <c r="B3185" i="6"/>
  <c r="A3185" i="6"/>
  <c r="E3184" i="6"/>
  <c r="D3184" i="6"/>
  <c r="B3184" i="6"/>
  <c r="A3184" i="6"/>
  <c r="E3183" i="6"/>
  <c r="D3183" i="6"/>
  <c r="B3183" i="6"/>
  <c r="A3183" i="6"/>
  <c r="E3182" i="6"/>
  <c r="D3182" i="6"/>
  <c r="B3182" i="6"/>
  <c r="A3182" i="6"/>
  <c r="E3181" i="6"/>
  <c r="D3181" i="6"/>
  <c r="B3181" i="6"/>
  <c r="A3181" i="6"/>
  <c r="E3180" i="6"/>
  <c r="D3180" i="6"/>
  <c r="B3180" i="6"/>
  <c r="A3180" i="6"/>
  <c r="E3179" i="6"/>
  <c r="D3179" i="6"/>
  <c r="B3179" i="6"/>
  <c r="A3179" i="6"/>
  <c r="E3178" i="6"/>
  <c r="D3178" i="6"/>
  <c r="B3178" i="6"/>
  <c r="A3178" i="6"/>
  <c r="E3177" i="6"/>
  <c r="D3177" i="6"/>
  <c r="B3177" i="6"/>
  <c r="A3177" i="6"/>
  <c r="E3176" i="6"/>
  <c r="D3176" i="6"/>
  <c r="B3176" i="6"/>
  <c r="A3176" i="6"/>
  <c r="E3175" i="6"/>
  <c r="D3175" i="6"/>
  <c r="B3175" i="6"/>
  <c r="A3175" i="6"/>
  <c r="E3174" i="6"/>
  <c r="D3174" i="6"/>
  <c r="B3174" i="6"/>
  <c r="A3174" i="6"/>
  <c r="E3173" i="6"/>
  <c r="D3173" i="6"/>
  <c r="B3173" i="6"/>
  <c r="A3173" i="6"/>
  <c r="E3172" i="6"/>
  <c r="D3172" i="6"/>
  <c r="B3172" i="6"/>
  <c r="A3172" i="6"/>
  <c r="E3171" i="6"/>
  <c r="D3171" i="6"/>
  <c r="B3171" i="6"/>
  <c r="A3171" i="6"/>
  <c r="E3170" i="6"/>
  <c r="D3170" i="6"/>
  <c r="B3170" i="6"/>
  <c r="A3170" i="6"/>
  <c r="E3169" i="6"/>
  <c r="D3169" i="6"/>
  <c r="B3169" i="6"/>
  <c r="A3169" i="6"/>
  <c r="E3168" i="6"/>
  <c r="D3168" i="6"/>
  <c r="B3168" i="6"/>
  <c r="A3168" i="6"/>
  <c r="E3167" i="6"/>
  <c r="D3167" i="6"/>
  <c r="B3167" i="6"/>
  <c r="A3167" i="6"/>
  <c r="E3166" i="6"/>
  <c r="D3166" i="6"/>
  <c r="B3166" i="6"/>
  <c r="A3166" i="6"/>
  <c r="E3165" i="6"/>
  <c r="D3165" i="6"/>
  <c r="B3165" i="6"/>
  <c r="A3165" i="6"/>
  <c r="E3164" i="6"/>
  <c r="D3164" i="6"/>
  <c r="B3164" i="6"/>
  <c r="A3164" i="6"/>
  <c r="E3163" i="6"/>
  <c r="D3163" i="6"/>
  <c r="B3163" i="6"/>
  <c r="A3163" i="6"/>
  <c r="E3162" i="6"/>
  <c r="D3162" i="6"/>
  <c r="B3162" i="6"/>
  <c r="A3162" i="6"/>
  <c r="E3161" i="6"/>
  <c r="D3161" i="6"/>
  <c r="B3161" i="6"/>
  <c r="A3161" i="6"/>
  <c r="E3160" i="6"/>
  <c r="D3160" i="6"/>
  <c r="B3160" i="6"/>
  <c r="A3160" i="6"/>
  <c r="E3159" i="6"/>
  <c r="D3159" i="6"/>
  <c r="B3159" i="6"/>
  <c r="A3159" i="6"/>
  <c r="E3158" i="6"/>
  <c r="D3158" i="6"/>
  <c r="B3158" i="6"/>
  <c r="A3158" i="6"/>
  <c r="E3157" i="6"/>
  <c r="D3157" i="6"/>
  <c r="B3157" i="6"/>
  <c r="A3157" i="6"/>
  <c r="E3156" i="6"/>
  <c r="D3156" i="6"/>
  <c r="B3156" i="6"/>
  <c r="A3156" i="6"/>
  <c r="E3155" i="6"/>
  <c r="D3155" i="6"/>
  <c r="B3155" i="6"/>
  <c r="A3155" i="6"/>
  <c r="E3154" i="6"/>
  <c r="D3154" i="6"/>
  <c r="B3154" i="6"/>
  <c r="A3154" i="6"/>
  <c r="E3153" i="6"/>
  <c r="D3153" i="6"/>
  <c r="B3153" i="6"/>
  <c r="A3153" i="6"/>
  <c r="E3152" i="6"/>
  <c r="D3152" i="6"/>
  <c r="B3152" i="6"/>
  <c r="A3152" i="6"/>
  <c r="E3151" i="6"/>
  <c r="D3151" i="6"/>
  <c r="B3151" i="6"/>
  <c r="A3151" i="6"/>
  <c r="E3150" i="6"/>
  <c r="D3150" i="6"/>
  <c r="B3150" i="6"/>
  <c r="A3150" i="6"/>
  <c r="E3149" i="6"/>
  <c r="D3149" i="6"/>
  <c r="B3149" i="6"/>
  <c r="A3149" i="6"/>
  <c r="E3148" i="6"/>
  <c r="D3148" i="6"/>
  <c r="B3148" i="6"/>
  <c r="A3148" i="6"/>
  <c r="E3147" i="6"/>
  <c r="D3147" i="6"/>
  <c r="B3147" i="6"/>
  <c r="A3147" i="6"/>
  <c r="E3146" i="6"/>
  <c r="D3146" i="6"/>
  <c r="B3146" i="6"/>
  <c r="A3146" i="6"/>
  <c r="E3145" i="6"/>
  <c r="D3145" i="6"/>
  <c r="B3145" i="6"/>
  <c r="A3145" i="6"/>
  <c r="E3144" i="6"/>
  <c r="D3144" i="6"/>
  <c r="B3144" i="6"/>
  <c r="A3144" i="6"/>
  <c r="E3143" i="6"/>
  <c r="D3143" i="6"/>
  <c r="B3143" i="6"/>
  <c r="A3143" i="6"/>
  <c r="E3142" i="6"/>
  <c r="D3142" i="6"/>
  <c r="B3142" i="6"/>
  <c r="A3142" i="6"/>
  <c r="E3141" i="6"/>
  <c r="D3141" i="6"/>
  <c r="B3141" i="6"/>
  <c r="A3141" i="6"/>
  <c r="E3140" i="6"/>
  <c r="D3140" i="6"/>
  <c r="B3140" i="6"/>
  <c r="A3140" i="6"/>
  <c r="E3139" i="6"/>
  <c r="D3139" i="6"/>
  <c r="B3139" i="6"/>
  <c r="A3139" i="6"/>
  <c r="E3138" i="6"/>
  <c r="D3138" i="6"/>
  <c r="B3138" i="6"/>
  <c r="A3138" i="6"/>
  <c r="E3137" i="6"/>
  <c r="D3137" i="6"/>
  <c r="B3137" i="6"/>
  <c r="A3137" i="6"/>
  <c r="E3136" i="6"/>
  <c r="D3136" i="6"/>
  <c r="B3136" i="6"/>
  <c r="A3136" i="6"/>
  <c r="E3135" i="6"/>
  <c r="D3135" i="6"/>
  <c r="B3135" i="6"/>
  <c r="A3135" i="6"/>
  <c r="E3134" i="6"/>
  <c r="D3134" i="6"/>
  <c r="B3134" i="6"/>
  <c r="A3134" i="6"/>
  <c r="E3133" i="6"/>
  <c r="D3133" i="6"/>
  <c r="B3133" i="6"/>
  <c r="A3133" i="6"/>
  <c r="E3132" i="6"/>
  <c r="D3132" i="6"/>
  <c r="B3132" i="6"/>
  <c r="A3132" i="6"/>
  <c r="E3131" i="6"/>
  <c r="D3131" i="6"/>
  <c r="B3131" i="6"/>
  <c r="A3131" i="6"/>
  <c r="E3130" i="6"/>
  <c r="D3130" i="6"/>
  <c r="B3130" i="6"/>
  <c r="A3130" i="6"/>
  <c r="E3129" i="6"/>
  <c r="D3129" i="6"/>
  <c r="B3129" i="6"/>
  <c r="A3129" i="6"/>
  <c r="E3128" i="6"/>
  <c r="D3128" i="6"/>
  <c r="B3128" i="6"/>
  <c r="A3128" i="6"/>
  <c r="E3127" i="6"/>
  <c r="D3127" i="6"/>
  <c r="B3127" i="6"/>
  <c r="A3127" i="6"/>
  <c r="E3126" i="6"/>
  <c r="D3126" i="6"/>
  <c r="B3126" i="6"/>
  <c r="A3126" i="6"/>
  <c r="E3125" i="6"/>
  <c r="D3125" i="6"/>
  <c r="B3125" i="6"/>
  <c r="A3125" i="6"/>
  <c r="E3124" i="6"/>
  <c r="D3124" i="6"/>
  <c r="B3124" i="6"/>
  <c r="A3124" i="6"/>
  <c r="E3123" i="6"/>
  <c r="D3123" i="6"/>
  <c r="B3123" i="6"/>
  <c r="A3123" i="6"/>
  <c r="E3122" i="6"/>
  <c r="D3122" i="6"/>
  <c r="B3122" i="6"/>
  <c r="A3122" i="6"/>
  <c r="E3121" i="6"/>
  <c r="D3121" i="6"/>
  <c r="B3121" i="6"/>
  <c r="A3121" i="6"/>
  <c r="E3120" i="6"/>
  <c r="D3120" i="6"/>
  <c r="B3120" i="6"/>
  <c r="A3120" i="6"/>
  <c r="E3119" i="6"/>
  <c r="D3119" i="6"/>
  <c r="B3119" i="6"/>
  <c r="A3119" i="6"/>
  <c r="E3118" i="6"/>
  <c r="D3118" i="6"/>
  <c r="B3118" i="6"/>
  <c r="A3118" i="6"/>
  <c r="E3117" i="6"/>
  <c r="D3117" i="6"/>
  <c r="B3117" i="6"/>
  <c r="A3117" i="6"/>
  <c r="E3116" i="6"/>
  <c r="D3116" i="6"/>
  <c r="B3116" i="6"/>
  <c r="A3116" i="6"/>
  <c r="E3115" i="6"/>
  <c r="D3115" i="6"/>
  <c r="B3115" i="6"/>
  <c r="A3115" i="6"/>
  <c r="E3114" i="6"/>
  <c r="D3114" i="6"/>
  <c r="B3114" i="6"/>
  <c r="A3114" i="6"/>
  <c r="D3113" i="6"/>
  <c r="B3113" i="6"/>
  <c r="A3113" i="6"/>
  <c r="E3112" i="6"/>
  <c r="D3112" i="6"/>
  <c r="B3112" i="6"/>
  <c r="A3112" i="6"/>
  <c r="D3111" i="6"/>
  <c r="B3111" i="6"/>
  <c r="A3111" i="6"/>
  <c r="E3110" i="6"/>
  <c r="D3110" i="6"/>
  <c r="B3110" i="6"/>
  <c r="A3110" i="6"/>
  <c r="E3109" i="6"/>
  <c r="D3109" i="6"/>
  <c r="B3109" i="6"/>
  <c r="A3109" i="6"/>
  <c r="E3108" i="6"/>
  <c r="D3108" i="6"/>
  <c r="B3108" i="6"/>
  <c r="A3108" i="6"/>
  <c r="E3107" i="6"/>
  <c r="D3107" i="6"/>
  <c r="B3107" i="6"/>
  <c r="A3107" i="6"/>
  <c r="E3106" i="6"/>
  <c r="D3106" i="6"/>
  <c r="B3106" i="6"/>
  <c r="A3106" i="6"/>
  <c r="E3105" i="6"/>
  <c r="D3105" i="6"/>
  <c r="B3105" i="6"/>
  <c r="A3105" i="6"/>
  <c r="E3104" i="6"/>
  <c r="D3104" i="6"/>
  <c r="B3104" i="6"/>
  <c r="A3104" i="6"/>
  <c r="E3103" i="6"/>
  <c r="D3103" i="6"/>
  <c r="B3103" i="6"/>
  <c r="A3103" i="6"/>
  <c r="E3102" i="6"/>
  <c r="D3102" i="6"/>
  <c r="B3102" i="6"/>
  <c r="A3102" i="6"/>
  <c r="E3101" i="6"/>
  <c r="D3101" i="6"/>
  <c r="B3101" i="6"/>
  <c r="A3101" i="6"/>
  <c r="E3100" i="6"/>
  <c r="D3100" i="6"/>
  <c r="B3100" i="6"/>
  <c r="A3100" i="6"/>
  <c r="E3099" i="6"/>
  <c r="D3099" i="6"/>
  <c r="B3099" i="6"/>
  <c r="A3099" i="6"/>
  <c r="E3098" i="6"/>
  <c r="D3098" i="6"/>
  <c r="B3098" i="6"/>
  <c r="A3098" i="6"/>
  <c r="E3097" i="6"/>
  <c r="D3097" i="6"/>
  <c r="B3097" i="6"/>
  <c r="A3097" i="6"/>
  <c r="E3096" i="6"/>
  <c r="D3096" i="6"/>
  <c r="B3096" i="6"/>
  <c r="A3096" i="6"/>
  <c r="D3095" i="6"/>
  <c r="B3095" i="6"/>
  <c r="A3095" i="6"/>
  <c r="E3094" i="6"/>
  <c r="D3094" i="6"/>
  <c r="B3094" i="6"/>
  <c r="A3094" i="6"/>
  <c r="D3093" i="6"/>
  <c r="B3093" i="6"/>
  <c r="A3093" i="6"/>
  <c r="E3092" i="6"/>
  <c r="D3092" i="6"/>
  <c r="B3092" i="6"/>
  <c r="A3092" i="6"/>
  <c r="D3091" i="6"/>
  <c r="B3091" i="6"/>
  <c r="A3091" i="6"/>
  <c r="E3090" i="6"/>
  <c r="D3090" i="6"/>
  <c r="B3090" i="6"/>
  <c r="A3090" i="6"/>
  <c r="E3089" i="6"/>
  <c r="D3089" i="6"/>
  <c r="B3089" i="6"/>
  <c r="A3089" i="6"/>
  <c r="E3088" i="6"/>
  <c r="D3088" i="6"/>
  <c r="B3088" i="6"/>
  <c r="A3088" i="6"/>
  <c r="E3087" i="6"/>
  <c r="D3087" i="6"/>
  <c r="B3087" i="6"/>
  <c r="A3087" i="6"/>
  <c r="E3086" i="6"/>
  <c r="D3086" i="6"/>
  <c r="B3086" i="6"/>
  <c r="A3086" i="6"/>
  <c r="E3085" i="6"/>
  <c r="D3085" i="6"/>
  <c r="B3085" i="6"/>
  <c r="A3085" i="6"/>
  <c r="E3084" i="6"/>
  <c r="D3084" i="6"/>
  <c r="B3084" i="6"/>
  <c r="A3084" i="6"/>
  <c r="E3083" i="6"/>
  <c r="D3083" i="6"/>
  <c r="B3083" i="6"/>
  <c r="A3083" i="6"/>
  <c r="E3082" i="6"/>
  <c r="D3082" i="6"/>
  <c r="B3082" i="6"/>
  <c r="A3082" i="6"/>
  <c r="E3081" i="6"/>
  <c r="D3081" i="6"/>
  <c r="B3081" i="6"/>
  <c r="A3081" i="6"/>
  <c r="E3080" i="6"/>
  <c r="D3080" i="6"/>
  <c r="B3080" i="6"/>
  <c r="A3080" i="6"/>
  <c r="E3079" i="6"/>
  <c r="D3079" i="6"/>
  <c r="B3079" i="6"/>
  <c r="A3079" i="6"/>
  <c r="E3078" i="6"/>
  <c r="D3078" i="6"/>
  <c r="B3078" i="6"/>
  <c r="A3078" i="6"/>
  <c r="E3077" i="6"/>
  <c r="D3077" i="6"/>
  <c r="B3077" i="6"/>
  <c r="A3077" i="6"/>
  <c r="E3076" i="6"/>
  <c r="D3076" i="6"/>
  <c r="B3076" i="6"/>
  <c r="A3076" i="6"/>
  <c r="E3075" i="6"/>
  <c r="D3075" i="6"/>
  <c r="B3075" i="6"/>
  <c r="A3075" i="6"/>
  <c r="E3074" i="6"/>
  <c r="D3074" i="6"/>
  <c r="B3074" i="6"/>
  <c r="A3074" i="6"/>
  <c r="E3073" i="6"/>
  <c r="D3073" i="6"/>
  <c r="B3073" i="6"/>
  <c r="A3073" i="6"/>
  <c r="E3072" i="6"/>
  <c r="D3072" i="6"/>
  <c r="B3072" i="6"/>
  <c r="A3072" i="6"/>
  <c r="E3071" i="6"/>
  <c r="D3071" i="6"/>
  <c r="B3071" i="6"/>
  <c r="A3071" i="6"/>
  <c r="E3070" i="6"/>
  <c r="D3070" i="6"/>
  <c r="B3070" i="6"/>
  <c r="A3070" i="6"/>
  <c r="E3069" i="6"/>
  <c r="D3069" i="6"/>
  <c r="B3069" i="6"/>
  <c r="A3069" i="6"/>
  <c r="E3068" i="6"/>
  <c r="D3068" i="6"/>
  <c r="B3068" i="6"/>
  <c r="A3068" i="6"/>
  <c r="E3067" i="6"/>
  <c r="D3067" i="6"/>
  <c r="B3067" i="6"/>
  <c r="A3067" i="6"/>
  <c r="E3066" i="6"/>
  <c r="D3066" i="6"/>
  <c r="B3066" i="6"/>
  <c r="A3066" i="6"/>
  <c r="E3065" i="6"/>
  <c r="D3065" i="6"/>
  <c r="B3065" i="6"/>
  <c r="A3065" i="6"/>
  <c r="E3064" i="6"/>
  <c r="D3064" i="6"/>
  <c r="B3064" i="6"/>
  <c r="A3064" i="6"/>
  <c r="E3063" i="6"/>
  <c r="D3063" i="6"/>
  <c r="B3063" i="6"/>
  <c r="A3063" i="6"/>
  <c r="E3062" i="6"/>
  <c r="D3062" i="6"/>
  <c r="B3062" i="6"/>
  <c r="A3062" i="6"/>
  <c r="E3061" i="6"/>
  <c r="D3061" i="6"/>
  <c r="B3061" i="6"/>
  <c r="A3061" i="6"/>
  <c r="E3060" i="6"/>
  <c r="D3060" i="6"/>
  <c r="B3060" i="6"/>
  <c r="A3060" i="6"/>
  <c r="E3059" i="6"/>
  <c r="D3059" i="6"/>
  <c r="B3059" i="6"/>
  <c r="A3059" i="6"/>
  <c r="E3058" i="6"/>
  <c r="D3058" i="6"/>
  <c r="B3058" i="6"/>
  <c r="A3058" i="6"/>
  <c r="E3057" i="6"/>
  <c r="D3057" i="6"/>
  <c r="B3057" i="6"/>
  <c r="A3057" i="6"/>
  <c r="E3056" i="6"/>
  <c r="D3056" i="6"/>
  <c r="B3056" i="6"/>
  <c r="A3056" i="6"/>
  <c r="E3055" i="6"/>
  <c r="D3055" i="6"/>
  <c r="B3055" i="6"/>
  <c r="A3055" i="6"/>
  <c r="E3054" i="6"/>
  <c r="D3054" i="6"/>
  <c r="B3054" i="6"/>
  <c r="A3054" i="6"/>
  <c r="E3053" i="6"/>
  <c r="D3053" i="6"/>
  <c r="B3053" i="6"/>
  <c r="A3053" i="6"/>
  <c r="E3052" i="6"/>
  <c r="D3052" i="6"/>
  <c r="B3052" i="6"/>
  <c r="A3052" i="6"/>
  <c r="E3051" i="6"/>
  <c r="D3051" i="6"/>
  <c r="B3051" i="6"/>
  <c r="A3051" i="6"/>
  <c r="E3050" i="6"/>
  <c r="D3050" i="6"/>
  <c r="B3050" i="6"/>
  <c r="A3050" i="6"/>
  <c r="E3049" i="6"/>
  <c r="D3049" i="6"/>
  <c r="B3049" i="6"/>
  <c r="A3049" i="6"/>
  <c r="E3048" i="6"/>
  <c r="D3048" i="6"/>
  <c r="B3048" i="6"/>
  <c r="A3048" i="6"/>
  <c r="E3047" i="6"/>
  <c r="D3047" i="6"/>
  <c r="B3047" i="6"/>
  <c r="A3047" i="6"/>
  <c r="E3046" i="6"/>
  <c r="D3046" i="6"/>
  <c r="B3046" i="6"/>
  <c r="A3046" i="6"/>
  <c r="E3045" i="6"/>
  <c r="D3045" i="6"/>
  <c r="B3045" i="6"/>
  <c r="A3045" i="6"/>
  <c r="E3044" i="6"/>
  <c r="D3044" i="6"/>
  <c r="B3044" i="6"/>
  <c r="A3044" i="6"/>
  <c r="E3043" i="6"/>
  <c r="D3043" i="6"/>
  <c r="B3043" i="6"/>
  <c r="A3043" i="6"/>
  <c r="E3042" i="6"/>
  <c r="D3042" i="6"/>
  <c r="B3042" i="6"/>
  <c r="A3042" i="6"/>
  <c r="E3041" i="6"/>
  <c r="D3041" i="6"/>
  <c r="B3041" i="6"/>
  <c r="A3041" i="6"/>
  <c r="E3040" i="6"/>
  <c r="D3040" i="6"/>
  <c r="B3040" i="6"/>
  <c r="A3040" i="6"/>
  <c r="E3039" i="6"/>
  <c r="D3039" i="6"/>
  <c r="B3039" i="6"/>
  <c r="A3039" i="6"/>
  <c r="E3038" i="6"/>
  <c r="D3038" i="6"/>
  <c r="B3038" i="6"/>
  <c r="A3038" i="6"/>
  <c r="E3037" i="6"/>
  <c r="D3037" i="6"/>
  <c r="B3037" i="6"/>
  <c r="A3037" i="6"/>
  <c r="E3036" i="6"/>
  <c r="D3036" i="6"/>
  <c r="B3036" i="6"/>
  <c r="A3036" i="6"/>
  <c r="E3035" i="6"/>
  <c r="D3035" i="6"/>
  <c r="B3035" i="6"/>
  <c r="A3035" i="6"/>
  <c r="E3034" i="6"/>
  <c r="D3034" i="6"/>
  <c r="B3034" i="6"/>
  <c r="A3034" i="6"/>
  <c r="E3033" i="6"/>
  <c r="D3033" i="6"/>
  <c r="B3033" i="6"/>
  <c r="A3033" i="6"/>
  <c r="E3032" i="6"/>
  <c r="D3032" i="6"/>
  <c r="B3032" i="6"/>
  <c r="A3032" i="6"/>
  <c r="E3031" i="6"/>
  <c r="D3031" i="6"/>
  <c r="B3031" i="6"/>
  <c r="A3031" i="6"/>
  <c r="E3030" i="6"/>
  <c r="D3030" i="6"/>
  <c r="B3030" i="6"/>
  <c r="A3030" i="6"/>
  <c r="E3029" i="6"/>
  <c r="D3029" i="6"/>
  <c r="B3029" i="6"/>
  <c r="A3029" i="6"/>
  <c r="E3028" i="6"/>
  <c r="D3028" i="6"/>
  <c r="B3028" i="6"/>
  <c r="A3028" i="6"/>
  <c r="E3027" i="6"/>
  <c r="D3027" i="6"/>
  <c r="B3027" i="6"/>
  <c r="A3027" i="6"/>
  <c r="E3026" i="6"/>
  <c r="D3026" i="6"/>
  <c r="B3026" i="6"/>
  <c r="A3026" i="6"/>
  <c r="E3025" i="6"/>
  <c r="D3025" i="6"/>
  <c r="B3025" i="6"/>
  <c r="A3025" i="6"/>
  <c r="E3024" i="6"/>
  <c r="D3024" i="6"/>
  <c r="B3024" i="6"/>
  <c r="A3024" i="6"/>
  <c r="E3023" i="6"/>
  <c r="D3023" i="6"/>
  <c r="B3023" i="6"/>
  <c r="A3023" i="6"/>
  <c r="E3022" i="6"/>
  <c r="D3022" i="6"/>
  <c r="B3022" i="6"/>
  <c r="A3022" i="6"/>
  <c r="E3021" i="6"/>
  <c r="D3021" i="6"/>
  <c r="B3021" i="6"/>
  <c r="A3021" i="6"/>
  <c r="E3020" i="6"/>
  <c r="D3020" i="6"/>
  <c r="B3020" i="6"/>
  <c r="A3020" i="6"/>
  <c r="E3019" i="6"/>
  <c r="D3019" i="6"/>
  <c r="B3019" i="6"/>
  <c r="A3019" i="6"/>
  <c r="E3018" i="6"/>
  <c r="D3018" i="6"/>
  <c r="B3018" i="6"/>
  <c r="A3018" i="6"/>
  <c r="E3017" i="6"/>
  <c r="D3017" i="6"/>
  <c r="B3017" i="6"/>
  <c r="A3017" i="6"/>
  <c r="E3016" i="6"/>
  <c r="D3016" i="6"/>
  <c r="B3016" i="6"/>
  <c r="A3016" i="6"/>
  <c r="E3015" i="6"/>
  <c r="D3015" i="6"/>
  <c r="B3015" i="6"/>
  <c r="A3015" i="6"/>
  <c r="E3014" i="6"/>
  <c r="D3014" i="6"/>
  <c r="B3014" i="6"/>
  <c r="A3014" i="6"/>
  <c r="E3013" i="6"/>
  <c r="D3013" i="6"/>
  <c r="B3013" i="6"/>
  <c r="A3013" i="6"/>
  <c r="E3012" i="6"/>
  <c r="D3012" i="6"/>
  <c r="B3012" i="6"/>
  <c r="A3012" i="6"/>
  <c r="E3011" i="6"/>
  <c r="D3011" i="6"/>
  <c r="B3011" i="6"/>
  <c r="A3011" i="6"/>
  <c r="E3010" i="6"/>
  <c r="D3010" i="6"/>
  <c r="B3010" i="6"/>
  <c r="A3010" i="6"/>
  <c r="E3009" i="6"/>
  <c r="D3009" i="6"/>
  <c r="B3009" i="6"/>
  <c r="A3009" i="6"/>
  <c r="E3008" i="6"/>
  <c r="D3008" i="6"/>
  <c r="B3008" i="6"/>
  <c r="A3008" i="6"/>
  <c r="E3007" i="6"/>
  <c r="D3007" i="6"/>
  <c r="B3007" i="6"/>
  <c r="A3007" i="6"/>
  <c r="E3006" i="6"/>
  <c r="D3006" i="6"/>
  <c r="B3006" i="6"/>
  <c r="A3006" i="6"/>
  <c r="E3005" i="6"/>
  <c r="D3005" i="6"/>
  <c r="B3005" i="6"/>
  <c r="A3005" i="6"/>
  <c r="E3004" i="6"/>
  <c r="D3004" i="6"/>
  <c r="B3004" i="6"/>
  <c r="A3004" i="6"/>
  <c r="E3003" i="6"/>
  <c r="D3003" i="6"/>
  <c r="B3003" i="6"/>
  <c r="A3003" i="6"/>
  <c r="E3002" i="6"/>
  <c r="D3002" i="6"/>
  <c r="B3002" i="6"/>
  <c r="A3002" i="6"/>
  <c r="E3001" i="6"/>
  <c r="D3001" i="6"/>
  <c r="B3001" i="6"/>
  <c r="A3001" i="6"/>
  <c r="E3000" i="6"/>
  <c r="D3000" i="6"/>
  <c r="B3000" i="6"/>
  <c r="A3000" i="6"/>
  <c r="E2999" i="6"/>
  <c r="D2999" i="6"/>
  <c r="B2999" i="6"/>
  <c r="A2999" i="6"/>
  <c r="E2998" i="6"/>
  <c r="D2998" i="6"/>
  <c r="B2998" i="6"/>
  <c r="A2998" i="6"/>
  <c r="E2997" i="6"/>
  <c r="D2997" i="6"/>
  <c r="B2997" i="6"/>
  <c r="A2997" i="6"/>
  <c r="E2996" i="6"/>
  <c r="D2996" i="6"/>
  <c r="B2996" i="6"/>
  <c r="A2996" i="6"/>
  <c r="E2995" i="6"/>
  <c r="D2995" i="6"/>
  <c r="B2995" i="6"/>
  <c r="A2995" i="6"/>
  <c r="E2994" i="6"/>
  <c r="D2994" i="6"/>
  <c r="B2994" i="6"/>
  <c r="A2994" i="6"/>
  <c r="E2993" i="6"/>
  <c r="D2993" i="6"/>
  <c r="B2993" i="6"/>
  <c r="A2993" i="6"/>
  <c r="E2992" i="6"/>
  <c r="D2992" i="6"/>
  <c r="B2992" i="6"/>
  <c r="A2992" i="6"/>
  <c r="E2991" i="6"/>
  <c r="D2991" i="6"/>
  <c r="B2991" i="6"/>
  <c r="A2991" i="6"/>
  <c r="E2990" i="6"/>
  <c r="D2990" i="6"/>
  <c r="B2990" i="6"/>
  <c r="A2990" i="6"/>
  <c r="E2989" i="6"/>
  <c r="D2989" i="6"/>
  <c r="B2989" i="6"/>
  <c r="A2989" i="6"/>
  <c r="E2988" i="6"/>
  <c r="D2988" i="6"/>
  <c r="B2988" i="6"/>
  <c r="A2988" i="6"/>
  <c r="E2987" i="6"/>
  <c r="D2987" i="6"/>
  <c r="B2987" i="6"/>
  <c r="A2987" i="6"/>
  <c r="E2986" i="6"/>
  <c r="D2986" i="6"/>
  <c r="B2986" i="6"/>
  <c r="A2986" i="6"/>
  <c r="E2985" i="6"/>
  <c r="D2985" i="6"/>
  <c r="B2985" i="6"/>
  <c r="A2985" i="6"/>
  <c r="E2984" i="6"/>
  <c r="D2984" i="6"/>
  <c r="B2984" i="6"/>
  <c r="A2984" i="6"/>
  <c r="E2983" i="6"/>
  <c r="D2983" i="6"/>
  <c r="B2983" i="6"/>
  <c r="A2983" i="6"/>
  <c r="E2982" i="6"/>
  <c r="D2982" i="6"/>
  <c r="B2982" i="6"/>
  <c r="A2982" i="6"/>
  <c r="E2981" i="6"/>
  <c r="D2981" i="6"/>
  <c r="B2981" i="6"/>
  <c r="A2981" i="6"/>
  <c r="E2980" i="6"/>
  <c r="D2980" i="6"/>
  <c r="B2980" i="6"/>
  <c r="A2980" i="6"/>
  <c r="E2979" i="6"/>
  <c r="D2979" i="6"/>
  <c r="B2979" i="6"/>
  <c r="A2979" i="6"/>
  <c r="E2978" i="6"/>
  <c r="D2978" i="6"/>
  <c r="B2978" i="6"/>
  <c r="A2978" i="6"/>
  <c r="E2977" i="6"/>
  <c r="D2977" i="6"/>
  <c r="B2977" i="6"/>
  <c r="A2977" i="6"/>
  <c r="E2976" i="6"/>
  <c r="D2976" i="6"/>
  <c r="B2976" i="6"/>
  <c r="A2976" i="6"/>
  <c r="E2975" i="6"/>
  <c r="D2975" i="6"/>
  <c r="B2975" i="6"/>
  <c r="A2975" i="6"/>
  <c r="E2974" i="6"/>
  <c r="D2974" i="6"/>
  <c r="B2974" i="6"/>
  <c r="A2974" i="6"/>
  <c r="E2973" i="6"/>
  <c r="D2973" i="6"/>
  <c r="B2973" i="6"/>
  <c r="A2973" i="6"/>
  <c r="E2972" i="6"/>
  <c r="D2972" i="6"/>
  <c r="B2972" i="6"/>
  <c r="A2972" i="6"/>
  <c r="E2971" i="6"/>
  <c r="D2971" i="6"/>
  <c r="B2971" i="6"/>
  <c r="A2971" i="6"/>
  <c r="E2970" i="6"/>
  <c r="D2970" i="6"/>
  <c r="B2970" i="6"/>
  <c r="A2970" i="6"/>
  <c r="E2969" i="6"/>
  <c r="D2969" i="6"/>
  <c r="B2969" i="6"/>
  <c r="A2969" i="6"/>
  <c r="E2968" i="6"/>
  <c r="D2968" i="6"/>
  <c r="B2968" i="6"/>
  <c r="A2968" i="6"/>
  <c r="E2967" i="6"/>
  <c r="D2967" i="6"/>
  <c r="B2967" i="6"/>
  <c r="A2967" i="6"/>
  <c r="E2966" i="6"/>
  <c r="D2966" i="6"/>
  <c r="B2966" i="6"/>
  <c r="A2966" i="6"/>
  <c r="E2965" i="6"/>
  <c r="D2965" i="6"/>
  <c r="B2965" i="6"/>
  <c r="A2965" i="6"/>
  <c r="E2964" i="6"/>
  <c r="D2964" i="6"/>
  <c r="B2964" i="6"/>
  <c r="A2964" i="6"/>
  <c r="E2963" i="6"/>
  <c r="D2963" i="6"/>
  <c r="B2963" i="6"/>
  <c r="A2963" i="6"/>
  <c r="E2962" i="6"/>
  <c r="D2962" i="6"/>
  <c r="B2962" i="6"/>
  <c r="A2962" i="6"/>
  <c r="E2961" i="6"/>
  <c r="D2961" i="6"/>
  <c r="B2961" i="6"/>
  <c r="A2961" i="6"/>
  <c r="E2960" i="6"/>
  <c r="D2960" i="6"/>
  <c r="B2960" i="6"/>
  <c r="A2960" i="6"/>
  <c r="E2959" i="6"/>
  <c r="D2959" i="6"/>
  <c r="B2959" i="6"/>
  <c r="A2959" i="6"/>
  <c r="E2958" i="6"/>
  <c r="D2958" i="6"/>
  <c r="B2958" i="6"/>
  <c r="A2958" i="6"/>
  <c r="E2957" i="6"/>
  <c r="D2957" i="6"/>
  <c r="B2957" i="6"/>
  <c r="A2957" i="6"/>
  <c r="E2956" i="6"/>
  <c r="D2956" i="6"/>
  <c r="B2956" i="6"/>
  <c r="A2956" i="6"/>
  <c r="E2955" i="6"/>
  <c r="D2955" i="6"/>
  <c r="B2955" i="6"/>
  <c r="A2955" i="6"/>
  <c r="E2954" i="6"/>
  <c r="D2954" i="6"/>
  <c r="B2954" i="6"/>
  <c r="A2954" i="6"/>
  <c r="E2953" i="6"/>
  <c r="D2953" i="6"/>
  <c r="B2953" i="6"/>
  <c r="A2953" i="6"/>
  <c r="E2952" i="6"/>
  <c r="D2952" i="6"/>
  <c r="B2952" i="6"/>
  <c r="A2952" i="6"/>
  <c r="E2951" i="6"/>
  <c r="D2951" i="6"/>
  <c r="B2951" i="6"/>
  <c r="A2951" i="6"/>
  <c r="E2950" i="6"/>
  <c r="D2950" i="6"/>
  <c r="B2950" i="6"/>
  <c r="A2950" i="6"/>
  <c r="E2949" i="6"/>
  <c r="D2949" i="6"/>
  <c r="B2949" i="6"/>
  <c r="A2949" i="6"/>
  <c r="E2948" i="6"/>
  <c r="D2948" i="6"/>
  <c r="B2948" i="6"/>
  <c r="A2948" i="6"/>
  <c r="E2947" i="6"/>
  <c r="D2947" i="6"/>
  <c r="B2947" i="6"/>
  <c r="A2947" i="6"/>
  <c r="E2946" i="6"/>
  <c r="D2946" i="6"/>
  <c r="B2946" i="6"/>
  <c r="A2946" i="6"/>
  <c r="E2945" i="6"/>
  <c r="D2945" i="6"/>
  <c r="B2945" i="6"/>
  <c r="A2945" i="6"/>
  <c r="E2944" i="6"/>
  <c r="D2944" i="6"/>
  <c r="B2944" i="6"/>
  <c r="A2944" i="6"/>
  <c r="E2943" i="6"/>
  <c r="D2943" i="6"/>
  <c r="B2943" i="6"/>
  <c r="A2943" i="6"/>
  <c r="E2942" i="6"/>
  <c r="D2942" i="6"/>
  <c r="B2942" i="6"/>
  <c r="A2942" i="6"/>
  <c r="E2941" i="6"/>
  <c r="D2941" i="6"/>
  <c r="B2941" i="6"/>
  <c r="A2941" i="6"/>
  <c r="E2940" i="6"/>
  <c r="D2940" i="6"/>
  <c r="B2940" i="6"/>
  <c r="A2940" i="6"/>
  <c r="E2939" i="6"/>
  <c r="D2939" i="6"/>
  <c r="B2939" i="6"/>
  <c r="A2939" i="6"/>
  <c r="E2938" i="6"/>
  <c r="D2938" i="6"/>
  <c r="B2938" i="6"/>
  <c r="A2938" i="6"/>
  <c r="E2937" i="6"/>
  <c r="D2937" i="6"/>
  <c r="B2937" i="6"/>
  <c r="A2937" i="6"/>
  <c r="E2936" i="6"/>
  <c r="D2936" i="6"/>
  <c r="B2936" i="6"/>
  <c r="A2936" i="6"/>
  <c r="E2935" i="6"/>
  <c r="D2935" i="6"/>
  <c r="B2935" i="6"/>
  <c r="A2935" i="6"/>
  <c r="E2934" i="6"/>
  <c r="D2934" i="6"/>
  <c r="B2934" i="6"/>
  <c r="A2934" i="6"/>
  <c r="E2933" i="6"/>
  <c r="D2933" i="6"/>
  <c r="B2933" i="6"/>
  <c r="A2933" i="6"/>
  <c r="E2932" i="6"/>
  <c r="D2932" i="6"/>
  <c r="B2932" i="6"/>
  <c r="A2932" i="6"/>
  <c r="E2931" i="6"/>
  <c r="D2931" i="6"/>
  <c r="B2931" i="6"/>
  <c r="A2931" i="6"/>
  <c r="E2930" i="6"/>
  <c r="D2930" i="6"/>
  <c r="B2930" i="6"/>
  <c r="A2930" i="6"/>
  <c r="E2929" i="6"/>
  <c r="D2929" i="6"/>
  <c r="B2929" i="6"/>
  <c r="A2929" i="6"/>
  <c r="E2928" i="6"/>
  <c r="D2928" i="6"/>
  <c r="B2928" i="6"/>
  <c r="A2928" i="6"/>
  <c r="E2927" i="6"/>
  <c r="D2927" i="6"/>
  <c r="B2927" i="6"/>
  <c r="A2927" i="6"/>
  <c r="E2926" i="6"/>
  <c r="D2926" i="6"/>
  <c r="B2926" i="6"/>
  <c r="A2926" i="6"/>
  <c r="E2925" i="6"/>
  <c r="D2925" i="6"/>
  <c r="B2925" i="6"/>
  <c r="A2925" i="6"/>
  <c r="E2924" i="6"/>
  <c r="D2924" i="6"/>
  <c r="B2924" i="6"/>
  <c r="A2924" i="6"/>
  <c r="E2923" i="6"/>
  <c r="D2923" i="6"/>
  <c r="B2923" i="6"/>
  <c r="A2923" i="6"/>
  <c r="E2922" i="6"/>
  <c r="D2922" i="6"/>
  <c r="B2922" i="6"/>
  <c r="A2922" i="6"/>
  <c r="E2921" i="6"/>
  <c r="D2921" i="6"/>
  <c r="B2921" i="6"/>
  <c r="A2921" i="6"/>
  <c r="E2920" i="6"/>
  <c r="D2920" i="6"/>
  <c r="B2920" i="6"/>
  <c r="A2920" i="6"/>
  <c r="E2919" i="6"/>
  <c r="D2919" i="6"/>
  <c r="B2919" i="6"/>
  <c r="A2919" i="6"/>
  <c r="E2918" i="6"/>
  <c r="D2918" i="6"/>
  <c r="B2918" i="6"/>
  <c r="A2918" i="6"/>
  <c r="E2917" i="6"/>
  <c r="D2917" i="6"/>
  <c r="B2917" i="6"/>
  <c r="A2917" i="6"/>
  <c r="E2916" i="6"/>
  <c r="D2916" i="6"/>
  <c r="B2916" i="6"/>
  <c r="A2916" i="6"/>
  <c r="E2915" i="6"/>
  <c r="D2915" i="6"/>
  <c r="B2915" i="6"/>
  <c r="A2915" i="6"/>
  <c r="E2914" i="6"/>
  <c r="D2914" i="6"/>
  <c r="B2914" i="6"/>
  <c r="A2914" i="6"/>
  <c r="E2913" i="6"/>
  <c r="D2913" i="6"/>
  <c r="B2913" i="6"/>
  <c r="A2913" i="6"/>
  <c r="E2912" i="6"/>
  <c r="D2912" i="6"/>
  <c r="B2912" i="6"/>
  <c r="A2912" i="6"/>
  <c r="E2911" i="6"/>
  <c r="D2911" i="6"/>
  <c r="B2911" i="6"/>
  <c r="A2911" i="6"/>
  <c r="E2910" i="6"/>
  <c r="D2910" i="6"/>
  <c r="B2910" i="6"/>
  <c r="A2910" i="6"/>
  <c r="E2909" i="6"/>
  <c r="D2909" i="6"/>
  <c r="B2909" i="6"/>
  <c r="A2909" i="6"/>
  <c r="E2908" i="6"/>
  <c r="D2908" i="6"/>
  <c r="B2908" i="6"/>
  <c r="A2908" i="6"/>
  <c r="E2907" i="6"/>
  <c r="D2907" i="6"/>
  <c r="B2907" i="6"/>
  <c r="A2907" i="6"/>
  <c r="E2906" i="6"/>
  <c r="D2906" i="6"/>
  <c r="B2906" i="6"/>
  <c r="A2906" i="6"/>
  <c r="E2905" i="6"/>
  <c r="D2905" i="6"/>
  <c r="B2905" i="6"/>
  <c r="A2905" i="6"/>
  <c r="E2904" i="6"/>
  <c r="D2904" i="6"/>
  <c r="B2904" i="6"/>
  <c r="A2904" i="6"/>
  <c r="E2903" i="6"/>
  <c r="D2903" i="6"/>
  <c r="B2903" i="6"/>
  <c r="A2903" i="6"/>
  <c r="E2902" i="6"/>
  <c r="D2902" i="6"/>
  <c r="B2902" i="6"/>
  <c r="A2902" i="6"/>
  <c r="E2901" i="6"/>
  <c r="D2901" i="6"/>
  <c r="B2901" i="6"/>
  <c r="A2901" i="6"/>
  <c r="E2900" i="6"/>
  <c r="D2900" i="6"/>
  <c r="B2900" i="6"/>
  <c r="A2900" i="6"/>
  <c r="E2899" i="6"/>
  <c r="D2899" i="6"/>
  <c r="B2899" i="6"/>
  <c r="A2899" i="6"/>
  <c r="E2898" i="6"/>
  <c r="D2898" i="6"/>
  <c r="B2898" i="6"/>
  <c r="A2898" i="6"/>
  <c r="E2897" i="6"/>
  <c r="D2897" i="6"/>
  <c r="B2897" i="6"/>
  <c r="A2897" i="6"/>
  <c r="E2896" i="6"/>
  <c r="D2896" i="6"/>
  <c r="B2896" i="6"/>
  <c r="A2896" i="6"/>
  <c r="E2895" i="6"/>
  <c r="D2895" i="6"/>
  <c r="B2895" i="6"/>
  <c r="A2895" i="6"/>
  <c r="E2894" i="6"/>
  <c r="D2894" i="6"/>
  <c r="B2894" i="6"/>
  <c r="A2894" i="6"/>
  <c r="E2893" i="6"/>
  <c r="D2893" i="6"/>
  <c r="B2893" i="6"/>
  <c r="A2893" i="6"/>
  <c r="E2892" i="6"/>
  <c r="D2892" i="6"/>
  <c r="B2892" i="6"/>
  <c r="A2892" i="6"/>
  <c r="E2891" i="6"/>
  <c r="D2891" i="6"/>
  <c r="B2891" i="6"/>
  <c r="A2891" i="6"/>
  <c r="E2890" i="6"/>
  <c r="D2890" i="6"/>
  <c r="B2890" i="6"/>
  <c r="A2890" i="6"/>
  <c r="E2889" i="6"/>
  <c r="D2889" i="6"/>
  <c r="B2889" i="6"/>
  <c r="A2889" i="6"/>
  <c r="E2888" i="6"/>
  <c r="D2888" i="6"/>
  <c r="B2888" i="6"/>
  <c r="A2888" i="6"/>
  <c r="E2887" i="6"/>
  <c r="D2887" i="6"/>
  <c r="B2887" i="6"/>
  <c r="A2887" i="6"/>
  <c r="E2886" i="6"/>
  <c r="D2886" i="6"/>
  <c r="B2886" i="6"/>
  <c r="A2886" i="6"/>
  <c r="E2885" i="6"/>
  <c r="D2885" i="6"/>
  <c r="B2885" i="6"/>
  <c r="A2885" i="6"/>
  <c r="E2884" i="6"/>
  <c r="D2884" i="6"/>
  <c r="B2884" i="6"/>
  <c r="A2884" i="6"/>
  <c r="E2883" i="6"/>
  <c r="D2883" i="6"/>
  <c r="B2883" i="6"/>
  <c r="A2883" i="6"/>
  <c r="E2882" i="6"/>
  <c r="D2882" i="6"/>
  <c r="B2882" i="6"/>
  <c r="A2882" i="6"/>
  <c r="E2881" i="6"/>
  <c r="D2881" i="6"/>
  <c r="B2881" i="6"/>
  <c r="A2881" i="6"/>
  <c r="E2880" i="6"/>
  <c r="D2880" i="6"/>
  <c r="B2880" i="6"/>
  <c r="A2880" i="6"/>
  <c r="E2879" i="6"/>
  <c r="D2879" i="6"/>
  <c r="B2879" i="6"/>
  <c r="A2879" i="6"/>
  <c r="E2878" i="6"/>
  <c r="D2878" i="6"/>
  <c r="B2878" i="6"/>
  <c r="A2878" i="6"/>
  <c r="E2877" i="6"/>
  <c r="D2877" i="6"/>
  <c r="B2877" i="6"/>
  <c r="A2877" i="6"/>
  <c r="E2876" i="6"/>
  <c r="D2876" i="6"/>
  <c r="B2876" i="6"/>
  <c r="A2876" i="6"/>
  <c r="E2875" i="6"/>
  <c r="D2875" i="6"/>
  <c r="B2875" i="6"/>
  <c r="A2875" i="6"/>
  <c r="E2874" i="6"/>
  <c r="D2874" i="6"/>
  <c r="B2874" i="6"/>
  <c r="A2874" i="6"/>
  <c r="E2873" i="6"/>
  <c r="D2873" i="6"/>
  <c r="B2873" i="6"/>
  <c r="A2873" i="6"/>
  <c r="E2872" i="6"/>
  <c r="D2872" i="6"/>
  <c r="B2872" i="6"/>
  <c r="A2872" i="6"/>
  <c r="E2871" i="6"/>
  <c r="D2871" i="6"/>
  <c r="B2871" i="6"/>
  <c r="A2871" i="6"/>
  <c r="E2870" i="6"/>
  <c r="D2870" i="6"/>
  <c r="B2870" i="6"/>
  <c r="A2870" i="6"/>
  <c r="E2869" i="6"/>
  <c r="D2869" i="6"/>
  <c r="B2869" i="6"/>
  <c r="A2869" i="6"/>
  <c r="E2868" i="6"/>
  <c r="D2868" i="6"/>
  <c r="B2868" i="6"/>
  <c r="A2868" i="6"/>
  <c r="E2867" i="6"/>
  <c r="D2867" i="6"/>
  <c r="B2867" i="6"/>
  <c r="A2867" i="6"/>
  <c r="E2866" i="6"/>
  <c r="D2866" i="6"/>
  <c r="B2866" i="6"/>
  <c r="A2866" i="6"/>
  <c r="E2865" i="6"/>
  <c r="D2865" i="6"/>
  <c r="B2865" i="6"/>
  <c r="A2865" i="6"/>
  <c r="E2864" i="6"/>
  <c r="D2864" i="6"/>
  <c r="B2864" i="6"/>
  <c r="A2864" i="6"/>
  <c r="E2863" i="6"/>
  <c r="D2863" i="6"/>
  <c r="B2863" i="6"/>
  <c r="A2863" i="6"/>
  <c r="E2862" i="6"/>
  <c r="D2862" i="6"/>
  <c r="B2862" i="6"/>
  <c r="A2862" i="6"/>
  <c r="E2861" i="6"/>
  <c r="D2861" i="6"/>
  <c r="B2861" i="6"/>
  <c r="A2861" i="6"/>
  <c r="E2860" i="6"/>
  <c r="D2860" i="6"/>
  <c r="B2860" i="6"/>
  <c r="A2860" i="6"/>
  <c r="E2859" i="6"/>
  <c r="D2859" i="6"/>
  <c r="B2859" i="6"/>
  <c r="A2859" i="6"/>
  <c r="E2858" i="6"/>
  <c r="D2858" i="6"/>
  <c r="B2858" i="6"/>
  <c r="A2858" i="6"/>
  <c r="E2857" i="6"/>
  <c r="D2857" i="6"/>
  <c r="B2857" i="6"/>
  <c r="A2857" i="6"/>
  <c r="E2856" i="6"/>
  <c r="D2856" i="6"/>
  <c r="B2856" i="6"/>
  <c r="A2856" i="6"/>
  <c r="E2855" i="6"/>
  <c r="D2855" i="6"/>
  <c r="B2855" i="6"/>
  <c r="A2855" i="6"/>
  <c r="E2854" i="6"/>
  <c r="D2854" i="6"/>
  <c r="B2854" i="6"/>
  <c r="A2854" i="6"/>
  <c r="E2853" i="6"/>
  <c r="D2853" i="6"/>
  <c r="B2853" i="6"/>
  <c r="A2853" i="6"/>
  <c r="E2852" i="6"/>
  <c r="D2852" i="6"/>
  <c r="B2852" i="6"/>
  <c r="A2852" i="6"/>
  <c r="E2851" i="6"/>
  <c r="D2851" i="6"/>
  <c r="B2851" i="6"/>
  <c r="A2851" i="6"/>
  <c r="E2850" i="6"/>
  <c r="D2850" i="6"/>
  <c r="B2850" i="6"/>
  <c r="A2850" i="6"/>
  <c r="E2849" i="6"/>
  <c r="D2849" i="6"/>
  <c r="B2849" i="6"/>
  <c r="A2849" i="6"/>
  <c r="E2848" i="6"/>
  <c r="D2848" i="6"/>
  <c r="B2848" i="6"/>
  <c r="A2848" i="6"/>
  <c r="E2847" i="6"/>
  <c r="D2847" i="6"/>
  <c r="B2847" i="6"/>
  <c r="A2847" i="6"/>
  <c r="E2846" i="6"/>
  <c r="D2846" i="6"/>
  <c r="B2846" i="6"/>
  <c r="A2846" i="6"/>
  <c r="E2845" i="6"/>
  <c r="D2845" i="6"/>
  <c r="B2845" i="6"/>
  <c r="A2845" i="6"/>
  <c r="E2844" i="6"/>
  <c r="D2844" i="6"/>
  <c r="B2844" i="6"/>
  <c r="A2844" i="6"/>
  <c r="E2843" i="6"/>
  <c r="D2843" i="6"/>
  <c r="B2843" i="6"/>
  <c r="A2843" i="6"/>
  <c r="E2842" i="6"/>
  <c r="D2842" i="6"/>
  <c r="B2842" i="6"/>
  <c r="A2842" i="6"/>
  <c r="E2841" i="6"/>
  <c r="D2841" i="6"/>
  <c r="B2841" i="6"/>
  <c r="A2841" i="6"/>
  <c r="E2840" i="6"/>
  <c r="D2840" i="6"/>
  <c r="B2840" i="6"/>
  <c r="A2840" i="6"/>
  <c r="E2839" i="6"/>
  <c r="D2839" i="6"/>
  <c r="B2839" i="6"/>
  <c r="A2839" i="6"/>
  <c r="E2838" i="6"/>
  <c r="D2838" i="6"/>
  <c r="B2838" i="6"/>
  <c r="A2838" i="6"/>
  <c r="E2837" i="6"/>
  <c r="D2837" i="6"/>
  <c r="B2837" i="6"/>
  <c r="A2837" i="6"/>
  <c r="E2836" i="6"/>
  <c r="D2836" i="6"/>
  <c r="B2836" i="6"/>
  <c r="A2836" i="6"/>
  <c r="E2835" i="6"/>
  <c r="D2835" i="6"/>
  <c r="B2835" i="6"/>
  <c r="A2835" i="6"/>
  <c r="E2834" i="6"/>
  <c r="D2834" i="6"/>
  <c r="B2834" i="6"/>
  <c r="A2834" i="6"/>
  <c r="E2833" i="6"/>
  <c r="D2833" i="6"/>
  <c r="B2833" i="6"/>
  <c r="A2833" i="6"/>
  <c r="E2832" i="6"/>
  <c r="D2832" i="6"/>
  <c r="B2832" i="6"/>
  <c r="A2832" i="6"/>
  <c r="E2831" i="6"/>
  <c r="D2831" i="6"/>
  <c r="B2831" i="6"/>
  <c r="A2831" i="6"/>
  <c r="E2830" i="6"/>
  <c r="D2830" i="6"/>
  <c r="B2830" i="6"/>
  <c r="A2830" i="6"/>
  <c r="E2829" i="6"/>
  <c r="D2829" i="6"/>
  <c r="B2829" i="6"/>
  <c r="A2829" i="6"/>
  <c r="E2828" i="6"/>
  <c r="D2828" i="6"/>
  <c r="B2828" i="6"/>
  <c r="A2828" i="6"/>
  <c r="E2827" i="6"/>
  <c r="D2827" i="6"/>
  <c r="B2827" i="6"/>
  <c r="A2827" i="6"/>
  <c r="E2826" i="6"/>
  <c r="D2826" i="6"/>
  <c r="B2826" i="6"/>
  <c r="A2826" i="6"/>
  <c r="E2825" i="6"/>
  <c r="D2825" i="6"/>
  <c r="B2825" i="6"/>
  <c r="A2825" i="6"/>
  <c r="E2824" i="6"/>
  <c r="D2824" i="6"/>
  <c r="B2824" i="6"/>
  <c r="A2824" i="6"/>
  <c r="E2823" i="6"/>
  <c r="D2823" i="6"/>
  <c r="B2823" i="6"/>
  <c r="A2823" i="6"/>
  <c r="E2822" i="6"/>
  <c r="D2822" i="6"/>
  <c r="B2822" i="6"/>
  <c r="A2822" i="6"/>
  <c r="E2821" i="6"/>
  <c r="D2821" i="6"/>
  <c r="B2821" i="6"/>
  <c r="A2821" i="6"/>
  <c r="E2820" i="6"/>
  <c r="D2820" i="6"/>
  <c r="B2820" i="6"/>
  <c r="A2820" i="6"/>
  <c r="E2819" i="6"/>
  <c r="D2819" i="6"/>
  <c r="B2819" i="6"/>
  <c r="A2819" i="6"/>
  <c r="E2818" i="6"/>
  <c r="D2818" i="6"/>
  <c r="B2818" i="6"/>
  <c r="A2818" i="6"/>
  <c r="E2817" i="6"/>
  <c r="D2817" i="6"/>
  <c r="B2817" i="6"/>
  <c r="A2817" i="6"/>
  <c r="E2816" i="6"/>
  <c r="D2816" i="6"/>
  <c r="B2816" i="6"/>
  <c r="A2816" i="6"/>
  <c r="E2815" i="6"/>
  <c r="D2815" i="6"/>
  <c r="B2815" i="6"/>
  <c r="A2815" i="6"/>
  <c r="E2814" i="6"/>
  <c r="D2814" i="6"/>
  <c r="B2814" i="6"/>
  <c r="A2814" i="6"/>
  <c r="E2813" i="6"/>
  <c r="D2813" i="6"/>
  <c r="B2813" i="6"/>
  <c r="A2813" i="6"/>
  <c r="E2812" i="6"/>
  <c r="D2812" i="6"/>
  <c r="B2812" i="6"/>
  <c r="A2812" i="6"/>
  <c r="E2811" i="6"/>
  <c r="D2811" i="6"/>
  <c r="B2811" i="6"/>
  <c r="A2811" i="6"/>
  <c r="E2810" i="6"/>
  <c r="D2810" i="6"/>
  <c r="B2810" i="6"/>
  <c r="A2810" i="6"/>
  <c r="E2809" i="6"/>
  <c r="D2809" i="6"/>
  <c r="B2809" i="6"/>
  <c r="A2809" i="6"/>
  <c r="E2808" i="6"/>
  <c r="D2808" i="6"/>
  <c r="B2808" i="6"/>
  <c r="A2808" i="6"/>
  <c r="E2807" i="6"/>
  <c r="D2807" i="6"/>
  <c r="B2807" i="6"/>
  <c r="A2807" i="6"/>
  <c r="E2806" i="6"/>
  <c r="D2806" i="6"/>
  <c r="B2806" i="6"/>
  <c r="A2806" i="6"/>
  <c r="E2805" i="6"/>
  <c r="D2805" i="6"/>
  <c r="B2805" i="6"/>
  <c r="A2805" i="6"/>
  <c r="E2804" i="6"/>
  <c r="D2804" i="6"/>
  <c r="B2804" i="6"/>
  <c r="A2804" i="6"/>
  <c r="E2803" i="6"/>
  <c r="D2803" i="6"/>
  <c r="B2803" i="6"/>
  <c r="A2803" i="6"/>
  <c r="E2802" i="6"/>
  <c r="D2802" i="6"/>
  <c r="B2802" i="6"/>
  <c r="A2802" i="6"/>
  <c r="E2801" i="6"/>
  <c r="D2801" i="6"/>
  <c r="B2801" i="6"/>
  <c r="A2801" i="6"/>
  <c r="E2800" i="6"/>
  <c r="D2800" i="6"/>
  <c r="B2800" i="6"/>
  <c r="A2800" i="6"/>
  <c r="E2799" i="6"/>
  <c r="D2799" i="6"/>
  <c r="B2799" i="6"/>
  <c r="A2799" i="6"/>
  <c r="E2798" i="6"/>
  <c r="D2798" i="6"/>
  <c r="B2798" i="6"/>
  <c r="A2798" i="6"/>
  <c r="E2797" i="6"/>
  <c r="D2797" i="6"/>
  <c r="B2797" i="6"/>
  <c r="A2797" i="6"/>
  <c r="E2796" i="6"/>
  <c r="D2796" i="6"/>
  <c r="B2796" i="6"/>
  <c r="A2796" i="6"/>
  <c r="E2795" i="6"/>
  <c r="D2795" i="6"/>
  <c r="B2795" i="6"/>
  <c r="A2795" i="6"/>
  <c r="E2794" i="6"/>
  <c r="D2794" i="6"/>
  <c r="B2794" i="6"/>
  <c r="A2794" i="6"/>
  <c r="E2793" i="6"/>
  <c r="D2793" i="6"/>
  <c r="B2793" i="6"/>
  <c r="A2793" i="6"/>
  <c r="E2792" i="6"/>
  <c r="D2792" i="6"/>
  <c r="B2792" i="6"/>
  <c r="A2792" i="6"/>
  <c r="E2791" i="6"/>
  <c r="D2791" i="6"/>
  <c r="B2791" i="6"/>
  <c r="A2791" i="6"/>
  <c r="E2790" i="6"/>
  <c r="D2790" i="6"/>
  <c r="B2790" i="6"/>
  <c r="A2790" i="6"/>
  <c r="E2789" i="6"/>
  <c r="D2789" i="6"/>
  <c r="B2789" i="6"/>
  <c r="A2789" i="6"/>
  <c r="E2788" i="6"/>
  <c r="D2788" i="6"/>
  <c r="B2788" i="6"/>
  <c r="A2788" i="6"/>
  <c r="E2787" i="6"/>
  <c r="D2787" i="6"/>
  <c r="B2787" i="6"/>
  <c r="A2787" i="6"/>
  <c r="E2786" i="6"/>
  <c r="D2786" i="6"/>
  <c r="B2786" i="6"/>
  <c r="A2786" i="6"/>
  <c r="E2785" i="6"/>
  <c r="D2785" i="6"/>
  <c r="B2785" i="6"/>
  <c r="A2785" i="6"/>
  <c r="E2784" i="6"/>
  <c r="D2784" i="6"/>
  <c r="B2784" i="6"/>
  <c r="A2784" i="6"/>
  <c r="E2783" i="6"/>
  <c r="D2783" i="6"/>
  <c r="B2783" i="6"/>
  <c r="A2783" i="6"/>
  <c r="E2782" i="6"/>
  <c r="D2782" i="6"/>
  <c r="B2782" i="6"/>
  <c r="A2782" i="6"/>
  <c r="E2781" i="6"/>
  <c r="D2781" i="6"/>
  <c r="B2781" i="6"/>
  <c r="A2781" i="6"/>
  <c r="E2780" i="6"/>
  <c r="D2780" i="6"/>
  <c r="B2780" i="6"/>
  <c r="A2780" i="6"/>
  <c r="E2779" i="6"/>
  <c r="D2779" i="6"/>
  <c r="B2779" i="6"/>
  <c r="A2779" i="6"/>
  <c r="E2778" i="6"/>
  <c r="D2778" i="6"/>
  <c r="B2778" i="6"/>
  <c r="A2778" i="6"/>
  <c r="E2777" i="6"/>
  <c r="D2777" i="6"/>
  <c r="B2777" i="6"/>
  <c r="A2777" i="6"/>
  <c r="E2776" i="6"/>
  <c r="D2776" i="6"/>
  <c r="B2776" i="6"/>
  <c r="A2776" i="6"/>
  <c r="E2775" i="6"/>
  <c r="D2775" i="6"/>
  <c r="B2775" i="6"/>
  <c r="A2775" i="6"/>
  <c r="E2774" i="6"/>
  <c r="D2774" i="6"/>
  <c r="B2774" i="6"/>
  <c r="A2774" i="6"/>
  <c r="E2773" i="6"/>
  <c r="D2773" i="6"/>
  <c r="B2773" i="6"/>
  <c r="A2773" i="6"/>
  <c r="E2772" i="6"/>
  <c r="D2772" i="6"/>
  <c r="B2772" i="6"/>
  <c r="A2772" i="6"/>
  <c r="E2771" i="6"/>
  <c r="D2771" i="6"/>
  <c r="B2771" i="6"/>
  <c r="A2771" i="6"/>
  <c r="E2770" i="6"/>
  <c r="D2770" i="6"/>
  <c r="B2770" i="6"/>
  <c r="A2770" i="6"/>
  <c r="E2769" i="6"/>
  <c r="D2769" i="6"/>
  <c r="B2769" i="6"/>
  <c r="A2769" i="6"/>
  <c r="E2768" i="6"/>
  <c r="D2768" i="6"/>
  <c r="B2768" i="6"/>
  <c r="A2768" i="6"/>
  <c r="E2767" i="6"/>
  <c r="D2767" i="6"/>
  <c r="B2767" i="6"/>
  <c r="A2767" i="6"/>
  <c r="E2766" i="6"/>
  <c r="D2766" i="6"/>
  <c r="B2766" i="6"/>
  <c r="A2766" i="6"/>
  <c r="E2765" i="6"/>
  <c r="D2765" i="6"/>
  <c r="B2765" i="6"/>
  <c r="A2765" i="6"/>
  <c r="E2764" i="6"/>
  <c r="D2764" i="6"/>
  <c r="B2764" i="6"/>
  <c r="A2764" i="6"/>
  <c r="E2763" i="6"/>
  <c r="D2763" i="6"/>
  <c r="B2763" i="6"/>
  <c r="A2763" i="6"/>
  <c r="E2762" i="6"/>
  <c r="D2762" i="6"/>
  <c r="B2762" i="6"/>
  <c r="A2762" i="6"/>
  <c r="E2761" i="6"/>
  <c r="D2761" i="6"/>
  <c r="B2761" i="6"/>
  <c r="A2761" i="6"/>
  <c r="E2760" i="6"/>
  <c r="D2760" i="6"/>
  <c r="B2760" i="6"/>
  <c r="A2760" i="6"/>
  <c r="E2759" i="6"/>
  <c r="D2759" i="6"/>
  <c r="B2759" i="6"/>
  <c r="A2759" i="6"/>
  <c r="E2758" i="6"/>
  <c r="D2758" i="6"/>
  <c r="B2758" i="6"/>
  <c r="A2758" i="6"/>
  <c r="E2757" i="6"/>
  <c r="D2757" i="6"/>
  <c r="B2757" i="6"/>
  <c r="A2757" i="6"/>
  <c r="E2756" i="6"/>
  <c r="D2756" i="6"/>
  <c r="B2756" i="6"/>
  <c r="A2756" i="6"/>
  <c r="E2755" i="6"/>
  <c r="D2755" i="6"/>
  <c r="B2755" i="6"/>
  <c r="A2755" i="6"/>
  <c r="E2754" i="6"/>
  <c r="D2754" i="6"/>
  <c r="B2754" i="6"/>
  <c r="A2754" i="6"/>
  <c r="E2753" i="6"/>
  <c r="D2753" i="6"/>
  <c r="B2753" i="6"/>
  <c r="A2753" i="6"/>
  <c r="E2752" i="6"/>
  <c r="D2752" i="6"/>
  <c r="B2752" i="6"/>
  <c r="A2752" i="6"/>
  <c r="E2751" i="6"/>
  <c r="D2751" i="6"/>
  <c r="B2751" i="6"/>
  <c r="A2751" i="6"/>
  <c r="E2750" i="6"/>
  <c r="D2750" i="6"/>
  <c r="B2750" i="6"/>
  <c r="A2750" i="6"/>
  <c r="E2749" i="6"/>
  <c r="D2749" i="6"/>
  <c r="B2749" i="6"/>
  <c r="A2749" i="6"/>
  <c r="E2748" i="6"/>
  <c r="D2748" i="6"/>
  <c r="B2748" i="6"/>
  <c r="A2748" i="6"/>
  <c r="E2747" i="6"/>
  <c r="D2747" i="6"/>
  <c r="B2747" i="6"/>
  <c r="A2747" i="6"/>
  <c r="E2746" i="6"/>
  <c r="D2746" i="6"/>
  <c r="B2746" i="6"/>
  <c r="A2746" i="6"/>
  <c r="E2745" i="6"/>
  <c r="D2745" i="6"/>
  <c r="B2745" i="6"/>
  <c r="A2745" i="6"/>
  <c r="E2744" i="6"/>
  <c r="D2744" i="6"/>
  <c r="B2744" i="6"/>
  <c r="A2744" i="6"/>
  <c r="E2743" i="6"/>
  <c r="D2743" i="6"/>
  <c r="B2743" i="6"/>
  <c r="A2743" i="6"/>
  <c r="E2742" i="6"/>
  <c r="D2742" i="6"/>
  <c r="B2742" i="6"/>
  <c r="A2742" i="6"/>
  <c r="E2741" i="6"/>
  <c r="D2741" i="6"/>
  <c r="B2741" i="6"/>
  <c r="A2741" i="6"/>
  <c r="E2740" i="6"/>
  <c r="D2740" i="6"/>
  <c r="B2740" i="6"/>
  <c r="A2740" i="6"/>
  <c r="E2739" i="6"/>
  <c r="D2739" i="6"/>
  <c r="B2739" i="6"/>
  <c r="A2739" i="6"/>
  <c r="E2738" i="6"/>
  <c r="D2738" i="6"/>
  <c r="B2738" i="6"/>
  <c r="A2738" i="6"/>
  <c r="E2737" i="6"/>
  <c r="D2737" i="6"/>
  <c r="B2737" i="6"/>
  <c r="A2737" i="6"/>
  <c r="E2736" i="6"/>
  <c r="D2736" i="6"/>
  <c r="B2736" i="6"/>
  <c r="A2736" i="6"/>
  <c r="E2735" i="6"/>
  <c r="D2735" i="6"/>
  <c r="B2735" i="6"/>
  <c r="A2735" i="6"/>
  <c r="E2734" i="6"/>
  <c r="D2734" i="6"/>
  <c r="B2734" i="6"/>
  <c r="A2734" i="6"/>
  <c r="E2733" i="6"/>
  <c r="D2733" i="6"/>
  <c r="B2733" i="6"/>
  <c r="A2733" i="6"/>
  <c r="E2732" i="6"/>
  <c r="D2732" i="6"/>
  <c r="B2732" i="6"/>
  <c r="A2732" i="6"/>
  <c r="E2731" i="6"/>
  <c r="D2731" i="6"/>
  <c r="B2731" i="6"/>
  <c r="A2731" i="6"/>
  <c r="E2730" i="6"/>
  <c r="D2730" i="6"/>
  <c r="B2730" i="6"/>
  <c r="A2730" i="6"/>
  <c r="E2729" i="6"/>
  <c r="D2729" i="6"/>
  <c r="B2729" i="6"/>
  <c r="A2729" i="6"/>
  <c r="E2728" i="6"/>
  <c r="D2728" i="6"/>
  <c r="B2728" i="6"/>
  <c r="A2728" i="6"/>
  <c r="E2727" i="6"/>
  <c r="D2727" i="6"/>
  <c r="B2727" i="6"/>
  <c r="A2727" i="6"/>
  <c r="E2726" i="6"/>
  <c r="D2726" i="6"/>
  <c r="B2726" i="6"/>
  <c r="E2725" i="6"/>
  <c r="D2725" i="6"/>
  <c r="B2725" i="6"/>
  <c r="E2724" i="6"/>
  <c r="D2724" i="6"/>
  <c r="B2724" i="6"/>
  <c r="E2723" i="6"/>
  <c r="D2723" i="6"/>
  <c r="B2723" i="6"/>
  <c r="E2722" i="6"/>
  <c r="D2722" i="6"/>
  <c r="B2722" i="6"/>
  <c r="E2721" i="6"/>
  <c r="D2721" i="6"/>
  <c r="B2721" i="6"/>
  <c r="E2720" i="6"/>
  <c r="D2720" i="6"/>
  <c r="B2720" i="6"/>
  <c r="E2719" i="6"/>
  <c r="D2719" i="6"/>
  <c r="B2719" i="6"/>
  <c r="E2718" i="6"/>
  <c r="D2718" i="6"/>
  <c r="B2718" i="6"/>
  <c r="E2717" i="6"/>
  <c r="D2717" i="6"/>
  <c r="B2717" i="6"/>
  <c r="E2716" i="6"/>
  <c r="D2716" i="6"/>
  <c r="B2716" i="6"/>
  <c r="E2715" i="6"/>
  <c r="D2715" i="6"/>
  <c r="B2715" i="6"/>
  <c r="E2714" i="6"/>
  <c r="D2714" i="6"/>
  <c r="B2714" i="6"/>
  <c r="E2713" i="6"/>
  <c r="D2713" i="6"/>
  <c r="B2713" i="6"/>
  <c r="E2712" i="6"/>
  <c r="D2712" i="6"/>
  <c r="B2712" i="6"/>
  <c r="E2711" i="6"/>
  <c r="D2711" i="6"/>
  <c r="B2711" i="6"/>
  <c r="D2710" i="6"/>
  <c r="B2710" i="6"/>
  <c r="E2709" i="6"/>
  <c r="D2709" i="6"/>
  <c r="B2709" i="6"/>
  <c r="E2708" i="6"/>
  <c r="D2708" i="6"/>
  <c r="B2708" i="6"/>
  <c r="E2707" i="6"/>
  <c r="D2707" i="6"/>
  <c r="B2707" i="6"/>
  <c r="E2706" i="6"/>
  <c r="D2706" i="6"/>
  <c r="B2706" i="6"/>
  <c r="E2705" i="6"/>
  <c r="D2705" i="6"/>
  <c r="B2705" i="6"/>
  <c r="E2704" i="6"/>
  <c r="D2704" i="6"/>
  <c r="B2704" i="6"/>
  <c r="E2703" i="6"/>
  <c r="D2703" i="6"/>
  <c r="B2703" i="6"/>
  <c r="E2702" i="6"/>
  <c r="D2702" i="6"/>
  <c r="B2702" i="6"/>
  <c r="E2701" i="6"/>
  <c r="D2701" i="6"/>
  <c r="B2701" i="6"/>
  <c r="E2700" i="6"/>
  <c r="D2700" i="6"/>
  <c r="B2700" i="6"/>
  <c r="E2699" i="6"/>
  <c r="D2699" i="6"/>
  <c r="B2699" i="6"/>
  <c r="E2698" i="6"/>
  <c r="D2698" i="6"/>
  <c r="B2698" i="6"/>
  <c r="E2697" i="6"/>
  <c r="D2697" i="6"/>
  <c r="B2697" i="6"/>
  <c r="E2696" i="6"/>
  <c r="D2696" i="6"/>
  <c r="B2696" i="6"/>
  <c r="E2695" i="6"/>
  <c r="D2695" i="6"/>
  <c r="B2695" i="6"/>
  <c r="E2694" i="6"/>
  <c r="D2694" i="6"/>
  <c r="B2694" i="6"/>
  <c r="E2693" i="6"/>
  <c r="D2693" i="6"/>
  <c r="B2693" i="6"/>
  <c r="E2692" i="6"/>
  <c r="D2692" i="6"/>
  <c r="B2692" i="6"/>
  <c r="E2691" i="6"/>
  <c r="D2691" i="6"/>
  <c r="B2691" i="6"/>
  <c r="A2691" i="6"/>
  <c r="E2690" i="6"/>
  <c r="D2690" i="6"/>
  <c r="B2690" i="6"/>
  <c r="A2690" i="6"/>
  <c r="E2689" i="6"/>
  <c r="D2689" i="6"/>
  <c r="B2689" i="6"/>
  <c r="A2689" i="6"/>
  <c r="E2688" i="6"/>
  <c r="D2688" i="6"/>
  <c r="B2688" i="6"/>
  <c r="A2688" i="6"/>
  <c r="E2687" i="6"/>
  <c r="D2687" i="6"/>
  <c r="B2687" i="6"/>
  <c r="A2687" i="6"/>
  <c r="E2686" i="6"/>
  <c r="D2686" i="6"/>
  <c r="B2686" i="6"/>
  <c r="A2686" i="6"/>
  <c r="E2685" i="6"/>
  <c r="D2685" i="6"/>
  <c r="B2685" i="6"/>
  <c r="A2685" i="6"/>
  <c r="E2684" i="6"/>
  <c r="D2684" i="6"/>
  <c r="B2684" i="6"/>
  <c r="A2684" i="6"/>
  <c r="E2683" i="6"/>
  <c r="D2683" i="6"/>
  <c r="B2683" i="6"/>
  <c r="A2683" i="6"/>
  <c r="E2682" i="6"/>
  <c r="D2682" i="6"/>
  <c r="B2682" i="6"/>
  <c r="E2681" i="6"/>
  <c r="D2681" i="6"/>
  <c r="B2681" i="6"/>
  <c r="E2680" i="6"/>
  <c r="D2680" i="6"/>
  <c r="B2680" i="6"/>
  <c r="E2679" i="6"/>
  <c r="D2679" i="6"/>
  <c r="B2679" i="6"/>
  <c r="D2678" i="6"/>
  <c r="B2678" i="6"/>
  <c r="E2677" i="6"/>
  <c r="D2677" i="6"/>
  <c r="B2677" i="6"/>
  <c r="D2676" i="6"/>
  <c r="B2676" i="6"/>
  <c r="E2675" i="6"/>
  <c r="D2675" i="6"/>
  <c r="B2675" i="6"/>
  <c r="E2674" i="6"/>
  <c r="D2674" i="6"/>
  <c r="B2674" i="6"/>
  <c r="E2673" i="6"/>
  <c r="D2673" i="6"/>
  <c r="B2673" i="6"/>
  <c r="E2672" i="6"/>
  <c r="D2672" i="6"/>
  <c r="B2672" i="6"/>
  <c r="E2671" i="6"/>
  <c r="D2671" i="6"/>
  <c r="B2671" i="6"/>
  <c r="E2670" i="6"/>
  <c r="D2670" i="6"/>
  <c r="B2670" i="6"/>
  <c r="E2669" i="6"/>
  <c r="D2669" i="6"/>
  <c r="B2669" i="6"/>
  <c r="E2668" i="6"/>
  <c r="D2668" i="6"/>
  <c r="B2668" i="6"/>
  <c r="E2667" i="6"/>
  <c r="D2667" i="6"/>
  <c r="B2667" i="6"/>
  <c r="E2666" i="6"/>
  <c r="D2666" i="6"/>
  <c r="B2666" i="6"/>
  <c r="E2665" i="6"/>
  <c r="D2665" i="6"/>
  <c r="B2665" i="6"/>
  <c r="A2665" i="6"/>
  <c r="E2664" i="6"/>
  <c r="D2664" i="6"/>
  <c r="B2664" i="6"/>
  <c r="A2664" i="6"/>
  <c r="E2663" i="6"/>
  <c r="D2663" i="6"/>
  <c r="B2663" i="6"/>
  <c r="A2663" i="6"/>
  <c r="E2662" i="6"/>
  <c r="D2662" i="6"/>
  <c r="B2662" i="6"/>
  <c r="A2662" i="6"/>
  <c r="E2661" i="6"/>
  <c r="D2661" i="6"/>
  <c r="B2661" i="6"/>
  <c r="A2661" i="6"/>
  <c r="E2660" i="6"/>
  <c r="D2660" i="6"/>
  <c r="B2660" i="6"/>
  <c r="A2660" i="6"/>
  <c r="E2659" i="6"/>
  <c r="D2659" i="6"/>
  <c r="B2659" i="6"/>
  <c r="A2659" i="6"/>
  <c r="E2658" i="6"/>
  <c r="D2658" i="6"/>
  <c r="B2658" i="6"/>
  <c r="A2658" i="6"/>
  <c r="E2657" i="6"/>
  <c r="D2657" i="6"/>
  <c r="B2657" i="6"/>
  <c r="E2656" i="6"/>
  <c r="D2656" i="6"/>
  <c r="B2656" i="6"/>
  <c r="E2655" i="6"/>
  <c r="D2655" i="6"/>
  <c r="B2655" i="6"/>
  <c r="E2654" i="6"/>
  <c r="D2654" i="6"/>
  <c r="B2654" i="6"/>
  <c r="E2653" i="6"/>
  <c r="D2653" i="6"/>
  <c r="B2653" i="6"/>
  <c r="E2652" i="6"/>
  <c r="D2652" i="6"/>
  <c r="B2652" i="6"/>
  <c r="E2651" i="6"/>
  <c r="D2651" i="6"/>
  <c r="B2651" i="6"/>
  <c r="E2650" i="6"/>
  <c r="D2650" i="6"/>
  <c r="B2650" i="6"/>
  <c r="A2650" i="6"/>
  <c r="E2649" i="6"/>
  <c r="D2649" i="6"/>
  <c r="B2649" i="6"/>
  <c r="A2649" i="6"/>
  <c r="E2648" i="6"/>
  <c r="D2648" i="6"/>
  <c r="B2648" i="6"/>
  <c r="A2648" i="6"/>
  <c r="E2647" i="6"/>
  <c r="D2647" i="6"/>
  <c r="B2647" i="6"/>
  <c r="A2647" i="6"/>
  <c r="E2646" i="6"/>
  <c r="D2646" i="6"/>
  <c r="B2646" i="6"/>
  <c r="A2646" i="6"/>
  <c r="E2645" i="6"/>
  <c r="D2645" i="6"/>
  <c r="B2645" i="6"/>
  <c r="A2645" i="6"/>
  <c r="E2644" i="6"/>
  <c r="D2644" i="6"/>
  <c r="B2644" i="6"/>
  <c r="A2644" i="6"/>
  <c r="E2643" i="6"/>
  <c r="D2643" i="6"/>
  <c r="B2643" i="6"/>
  <c r="A2643" i="6"/>
  <c r="E2642" i="6"/>
  <c r="D2642" i="6"/>
  <c r="B2642" i="6"/>
  <c r="A2642" i="6"/>
  <c r="E2641" i="6"/>
  <c r="D2641" i="6"/>
  <c r="B2641" i="6"/>
  <c r="A2641" i="6"/>
  <c r="E2640" i="6"/>
  <c r="D2640" i="6"/>
  <c r="B2640" i="6"/>
  <c r="A2640" i="6"/>
  <c r="E2639" i="6"/>
  <c r="D2639" i="6"/>
  <c r="B2639" i="6"/>
  <c r="A2639" i="6"/>
  <c r="E2638" i="6"/>
  <c r="D2638" i="6"/>
  <c r="B2638" i="6"/>
  <c r="A2638" i="6"/>
  <c r="E2637" i="6"/>
  <c r="D2637" i="6"/>
  <c r="B2637" i="6"/>
  <c r="A2637" i="6"/>
  <c r="E2636" i="6"/>
  <c r="D2636" i="6"/>
  <c r="B2636" i="6"/>
  <c r="A2636" i="6"/>
  <c r="E2635" i="6"/>
  <c r="D2635" i="6"/>
  <c r="B2635" i="6"/>
  <c r="A2635" i="6"/>
  <c r="E2634" i="6"/>
  <c r="D2634" i="6"/>
  <c r="B2634" i="6"/>
  <c r="A2634" i="6"/>
  <c r="E2633" i="6"/>
  <c r="D2633" i="6"/>
  <c r="B2633" i="6"/>
  <c r="A2633" i="6"/>
  <c r="E2632" i="6"/>
  <c r="D2632" i="6"/>
  <c r="B2632" i="6"/>
  <c r="A2632" i="6"/>
  <c r="E2631" i="6"/>
  <c r="D2631" i="6"/>
  <c r="B2631" i="6"/>
  <c r="A2631" i="6"/>
  <c r="E2630" i="6"/>
  <c r="D2630" i="6"/>
  <c r="B2630" i="6"/>
  <c r="A2630" i="6"/>
  <c r="E2629" i="6"/>
  <c r="D2629" i="6"/>
  <c r="B2629" i="6"/>
  <c r="A2629" i="6"/>
  <c r="E2628" i="6"/>
  <c r="D2628" i="6"/>
  <c r="B2628" i="6"/>
  <c r="A2628" i="6"/>
  <c r="E2627" i="6"/>
  <c r="D2627" i="6"/>
  <c r="B2627" i="6"/>
  <c r="A2627" i="6"/>
  <c r="E2626" i="6"/>
  <c r="D2626" i="6"/>
  <c r="B2626" i="6"/>
  <c r="A2626" i="6"/>
  <c r="E2625" i="6"/>
  <c r="D2625" i="6"/>
  <c r="B2625" i="6"/>
  <c r="A2625" i="6"/>
  <c r="E2624" i="6"/>
  <c r="D2624" i="6"/>
  <c r="B2624" i="6"/>
  <c r="A2624" i="6"/>
  <c r="E2623" i="6"/>
  <c r="D2623" i="6"/>
  <c r="B2623" i="6"/>
  <c r="A2623" i="6"/>
  <c r="E2622" i="6"/>
  <c r="D2622" i="6"/>
  <c r="B2622" i="6"/>
  <c r="A2622" i="6"/>
  <c r="E2621" i="6"/>
  <c r="D2621" i="6"/>
  <c r="B2621" i="6"/>
  <c r="A2621" i="6"/>
  <c r="E2620" i="6"/>
  <c r="D2620" i="6"/>
  <c r="B2620" i="6"/>
  <c r="A2620" i="6"/>
  <c r="E2619" i="6"/>
  <c r="D2619" i="6"/>
  <c r="B2619" i="6"/>
  <c r="A2619" i="6"/>
  <c r="E2618" i="6"/>
  <c r="D2618" i="6"/>
  <c r="B2618" i="6"/>
  <c r="A2618" i="6"/>
  <c r="E2617" i="6"/>
  <c r="D2617" i="6"/>
  <c r="B2617" i="6"/>
  <c r="A2617" i="6"/>
  <c r="E2616" i="6"/>
  <c r="D2616" i="6"/>
  <c r="B2616" i="6"/>
  <c r="A2616" i="6"/>
  <c r="E2615" i="6"/>
  <c r="D2615" i="6"/>
  <c r="B2615" i="6"/>
  <c r="A2615" i="6"/>
  <c r="E2614" i="6"/>
  <c r="D2614" i="6"/>
  <c r="B2614" i="6"/>
  <c r="A2614" i="6"/>
  <c r="E2613" i="6"/>
  <c r="D2613" i="6"/>
  <c r="B2613" i="6"/>
  <c r="A2613" i="6"/>
  <c r="E2612" i="6"/>
  <c r="D2612" i="6"/>
  <c r="B2612" i="6"/>
  <c r="A2612" i="6"/>
  <c r="E2611" i="6"/>
  <c r="D2611" i="6"/>
  <c r="B2611" i="6"/>
  <c r="A2611" i="6"/>
  <c r="E2610" i="6"/>
  <c r="D2610" i="6"/>
  <c r="B2610" i="6"/>
  <c r="A2610" i="6"/>
  <c r="E2609" i="6"/>
  <c r="D2609" i="6"/>
  <c r="B2609" i="6"/>
  <c r="A2609" i="6"/>
  <c r="E2608" i="6"/>
  <c r="D2608" i="6"/>
  <c r="B2608" i="6"/>
  <c r="A2608" i="6"/>
  <c r="E2607" i="6"/>
  <c r="D2607" i="6"/>
  <c r="B2607" i="6"/>
  <c r="A2607" i="6"/>
  <c r="E2606" i="6"/>
  <c r="D2606" i="6"/>
  <c r="B2606" i="6"/>
  <c r="A2606" i="6"/>
  <c r="E2605" i="6"/>
  <c r="D2605" i="6"/>
  <c r="B2605" i="6"/>
  <c r="A2605" i="6"/>
  <c r="E2604" i="6"/>
  <c r="D2604" i="6"/>
  <c r="B2604" i="6"/>
  <c r="A2604" i="6"/>
  <c r="E2603" i="6"/>
  <c r="D2603" i="6"/>
  <c r="B2603" i="6"/>
  <c r="A2603" i="6"/>
  <c r="E2602" i="6"/>
  <c r="D2602" i="6"/>
  <c r="B2602" i="6"/>
  <c r="A2602" i="6"/>
  <c r="E2601" i="6"/>
  <c r="D2601" i="6"/>
  <c r="B2601" i="6"/>
  <c r="A2601" i="6"/>
  <c r="E2600" i="6"/>
  <c r="D2600" i="6"/>
  <c r="B2600" i="6"/>
  <c r="A2600" i="6"/>
  <c r="E2599" i="6"/>
  <c r="D2599" i="6"/>
  <c r="B2599" i="6"/>
  <c r="A2599" i="6"/>
  <c r="E2598" i="6"/>
  <c r="D2598" i="6"/>
  <c r="B2598" i="6"/>
  <c r="A2598" i="6"/>
  <c r="E2597" i="6"/>
  <c r="D2597" i="6"/>
  <c r="B2597" i="6"/>
  <c r="A2597" i="6"/>
  <c r="E2596" i="6"/>
  <c r="D2596" i="6"/>
  <c r="B2596" i="6"/>
  <c r="A2596" i="6"/>
  <c r="E2595" i="6"/>
  <c r="D2595" i="6"/>
  <c r="B2595" i="6"/>
  <c r="A2595" i="6"/>
  <c r="E2594" i="6"/>
  <c r="D2594" i="6"/>
  <c r="B2594" i="6"/>
  <c r="A2594" i="6"/>
  <c r="E2593" i="6"/>
  <c r="D2593" i="6"/>
  <c r="B2593" i="6"/>
  <c r="A2593" i="6"/>
  <c r="E2592" i="6"/>
  <c r="D2592" i="6"/>
  <c r="B2592" i="6"/>
  <c r="A2592" i="6"/>
  <c r="E2591" i="6"/>
  <c r="D2591" i="6"/>
  <c r="B2591" i="6"/>
  <c r="A2591" i="6"/>
  <c r="E2590" i="6"/>
  <c r="D2590" i="6"/>
  <c r="B2590" i="6"/>
  <c r="A2590" i="6"/>
  <c r="E2589" i="6"/>
  <c r="D2589" i="6"/>
  <c r="B2589" i="6"/>
  <c r="A2589" i="6"/>
  <c r="E2588" i="6"/>
  <c r="D2588" i="6"/>
  <c r="B2588" i="6"/>
  <c r="A2588" i="6"/>
  <c r="E2587" i="6"/>
  <c r="D2587" i="6"/>
  <c r="B2587" i="6"/>
  <c r="A2587" i="6"/>
  <c r="E2586" i="6"/>
  <c r="D2586" i="6"/>
  <c r="B2586" i="6"/>
  <c r="A2586" i="6"/>
  <c r="E2585" i="6"/>
  <c r="D2585" i="6"/>
  <c r="B2585" i="6"/>
  <c r="A2585" i="6"/>
  <c r="E2584" i="6"/>
  <c r="D2584" i="6"/>
  <c r="B2584" i="6"/>
  <c r="A2584" i="6"/>
  <c r="E2583" i="6"/>
  <c r="D2583" i="6"/>
  <c r="B2583" i="6"/>
  <c r="A2583" i="6"/>
  <c r="E2582" i="6"/>
  <c r="D2582" i="6"/>
  <c r="B2582" i="6"/>
  <c r="A2582" i="6"/>
  <c r="E2581" i="6"/>
  <c r="D2581" i="6"/>
  <c r="B2581" i="6"/>
  <c r="A2581" i="6"/>
  <c r="E2580" i="6"/>
  <c r="D2580" i="6"/>
  <c r="B2580" i="6"/>
  <c r="A2580" i="6"/>
  <c r="E2579" i="6"/>
  <c r="D2579" i="6"/>
  <c r="B2579" i="6"/>
  <c r="A2579" i="6"/>
  <c r="E2578" i="6"/>
  <c r="D2578" i="6"/>
  <c r="B2578" i="6"/>
  <c r="A2578" i="6"/>
  <c r="E2577" i="6"/>
  <c r="D2577" i="6"/>
  <c r="B2577" i="6"/>
  <c r="A2577" i="6"/>
  <c r="E2576" i="6"/>
  <c r="D2576" i="6"/>
  <c r="B2576" i="6"/>
  <c r="A2576" i="6"/>
  <c r="E2575" i="6"/>
  <c r="D2575" i="6"/>
  <c r="B2575" i="6"/>
  <c r="A2575" i="6"/>
  <c r="E2574" i="6"/>
  <c r="D2574" i="6"/>
  <c r="B2574" i="6"/>
  <c r="A2574" i="6"/>
  <c r="E2573" i="6"/>
  <c r="D2573" i="6"/>
  <c r="B2573" i="6"/>
  <c r="A2573" i="6"/>
  <c r="E2572" i="6"/>
  <c r="D2572" i="6"/>
  <c r="B2572" i="6"/>
  <c r="A2572" i="6"/>
  <c r="E2571" i="6"/>
  <c r="D2571" i="6"/>
  <c r="B2571" i="6"/>
  <c r="A2571" i="6"/>
  <c r="E2570" i="6"/>
  <c r="D2570" i="6"/>
  <c r="B2570" i="6"/>
  <c r="A2570" i="6"/>
  <c r="E2569" i="6"/>
  <c r="D2569" i="6"/>
  <c r="B2569" i="6"/>
  <c r="A2569" i="6"/>
  <c r="E2568" i="6"/>
  <c r="D2568" i="6"/>
  <c r="B2568" i="6"/>
  <c r="A2568" i="6"/>
  <c r="E2567" i="6"/>
  <c r="D2567" i="6"/>
  <c r="B2567" i="6"/>
  <c r="A2567" i="6"/>
  <c r="E2566" i="6"/>
  <c r="D2566" i="6"/>
  <c r="B2566" i="6"/>
  <c r="A2566" i="6"/>
  <c r="E2565" i="6"/>
  <c r="D2565" i="6"/>
  <c r="B2565" i="6"/>
  <c r="A2565" i="6"/>
  <c r="E2564" i="6"/>
  <c r="D2564" i="6"/>
  <c r="B2564" i="6"/>
  <c r="A2564" i="6"/>
  <c r="E2563" i="6"/>
  <c r="D2563" i="6"/>
  <c r="B2563" i="6"/>
  <c r="A2563" i="6"/>
  <c r="E2562" i="6"/>
  <c r="D2562" i="6"/>
  <c r="B2562" i="6"/>
  <c r="A2562" i="6"/>
  <c r="E2561" i="6"/>
  <c r="D2561" i="6"/>
  <c r="B2561" i="6"/>
  <c r="A2561" i="6"/>
  <c r="E2560" i="6"/>
  <c r="D2560" i="6"/>
  <c r="B2560" i="6"/>
  <c r="A2560" i="6"/>
  <c r="E2559" i="6"/>
  <c r="D2559" i="6"/>
  <c r="B2559" i="6"/>
  <c r="A2559" i="6"/>
  <c r="E2558" i="6"/>
  <c r="D2558" i="6"/>
  <c r="B2558" i="6"/>
  <c r="A2558" i="6"/>
  <c r="E2557" i="6"/>
  <c r="D2557" i="6"/>
  <c r="B2557" i="6"/>
  <c r="A2557" i="6"/>
  <c r="E2556" i="6"/>
  <c r="D2556" i="6"/>
  <c r="B2556" i="6"/>
  <c r="A2556" i="6"/>
  <c r="E2555" i="6"/>
  <c r="D2555" i="6"/>
  <c r="B2555" i="6"/>
  <c r="A2555" i="6"/>
  <c r="E2554" i="6"/>
  <c r="D2554" i="6"/>
  <c r="B2554" i="6"/>
  <c r="A2554" i="6"/>
  <c r="E2553" i="6"/>
  <c r="D2553" i="6"/>
  <c r="B2553" i="6"/>
  <c r="A2553" i="6"/>
  <c r="E2552" i="6"/>
  <c r="D2552" i="6"/>
  <c r="B2552" i="6"/>
  <c r="A2552" i="6"/>
  <c r="E2551" i="6"/>
  <c r="D2551" i="6"/>
  <c r="B2551" i="6"/>
  <c r="A2551" i="6"/>
  <c r="E2550" i="6"/>
  <c r="D2550" i="6"/>
  <c r="B2550" i="6"/>
  <c r="A2550" i="6"/>
  <c r="E2549" i="6"/>
  <c r="D2549" i="6"/>
  <c r="B2549" i="6"/>
  <c r="A2549" i="6"/>
  <c r="E2548" i="6"/>
  <c r="D2548" i="6"/>
  <c r="B2548" i="6"/>
  <c r="A2548" i="6"/>
  <c r="E2547" i="6"/>
  <c r="D2547" i="6"/>
  <c r="B2547" i="6"/>
  <c r="A2547" i="6"/>
  <c r="E2546" i="6"/>
  <c r="D2546" i="6"/>
  <c r="B2546" i="6"/>
  <c r="A2546" i="6"/>
  <c r="E2545" i="6"/>
  <c r="D2545" i="6"/>
  <c r="B2545" i="6"/>
  <c r="A2545" i="6"/>
  <c r="E2544" i="6"/>
  <c r="D2544" i="6"/>
  <c r="B2544" i="6"/>
  <c r="A2544" i="6"/>
  <c r="E2543" i="6"/>
  <c r="D2543" i="6"/>
  <c r="B2543" i="6"/>
  <c r="A2543" i="6"/>
  <c r="E2542" i="6"/>
  <c r="D2542" i="6"/>
  <c r="B2542" i="6"/>
  <c r="A2542" i="6"/>
  <c r="E2541" i="6"/>
  <c r="D2541" i="6"/>
  <c r="B2541" i="6"/>
  <c r="A2541" i="6"/>
  <c r="E2540" i="6"/>
  <c r="D2540" i="6"/>
  <c r="B2540" i="6"/>
  <c r="A2540" i="6"/>
  <c r="E2539" i="6"/>
  <c r="D2539" i="6"/>
  <c r="B2539" i="6"/>
  <c r="A2539" i="6"/>
  <c r="E2538" i="6"/>
  <c r="D2538" i="6"/>
  <c r="B2538" i="6"/>
  <c r="A2538" i="6"/>
  <c r="E2537" i="6"/>
  <c r="D2537" i="6"/>
  <c r="B2537" i="6"/>
  <c r="A2537" i="6"/>
  <c r="E2536" i="6"/>
  <c r="D2536" i="6"/>
  <c r="B2536" i="6"/>
  <c r="A2536" i="6"/>
  <c r="E2535" i="6"/>
  <c r="D2535" i="6"/>
  <c r="B2535" i="6"/>
  <c r="A2535" i="6"/>
  <c r="E2534" i="6"/>
  <c r="D2534" i="6"/>
  <c r="B2534" i="6"/>
  <c r="A2534" i="6"/>
  <c r="E2533" i="6"/>
  <c r="D2533" i="6"/>
  <c r="B2533" i="6"/>
  <c r="A2533" i="6"/>
  <c r="E2532" i="6"/>
  <c r="D2532" i="6"/>
  <c r="B2532" i="6"/>
  <c r="A2532" i="6"/>
  <c r="E2531" i="6"/>
  <c r="D2531" i="6"/>
  <c r="B2531" i="6"/>
  <c r="A2531" i="6"/>
  <c r="E2530" i="6"/>
  <c r="D2530" i="6"/>
  <c r="B2530" i="6"/>
  <c r="A2530" i="6"/>
  <c r="E2529" i="6"/>
  <c r="D2529" i="6"/>
  <c r="B2529" i="6"/>
  <c r="E2528" i="6"/>
  <c r="D2528" i="6"/>
  <c r="B2528" i="6"/>
  <c r="E2527" i="6"/>
  <c r="D2527" i="6"/>
  <c r="B2527" i="6"/>
  <c r="E2526" i="6"/>
  <c r="D2526" i="6"/>
  <c r="B2526" i="6"/>
  <c r="E2525" i="6"/>
  <c r="D2525" i="6"/>
  <c r="B2525" i="6"/>
  <c r="E2524" i="6"/>
  <c r="D2524" i="6"/>
  <c r="B2524" i="6"/>
  <c r="E2523" i="6"/>
  <c r="D2523" i="6"/>
  <c r="B2523" i="6"/>
  <c r="E2522" i="6"/>
  <c r="D2522" i="6"/>
  <c r="B2522" i="6"/>
  <c r="E2521" i="6"/>
  <c r="D2521" i="6"/>
  <c r="B2521" i="6"/>
  <c r="E2520" i="6"/>
  <c r="D2520" i="6"/>
  <c r="B2520" i="6"/>
  <c r="E2519" i="6"/>
  <c r="D2519" i="6"/>
  <c r="B2519" i="6"/>
  <c r="E2518" i="6"/>
  <c r="D2518" i="6"/>
  <c r="B2518" i="6"/>
  <c r="E2517" i="6"/>
  <c r="D2517" i="6"/>
  <c r="B2517" i="6"/>
  <c r="E2516" i="6"/>
  <c r="D2516" i="6"/>
  <c r="B2516" i="6"/>
  <c r="E2515" i="6"/>
  <c r="D2515" i="6"/>
  <c r="B2515" i="6"/>
  <c r="A2515" i="6"/>
  <c r="E2514" i="6"/>
  <c r="D2514" i="6"/>
  <c r="B2514" i="6"/>
  <c r="A2514" i="6"/>
  <c r="E2513" i="6"/>
  <c r="D2513" i="6"/>
  <c r="B2513" i="6"/>
  <c r="A2513" i="6"/>
  <c r="E2512" i="6"/>
  <c r="D2512" i="6"/>
  <c r="B2512" i="6"/>
  <c r="A2512" i="6"/>
  <c r="E2511" i="6"/>
  <c r="D2511" i="6"/>
  <c r="B2511" i="6"/>
  <c r="A2511" i="6"/>
  <c r="E2510" i="6"/>
  <c r="D2510" i="6"/>
  <c r="B2510" i="6"/>
  <c r="A2510" i="6"/>
  <c r="E2509" i="6"/>
  <c r="D2509" i="6"/>
  <c r="B2509" i="6"/>
  <c r="A2509" i="6"/>
  <c r="E2508" i="6"/>
  <c r="D2508" i="6"/>
  <c r="B2508" i="6"/>
  <c r="A2508" i="6"/>
  <c r="E2507" i="6"/>
  <c r="D2507" i="6"/>
  <c r="B2507" i="6"/>
  <c r="A2507" i="6"/>
  <c r="E2506" i="6"/>
  <c r="D2506" i="6"/>
  <c r="B2506" i="6"/>
  <c r="A2506" i="6"/>
  <c r="E2505" i="6"/>
  <c r="D2505" i="6"/>
  <c r="B2505" i="6"/>
  <c r="A2505" i="6"/>
  <c r="E2504" i="6"/>
  <c r="D2504" i="6"/>
  <c r="B2504" i="6"/>
  <c r="A2504" i="6"/>
  <c r="E2503" i="6"/>
  <c r="D2503" i="6"/>
  <c r="B2503" i="6"/>
  <c r="A2503" i="6"/>
  <c r="E2502" i="6"/>
  <c r="D2502" i="6"/>
  <c r="B2502" i="6"/>
  <c r="A2502" i="6"/>
  <c r="E2501" i="6"/>
  <c r="D2501" i="6"/>
  <c r="B2501" i="6"/>
  <c r="A2501" i="6"/>
  <c r="E2500" i="6"/>
  <c r="D2500" i="6"/>
  <c r="B2500" i="6"/>
  <c r="A2500" i="6"/>
  <c r="E2499" i="6"/>
  <c r="D2499" i="6"/>
  <c r="B2499" i="6"/>
  <c r="A2499" i="6"/>
  <c r="E2498" i="6"/>
  <c r="D2498" i="6"/>
  <c r="B2498" i="6"/>
  <c r="A2498" i="6"/>
  <c r="E2497" i="6"/>
  <c r="D2497" i="6"/>
  <c r="B2497" i="6"/>
  <c r="A2497" i="6"/>
  <c r="E2496" i="6"/>
  <c r="D2496" i="6"/>
  <c r="B2496" i="6"/>
  <c r="A2496" i="6"/>
  <c r="E2495" i="6"/>
  <c r="D2495" i="6"/>
  <c r="B2495" i="6"/>
  <c r="A2495" i="6"/>
  <c r="E2494" i="6"/>
  <c r="D2494" i="6"/>
  <c r="B2494" i="6"/>
  <c r="A2494" i="6"/>
  <c r="E2493" i="6"/>
  <c r="D2493" i="6"/>
  <c r="B2493" i="6"/>
  <c r="A2493" i="6"/>
  <c r="E2492" i="6"/>
  <c r="D2492" i="6"/>
  <c r="B2492" i="6"/>
  <c r="A2492" i="6"/>
  <c r="E2491" i="6"/>
  <c r="D2491" i="6"/>
  <c r="B2491" i="6"/>
  <c r="A2491" i="6"/>
  <c r="E2490" i="6"/>
  <c r="D2490" i="6"/>
  <c r="B2490" i="6"/>
  <c r="A2490" i="6"/>
  <c r="E2489" i="6"/>
  <c r="D2489" i="6"/>
  <c r="B2489" i="6"/>
  <c r="A2489" i="6"/>
  <c r="E2488" i="6"/>
  <c r="D2488" i="6"/>
  <c r="B2488" i="6"/>
  <c r="A2488" i="6"/>
  <c r="E2487" i="6"/>
  <c r="D2487" i="6"/>
  <c r="B2487" i="6"/>
  <c r="A2487" i="6"/>
  <c r="E2486" i="6"/>
  <c r="D2486" i="6"/>
  <c r="B2486" i="6"/>
  <c r="A2486" i="6"/>
  <c r="E2485" i="6"/>
  <c r="D2485" i="6"/>
  <c r="B2485" i="6"/>
  <c r="A2485" i="6"/>
  <c r="E2484" i="6"/>
  <c r="D2484" i="6"/>
  <c r="B2484" i="6"/>
  <c r="A2484" i="6"/>
  <c r="E2483" i="6"/>
  <c r="D2483" i="6"/>
  <c r="B2483" i="6"/>
  <c r="A2483" i="6"/>
  <c r="E2482" i="6"/>
  <c r="D2482" i="6"/>
  <c r="B2482" i="6"/>
  <c r="A2482" i="6"/>
  <c r="E2481" i="6"/>
  <c r="D2481" i="6"/>
  <c r="B2481" i="6"/>
  <c r="A2481" i="6"/>
  <c r="E2480" i="6"/>
  <c r="D2480" i="6"/>
  <c r="B2480" i="6"/>
  <c r="A2480" i="6"/>
  <c r="E2479" i="6"/>
  <c r="D2479" i="6"/>
  <c r="B2479" i="6"/>
  <c r="A2479" i="6"/>
  <c r="E2478" i="6"/>
  <c r="D2478" i="6"/>
  <c r="B2478" i="6"/>
  <c r="A2478" i="6"/>
  <c r="E2477" i="6"/>
  <c r="D2477" i="6"/>
  <c r="B2477" i="6"/>
  <c r="A2477" i="6"/>
  <c r="E2476" i="6"/>
  <c r="D2476" i="6"/>
  <c r="B2476" i="6"/>
  <c r="A2476" i="6"/>
  <c r="E2475" i="6"/>
  <c r="D2475" i="6"/>
  <c r="B2475" i="6"/>
  <c r="A2475" i="6"/>
  <c r="E2474" i="6"/>
  <c r="D2474" i="6"/>
  <c r="B2474" i="6"/>
  <c r="A2474" i="6"/>
  <c r="E2473" i="6"/>
  <c r="D2473" i="6"/>
  <c r="B2473" i="6"/>
  <c r="A2473" i="6"/>
  <c r="E2472" i="6"/>
  <c r="D2472" i="6"/>
  <c r="B2472" i="6"/>
  <c r="A2472" i="6"/>
  <c r="E2471" i="6"/>
  <c r="D2471" i="6"/>
  <c r="B2471" i="6"/>
  <c r="A2471" i="6"/>
  <c r="E2470" i="6"/>
  <c r="D2470" i="6"/>
  <c r="B2470" i="6"/>
  <c r="A2470" i="6"/>
  <c r="E2469" i="6"/>
  <c r="D2469" i="6"/>
  <c r="B2469" i="6"/>
  <c r="A2469" i="6"/>
  <c r="E2468" i="6"/>
  <c r="D2468" i="6"/>
  <c r="B2468" i="6"/>
  <c r="A2468" i="6"/>
  <c r="E2467" i="6"/>
  <c r="D2467" i="6"/>
  <c r="B2467" i="6"/>
  <c r="A2467" i="6"/>
  <c r="E2466" i="6"/>
  <c r="D2466" i="6"/>
  <c r="B2466" i="6"/>
  <c r="A2466" i="6"/>
  <c r="E2465" i="6"/>
  <c r="D2465" i="6"/>
  <c r="B2465" i="6"/>
  <c r="A2465" i="6"/>
  <c r="E2464" i="6"/>
  <c r="D2464" i="6"/>
  <c r="B2464" i="6"/>
  <c r="A2464" i="6"/>
  <c r="E2463" i="6"/>
  <c r="D2463" i="6"/>
  <c r="B2463" i="6"/>
  <c r="A2463" i="6"/>
  <c r="E2462" i="6"/>
  <c r="D2462" i="6"/>
  <c r="B2462" i="6"/>
  <c r="A2462" i="6"/>
  <c r="E2461" i="6"/>
  <c r="D2461" i="6"/>
  <c r="B2461" i="6"/>
  <c r="A2461" i="6"/>
  <c r="E2460" i="6"/>
  <c r="D2460" i="6"/>
  <c r="B2460" i="6"/>
  <c r="A2460" i="6"/>
  <c r="E2459" i="6"/>
  <c r="D2459" i="6"/>
  <c r="B2459" i="6"/>
  <c r="A2459" i="6"/>
  <c r="E2458" i="6"/>
  <c r="D2458" i="6"/>
  <c r="B2458" i="6"/>
  <c r="A2458" i="6"/>
  <c r="E2457" i="6"/>
  <c r="D2457" i="6"/>
  <c r="B2457" i="6"/>
  <c r="A2457" i="6"/>
  <c r="E2456" i="6"/>
  <c r="D2456" i="6"/>
  <c r="B2456" i="6"/>
  <c r="A2456" i="6"/>
  <c r="E2455" i="6"/>
  <c r="D2455" i="6"/>
  <c r="B2455" i="6"/>
  <c r="A2455" i="6"/>
  <c r="E2454" i="6"/>
  <c r="D2454" i="6"/>
  <c r="B2454" i="6"/>
  <c r="A2454" i="6"/>
  <c r="E2453" i="6"/>
  <c r="D2453" i="6"/>
  <c r="B2453" i="6"/>
  <c r="A2453" i="6"/>
  <c r="E2452" i="6"/>
  <c r="D2452" i="6"/>
  <c r="B2452" i="6"/>
  <c r="A2452" i="6"/>
  <c r="E2451" i="6"/>
  <c r="D2451" i="6"/>
  <c r="B2451" i="6"/>
  <c r="A2451" i="6"/>
  <c r="E2450" i="6"/>
  <c r="D2450" i="6"/>
  <c r="B2450" i="6"/>
  <c r="A2450" i="6"/>
  <c r="E2449" i="6"/>
  <c r="D2449" i="6"/>
  <c r="B2449" i="6"/>
  <c r="A2449" i="6"/>
  <c r="E2448" i="6"/>
  <c r="D2448" i="6"/>
  <c r="B2448" i="6"/>
  <c r="A2448" i="6"/>
  <c r="E2447" i="6"/>
  <c r="D2447" i="6"/>
  <c r="B2447" i="6"/>
  <c r="A2447" i="6"/>
  <c r="E2446" i="6"/>
  <c r="D2446" i="6"/>
  <c r="B2446" i="6"/>
  <c r="A2446" i="6"/>
  <c r="E2445" i="6"/>
  <c r="D2445" i="6"/>
  <c r="B2445" i="6"/>
  <c r="A2445" i="6"/>
  <c r="E2444" i="6"/>
  <c r="D2444" i="6"/>
  <c r="B2444" i="6"/>
  <c r="A2444" i="6"/>
  <c r="E2443" i="6"/>
  <c r="D2443" i="6"/>
  <c r="B2443" i="6"/>
  <c r="A2443" i="6"/>
  <c r="E2442" i="6"/>
  <c r="D2442" i="6"/>
  <c r="B2442" i="6"/>
  <c r="A2442" i="6"/>
  <c r="E2441" i="6"/>
  <c r="D2441" i="6"/>
  <c r="B2441" i="6"/>
  <c r="A2441" i="6"/>
  <c r="E2440" i="6"/>
  <c r="D2440" i="6"/>
  <c r="B2440" i="6"/>
  <c r="A2440" i="6"/>
  <c r="E2439" i="6"/>
  <c r="D2439" i="6"/>
  <c r="B2439" i="6"/>
  <c r="A2439" i="6"/>
  <c r="E2438" i="6"/>
  <c r="D2438" i="6"/>
  <c r="B2438" i="6"/>
  <c r="A2438" i="6"/>
  <c r="E2437" i="6"/>
  <c r="D2437" i="6"/>
  <c r="B2437" i="6"/>
  <c r="A2437" i="6"/>
  <c r="E2436" i="6"/>
  <c r="D2436" i="6"/>
  <c r="B2436" i="6"/>
  <c r="A2436" i="6"/>
  <c r="E2435" i="6"/>
  <c r="D2435" i="6"/>
  <c r="B2435" i="6"/>
  <c r="A2435" i="6"/>
  <c r="E2434" i="6"/>
  <c r="D2434" i="6"/>
  <c r="B2434" i="6"/>
  <c r="A2434" i="6"/>
  <c r="E2433" i="6"/>
  <c r="D2433" i="6"/>
  <c r="B2433" i="6"/>
  <c r="A2433" i="6"/>
  <c r="E2432" i="6"/>
  <c r="D2432" i="6"/>
  <c r="B2432" i="6"/>
  <c r="A2432" i="6"/>
  <c r="E2431" i="6"/>
  <c r="D2431" i="6"/>
  <c r="B2431" i="6"/>
  <c r="A2431" i="6"/>
  <c r="E2430" i="6"/>
  <c r="D2430" i="6"/>
  <c r="B2430" i="6"/>
  <c r="A2430" i="6"/>
  <c r="E2429" i="6"/>
  <c r="D2429" i="6"/>
  <c r="B2429" i="6"/>
  <c r="A2429" i="6"/>
  <c r="E2428" i="6"/>
  <c r="D2428" i="6"/>
  <c r="B2428" i="6"/>
  <c r="A2428" i="6"/>
  <c r="E2427" i="6"/>
  <c r="D2427" i="6"/>
  <c r="B2427" i="6"/>
  <c r="A2427" i="6"/>
  <c r="E2426" i="6"/>
  <c r="D2426" i="6"/>
  <c r="B2426" i="6"/>
  <c r="A2426" i="6"/>
  <c r="E2425" i="6"/>
  <c r="D2425" i="6"/>
  <c r="B2425" i="6"/>
  <c r="A2425" i="6"/>
  <c r="E2424" i="6"/>
  <c r="D2424" i="6"/>
  <c r="B2424" i="6"/>
  <c r="A2424" i="6"/>
  <c r="E2423" i="6"/>
  <c r="D2423" i="6"/>
  <c r="B2423" i="6"/>
  <c r="A2423" i="6"/>
  <c r="E2422" i="6"/>
  <c r="D2422" i="6"/>
  <c r="B2422" i="6"/>
  <c r="A2422" i="6"/>
  <c r="E2421" i="6"/>
  <c r="D2421" i="6"/>
  <c r="B2421" i="6"/>
  <c r="A2421" i="6"/>
  <c r="E2420" i="6"/>
  <c r="D2420" i="6"/>
  <c r="B2420" i="6"/>
  <c r="A2420" i="6"/>
  <c r="E2419" i="6"/>
  <c r="D2419" i="6"/>
  <c r="B2419" i="6"/>
  <c r="A2419" i="6"/>
  <c r="E2418" i="6"/>
  <c r="D2418" i="6"/>
  <c r="B2418" i="6"/>
  <c r="A2418" i="6"/>
  <c r="E2417" i="6"/>
  <c r="D2417" i="6"/>
  <c r="B2417" i="6"/>
  <c r="A2417" i="6"/>
  <c r="E2416" i="6"/>
  <c r="D2416" i="6"/>
  <c r="B2416" i="6"/>
  <c r="A2416" i="6"/>
  <c r="E2415" i="6"/>
  <c r="D2415" i="6"/>
  <c r="B2415" i="6"/>
  <c r="A2415" i="6"/>
  <c r="E2414" i="6"/>
  <c r="D2414" i="6"/>
  <c r="B2414" i="6"/>
  <c r="A2414" i="6"/>
  <c r="E2413" i="6"/>
  <c r="D2413" i="6"/>
  <c r="B2413" i="6"/>
  <c r="A2413" i="6"/>
  <c r="E2412" i="6"/>
  <c r="D2412" i="6"/>
  <c r="B2412" i="6"/>
  <c r="A2412" i="6"/>
  <c r="E2411" i="6"/>
  <c r="D2411" i="6"/>
  <c r="B2411" i="6"/>
  <c r="A2411" i="6"/>
  <c r="E2410" i="6"/>
  <c r="D2410" i="6"/>
  <c r="B2410" i="6"/>
  <c r="A2410" i="6"/>
  <c r="E2409" i="6"/>
  <c r="D2409" i="6"/>
  <c r="B2409" i="6"/>
  <c r="A2409" i="6"/>
  <c r="E2408" i="6"/>
  <c r="D2408" i="6"/>
  <c r="B2408" i="6"/>
  <c r="A2408" i="6"/>
  <c r="E2407" i="6"/>
  <c r="D2407" i="6"/>
  <c r="B2407" i="6"/>
  <c r="A2407" i="6"/>
  <c r="E2406" i="6"/>
  <c r="D2406" i="6"/>
  <c r="B2406" i="6"/>
  <c r="A2406" i="6"/>
  <c r="E2405" i="6"/>
  <c r="D2405" i="6"/>
  <c r="B2405" i="6"/>
  <c r="A2405" i="6"/>
  <c r="E2404" i="6"/>
  <c r="D2404" i="6"/>
  <c r="B2404" i="6"/>
  <c r="A2404" i="6"/>
  <c r="E2403" i="6"/>
  <c r="D2403" i="6"/>
  <c r="B2403" i="6"/>
  <c r="A2403" i="6"/>
  <c r="E2402" i="6"/>
  <c r="D2402" i="6"/>
  <c r="B2402" i="6"/>
  <c r="A2402" i="6"/>
  <c r="E2401" i="6"/>
  <c r="D2401" i="6"/>
  <c r="B2401" i="6"/>
  <c r="A2401" i="6"/>
  <c r="E2400" i="6"/>
  <c r="D2400" i="6"/>
  <c r="B2400" i="6"/>
  <c r="A2400" i="6"/>
  <c r="E2399" i="6"/>
  <c r="D2399" i="6"/>
  <c r="B2399" i="6"/>
  <c r="A2399" i="6"/>
  <c r="E2398" i="6"/>
  <c r="D2398" i="6"/>
  <c r="B2398" i="6"/>
  <c r="A2398" i="6"/>
  <c r="E2397" i="6"/>
  <c r="D2397" i="6"/>
  <c r="B2397" i="6"/>
  <c r="A2397" i="6"/>
  <c r="E2396" i="6"/>
  <c r="D2396" i="6"/>
  <c r="B2396" i="6"/>
  <c r="A2396" i="6"/>
  <c r="E2395" i="6"/>
  <c r="D2395" i="6"/>
  <c r="B2395" i="6"/>
  <c r="A2395" i="6"/>
  <c r="E2394" i="6"/>
  <c r="D2394" i="6"/>
  <c r="B2394" i="6"/>
  <c r="A2394" i="6"/>
  <c r="E2393" i="6"/>
  <c r="D2393" i="6"/>
  <c r="B2393" i="6"/>
  <c r="A2393" i="6"/>
  <c r="E2392" i="6"/>
  <c r="D2392" i="6"/>
  <c r="B2392" i="6"/>
  <c r="A2392" i="6"/>
  <c r="E2391" i="6"/>
  <c r="D2391" i="6"/>
  <c r="B2391" i="6"/>
  <c r="A2391" i="6"/>
  <c r="E2390" i="6"/>
  <c r="D2390" i="6"/>
  <c r="B2390" i="6"/>
  <c r="A2390" i="6"/>
  <c r="E2389" i="6"/>
  <c r="D2389" i="6"/>
  <c r="B2389" i="6"/>
  <c r="A2389" i="6"/>
  <c r="E2388" i="6"/>
  <c r="D2388" i="6"/>
  <c r="B2388" i="6"/>
  <c r="A2388" i="6"/>
  <c r="E2387" i="6"/>
  <c r="D2387" i="6"/>
  <c r="B2387" i="6"/>
  <c r="A2387" i="6"/>
  <c r="E2386" i="6"/>
  <c r="D2386" i="6"/>
  <c r="B2386" i="6"/>
  <c r="A2386" i="6"/>
  <c r="E2385" i="6"/>
  <c r="D2385" i="6"/>
  <c r="B2385" i="6"/>
  <c r="A2385" i="6"/>
  <c r="E2384" i="6"/>
  <c r="D2384" i="6"/>
  <c r="B2384" i="6"/>
  <c r="A2384" i="6"/>
  <c r="E2383" i="6"/>
  <c r="D2383" i="6"/>
  <c r="B2383" i="6"/>
  <c r="A2383" i="6"/>
  <c r="E2382" i="6"/>
  <c r="D2382" i="6"/>
  <c r="B2382" i="6"/>
  <c r="A2382" i="6"/>
  <c r="E2381" i="6"/>
  <c r="D2381" i="6"/>
  <c r="B2381" i="6"/>
  <c r="A2381" i="6"/>
  <c r="E2380" i="6"/>
  <c r="D2380" i="6"/>
  <c r="B2380" i="6"/>
  <c r="A2380" i="6"/>
  <c r="E2379" i="6"/>
  <c r="D2379" i="6"/>
  <c r="B2379" i="6"/>
  <c r="A2379" i="6"/>
  <c r="E2378" i="6"/>
  <c r="D2378" i="6"/>
  <c r="B2378" i="6"/>
  <c r="A2378" i="6"/>
  <c r="E2377" i="6"/>
  <c r="D2377" i="6"/>
  <c r="B2377" i="6"/>
  <c r="A2377" i="6"/>
  <c r="E2376" i="6"/>
  <c r="D2376" i="6"/>
  <c r="B2376" i="6"/>
  <c r="A2376" i="6"/>
  <c r="E2375" i="6"/>
  <c r="D2375" i="6"/>
  <c r="B2375" i="6"/>
  <c r="A2375" i="6"/>
  <c r="E2374" i="6"/>
  <c r="D2374" i="6"/>
  <c r="B2374" i="6"/>
  <c r="A2374" i="6"/>
  <c r="E2373" i="6"/>
  <c r="D2373" i="6"/>
  <c r="B2373" i="6"/>
  <c r="A2373" i="6"/>
  <c r="E2372" i="6"/>
  <c r="D2372" i="6"/>
  <c r="B2372" i="6"/>
  <c r="A2372" i="6"/>
  <c r="E2371" i="6"/>
  <c r="D2371" i="6"/>
  <c r="B2371" i="6"/>
  <c r="A2371" i="6"/>
  <c r="E2370" i="6"/>
  <c r="D2370" i="6"/>
  <c r="B2370" i="6"/>
  <c r="A2370" i="6"/>
  <c r="E2369" i="6"/>
  <c r="D2369" i="6"/>
  <c r="B2369" i="6"/>
  <c r="A2369" i="6"/>
  <c r="E2368" i="6"/>
  <c r="D2368" i="6"/>
  <c r="B2368" i="6"/>
  <c r="A2368" i="6"/>
  <c r="E2367" i="6"/>
  <c r="D2367" i="6"/>
  <c r="B2367" i="6"/>
  <c r="A2367" i="6"/>
  <c r="E2366" i="6"/>
  <c r="D2366" i="6"/>
  <c r="B2366" i="6"/>
  <c r="A2366" i="6"/>
  <c r="E2365" i="6"/>
  <c r="D2365" i="6"/>
  <c r="B2365" i="6"/>
  <c r="A2365" i="6"/>
  <c r="E2364" i="6"/>
  <c r="D2364" i="6"/>
  <c r="B2364" i="6"/>
  <c r="A2364" i="6"/>
  <c r="E2363" i="6"/>
  <c r="D2363" i="6"/>
  <c r="B2363" i="6"/>
  <c r="A2363" i="6"/>
  <c r="E2362" i="6"/>
  <c r="D2362" i="6"/>
  <c r="B2362" i="6"/>
  <c r="A2362" i="6"/>
  <c r="E2361" i="6"/>
  <c r="D2361" i="6"/>
  <c r="B2361" i="6"/>
  <c r="A2361" i="6"/>
  <c r="E2360" i="6"/>
  <c r="D2360" i="6"/>
  <c r="B2360" i="6"/>
  <c r="A2360" i="6"/>
  <c r="E2359" i="6"/>
  <c r="D2359" i="6"/>
  <c r="B2359" i="6"/>
  <c r="A2359" i="6"/>
  <c r="E2358" i="6"/>
  <c r="D2358" i="6"/>
  <c r="B2358" i="6"/>
  <c r="A2358" i="6"/>
  <c r="E2357" i="6"/>
  <c r="D2357" i="6"/>
  <c r="B2357" i="6"/>
  <c r="A2357" i="6"/>
  <c r="E2356" i="6"/>
  <c r="D2356" i="6"/>
  <c r="B2356" i="6"/>
  <c r="A2356" i="6"/>
  <c r="E2355" i="6"/>
  <c r="D2355" i="6"/>
  <c r="B2355" i="6"/>
  <c r="A2355" i="6"/>
  <c r="E2354" i="6"/>
  <c r="D2354" i="6"/>
  <c r="B2354" i="6"/>
  <c r="A2354" i="6"/>
  <c r="E2353" i="6"/>
  <c r="D2353" i="6"/>
  <c r="B2353" i="6"/>
  <c r="A2353" i="6"/>
  <c r="E2352" i="6"/>
  <c r="D2352" i="6"/>
  <c r="B2352" i="6"/>
  <c r="A2352" i="6"/>
  <c r="E2351" i="6"/>
  <c r="D2351" i="6"/>
  <c r="B2351" i="6"/>
  <c r="A2351" i="6"/>
  <c r="E2350" i="6"/>
  <c r="D2350" i="6"/>
  <c r="B2350" i="6"/>
  <c r="A2350" i="6"/>
  <c r="E2349" i="6"/>
  <c r="D2349" i="6"/>
  <c r="B2349" i="6"/>
  <c r="A2349" i="6"/>
  <c r="E2348" i="6"/>
  <c r="D2348" i="6"/>
  <c r="B2348" i="6"/>
  <c r="A2348" i="6"/>
  <c r="E2347" i="6"/>
  <c r="D2347" i="6"/>
  <c r="B2347" i="6"/>
  <c r="A2347" i="6"/>
  <c r="E2346" i="6"/>
  <c r="D2346" i="6"/>
  <c r="B2346" i="6"/>
  <c r="A2346" i="6"/>
  <c r="E2345" i="6"/>
  <c r="D2345" i="6"/>
  <c r="B2345" i="6"/>
  <c r="A2345" i="6"/>
  <c r="E2344" i="6"/>
  <c r="D2344" i="6"/>
  <c r="B2344" i="6"/>
  <c r="A2344" i="6"/>
  <c r="E2343" i="6"/>
  <c r="D2343" i="6"/>
  <c r="B2343" i="6"/>
  <c r="A2343" i="6"/>
  <c r="E2342" i="6"/>
  <c r="D2342" i="6"/>
  <c r="B2342" i="6"/>
  <c r="A2342" i="6"/>
  <c r="E2341" i="6"/>
  <c r="D2341" i="6"/>
  <c r="B2341" i="6"/>
  <c r="A2341" i="6"/>
  <c r="E2340" i="6"/>
  <c r="D2340" i="6"/>
  <c r="B2340" i="6"/>
  <c r="A2340" i="6"/>
  <c r="E2339" i="6"/>
  <c r="D2339" i="6"/>
  <c r="B2339" i="6"/>
  <c r="A2339" i="6"/>
  <c r="E2338" i="6"/>
  <c r="D2338" i="6"/>
  <c r="B2338" i="6"/>
  <c r="A2338" i="6"/>
  <c r="E2337" i="6"/>
  <c r="D2337" i="6"/>
  <c r="B2337" i="6"/>
  <c r="A2337" i="6"/>
  <c r="E2336" i="6"/>
  <c r="D2336" i="6"/>
  <c r="B2336" i="6"/>
  <c r="A2336" i="6"/>
  <c r="E2335" i="6"/>
  <c r="D2335" i="6"/>
  <c r="B2335" i="6"/>
  <c r="A2335" i="6"/>
  <c r="E2334" i="6"/>
  <c r="D2334" i="6"/>
  <c r="B2334" i="6"/>
  <c r="A2334" i="6"/>
  <c r="E2333" i="6"/>
  <c r="D2333" i="6"/>
  <c r="B2333" i="6"/>
  <c r="A2333" i="6"/>
  <c r="E2332" i="6"/>
  <c r="D2332" i="6"/>
  <c r="B2332" i="6"/>
  <c r="A2332" i="6"/>
  <c r="E2331" i="6"/>
  <c r="D2331" i="6"/>
  <c r="B2331" i="6"/>
  <c r="A2331" i="6"/>
  <c r="E2330" i="6"/>
  <c r="D2330" i="6"/>
  <c r="B2330" i="6"/>
  <c r="A2330" i="6"/>
  <c r="E2329" i="6"/>
  <c r="D2329" i="6"/>
  <c r="B2329" i="6"/>
  <c r="A2329" i="6"/>
  <c r="E2328" i="6"/>
  <c r="D2328" i="6"/>
  <c r="B2328" i="6"/>
  <c r="A2328" i="6"/>
  <c r="E2327" i="6"/>
  <c r="D2327" i="6"/>
  <c r="B2327" i="6"/>
  <c r="A2327" i="6"/>
  <c r="E2326" i="6"/>
  <c r="D2326" i="6"/>
  <c r="B2326" i="6"/>
  <c r="A2326" i="6"/>
  <c r="E2325" i="6"/>
  <c r="D2325" i="6"/>
  <c r="B2325" i="6"/>
  <c r="A2325" i="6"/>
  <c r="E2324" i="6"/>
  <c r="D2324" i="6"/>
  <c r="B2324" i="6"/>
  <c r="A2324" i="6"/>
  <c r="E2323" i="6"/>
  <c r="D2323" i="6"/>
  <c r="B2323" i="6"/>
  <c r="A2323" i="6"/>
  <c r="E2322" i="6"/>
  <c r="D2322" i="6"/>
  <c r="B2322" i="6"/>
  <c r="A2322" i="6"/>
  <c r="E2321" i="6"/>
  <c r="D2321" i="6"/>
  <c r="B2321" i="6"/>
  <c r="A2321" i="6"/>
  <c r="E2320" i="6"/>
  <c r="D2320" i="6"/>
  <c r="B2320" i="6"/>
  <c r="A2320" i="6"/>
  <c r="E2319" i="6"/>
  <c r="D2319" i="6"/>
  <c r="B2319" i="6"/>
  <c r="A2319" i="6"/>
  <c r="E2318" i="6"/>
  <c r="D2318" i="6"/>
  <c r="B2318" i="6"/>
  <c r="A2318" i="6"/>
  <c r="E2317" i="6"/>
  <c r="D2317" i="6"/>
  <c r="B2317" i="6"/>
  <c r="A2317" i="6"/>
  <c r="E2316" i="6"/>
  <c r="D2316" i="6"/>
  <c r="B2316" i="6"/>
  <c r="A2316" i="6"/>
  <c r="E2315" i="6"/>
  <c r="D2315" i="6"/>
  <c r="B2315" i="6"/>
  <c r="A2315" i="6"/>
  <c r="E2314" i="6"/>
  <c r="D2314" i="6"/>
  <c r="B2314" i="6"/>
  <c r="A2314" i="6"/>
  <c r="E2313" i="6"/>
  <c r="D2313" i="6"/>
  <c r="B2313" i="6"/>
  <c r="A2313" i="6"/>
  <c r="E2312" i="6"/>
  <c r="D2312" i="6"/>
  <c r="B2312" i="6"/>
  <c r="A2312" i="6"/>
  <c r="E2311" i="6"/>
  <c r="D2311" i="6"/>
  <c r="B2311" i="6"/>
  <c r="A2311" i="6"/>
  <c r="E2310" i="6"/>
  <c r="D2310" i="6"/>
  <c r="B2310" i="6"/>
  <c r="A2310" i="6"/>
  <c r="E2309" i="6"/>
  <c r="D2309" i="6"/>
  <c r="B2309" i="6"/>
  <c r="A2309" i="6"/>
  <c r="E2308" i="6"/>
  <c r="D2308" i="6"/>
  <c r="B2308" i="6"/>
  <c r="A2308" i="6"/>
  <c r="E2307" i="6"/>
  <c r="D2307" i="6"/>
  <c r="B2307" i="6"/>
  <c r="A2307" i="6"/>
  <c r="E2306" i="6"/>
  <c r="D2306" i="6"/>
  <c r="B2306" i="6"/>
  <c r="A2306" i="6"/>
  <c r="E2305" i="6"/>
  <c r="D2305" i="6"/>
  <c r="B2305" i="6"/>
  <c r="A2305" i="6"/>
  <c r="E2304" i="6"/>
  <c r="D2304" i="6"/>
  <c r="B2304" i="6"/>
  <c r="A2304" i="6"/>
  <c r="E2303" i="6"/>
  <c r="D2303" i="6"/>
  <c r="B2303" i="6"/>
  <c r="A2303" i="6"/>
  <c r="E2302" i="6"/>
  <c r="D2302" i="6"/>
  <c r="B2302" i="6"/>
  <c r="A2302" i="6"/>
  <c r="E2301" i="6"/>
  <c r="D2301" i="6"/>
  <c r="B2301" i="6"/>
  <c r="A2301" i="6"/>
  <c r="E2300" i="6"/>
  <c r="D2300" i="6"/>
  <c r="B2300" i="6"/>
  <c r="A2300" i="6"/>
  <c r="E2299" i="6"/>
  <c r="D2299" i="6"/>
  <c r="B2299" i="6"/>
  <c r="A2299" i="6"/>
  <c r="E2298" i="6"/>
  <c r="D2298" i="6"/>
  <c r="B2298" i="6"/>
  <c r="A2298" i="6"/>
  <c r="E2297" i="6"/>
  <c r="D2297" i="6"/>
  <c r="B2297" i="6"/>
  <c r="A2297" i="6"/>
  <c r="E2296" i="6"/>
  <c r="D2296" i="6"/>
  <c r="B2296" i="6"/>
  <c r="A2296" i="6"/>
  <c r="E2295" i="6"/>
  <c r="D2295" i="6"/>
  <c r="B2295" i="6"/>
  <c r="A2295" i="6"/>
  <c r="E2294" i="6"/>
  <c r="D2294" i="6"/>
  <c r="B2294" i="6"/>
  <c r="A2294" i="6"/>
  <c r="E2293" i="6"/>
  <c r="D2293" i="6"/>
  <c r="B2293" i="6"/>
  <c r="A2293" i="6"/>
  <c r="E2292" i="6"/>
  <c r="D2292" i="6"/>
  <c r="B2292" i="6"/>
  <c r="A2292" i="6"/>
  <c r="E2291" i="6"/>
  <c r="D2291" i="6"/>
  <c r="B2291" i="6"/>
  <c r="A2291" i="6"/>
  <c r="E2290" i="6"/>
  <c r="D2290" i="6"/>
  <c r="B2290" i="6"/>
  <c r="A2290" i="6"/>
  <c r="E2289" i="6"/>
  <c r="D2289" i="6"/>
  <c r="B2289" i="6"/>
  <c r="A2289" i="6"/>
  <c r="E2288" i="6"/>
  <c r="D2288" i="6"/>
  <c r="B2288" i="6"/>
  <c r="A2288" i="6"/>
  <c r="E2287" i="6"/>
  <c r="D2287" i="6"/>
  <c r="B2287" i="6"/>
  <c r="A2287" i="6"/>
  <c r="E2286" i="6"/>
  <c r="D2286" i="6"/>
  <c r="B2286" i="6"/>
  <c r="A2286" i="6"/>
  <c r="E2285" i="6"/>
  <c r="D2285" i="6"/>
  <c r="B2285" i="6"/>
  <c r="A2285" i="6"/>
  <c r="E2284" i="6"/>
  <c r="D2284" i="6"/>
  <c r="B2284" i="6"/>
  <c r="A2284" i="6"/>
  <c r="E2283" i="6"/>
  <c r="D2283" i="6"/>
  <c r="B2283" i="6"/>
  <c r="A2283" i="6"/>
  <c r="E2282" i="6"/>
  <c r="D2282" i="6"/>
  <c r="B2282" i="6"/>
  <c r="A2282" i="6"/>
  <c r="E2281" i="6"/>
  <c r="D2281" i="6"/>
  <c r="B2281" i="6"/>
  <c r="A2281" i="6"/>
  <c r="E2280" i="6"/>
  <c r="D2280" i="6"/>
  <c r="B2280" i="6"/>
  <c r="A2280" i="6"/>
  <c r="E2279" i="6"/>
  <c r="D2279" i="6"/>
  <c r="B2279" i="6"/>
  <c r="A2279" i="6"/>
  <c r="E2278" i="6"/>
  <c r="D2278" i="6"/>
  <c r="B2278" i="6"/>
  <c r="A2278" i="6"/>
  <c r="E2277" i="6"/>
  <c r="D2277" i="6"/>
  <c r="B2277" i="6"/>
  <c r="A2277" i="6"/>
  <c r="E2276" i="6"/>
  <c r="D2276" i="6"/>
  <c r="B2276" i="6"/>
  <c r="A2276" i="6"/>
  <c r="E2275" i="6"/>
  <c r="D2275" i="6"/>
  <c r="B2275" i="6"/>
  <c r="A2275" i="6"/>
  <c r="E2274" i="6"/>
  <c r="D2274" i="6"/>
  <c r="B2274" i="6"/>
  <c r="A2274" i="6"/>
  <c r="E2273" i="6"/>
  <c r="D2273" i="6"/>
  <c r="B2273" i="6"/>
  <c r="A2273" i="6"/>
  <c r="E2272" i="6"/>
  <c r="D2272" i="6"/>
  <c r="B2272" i="6"/>
  <c r="A2272" i="6"/>
  <c r="E2271" i="6"/>
  <c r="D2271" i="6"/>
  <c r="B2271" i="6"/>
  <c r="A2271" i="6"/>
  <c r="E2270" i="6"/>
  <c r="D2270" i="6"/>
  <c r="B2270" i="6"/>
  <c r="A2270" i="6"/>
  <c r="E2269" i="6"/>
  <c r="D2269" i="6"/>
  <c r="B2269" i="6"/>
  <c r="A2269" i="6"/>
  <c r="E2268" i="6"/>
  <c r="D2268" i="6"/>
  <c r="B2268" i="6"/>
  <c r="A2268" i="6"/>
  <c r="E2267" i="6"/>
  <c r="D2267" i="6"/>
  <c r="B2267" i="6"/>
  <c r="A2267" i="6"/>
  <c r="E2266" i="6"/>
  <c r="D2266" i="6"/>
  <c r="B2266" i="6"/>
  <c r="A2266" i="6"/>
  <c r="E2265" i="6"/>
  <c r="D2265" i="6"/>
  <c r="B2265" i="6"/>
  <c r="A2265" i="6"/>
  <c r="E2264" i="6"/>
  <c r="D2264" i="6"/>
  <c r="B2264" i="6"/>
  <c r="A2264" i="6"/>
  <c r="E2263" i="6"/>
  <c r="D2263" i="6"/>
  <c r="B2263" i="6"/>
  <c r="A2263" i="6"/>
  <c r="E2262" i="6"/>
  <c r="D2262" i="6"/>
  <c r="B2262" i="6"/>
  <c r="A2262" i="6"/>
  <c r="E2261" i="6"/>
  <c r="D2261" i="6"/>
  <c r="B2261" i="6"/>
  <c r="A2261" i="6"/>
  <c r="E2260" i="6"/>
  <c r="D2260" i="6"/>
  <c r="B2260" i="6"/>
  <c r="A2260" i="6"/>
  <c r="E2259" i="6"/>
  <c r="D2259" i="6"/>
  <c r="B2259" i="6"/>
  <c r="A2259" i="6"/>
  <c r="E2258" i="6"/>
  <c r="D2258" i="6"/>
  <c r="B2258" i="6"/>
  <c r="A2258" i="6"/>
  <c r="E2257" i="6"/>
  <c r="D2257" i="6"/>
  <c r="B2257" i="6"/>
  <c r="A2257" i="6"/>
  <c r="E2256" i="6"/>
  <c r="D2256" i="6"/>
  <c r="B2256" i="6"/>
  <c r="A2256" i="6"/>
  <c r="E2255" i="6"/>
  <c r="D2255" i="6"/>
  <c r="B2255" i="6"/>
  <c r="A2255" i="6"/>
  <c r="E2254" i="6"/>
  <c r="D2254" i="6"/>
  <c r="B2254" i="6"/>
  <c r="A2254" i="6"/>
  <c r="E2253" i="6"/>
  <c r="D2253" i="6"/>
  <c r="B2253" i="6"/>
  <c r="A2253" i="6"/>
  <c r="E2252" i="6"/>
  <c r="D2252" i="6"/>
  <c r="B2252" i="6"/>
  <c r="A2252" i="6"/>
  <c r="E2251" i="6"/>
  <c r="D2251" i="6"/>
  <c r="B2251" i="6"/>
  <c r="A2251" i="6"/>
  <c r="E2250" i="6"/>
  <c r="D2250" i="6"/>
  <c r="B2250" i="6"/>
  <c r="A2250" i="6"/>
  <c r="E2249" i="6"/>
  <c r="D2249" i="6"/>
  <c r="B2249" i="6"/>
  <c r="A2249" i="6"/>
  <c r="E2248" i="6"/>
  <c r="D2248" i="6"/>
  <c r="B2248" i="6"/>
  <c r="A2248" i="6"/>
  <c r="E2247" i="6"/>
  <c r="D2247" i="6"/>
  <c r="B2247" i="6"/>
  <c r="A2247" i="6"/>
  <c r="E2246" i="6"/>
  <c r="D2246" i="6"/>
  <c r="B2246" i="6"/>
  <c r="A2246" i="6"/>
  <c r="E2245" i="6"/>
  <c r="D2245" i="6"/>
  <c r="B2245" i="6"/>
  <c r="A2245" i="6"/>
  <c r="E2244" i="6"/>
  <c r="D2244" i="6"/>
  <c r="B2244" i="6"/>
  <c r="A2244" i="6"/>
  <c r="E2243" i="6"/>
  <c r="D2243" i="6"/>
  <c r="B2243" i="6"/>
  <c r="A2243" i="6"/>
  <c r="E2242" i="6"/>
  <c r="D2242" i="6"/>
  <c r="B2242" i="6"/>
  <c r="A2242" i="6"/>
  <c r="E2241" i="6"/>
  <c r="D2241" i="6"/>
  <c r="B2241" i="6"/>
  <c r="A2241" i="6"/>
  <c r="E2240" i="6"/>
  <c r="D2240" i="6"/>
  <c r="B2240" i="6"/>
  <c r="A2240" i="6"/>
  <c r="E2239" i="6"/>
  <c r="D2239" i="6"/>
  <c r="B2239" i="6"/>
  <c r="A2239" i="6"/>
  <c r="E2238" i="6"/>
  <c r="D2238" i="6"/>
  <c r="B2238" i="6"/>
  <c r="A2238" i="6"/>
  <c r="E2237" i="6"/>
  <c r="D2237" i="6"/>
  <c r="B2237" i="6"/>
  <c r="A2237" i="6"/>
  <c r="E2236" i="6"/>
  <c r="D2236" i="6"/>
  <c r="B2236" i="6"/>
  <c r="A2236" i="6"/>
  <c r="E2235" i="6"/>
  <c r="D2235" i="6"/>
  <c r="B2235" i="6"/>
  <c r="A2235" i="6"/>
  <c r="E2234" i="6"/>
  <c r="D2234" i="6"/>
  <c r="B2234" i="6"/>
  <c r="A2234" i="6"/>
  <c r="E2233" i="6"/>
  <c r="D2233" i="6"/>
  <c r="B2233" i="6"/>
  <c r="A2233" i="6"/>
  <c r="E2232" i="6"/>
  <c r="D2232" i="6"/>
  <c r="B2232" i="6"/>
  <c r="A2232" i="6"/>
  <c r="E2231" i="6"/>
  <c r="D2231" i="6"/>
  <c r="B2231" i="6"/>
  <c r="A2231" i="6"/>
  <c r="E2230" i="6"/>
  <c r="D2230" i="6"/>
  <c r="B2230" i="6"/>
  <c r="A2230" i="6"/>
  <c r="E2229" i="6"/>
  <c r="D2229" i="6"/>
  <c r="B2229" i="6"/>
  <c r="A2229" i="6"/>
  <c r="E2228" i="6"/>
  <c r="D2228" i="6"/>
  <c r="B2228" i="6"/>
  <c r="A2228" i="6"/>
  <c r="E2227" i="6"/>
  <c r="D2227" i="6"/>
  <c r="B2227" i="6"/>
  <c r="A2227" i="6"/>
  <c r="E2226" i="6"/>
  <c r="D2226" i="6"/>
  <c r="B2226" i="6"/>
  <c r="A2226" i="6"/>
  <c r="E2225" i="6"/>
  <c r="D2225" i="6"/>
  <c r="B2225" i="6"/>
  <c r="A2225" i="6"/>
  <c r="E2224" i="6"/>
  <c r="D2224" i="6"/>
  <c r="B2224" i="6"/>
  <c r="A2224" i="6"/>
  <c r="E2223" i="6"/>
  <c r="D2223" i="6"/>
  <c r="B2223" i="6"/>
  <c r="A2223" i="6"/>
  <c r="E2222" i="6"/>
  <c r="D2222" i="6"/>
  <c r="B2222" i="6"/>
  <c r="A2222" i="6"/>
  <c r="E2221" i="6"/>
  <c r="D2221" i="6"/>
  <c r="B2221" i="6"/>
  <c r="A2221" i="6"/>
  <c r="E2220" i="6"/>
  <c r="D2220" i="6"/>
  <c r="B2220" i="6"/>
  <c r="A2220" i="6"/>
  <c r="E2219" i="6"/>
  <c r="D2219" i="6"/>
  <c r="B2219" i="6"/>
  <c r="A2219" i="6"/>
  <c r="E2218" i="6"/>
  <c r="D2218" i="6"/>
  <c r="B2218" i="6"/>
  <c r="A2218" i="6"/>
  <c r="E2217" i="6"/>
  <c r="D2217" i="6"/>
  <c r="B2217" i="6"/>
  <c r="A2217" i="6"/>
  <c r="E2216" i="6"/>
  <c r="D2216" i="6"/>
  <c r="B2216" i="6"/>
  <c r="A2216" i="6"/>
  <c r="E2215" i="6"/>
  <c r="D2215" i="6"/>
  <c r="B2215" i="6"/>
  <c r="A2215" i="6"/>
  <c r="E2214" i="6"/>
  <c r="D2214" i="6"/>
  <c r="B2214" i="6"/>
  <c r="A2214" i="6"/>
  <c r="E2213" i="6"/>
  <c r="D2213" i="6"/>
  <c r="B2213" i="6"/>
  <c r="A2213" i="6"/>
  <c r="E2212" i="6"/>
  <c r="D2212" i="6"/>
  <c r="B2212" i="6"/>
  <c r="A2212" i="6"/>
  <c r="E2211" i="6"/>
  <c r="D2211" i="6"/>
  <c r="B2211" i="6"/>
  <c r="A2211" i="6"/>
  <c r="E2210" i="6"/>
  <c r="D2210" i="6"/>
  <c r="B2210" i="6"/>
  <c r="A2210" i="6"/>
  <c r="E2209" i="6"/>
  <c r="D2209" i="6"/>
  <c r="B2209" i="6"/>
  <c r="A2209" i="6"/>
  <c r="E2208" i="6"/>
  <c r="D2208" i="6"/>
  <c r="B2208" i="6"/>
  <c r="A2208" i="6"/>
  <c r="E2207" i="6"/>
  <c r="D2207" i="6"/>
  <c r="B2207" i="6"/>
  <c r="A2207" i="6"/>
  <c r="E2206" i="6"/>
  <c r="D2206" i="6"/>
  <c r="B2206" i="6"/>
  <c r="A2206" i="6"/>
  <c r="E2205" i="6"/>
  <c r="D2205" i="6"/>
  <c r="B2205" i="6"/>
  <c r="A2205" i="6"/>
  <c r="E2204" i="6"/>
  <c r="D2204" i="6"/>
  <c r="B2204" i="6"/>
  <c r="A2204" i="6"/>
  <c r="E2203" i="6"/>
  <c r="D2203" i="6"/>
  <c r="B2203" i="6"/>
  <c r="A2203" i="6"/>
  <c r="E2202" i="6"/>
  <c r="D2202" i="6"/>
  <c r="B2202" i="6"/>
  <c r="A2202" i="6"/>
  <c r="E2201" i="6"/>
  <c r="D2201" i="6"/>
  <c r="B2201" i="6"/>
  <c r="A2201" i="6"/>
  <c r="E2200" i="6"/>
  <c r="D2200" i="6"/>
  <c r="B2200" i="6"/>
  <c r="A2200" i="6"/>
  <c r="E2199" i="6"/>
  <c r="D2199" i="6"/>
  <c r="B2199" i="6"/>
  <c r="A2199" i="6"/>
  <c r="E2198" i="6"/>
  <c r="D2198" i="6"/>
  <c r="B2198" i="6"/>
  <c r="A2198" i="6"/>
  <c r="E2197" i="6"/>
  <c r="D2197" i="6"/>
  <c r="B2197" i="6"/>
  <c r="A2197" i="6"/>
  <c r="E2196" i="6"/>
  <c r="D2196" i="6"/>
  <c r="B2196" i="6"/>
  <c r="A2196" i="6"/>
  <c r="E2195" i="6"/>
  <c r="D2195" i="6"/>
  <c r="B2195" i="6"/>
  <c r="A2195" i="6"/>
  <c r="E2194" i="6"/>
  <c r="D2194" i="6"/>
  <c r="B2194" i="6"/>
  <c r="A2194" i="6"/>
  <c r="E2193" i="6"/>
  <c r="D2193" i="6"/>
  <c r="B2193" i="6"/>
  <c r="A2193" i="6"/>
  <c r="E2192" i="6"/>
  <c r="D2192" i="6"/>
  <c r="B2192" i="6"/>
  <c r="A2192" i="6"/>
  <c r="E2191" i="6"/>
  <c r="D2191" i="6"/>
  <c r="B2191" i="6"/>
  <c r="A2191" i="6"/>
  <c r="E2190" i="6"/>
  <c r="D2190" i="6"/>
  <c r="B2190" i="6"/>
  <c r="A2190" i="6"/>
  <c r="E2189" i="6"/>
  <c r="D2189" i="6"/>
  <c r="B2189" i="6"/>
  <c r="A2189" i="6"/>
  <c r="E2188" i="6"/>
  <c r="D2188" i="6"/>
  <c r="B2188" i="6"/>
  <c r="A2188" i="6"/>
  <c r="E2187" i="6"/>
  <c r="D2187" i="6"/>
  <c r="B2187" i="6"/>
  <c r="A2187" i="6"/>
  <c r="E2186" i="6"/>
  <c r="D2186" i="6"/>
  <c r="B2186" i="6"/>
  <c r="A2186" i="6"/>
  <c r="E2185" i="6"/>
  <c r="D2185" i="6"/>
  <c r="B2185" i="6"/>
  <c r="A2185" i="6"/>
  <c r="E2184" i="6"/>
  <c r="D2184" i="6"/>
  <c r="B2184" i="6"/>
  <c r="A2184" i="6"/>
  <c r="E2183" i="6"/>
  <c r="D2183" i="6"/>
  <c r="B2183" i="6"/>
  <c r="A2183" i="6"/>
  <c r="E2182" i="6"/>
  <c r="D2182" i="6"/>
  <c r="B2182" i="6"/>
  <c r="A2182" i="6"/>
  <c r="E2181" i="6"/>
  <c r="D2181" i="6"/>
  <c r="B2181" i="6"/>
  <c r="A2181" i="6"/>
  <c r="E2180" i="6"/>
  <c r="D2180" i="6"/>
  <c r="B2180" i="6"/>
  <c r="A2180" i="6"/>
  <c r="E2179" i="6"/>
  <c r="D2179" i="6"/>
  <c r="B2179" i="6"/>
  <c r="A2179" i="6"/>
  <c r="E2178" i="6"/>
  <c r="D2178" i="6"/>
  <c r="B2178" i="6"/>
  <c r="A2178" i="6"/>
  <c r="E2177" i="6"/>
  <c r="D2177" i="6"/>
  <c r="B2177" i="6"/>
  <c r="A2177" i="6"/>
  <c r="E2176" i="6"/>
  <c r="D2176" i="6"/>
  <c r="B2176" i="6"/>
  <c r="A2176" i="6"/>
  <c r="E2175" i="6"/>
  <c r="D2175" i="6"/>
  <c r="B2175" i="6"/>
  <c r="A2175" i="6"/>
  <c r="E2174" i="6"/>
  <c r="D2174" i="6"/>
  <c r="B2174" i="6"/>
  <c r="A2174" i="6"/>
  <c r="E2173" i="6"/>
  <c r="D2173" i="6"/>
  <c r="B2173" i="6"/>
  <c r="A2173" i="6"/>
  <c r="E2172" i="6"/>
  <c r="D2172" i="6"/>
  <c r="B2172" i="6"/>
  <c r="A2172" i="6"/>
  <c r="E2171" i="6"/>
  <c r="D2171" i="6"/>
  <c r="B2171" i="6"/>
  <c r="A2171" i="6"/>
  <c r="E2170" i="6"/>
  <c r="D2170" i="6"/>
  <c r="B2170" i="6"/>
  <c r="A2170" i="6"/>
  <c r="E2169" i="6"/>
  <c r="D2169" i="6"/>
  <c r="B2169" i="6"/>
  <c r="A2169" i="6"/>
  <c r="E2168" i="6"/>
  <c r="D2168" i="6"/>
  <c r="B2168" i="6"/>
  <c r="A2168" i="6"/>
  <c r="E2167" i="6"/>
  <c r="D2167" i="6"/>
  <c r="B2167" i="6"/>
  <c r="A2167" i="6"/>
  <c r="E2166" i="6"/>
  <c r="D2166" i="6"/>
  <c r="B2166" i="6"/>
  <c r="A2166" i="6"/>
  <c r="E2165" i="6"/>
  <c r="D2165" i="6"/>
  <c r="B2165" i="6"/>
  <c r="A2165" i="6"/>
  <c r="E2164" i="6"/>
  <c r="D2164" i="6"/>
  <c r="B2164" i="6"/>
  <c r="A2164" i="6"/>
  <c r="E2163" i="6"/>
  <c r="D2163" i="6"/>
  <c r="B2163" i="6"/>
  <c r="A2163" i="6"/>
  <c r="E2162" i="6"/>
  <c r="D2162" i="6"/>
  <c r="B2162" i="6"/>
  <c r="A2162" i="6"/>
  <c r="E2161" i="6"/>
  <c r="D2161" i="6"/>
  <c r="B2161" i="6"/>
  <c r="A2161" i="6"/>
  <c r="E2160" i="6"/>
  <c r="D2160" i="6"/>
  <c r="B2160" i="6"/>
  <c r="A2160" i="6"/>
  <c r="E2159" i="6"/>
  <c r="D2159" i="6"/>
  <c r="B2159" i="6"/>
  <c r="A2159" i="6"/>
  <c r="E2158" i="6"/>
  <c r="D2158" i="6"/>
  <c r="B2158" i="6"/>
  <c r="A2158" i="6"/>
  <c r="E2157" i="6"/>
  <c r="D2157" i="6"/>
  <c r="B2157" i="6"/>
  <c r="A2157" i="6"/>
  <c r="E2156" i="6"/>
  <c r="D2156" i="6"/>
  <c r="B2156" i="6"/>
  <c r="A2156" i="6"/>
  <c r="E2155" i="6"/>
  <c r="D2155" i="6"/>
  <c r="B2155" i="6"/>
  <c r="A2155" i="6"/>
  <c r="E2154" i="6"/>
  <c r="D2154" i="6"/>
  <c r="B2154" i="6"/>
  <c r="A2154" i="6"/>
  <c r="E2153" i="6"/>
  <c r="D2153" i="6"/>
  <c r="B2153" i="6"/>
  <c r="A2153" i="6"/>
  <c r="E2152" i="6"/>
  <c r="D2152" i="6"/>
  <c r="B2152" i="6"/>
  <c r="A2152" i="6"/>
  <c r="E2151" i="6"/>
  <c r="D2151" i="6"/>
  <c r="B2151" i="6"/>
  <c r="A2151" i="6"/>
  <c r="E2150" i="6"/>
  <c r="D2150" i="6"/>
  <c r="B2150" i="6"/>
  <c r="A2150" i="6"/>
  <c r="E2149" i="6"/>
  <c r="D2149" i="6"/>
  <c r="B2149" i="6"/>
  <c r="A2149" i="6"/>
  <c r="E2148" i="6"/>
  <c r="D2148" i="6"/>
  <c r="B2148" i="6"/>
  <c r="A2148" i="6"/>
  <c r="E2147" i="6"/>
  <c r="D2147" i="6"/>
  <c r="B2147" i="6"/>
  <c r="A2147" i="6"/>
  <c r="E2146" i="6"/>
  <c r="D2146" i="6"/>
  <c r="B2146" i="6"/>
  <c r="A2146" i="6"/>
  <c r="E2145" i="6"/>
  <c r="D2145" i="6"/>
  <c r="B2145" i="6"/>
  <c r="A2145" i="6"/>
  <c r="E2144" i="6"/>
  <c r="D2144" i="6"/>
  <c r="B2144" i="6"/>
  <c r="A2144" i="6"/>
  <c r="E2143" i="6"/>
  <c r="D2143" i="6"/>
  <c r="B2143" i="6"/>
  <c r="A2143" i="6"/>
  <c r="E2142" i="6"/>
  <c r="D2142" i="6"/>
  <c r="B2142" i="6"/>
  <c r="A2142" i="6"/>
  <c r="E2141" i="6"/>
  <c r="D2141" i="6"/>
  <c r="B2141" i="6"/>
  <c r="A2141" i="6"/>
  <c r="E2140" i="6"/>
  <c r="D2140" i="6"/>
  <c r="B2140" i="6"/>
  <c r="A2140" i="6"/>
  <c r="E2139" i="6"/>
  <c r="D2139" i="6"/>
  <c r="B2139" i="6"/>
  <c r="A2139" i="6"/>
  <c r="E2138" i="6"/>
  <c r="D2138" i="6"/>
  <c r="B2138" i="6"/>
  <c r="A2138" i="6"/>
  <c r="E2137" i="6"/>
  <c r="D2137" i="6"/>
  <c r="B2137" i="6"/>
  <c r="A2137" i="6"/>
  <c r="E2136" i="6"/>
  <c r="D2136" i="6"/>
  <c r="B2136" i="6"/>
  <c r="A2136" i="6"/>
  <c r="E2135" i="6"/>
  <c r="D2135" i="6"/>
  <c r="B2135" i="6"/>
  <c r="A2135" i="6"/>
  <c r="E2134" i="6"/>
  <c r="D2134" i="6"/>
  <c r="B2134" i="6"/>
  <c r="A2134" i="6"/>
  <c r="E2133" i="6"/>
  <c r="D2133" i="6"/>
  <c r="B2133" i="6"/>
  <c r="A2133" i="6"/>
  <c r="E2132" i="6"/>
  <c r="D2132" i="6"/>
  <c r="B2132" i="6"/>
  <c r="A2132" i="6"/>
  <c r="E2131" i="6"/>
  <c r="D2131" i="6"/>
  <c r="B2131" i="6"/>
  <c r="A2131" i="6"/>
  <c r="E2130" i="6"/>
  <c r="D2130" i="6"/>
  <c r="B2130" i="6"/>
  <c r="A2130" i="6"/>
  <c r="E2129" i="6"/>
  <c r="D2129" i="6"/>
  <c r="B2129" i="6"/>
  <c r="A2129" i="6"/>
  <c r="E2128" i="6"/>
  <c r="D2128" i="6"/>
  <c r="B2128" i="6"/>
  <c r="A2128" i="6"/>
  <c r="E2127" i="6"/>
  <c r="D2127" i="6"/>
  <c r="B2127" i="6"/>
  <c r="A2127" i="6"/>
  <c r="E2126" i="6"/>
  <c r="D2126" i="6"/>
  <c r="B2126" i="6"/>
  <c r="A2126" i="6"/>
  <c r="E2125" i="6"/>
  <c r="D2125" i="6"/>
  <c r="B2125" i="6"/>
  <c r="A2125" i="6"/>
  <c r="E2124" i="6"/>
  <c r="D2124" i="6"/>
  <c r="B2124" i="6"/>
  <c r="A2124" i="6"/>
  <c r="E2123" i="6"/>
  <c r="D2123" i="6"/>
  <c r="B2123" i="6"/>
  <c r="A2123" i="6"/>
  <c r="E2122" i="6"/>
  <c r="D2122" i="6"/>
  <c r="B2122" i="6"/>
  <c r="A2122" i="6"/>
  <c r="E2121" i="6"/>
  <c r="D2121" i="6"/>
  <c r="B2121" i="6"/>
  <c r="A2121" i="6"/>
  <c r="E2120" i="6"/>
  <c r="D2120" i="6"/>
  <c r="B2120" i="6"/>
  <c r="A2120" i="6"/>
  <c r="E2119" i="6"/>
  <c r="D2119" i="6"/>
  <c r="B2119" i="6"/>
  <c r="A2119" i="6"/>
  <c r="E2118" i="6"/>
  <c r="D2118" i="6"/>
  <c r="B2118" i="6"/>
  <c r="A2118" i="6"/>
  <c r="E2117" i="6"/>
  <c r="D2117" i="6"/>
  <c r="B2117" i="6"/>
  <c r="A2117" i="6"/>
  <c r="E2116" i="6"/>
  <c r="D2116" i="6"/>
  <c r="B2116" i="6"/>
  <c r="A2116" i="6"/>
  <c r="E2115" i="6"/>
  <c r="D2115" i="6"/>
  <c r="B2115" i="6"/>
  <c r="A2115" i="6"/>
  <c r="E2114" i="6"/>
  <c r="D2114" i="6"/>
  <c r="B2114" i="6"/>
  <c r="A2114" i="6"/>
  <c r="E2113" i="6"/>
  <c r="D2113" i="6"/>
  <c r="B2113" i="6"/>
  <c r="A2113" i="6"/>
  <c r="E2112" i="6"/>
  <c r="D2112" i="6"/>
  <c r="B2112" i="6"/>
  <c r="A2112" i="6"/>
  <c r="E2111" i="6"/>
  <c r="D2111" i="6"/>
  <c r="B2111" i="6"/>
  <c r="A2111" i="6"/>
  <c r="E2110" i="6"/>
  <c r="D2110" i="6"/>
  <c r="B2110" i="6"/>
  <c r="A2110" i="6"/>
  <c r="E2109" i="6"/>
  <c r="D2109" i="6"/>
  <c r="B2109" i="6"/>
  <c r="A2109" i="6"/>
  <c r="E2108" i="6"/>
  <c r="D2108" i="6"/>
  <c r="B2108" i="6"/>
  <c r="A2108" i="6"/>
  <c r="E2107" i="6"/>
  <c r="D2107" i="6"/>
  <c r="B2107" i="6"/>
  <c r="A2107" i="6"/>
  <c r="E2106" i="6"/>
  <c r="D2106" i="6"/>
  <c r="B2106" i="6"/>
  <c r="A2106" i="6"/>
  <c r="E2105" i="6"/>
  <c r="D2105" i="6"/>
  <c r="B2105" i="6"/>
  <c r="A2105" i="6"/>
  <c r="E2104" i="6"/>
  <c r="D2104" i="6"/>
  <c r="B2104" i="6"/>
  <c r="A2104" i="6"/>
  <c r="E2103" i="6"/>
  <c r="D2103" i="6"/>
  <c r="B2103" i="6"/>
  <c r="A2103" i="6"/>
  <c r="E2102" i="6"/>
  <c r="D2102" i="6"/>
  <c r="B2102" i="6"/>
  <c r="A2102" i="6"/>
  <c r="E2101" i="6"/>
  <c r="D2101" i="6"/>
  <c r="B2101" i="6"/>
  <c r="A2101" i="6"/>
  <c r="E2100" i="6"/>
  <c r="D2100" i="6"/>
  <c r="B2100" i="6"/>
  <c r="A2100" i="6"/>
  <c r="E2099" i="6"/>
  <c r="D2099" i="6"/>
  <c r="B2099" i="6"/>
  <c r="A2099" i="6"/>
  <c r="E2098" i="6"/>
  <c r="D2098" i="6"/>
  <c r="B2098" i="6"/>
  <c r="A2098" i="6"/>
  <c r="E2097" i="6"/>
  <c r="D2097" i="6"/>
  <c r="B2097" i="6"/>
  <c r="A2097" i="6"/>
  <c r="E2096" i="6"/>
  <c r="D2096" i="6"/>
  <c r="B2096" i="6"/>
  <c r="A2096" i="6"/>
  <c r="E2095" i="6"/>
  <c r="D2095" i="6"/>
  <c r="B2095" i="6"/>
  <c r="A2095" i="6"/>
  <c r="E2094" i="6"/>
  <c r="D2094" i="6"/>
  <c r="B2094" i="6"/>
  <c r="A2094" i="6"/>
  <c r="E2093" i="6"/>
  <c r="D2093" i="6"/>
  <c r="B2093" i="6"/>
  <c r="A2093" i="6"/>
  <c r="E2092" i="6"/>
  <c r="D2092" i="6"/>
  <c r="B2092" i="6"/>
  <c r="A2092" i="6"/>
  <c r="E2091" i="6"/>
  <c r="D2091" i="6"/>
  <c r="B2091" i="6"/>
  <c r="A2091" i="6"/>
  <c r="E2090" i="6"/>
  <c r="D2090" i="6"/>
  <c r="B2090" i="6"/>
  <c r="A2090" i="6"/>
  <c r="E2089" i="6"/>
  <c r="D2089" i="6"/>
  <c r="B2089" i="6"/>
  <c r="A2089" i="6"/>
  <c r="E2088" i="6"/>
  <c r="D2088" i="6"/>
  <c r="B2088" i="6"/>
  <c r="A2088" i="6"/>
  <c r="E2087" i="6"/>
  <c r="D2087" i="6"/>
  <c r="B2087" i="6"/>
  <c r="A2087" i="6"/>
  <c r="E2086" i="6"/>
  <c r="D2086" i="6"/>
  <c r="B2086" i="6"/>
  <c r="A2086" i="6"/>
  <c r="E2085" i="6"/>
  <c r="D2085" i="6"/>
  <c r="B2085" i="6"/>
  <c r="A2085" i="6"/>
  <c r="E2084" i="6"/>
  <c r="D2084" i="6"/>
  <c r="B2084" i="6"/>
  <c r="A2084" i="6"/>
  <c r="E2083" i="6"/>
  <c r="D2083" i="6"/>
  <c r="B2083" i="6"/>
  <c r="A2083" i="6"/>
  <c r="E2082" i="6"/>
  <c r="D2082" i="6"/>
  <c r="B2082" i="6"/>
  <c r="A2082" i="6"/>
  <c r="E2081" i="6"/>
  <c r="D2081" i="6"/>
  <c r="B2081" i="6"/>
  <c r="A2081" i="6"/>
  <c r="E2080" i="6"/>
  <c r="D2080" i="6"/>
  <c r="B2080" i="6"/>
  <c r="A2080" i="6"/>
  <c r="E2079" i="6"/>
  <c r="D2079" i="6"/>
  <c r="B2079" i="6"/>
  <c r="A2079" i="6"/>
  <c r="E2078" i="6"/>
  <c r="D2078" i="6"/>
  <c r="B2078" i="6"/>
  <c r="A2078" i="6"/>
  <c r="E2077" i="6"/>
  <c r="D2077" i="6"/>
  <c r="B2077" i="6"/>
  <c r="A2077" i="6"/>
  <c r="E2076" i="6"/>
  <c r="D2076" i="6"/>
  <c r="B2076" i="6"/>
  <c r="A2076" i="6"/>
  <c r="E2075" i="6"/>
  <c r="D2075" i="6"/>
  <c r="B2075" i="6"/>
  <c r="A2075" i="6"/>
  <c r="E2074" i="6"/>
  <c r="D2074" i="6"/>
  <c r="B2074" i="6"/>
  <c r="A2074" i="6"/>
  <c r="E2073" i="6"/>
  <c r="D2073" i="6"/>
  <c r="B2073" i="6"/>
  <c r="A2073" i="6"/>
  <c r="E2072" i="6"/>
  <c r="D2072" i="6"/>
  <c r="B2072" i="6"/>
  <c r="A2072" i="6"/>
  <c r="E2071" i="6"/>
  <c r="D2071" i="6"/>
  <c r="B2071" i="6"/>
  <c r="A2071" i="6"/>
  <c r="E2070" i="6"/>
  <c r="D2070" i="6"/>
  <c r="B2070" i="6"/>
  <c r="A2070" i="6"/>
  <c r="E2069" i="6"/>
  <c r="D2069" i="6"/>
  <c r="B2069" i="6"/>
  <c r="A2069" i="6"/>
  <c r="E2068" i="6"/>
  <c r="D2068" i="6"/>
  <c r="B2068" i="6"/>
  <c r="A2068" i="6"/>
  <c r="E2067" i="6"/>
  <c r="D2067" i="6"/>
  <c r="B2067" i="6"/>
  <c r="A2067" i="6"/>
  <c r="E2066" i="6"/>
  <c r="D2066" i="6"/>
  <c r="B2066" i="6"/>
  <c r="A2066" i="6"/>
  <c r="E2065" i="6"/>
  <c r="D2065" i="6"/>
  <c r="B2065" i="6"/>
  <c r="A2065" i="6"/>
  <c r="E2064" i="6"/>
  <c r="D2064" i="6"/>
  <c r="B2064" i="6"/>
  <c r="A2064" i="6"/>
  <c r="E2063" i="6"/>
  <c r="D2063" i="6"/>
  <c r="B2063" i="6"/>
  <c r="A2063" i="6"/>
  <c r="E2062" i="6"/>
  <c r="D2062" i="6"/>
  <c r="B2062" i="6"/>
  <c r="A2062" i="6"/>
  <c r="E2061" i="6"/>
  <c r="D2061" i="6"/>
  <c r="B2061" i="6"/>
  <c r="A2061" i="6"/>
  <c r="E2060" i="6"/>
  <c r="D2060" i="6"/>
  <c r="B2060" i="6"/>
  <c r="A2060" i="6"/>
  <c r="E2059" i="6"/>
  <c r="D2059" i="6"/>
  <c r="B2059" i="6"/>
  <c r="A2059" i="6"/>
  <c r="E2058" i="6"/>
  <c r="D2058" i="6"/>
  <c r="B2058" i="6"/>
  <c r="A2058" i="6"/>
  <c r="E2057" i="6"/>
  <c r="D2057" i="6"/>
  <c r="B2057" i="6"/>
  <c r="A2057" i="6"/>
  <c r="E2056" i="6"/>
  <c r="D2056" i="6"/>
  <c r="B2056" i="6"/>
  <c r="A2056" i="6"/>
  <c r="E2055" i="6"/>
  <c r="D2055" i="6"/>
  <c r="B2055" i="6"/>
  <c r="A2055" i="6"/>
  <c r="E2054" i="6"/>
  <c r="D2054" i="6"/>
  <c r="B2054" i="6"/>
  <c r="A2054" i="6"/>
  <c r="E2053" i="6"/>
  <c r="D2053" i="6"/>
  <c r="B2053" i="6"/>
  <c r="A2053" i="6"/>
  <c r="E2052" i="6"/>
  <c r="D2052" i="6"/>
  <c r="B2052" i="6"/>
  <c r="A2052" i="6"/>
  <c r="E2051" i="6"/>
  <c r="D2051" i="6"/>
  <c r="B2051" i="6"/>
  <c r="E2050" i="6"/>
  <c r="D2050" i="6"/>
  <c r="B2050" i="6"/>
  <c r="E2049" i="6"/>
  <c r="D2049" i="6"/>
  <c r="B2049" i="6"/>
  <c r="E2048" i="6"/>
  <c r="D2048" i="6"/>
  <c r="B2048" i="6"/>
  <c r="E2047" i="6"/>
  <c r="D2047" i="6"/>
  <c r="B2047" i="6"/>
  <c r="E2046" i="6"/>
  <c r="D2046" i="6"/>
  <c r="B2046" i="6"/>
  <c r="E2045" i="6"/>
  <c r="D2045" i="6"/>
  <c r="B2045" i="6"/>
  <c r="E2044" i="6"/>
  <c r="D2044" i="6"/>
  <c r="B2044" i="6"/>
  <c r="E2043" i="6"/>
  <c r="D2043" i="6"/>
  <c r="B2043" i="6"/>
  <c r="E2042" i="6"/>
  <c r="D2042" i="6"/>
  <c r="B2042" i="6"/>
  <c r="E2041" i="6"/>
  <c r="D2041" i="6"/>
  <c r="B2041" i="6"/>
  <c r="E2040" i="6"/>
  <c r="D2040" i="6"/>
  <c r="B2040" i="6"/>
  <c r="A2040" i="6"/>
  <c r="E2039" i="6"/>
  <c r="D2039" i="6"/>
  <c r="B2039" i="6"/>
  <c r="A2039" i="6"/>
  <c r="E2038" i="6"/>
  <c r="D2038" i="6"/>
  <c r="B2038" i="6"/>
  <c r="A2038" i="6"/>
  <c r="E2037" i="6"/>
  <c r="D2037" i="6"/>
  <c r="B2037" i="6"/>
  <c r="A2037" i="6"/>
  <c r="E2036" i="6"/>
  <c r="D2036" i="6"/>
  <c r="B2036" i="6"/>
  <c r="A2036" i="6"/>
  <c r="E2035" i="6"/>
  <c r="D2035" i="6"/>
  <c r="B2035" i="6"/>
  <c r="A2035" i="6"/>
  <c r="E2034" i="6"/>
  <c r="D2034" i="6"/>
  <c r="B2034" i="6"/>
  <c r="A2034" i="6"/>
  <c r="E2033" i="6"/>
  <c r="D2033" i="6"/>
  <c r="B2033" i="6"/>
  <c r="A2033" i="6"/>
  <c r="E2032" i="6"/>
  <c r="D2032" i="6"/>
  <c r="B2032" i="6"/>
  <c r="A2032" i="6"/>
  <c r="E2031" i="6"/>
  <c r="D2031" i="6"/>
  <c r="B2031" i="6"/>
  <c r="A2031" i="6"/>
  <c r="E2030" i="6"/>
  <c r="D2030" i="6"/>
  <c r="B2030" i="6"/>
  <c r="A2030" i="6"/>
  <c r="E2029" i="6"/>
  <c r="D2029" i="6"/>
  <c r="B2029" i="6"/>
  <c r="A2029" i="6"/>
  <c r="E2028" i="6"/>
  <c r="D2028" i="6"/>
  <c r="B2028" i="6"/>
  <c r="A2028" i="6"/>
  <c r="E2027" i="6"/>
  <c r="D2027" i="6"/>
  <c r="B2027" i="6"/>
  <c r="A2027" i="6"/>
  <c r="E2026" i="6"/>
  <c r="D2026" i="6"/>
  <c r="B2026" i="6"/>
  <c r="A2026" i="6"/>
  <c r="E2025" i="6"/>
  <c r="D2025" i="6"/>
  <c r="B2025" i="6"/>
  <c r="A2025" i="6"/>
  <c r="E2024" i="6"/>
  <c r="D2024" i="6"/>
  <c r="B2024" i="6"/>
  <c r="A2024" i="6"/>
  <c r="E2023" i="6"/>
  <c r="D2023" i="6"/>
  <c r="B2023" i="6"/>
  <c r="A2023" i="6"/>
  <c r="E2022" i="6"/>
  <c r="D2022" i="6"/>
  <c r="B2022" i="6"/>
  <c r="A2022" i="6"/>
  <c r="E2021" i="6"/>
  <c r="D2021" i="6"/>
  <c r="B2021" i="6"/>
  <c r="A2021" i="6"/>
  <c r="E2020" i="6"/>
  <c r="D2020" i="6"/>
  <c r="B2020" i="6"/>
  <c r="A2020" i="6"/>
  <c r="E2019" i="6"/>
  <c r="D2019" i="6"/>
  <c r="B2019" i="6"/>
  <c r="A2019" i="6"/>
  <c r="E2018" i="6"/>
  <c r="D2018" i="6"/>
  <c r="B2018" i="6"/>
  <c r="A2018" i="6"/>
  <c r="E2017" i="6"/>
  <c r="D2017" i="6"/>
  <c r="B2017" i="6"/>
  <c r="A2017" i="6"/>
  <c r="E2016" i="6"/>
  <c r="D2016" i="6"/>
  <c r="B2016" i="6"/>
  <c r="A2016" i="6"/>
  <c r="E2015" i="6"/>
  <c r="D2015" i="6"/>
  <c r="B2015" i="6"/>
  <c r="A2015" i="6"/>
  <c r="E2014" i="6"/>
  <c r="D2014" i="6"/>
  <c r="B2014" i="6"/>
  <c r="A2014" i="6"/>
  <c r="E2013" i="6"/>
  <c r="D2013" i="6"/>
  <c r="B2013" i="6"/>
  <c r="A2013" i="6"/>
  <c r="E2012" i="6"/>
  <c r="D2012" i="6"/>
  <c r="B2012" i="6"/>
  <c r="A2012" i="6"/>
  <c r="E2011" i="6"/>
  <c r="D2011" i="6"/>
  <c r="B2011" i="6"/>
  <c r="A2011" i="6"/>
  <c r="E2010" i="6"/>
  <c r="D2010" i="6"/>
  <c r="B2010" i="6"/>
  <c r="A2010" i="6"/>
  <c r="E2009" i="6"/>
  <c r="D2009" i="6"/>
  <c r="B2009" i="6"/>
  <c r="A2009" i="6"/>
  <c r="E2008" i="6"/>
  <c r="D2008" i="6"/>
  <c r="B2008" i="6"/>
  <c r="A2008" i="6"/>
  <c r="E2007" i="6"/>
  <c r="D2007" i="6"/>
  <c r="B2007" i="6"/>
  <c r="A2007" i="6"/>
  <c r="E2006" i="6"/>
  <c r="D2006" i="6"/>
  <c r="B2006" i="6"/>
  <c r="A2006" i="6"/>
  <c r="E2005" i="6"/>
  <c r="D2005" i="6"/>
  <c r="B2005" i="6"/>
  <c r="A2005" i="6"/>
  <c r="E2004" i="6"/>
  <c r="D2004" i="6"/>
  <c r="B2004" i="6"/>
  <c r="A2004" i="6"/>
  <c r="E2003" i="6"/>
  <c r="D2003" i="6"/>
  <c r="B2003" i="6"/>
  <c r="A2003" i="6"/>
  <c r="E2002" i="6"/>
  <c r="D2002" i="6"/>
  <c r="B2002" i="6"/>
  <c r="A2002" i="6"/>
  <c r="E2001" i="6"/>
  <c r="D2001" i="6"/>
  <c r="B2001" i="6"/>
  <c r="A2001" i="6"/>
  <c r="E2000" i="6"/>
  <c r="D2000" i="6"/>
  <c r="B2000" i="6"/>
  <c r="A2000" i="6"/>
  <c r="E1999" i="6"/>
  <c r="D1999" i="6"/>
  <c r="B1999" i="6"/>
  <c r="A1999" i="6"/>
  <c r="E1998" i="6"/>
  <c r="D1998" i="6"/>
  <c r="B1998" i="6"/>
  <c r="A1998" i="6"/>
  <c r="E1997" i="6"/>
  <c r="D1997" i="6"/>
  <c r="B1997" i="6"/>
  <c r="A1997" i="6"/>
  <c r="E1996" i="6"/>
  <c r="D1996" i="6"/>
  <c r="B1996" i="6"/>
  <c r="A1996" i="6"/>
  <c r="E1995" i="6"/>
  <c r="D1995" i="6"/>
  <c r="B1995" i="6"/>
  <c r="A1995" i="6"/>
  <c r="E1994" i="6"/>
  <c r="D1994" i="6"/>
  <c r="B1994" i="6"/>
  <c r="A1994" i="6"/>
  <c r="E1993" i="6"/>
  <c r="D1993" i="6"/>
  <c r="B1993" i="6"/>
  <c r="A1993" i="6"/>
  <c r="E1992" i="6"/>
  <c r="D1992" i="6"/>
  <c r="B1992" i="6"/>
  <c r="A1992" i="6"/>
  <c r="E1991" i="6"/>
  <c r="D1991" i="6"/>
  <c r="B1991" i="6"/>
  <c r="A1991" i="6"/>
  <c r="E1990" i="6"/>
  <c r="D1990" i="6"/>
  <c r="B1990" i="6"/>
  <c r="A1990" i="6"/>
  <c r="E1989" i="6"/>
  <c r="D1989" i="6"/>
  <c r="B1989" i="6"/>
  <c r="A1989" i="6"/>
  <c r="E1988" i="6"/>
  <c r="D1988" i="6"/>
  <c r="B1988" i="6"/>
  <c r="A1988" i="6"/>
  <c r="E1987" i="6"/>
  <c r="D1987" i="6"/>
  <c r="B1987" i="6"/>
  <c r="A1987" i="6"/>
  <c r="E1986" i="6"/>
  <c r="D1986" i="6"/>
  <c r="B1986" i="6"/>
  <c r="A1986" i="6"/>
  <c r="E1985" i="6"/>
  <c r="D1985" i="6"/>
  <c r="B1985" i="6"/>
  <c r="A1985" i="6"/>
  <c r="E1984" i="6"/>
  <c r="D1984" i="6"/>
  <c r="B1984" i="6"/>
  <c r="A1984" i="6"/>
  <c r="E1983" i="6"/>
  <c r="D1983" i="6"/>
  <c r="B1983" i="6"/>
  <c r="A1983" i="6"/>
  <c r="E1982" i="6"/>
  <c r="D1982" i="6"/>
  <c r="B1982" i="6"/>
  <c r="A1982" i="6"/>
  <c r="E1981" i="6"/>
  <c r="D1981" i="6"/>
  <c r="B1981" i="6"/>
  <c r="A1981" i="6"/>
  <c r="E1980" i="6"/>
  <c r="D1980" i="6"/>
  <c r="B1980" i="6"/>
  <c r="A1980" i="6"/>
  <c r="E1979" i="6"/>
  <c r="D1979" i="6"/>
  <c r="B1979" i="6"/>
  <c r="A1979" i="6"/>
  <c r="E1978" i="6"/>
  <c r="D1978" i="6"/>
  <c r="B1978" i="6"/>
  <c r="A1978" i="6"/>
  <c r="E1977" i="6"/>
  <c r="D1977" i="6"/>
  <c r="B1977" i="6"/>
  <c r="A1977" i="6"/>
  <c r="E1976" i="6"/>
  <c r="D1976" i="6"/>
  <c r="B1976" i="6"/>
  <c r="A1976" i="6"/>
  <c r="E1975" i="6"/>
  <c r="D1975" i="6"/>
  <c r="B1975" i="6"/>
  <c r="A1975" i="6"/>
  <c r="E1974" i="6"/>
  <c r="D1974" i="6"/>
  <c r="B1974" i="6"/>
  <c r="A1974" i="6"/>
  <c r="E1973" i="6"/>
  <c r="D1973" i="6"/>
  <c r="B1973" i="6"/>
  <c r="A1973" i="6"/>
  <c r="E1972" i="6"/>
  <c r="D1972" i="6"/>
  <c r="B1972" i="6"/>
  <c r="A1972" i="6"/>
  <c r="E1971" i="6"/>
  <c r="D1971" i="6"/>
  <c r="B1971" i="6"/>
  <c r="A1971" i="6"/>
  <c r="E1970" i="6"/>
  <c r="D1970" i="6"/>
  <c r="B1970" i="6"/>
  <c r="A1970" i="6"/>
  <c r="E1969" i="6"/>
  <c r="D1969" i="6"/>
  <c r="B1969" i="6"/>
  <c r="A1969" i="6"/>
  <c r="E1968" i="6"/>
  <c r="D1968" i="6"/>
  <c r="B1968" i="6"/>
  <c r="A1968" i="6"/>
  <c r="E1967" i="6"/>
  <c r="D1967" i="6"/>
  <c r="B1967" i="6"/>
  <c r="A1967" i="6"/>
  <c r="E1966" i="6"/>
  <c r="D1966" i="6"/>
  <c r="B1966" i="6"/>
  <c r="A1966" i="6"/>
  <c r="E1965" i="6"/>
  <c r="D1965" i="6"/>
  <c r="B1965" i="6"/>
  <c r="A1965" i="6"/>
  <c r="E1964" i="6"/>
  <c r="D1964" i="6"/>
  <c r="B1964" i="6"/>
  <c r="A1964" i="6"/>
  <c r="E1963" i="6"/>
  <c r="D1963" i="6"/>
  <c r="B1963" i="6"/>
  <c r="A1963" i="6"/>
  <c r="E1962" i="6"/>
  <c r="D1962" i="6"/>
  <c r="B1962" i="6"/>
  <c r="A1962" i="6"/>
  <c r="E1961" i="6"/>
  <c r="D1961" i="6"/>
  <c r="B1961" i="6"/>
  <c r="A1961" i="6"/>
  <c r="E1960" i="6"/>
  <c r="D1960" i="6"/>
  <c r="B1960" i="6"/>
  <c r="A1960" i="6"/>
  <c r="E1959" i="6"/>
  <c r="D1959" i="6"/>
  <c r="B1959" i="6"/>
  <c r="A1959" i="6"/>
  <c r="E1958" i="6"/>
  <c r="D1958" i="6"/>
  <c r="B1958" i="6"/>
  <c r="A1958" i="6"/>
  <c r="E1957" i="6"/>
  <c r="D1957" i="6"/>
  <c r="B1957" i="6"/>
  <c r="A1957" i="6"/>
  <c r="E1956" i="6"/>
  <c r="D1956" i="6"/>
  <c r="B1956" i="6"/>
  <c r="A1956" i="6"/>
  <c r="E1955" i="6"/>
  <c r="D1955" i="6"/>
  <c r="B1955" i="6"/>
  <c r="A1955" i="6"/>
  <c r="E1954" i="6"/>
  <c r="D1954" i="6"/>
  <c r="B1954" i="6"/>
  <c r="A1954" i="6"/>
  <c r="E1953" i="6"/>
  <c r="D1953" i="6"/>
  <c r="B1953" i="6"/>
  <c r="A1953" i="6"/>
  <c r="E1952" i="6"/>
  <c r="D1952" i="6"/>
  <c r="B1952" i="6"/>
  <c r="A1952" i="6"/>
  <c r="E1951" i="6"/>
  <c r="D1951" i="6"/>
  <c r="B1951" i="6"/>
  <c r="A1951" i="6"/>
  <c r="E1950" i="6"/>
  <c r="D1950" i="6"/>
  <c r="B1950" i="6"/>
  <c r="A1950" i="6"/>
  <c r="E1949" i="6"/>
  <c r="D1949" i="6"/>
  <c r="B1949" i="6"/>
  <c r="A1949" i="6"/>
  <c r="E1948" i="6"/>
  <c r="D1948" i="6"/>
  <c r="B1948" i="6"/>
  <c r="A1948" i="6"/>
  <c r="E1947" i="6"/>
  <c r="D1947" i="6"/>
  <c r="B1947" i="6"/>
  <c r="A1947" i="6"/>
  <c r="E1946" i="6"/>
  <c r="D1946" i="6"/>
  <c r="B1946" i="6"/>
  <c r="A1946" i="6"/>
  <c r="E1945" i="6"/>
  <c r="D1945" i="6"/>
  <c r="B1945" i="6"/>
  <c r="A1945" i="6"/>
  <c r="E1944" i="6"/>
  <c r="D1944" i="6"/>
  <c r="B1944" i="6"/>
  <c r="A1944" i="6"/>
  <c r="E1943" i="6"/>
  <c r="D1943" i="6"/>
  <c r="B1943" i="6"/>
  <c r="A1943" i="6"/>
  <c r="E1942" i="6"/>
  <c r="D1942" i="6"/>
  <c r="B1942" i="6"/>
  <c r="A1942" i="6"/>
  <c r="E1941" i="6"/>
  <c r="D1941" i="6"/>
  <c r="B1941" i="6"/>
  <c r="A1941" i="6"/>
  <c r="E1940" i="6"/>
  <c r="D1940" i="6"/>
  <c r="B1940" i="6"/>
  <c r="A1940" i="6"/>
  <c r="E1939" i="6"/>
  <c r="D1939" i="6"/>
  <c r="B1939" i="6"/>
  <c r="A1939" i="6"/>
  <c r="E1938" i="6"/>
  <c r="D1938" i="6"/>
  <c r="B1938" i="6"/>
  <c r="A1938" i="6"/>
  <c r="E1937" i="6"/>
  <c r="D1937" i="6"/>
  <c r="B1937" i="6"/>
  <c r="A1937" i="6"/>
  <c r="E1936" i="6"/>
  <c r="D1936" i="6"/>
  <c r="B1936" i="6"/>
  <c r="A1936" i="6"/>
  <c r="E1935" i="6"/>
  <c r="D1935" i="6"/>
  <c r="B1935" i="6"/>
  <c r="A1935" i="6"/>
  <c r="E1934" i="6"/>
  <c r="D1934" i="6"/>
  <c r="B1934" i="6"/>
  <c r="A1934" i="6"/>
  <c r="E1933" i="6"/>
  <c r="D1933" i="6"/>
  <c r="B1933" i="6"/>
  <c r="A1933" i="6"/>
  <c r="E1932" i="6"/>
  <c r="D1932" i="6"/>
  <c r="B1932" i="6"/>
  <c r="A1932" i="6"/>
  <c r="E1931" i="6"/>
  <c r="D1931" i="6"/>
  <c r="B1931" i="6"/>
  <c r="A1931" i="6"/>
  <c r="E1930" i="6"/>
  <c r="D1930" i="6"/>
  <c r="B1930" i="6"/>
  <c r="A1930" i="6"/>
  <c r="E1929" i="6"/>
  <c r="D1929" i="6"/>
  <c r="B1929" i="6"/>
  <c r="A1929" i="6"/>
  <c r="E1928" i="6"/>
  <c r="D1928" i="6"/>
  <c r="B1928" i="6"/>
  <c r="A1928" i="6"/>
  <c r="E1927" i="6"/>
  <c r="D1927" i="6"/>
  <c r="B1927" i="6"/>
  <c r="A1927" i="6"/>
  <c r="E1926" i="6"/>
  <c r="D1926" i="6"/>
  <c r="B1926" i="6"/>
  <c r="A1926" i="6"/>
  <c r="E1925" i="6"/>
  <c r="D1925" i="6"/>
  <c r="B1925" i="6"/>
  <c r="A1925" i="6"/>
  <c r="E1924" i="6"/>
  <c r="D1924" i="6"/>
  <c r="B1924" i="6"/>
  <c r="A1924" i="6"/>
  <c r="E1923" i="6"/>
  <c r="D1923" i="6"/>
  <c r="B1923" i="6"/>
  <c r="A1923" i="6"/>
  <c r="E1922" i="6"/>
  <c r="D1922" i="6"/>
  <c r="B1922" i="6"/>
  <c r="A1922" i="6"/>
  <c r="E1921" i="6"/>
  <c r="D1921" i="6"/>
  <c r="B1921" i="6"/>
  <c r="A1921" i="6"/>
  <c r="E1920" i="6"/>
  <c r="D1920" i="6"/>
  <c r="B1920" i="6"/>
  <c r="A1920" i="6"/>
  <c r="E1919" i="6"/>
  <c r="D1919" i="6"/>
  <c r="B1919" i="6"/>
  <c r="A1919" i="6"/>
  <c r="E1918" i="6"/>
  <c r="D1918" i="6"/>
  <c r="B1918" i="6"/>
  <c r="A1918" i="6"/>
  <c r="E1917" i="6"/>
  <c r="D1917" i="6"/>
  <c r="B1917" i="6"/>
  <c r="A1917" i="6"/>
  <c r="E1916" i="6"/>
  <c r="D1916" i="6"/>
  <c r="B1916" i="6"/>
  <c r="A1916" i="6"/>
  <c r="E1915" i="6"/>
  <c r="D1915" i="6"/>
  <c r="B1915" i="6"/>
  <c r="A1915" i="6"/>
  <c r="E1914" i="6"/>
  <c r="D1914" i="6"/>
  <c r="B1914" i="6"/>
  <c r="A1914" i="6"/>
  <c r="E1913" i="6"/>
  <c r="D1913" i="6"/>
  <c r="B1913" i="6"/>
  <c r="A1913" i="6"/>
  <c r="E1912" i="6"/>
  <c r="D1912" i="6"/>
  <c r="B1912" i="6"/>
  <c r="A1912" i="6"/>
  <c r="D1911" i="6"/>
  <c r="B1911" i="6"/>
  <c r="A1911" i="6"/>
  <c r="E1910" i="6"/>
  <c r="D1910" i="6"/>
  <c r="B1910" i="6"/>
  <c r="A1910" i="6"/>
  <c r="D1909" i="6"/>
  <c r="B1909" i="6"/>
  <c r="A1909" i="6"/>
  <c r="E1908" i="6"/>
  <c r="D1908" i="6"/>
  <c r="B1908" i="6"/>
  <c r="A1908" i="6"/>
  <c r="D1907" i="6"/>
  <c r="B1907" i="6"/>
  <c r="A1907" i="6"/>
  <c r="E1906" i="6"/>
  <c r="D1906" i="6"/>
  <c r="B1906" i="6"/>
  <c r="A1906" i="6"/>
  <c r="D1905" i="6"/>
  <c r="B1905" i="6"/>
  <c r="A1905" i="6"/>
  <c r="E1904" i="6"/>
  <c r="D1904" i="6"/>
  <c r="B1904" i="6"/>
  <c r="A1904" i="6"/>
  <c r="D1903" i="6"/>
  <c r="B1903" i="6"/>
  <c r="A1903" i="6"/>
  <c r="E1902" i="6"/>
  <c r="D1902" i="6"/>
  <c r="B1902" i="6"/>
  <c r="A1902" i="6"/>
  <c r="D1901" i="6"/>
  <c r="B1901" i="6"/>
  <c r="A1901" i="6"/>
  <c r="E1900" i="6"/>
  <c r="D1900" i="6"/>
  <c r="B1900" i="6"/>
  <c r="A1900" i="6"/>
  <c r="E1899" i="6"/>
  <c r="D1899" i="6"/>
  <c r="B1899" i="6"/>
  <c r="A1899" i="6"/>
  <c r="E1898" i="6"/>
  <c r="D1898" i="6"/>
  <c r="B1898" i="6"/>
  <c r="A1898" i="6"/>
  <c r="E1897" i="6"/>
  <c r="D1897" i="6"/>
  <c r="B1897" i="6"/>
  <c r="A1897" i="6"/>
  <c r="E1896" i="6"/>
  <c r="D1896" i="6"/>
  <c r="B1896" i="6"/>
  <c r="A1896" i="6"/>
  <c r="E1895" i="6"/>
  <c r="D1895" i="6"/>
  <c r="B1895" i="6"/>
  <c r="A1895" i="6"/>
  <c r="E1894" i="6"/>
  <c r="D1894" i="6"/>
  <c r="B1894" i="6"/>
  <c r="A1894" i="6"/>
  <c r="E1893" i="6"/>
  <c r="D1893" i="6"/>
  <c r="B1893" i="6"/>
  <c r="A1893" i="6"/>
  <c r="E1892" i="6"/>
  <c r="D1892" i="6"/>
  <c r="B1892" i="6"/>
  <c r="A1892" i="6"/>
  <c r="E1891" i="6"/>
  <c r="D1891" i="6"/>
  <c r="B1891" i="6"/>
  <c r="A1891" i="6"/>
  <c r="E1890" i="6"/>
  <c r="D1890" i="6"/>
  <c r="B1890" i="6"/>
  <c r="A1890" i="6"/>
  <c r="E1889" i="6"/>
  <c r="D1889" i="6"/>
  <c r="B1889" i="6"/>
  <c r="A1889" i="6"/>
  <c r="E1888" i="6"/>
  <c r="D1888" i="6"/>
  <c r="B1888" i="6"/>
  <c r="A1888" i="6"/>
  <c r="E1887" i="6"/>
  <c r="D1887" i="6"/>
  <c r="B1887" i="6"/>
  <c r="A1887" i="6"/>
  <c r="E1886" i="6"/>
  <c r="D1886" i="6"/>
  <c r="B1886" i="6"/>
  <c r="A1886" i="6"/>
  <c r="E1885" i="6"/>
  <c r="D1885" i="6"/>
  <c r="B1885" i="6"/>
  <c r="A1885" i="6"/>
  <c r="E1884" i="6"/>
  <c r="D1884" i="6"/>
  <c r="B1884" i="6"/>
  <c r="A1884" i="6"/>
  <c r="E1883" i="6"/>
  <c r="D1883" i="6"/>
  <c r="B1883" i="6"/>
  <c r="A1883" i="6"/>
  <c r="E1882" i="6"/>
  <c r="D1882" i="6"/>
  <c r="B1882" i="6"/>
  <c r="A1882" i="6"/>
  <c r="E1881" i="6"/>
  <c r="D1881" i="6"/>
  <c r="B1881" i="6"/>
  <c r="A1881" i="6"/>
  <c r="E1880" i="6"/>
  <c r="D1880" i="6"/>
  <c r="B1880" i="6"/>
  <c r="A1880" i="6"/>
  <c r="E1879" i="6"/>
  <c r="D1879" i="6"/>
  <c r="B1879" i="6"/>
  <c r="A1879" i="6"/>
  <c r="E1878" i="6"/>
  <c r="D1878" i="6"/>
  <c r="B1878" i="6"/>
  <c r="A1878" i="6"/>
  <c r="E1877" i="6"/>
  <c r="D1877" i="6"/>
  <c r="B1877" i="6"/>
  <c r="A1877" i="6"/>
  <c r="E1876" i="6"/>
  <c r="D1876" i="6"/>
  <c r="B1876" i="6"/>
  <c r="A1876" i="6"/>
  <c r="E1875" i="6"/>
  <c r="D1875" i="6"/>
  <c r="B1875" i="6"/>
  <c r="A1875" i="6"/>
  <c r="E1874" i="6"/>
  <c r="D1874" i="6"/>
  <c r="B1874" i="6"/>
  <c r="A1874" i="6"/>
  <c r="E1873" i="6"/>
  <c r="D1873" i="6"/>
  <c r="B1873" i="6"/>
  <c r="A1873" i="6"/>
  <c r="E1872" i="6"/>
  <c r="D1872" i="6"/>
  <c r="B1872" i="6"/>
  <c r="A1872" i="6"/>
  <c r="E1871" i="6"/>
  <c r="D1871" i="6"/>
  <c r="B1871" i="6"/>
  <c r="A1871" i="6"/>
  <c r="E1870" i="6"/>
  <c r="D1870" i="6"/>
  <c r="B1870" i="6"/>
  <c r="A1870" i="6"/>
  <c r="E1869" i="6"/>
  <c r="D1869" i="6"/>
  <c r="B1869" i="6"/>
  <c r="A1869" i="6"/>
  <c r="E1868" i="6"/>
  <c r="D1868" i="6"/>
  <c r="B1868" i="6"/>
  <c r="A1868" i="6"/>
  <c r="E1867" i="6"/>
  <c r="D1867" i="6"/>
  <c r="B1867" i="6"/>
  <c r="A1867" i="6"/>
  <c r="E1866" i="6"/>
  <c r="D1866" i="6"/>
  <c r="B1866" i="6"/>
  <c r="A1866" i="6"/>
  <c r="E1865" i="6"/>
  <c r="D1865" i="6"/>
  <c r="B1865" i="6"/>
  <c r="A1865" i="6"/>
  <c r="E1864" i="6"/>
  <c r="D1864" i="6"/>
  <c r="B1864" i="6"/>
  <c r="A1864" i="6"/>
  <c r="E1863" i="6"/>
  <c r="D1863" i="6"/>
  <c r="B1863" i="6"/>
  <c r="A1863" i="6"/>
  <c r="E1862" i="6"/>
  <c r="D1862" i="6"/>
  <c r="B1862" i="6"/>
  <c r="A1862" i="6"/>
  <c r="E1861" i="6"/>
  <c r="D1861" i="6"/>
  <c r="B1861" i="6"/>
  <c r="A1861" i="6"/>
  <c r="E1860" i="6"/>
  <c r="D1860" i="6"/>
  <c r="B1860" i="6"/>
  <c r="A1860" i="6"/>
  <c r="E1859" i="6"/>
  <c r="D1859" i="6"/>
  <c r="B1859" i="6"/>
  <c r="A1859" i="6"/>
  <c r="E1858" i="6"/>
  <c r="D1858" i="6"/>
  <c r="B1858" i="6"/>
  <c r="A1858" i="6"/>
  <c r="E1857" i="6"/>
  <c r="D1857" i="6"/>
  <c r="B1857" i="6"/>
  <c r="A1857" i="6"/>
  <c r="E1856" i="6"/>
  <c r="D1856" i="6"/>
  <c r="B1856" i="6"/>
  <c r="A1856" i="6"/>
  <c r="E1855" i="6"/>
  <c r="D1855" i="6"/>
  <c r="B1855" i="6"/>
  <c r="A1855" i="6"/>
  <c r="E1854" i="6"/>
  <c r="D1854" i="6"/>
  <c r="B1854" i="6"/>
  <c r="A1854" i="6"/>
  <c r="E1853" i="6"/>
  <c r="D1853" i="6"/>
  <c r="B1853" i="6"/>
  <c r="A1853" i="6"/>
  <c r="E1852" i="6"/>
  <c r="D1852" i="6"/>
  <c r="B1852" i="6"/>
  <c r="A1852" i="6"/>
  <c r="E1851" i="6"/>
  <c r="D1851" i="6"/>
  <c r="B1851" i="6"/>
  <c r="A1851" i="6"/>
  <c r="E1850" i="6"/>
  <c r="D1850" i="6"/>
  <c r="B1850" i="6"/>
  <c r="A1850" i="6"/>
  <c r="E1849" i="6"/>
  <c r="D1849" i="6"/>
  <c r="B1849" i="6"/>
  <c r="A1849" i="6"/>
  <c r="E1848" i="6"/>
  <c r="D1848" i="6"/>
  <c r="B1848" i="6"/>
  <c r="A1848" i="6"/>
  <c r="E1847" i="6"/>
  <c r="D1847" i="6"/>
  <c r="B1847" i="6"/>
  <c r="A1847" i="6"/>
  <c r="E1846" i="6"/>
  <c r="D1846" i="6"/>
  <c r="B1846" i="6"/>
  <c r="A1846" i="6"/>
  <c r="E1845" i="6"/>
  <c r="D1845" i="6"/>
  <c r="B1845" i="6"/>
  <c r="A1845" i="6"/>
  <c r="E1844" i="6"/>
  <c r="D1844" i="6"/>
  <c r="B1844" i="6"/>
  <c r="A1844" i="6"/>
  <c r="E1843" i="6"/>
  <c r="D1843" i="6"/>
  <c r="B1843" i="6"/>
  <c r="A1843" i="6"/>
  <c r="E1842" i="6"/>
  <c r="D1842" i="6"/>
  <c r="B1842" i="6"/>
  <c r="A1842" i="6"/>
  <c r="E1841" i="6"/>
  <c r="D1841" i="6"/>
  <c r="B1841" i="6"/>
  <c r="A1841" i="6"/>
  <c r="E1840" i="6"/>
  <c r="D1840" i="6"/>
  <c r="B1840" i="6"/>
  <c r="A1840" i="6"/>
  <c r="E1839" i="6"/>
  <c r="D1839" i="6"/>
  <c r="B1839" i="6"/>
  <c r="A1839" i="6"/>
  <c r="E1838" i="6"/>
  <c r="D1838" i="6"/>
  <c r="B1838" i="6"/>
  <c r="A1838" i="6"/>
  <c r="E1837" i="6"/>
  <c r="D1837" i="6"/>
  <c r="B1837" i="6"/>
  <c r="A1837" i="6"/>
  <c r="E1836" i="6"/>
  <c r="D1836" i="6"/>
  <c r="B1836" i="6"/>
  <c r="A1836" i="6"/>
  <c r="E1835" i="6"/>
  <c r="D1835" i="6"/>
  <c r="B1835" i="6"/>
  <c r="A1835" i="6"/>
  <c r="E1834" i="6"/>
  <c r="D1834" i="6"/>
  <c r="B1834" i="6"/>
  <c r="A1834" i="6"/>
  <c r="E1833" i="6"/>
  <c r="D1833" i="6"/>
  <c r="B1833" i="6"/>
  <c r="A1833" i="6"/>
  <c r="E1832" i="6"/>
  <c r="D1832" i="6"/>
  <c r="B1832" i="6"/>
  <c r="A1832" i="6"/>
  <c r="E1831" i="6"/>
  <c r="D1831" i="6"/>
  <c r="B1831" i="6"/>
  <c r="A1831" i="6"/>
  <c r="E1830" i="6"/>
  <c r="D1830" i="6"/>
  <c r="B1830" i="6"/>
  <c r="A1830" i="6"/>
  <c r="E1829" i="6"/>
  <c r="D1829" i="6"/>
  <c r="B1829" i="6"/>
  <c r="A1829" i="6"/>
  <c r="E1828" i="6"/>
  <c r="D1828" i="6"/>
  <c r="B1828" i="6"/>
  <c r="A1828" i="6"/>
  <c r="E1827" i="6"/>
  <c r="D1827" i="6"/>
  <c r="B1827" i="6"/>
  <c r="A1827" i="6"/>
  <c r="E1826" i="6"/>
  <c r="D1826" i="6"/>
  <c r="B1826" i="6"/>
  <c r="A1826" i="6"/>
  <c r="E1825" i="6"/>
  <c r="D1825" i="6"/>
  <c r="B1825" i="6"/>
  <c r="A1825" i="6"/>
  <c r="E1824" i="6"/>
  <c r="D1824" i="6"/>
  <c r="B1824" i="6"/>
  <c r="A1824" i="6"/>
  <c r="E1823" i="6"/>
  <c r="D1823" i="6"/>
  <c r="B1823" i="6"/>
  <c r="A1823" i="6"/>
  <c r="E1822" i="6"/>
  <c r="D1822" i="6"/>
  <c r="B1822" i="6"/>
  <c r="A1822" i="6"/>
  <c r="E1821" i="6"/>
  <c r="D1821" i="6"/>
  <c r="B1821" i="6"/>
  <c r="A1821" i="6"/>
  <c r="E1820" i="6"/>
  <c r="D1820" i="6"/>
  <c r="B1820" i="6"/>
  <c r="A1820" i="6"/>
  <c r="E1819" i="6"/>
  <c r="D1819" i="6"/>
  <c r="B1819" i="6"/>
  <c r="A1819" i="6"/>
  <c r="E1818" i="6"/>
  <c r="D1818" i="6"/>
  <c r="B1818" i="6"/>
  <c r="A1818" i="6"/>
  <c r="E1817" i="6"/>
  <c r="D1817" i="6"/>
  <c r="B1817" i="6"/>
  <c r="A1817" i="6"/>
  <c r="E1816" i="6"/>
  <c r="D1816" i="6"/>
  <c r="B1816" i="6"/>
  <c r="A1816" i="6"/>
  <c r="E1815" i="6"/>
  <c r="D1815" i="6"/>
  <c r="B1815" i="6"/>
  <c r="A1815" i="6"/>
  <c r="E1814" i="6"/>
  <c r="D1814" i="6"/>
  <c r="B1814" i="6"/>
  <c r="A1814" i="6"/>
  <c r="E1813" i="6"/>
  <c r="D1813" i="6"/>
  <c r="B1813" i="6"/>
  <c r="A1813" i="6"/>
  <c r="E1812" i="6"/>
  <c r="D1812" i="6"/>
  <c r="B1812" i="6"/>
  <c r="A1812" i="6"/>
  <c r="E1811" i="6"/>
  <c r="D1811" i="6"/>
  <c r="B1811" i="6"/>
  <c r="A1811" i="6"/>
  <c r="E1810" i="6"/>
  <c r="D1810" i="6"/>
  <c r="B1810" i="6"/>
  <c r="A1810" i="6"/>
  <c r="E1809" i="6"/>
  <c r="D1809" i="6"/>
  <c r="B1809" i="6"/>
  <c r="A1809" i="6"/>
  <c r="E1808" i="6"/>
  <c r="D1808" i="6"/>
  <c r="B1808" i="6"/>
  <c r="A1808" i="6"/>
  <c r="E1807" i="6"/>
  <c r="D1807" i="6"/>
  <c r="B1807" i="6"/>
  <c r="A1807" i="6"/>
  <c r="E1806" i="6"/>
  <c r="D1806" i="6"/>
  <c r="B1806" i="6"/>
  <c r="A1806" i="6"/>
  <c r="E1805" i="6"/>
  <c r="D1805" i="6"/>
  <c r="B1805" i="6"/>
  <c r="A1805" i="6"/>
  <c r="E1804" i="6"/>
  <c r="D1804" i="6"/>
  <c r="B1804" i="6"/>
  <c r="A1804" i="6"/>
  <c r="E1803" i="6"/>
  <c r="D1803" i="6"/>
  <c r="B1803" i="6"/>
  <c r="A1803" i="6"/>
  <c r="E1802" i="6"/>
  <c r="D1802" i="6"/>
  <c r="B1802" i="6"/>
  <c r="A1802" i="6"/>
  <c r="E1801" i="6"/>
  <c r="D1801" i="6"/>
  <c r="B1801" i="6"/>
  <c r="A1801" i="6"/>
  <c r="E1800" i="6"/>
  <c r="D1800" i="6"/>
  <c r="B1800" i="6"/>
  <c r="A1800" i="6"/>
  <c r="E1799" i="6"/>
  <c r="D1799" i="6"/>
  <c r="B1799" i="6"/>
  <c r="A1799" i="6"/>
  <c r="E1798" i="6"/>
  <c r="D1798" i="6"/>
  <c r="B1798" i="6"/>
  <c r="A1798" i="6"/>
  <c r="E1797" i="6"/>
  <c r="D1797" i="6"/>
  <c r="B1797" i="6"/>
  <c r="A1797" i="6"/>
  <c r="E1796" i="6"/>
  <c r="D1796" i="6"/>
  <c r="B1796" i="6"/>
  <c r="A1796" i="6"/>
  <c r="E1795" i="6"/>
  <c r="D1795" i="6"/>
  <c r="B1795" i="6"/>
  <c r="A1795" i="6"/>
  <c r="E1794" i="6"/>
  <c r="D1794" i="6"/>
  <c r="B1794" i="6"/>
  <c r="A1794" i="6"/>
  <c r="E1793" i="6"/>
  <c r="D1793" i="6"/>
  <c r="B1793" i="6"/>
  <c r="A1793" i="6"/>
  <c r="E1792" i="6"/>
  <c r="D1792" i="6"/>
  <c r="B1792" i="6"/>
  <c r="A1792" i="6"/>
  <c r="E1791" i="6"/>
  <c r="D1791" i="6"/>
  <c r="B1791" i="6"/>
  <c r="A1791" i="6"/>
  <c r="E1790" i="6"/>
  <c r="D1790" i="6"/>
  <c r="B1790" i="6"/>
  <c r="A1790" i="6"/>
  <c r="E1789" i="6"/>
  <c r="D1789" i="6"/>
  <c r="B1789" i="6"/>
  <c r="A1789" i="6"/>
  <c r="E1788" i="6"/>
  <c r="D1788" i="6"/>
  <c r="B1788" i="6"/>
  <c r="A1788" i="6"/>
  <c r="E1787" i="6"/>
  <c r="D1787" i="6"/>
  <c r="B1787" i="6"/>
  <c r="A1787" i="6"/>
  <c r="E1786" i="6"/>
  <c r="D1786" i="6"/>
  <c r="B1786" i="6"/>
  <c r="A1786" i="6"/>
  <c r="E1785" i="6"/>
  <c r="D1785" i="6"/>
  <c r="B1785" i="6"/>
  <c r="A1785" i="6"/>
  <c r="E1784" i="6"/>
  <c r="D1784" i="6"/>
  <c r="B1784" i="6"/>
  <c r="A1784" i="6"/>
  <c r="E1783" i="6"/>
  <c r="D1783" i="6"/>
  <c r="B1783" i="6"/>
  <c r="A1783" i="6"/>
  <c r="E1782" i="6"/>
  <c r="D1782" i="6"/>
  <c r="B1782" i="6"/>
  <c r="A1782" i="6"/>
  <c r="E1781" i="6"/>
  <c r="D1781" i="6"/>
  <c r="B1781" i="6"/>
  <c r="A1781" i="6"/>
  <c r="E1780" i="6"/>
  <c r="D1780" i="6"/>
  <c r="B1780" i="6"/>
  <c r="A1780" i="6"/>
  <c r="E1779" i="6"/>
  <c r="D1779" i="6"/>
  <c r="B1779" i="6"/>
  <c r="A1779" i="6"/>
  <c r="E1778" i="6"/>
  <c r="D1778" i="6"/>
  <c r="B1778" i="6"/>
  <c r="A1778" i="6"/>
  <c r="E1777" i="6"/>
  <c r="D1777" i="6"/>
  <c r="B1777" i="6"/>
  <c r="A1777" i="6"/>
  <c r="E1776" i="6"/>
  <c r="D1776" i="6"/>
  <c r="B1776" i="6"/>
  <c r="A1776" i="6"/>
  <c r="E1775" i="6"/>
  <c r="D1775" i="6"/>
  <c r="B1775" i="6"/>
  <c r="A1775" i="6"/>
  <c r="D1774" i="6"/>
  <c r="B1774" i="6"/>
  <c r="A1774" i="6"/>
  <c r="E1773" i="6"/>
  <c r="D1773" i="6"/>
  <c r="B1773" i="6"/>
  <c r="A1773" i="6"/>
  <c r="E1772" i="6"/>
  <c r="D1772" i="6"/>
  <c r="B1772" i="6"/>
  <c r="A1772" i="6"/>
  <c r="E1771" i="6"/>
  <c r="D1771" i="6"/>
  <c r="B1771" i="6"/>
  <c r="A1771" i="6"/>
  <c r="E1770" i="6"/>
  <c r="D1770" i="6"/>
  <c r="B1770" i="6"/>
  <c r="A1770" i="6"/>
  <c r="E1769" i="6"/>
  <c r="D1769" i="6"/>
  <c r="B1769" i="6"/>
  <c r="A1769" i="6"/>
  <c r="E1768" i="6"/>
  <c r="D1768" i="6"/>
  <c r="B1768" i="6"/>
  <c r="A1768" i="6"/>
  <c r="E1767" i="6"/>
  <c r="D1767" i="6"/>
  <c r="B1767" i="6"/>
  <c r="A1767" i="6"/>
  <c r="E1766" i="6"/>
  <c r="D1766" i="6"/>
  <c r="B1766" i="6"/>
  <c r="A1766" i="6"/>
  <c r="E1765" i="6"/>
  <c r="D1765" i="6"/>
  <c r="B1765" i="6"/>
  <c r="A1765" i="6"/>
  <c r="E1764" i="6"/>
  <c r="D1764" i="6"/>
  <c r="B1764" i="6"/>
  <c r="A1764" i="6"/>
  <c r="E1763" i="6"/>
  <c r="D1763" i="6"/>
  <c r="B1763" i="6"/>
  <c r="A1763" i="6"/>
  <c r="E1762" i="6"/>
  <c r="D1762" i="6"/>
  <c r="B1762" i="6"/>
  <c r="A1762" i="6"/>
  <c r="E1761" i="6"/>
  <c r="D1761" i="6"/>
  <c r="B1761" i="6"/>
  <c r="A1761" i="6"/>
  <c r="E1760" i="6"/>
  <c r="D1760" i="6"/>
  <c r="B1760" i="6"/>
  <c r="A1760" i="6"/>
  <c r="E1759" i="6"/>
  <c r="D1759" i="6"/>
  <c r="B1759" i="6"/>
  <c r="A1759" i="6"/>
  <c r="E1758" i="6"/>
  <c r="D1758" i="6"/>
  <c r="B1758" i="6"/>
  <c r="A1758" i="6"/>
  <c r="E1757" i="6"/>
  <c r="D1757" i="6"/>
  <c r="B1757" i="6"/>
  <c r="A1757" i="6"/>
  <c r="E1756" i="6"/>
  <c r="D1756" i="6"/>
  <c r="B1756" i="6"/>
  <c r="A1756" i="6"/>
  <c r="E1755" i="6"/>
  <c r="D1755" i="6"/>
  <c r="B1755" i="6"/>
  <c r="A1755" i="6"/>
  <c r="E1754" i="6"/>
  <c r="D1754" i="6"/>
  <c r="B1754" i="6"/>
  <c r="A1754" i="6"/>
  <c r="E1753" i="6"/>
  <c r="D1753" i="6"/>
  <c r="B1753" i="6"/>
  <c r="A1753" i="6"/>
  <c r="E1752" i="6"/>
  <c r="D1752" i="6"/>
  <c r="B1752" i="6"/>
  <c r="A1752" i="6"/>
  <c r="E1751" i="6"/>
  <c r="D1751" i="6"/>
  <c r="B1751" i="6"/>
  <c r="A1751" i="6"/>
  <c r="E1750" i="6"/>
  <c r="D1750" i="6"/>
  <c r="B1750" i="6"/>
  <c r="A1750" i="6"/>
  <c r="E1749" i="6"/>
  <c r="D1749" i="6"/>
  <c r="B1749" i="6"/>
  <c r="A1749" i="6"/>
  <c r="E1748" i="6"/>
  <c r="D1748" i="6"/>
  <c r="B1748" i="6"/>
  <c r="A1748" i="6"/>
  <c r="E1747" i="6"/>
  <c r="D1747" i="6"/>
  <c r="B1747" i="6"/>
  <c r="A1747" i="6"/>
  <c r="E1746" i="6"/>
  <c r="D1746" i="6"/>
  <c r="B1746" i="6"/>
  <c r="A1746" i="6"/>
  <c r="E1745" i="6"/>
  <c r="D1745" i="6"/>
  <c r="B1745" i="6"/>
  <c r="A1745" i="6"/>
  <c r="E1744" i="6"/>
  <c r="D1744" i="6"/>
  <c r="B1744" i="6"/>
  <c r="A1744" i="6"/>
  <c r="E1743" i="6"/>
  <c r="D1743" i="6"/>
  <c r="B1743" i="6"/>
  <c r="A1743" i="6"/>
  <c r="E1742" i="6"/>
  <c r="D1742" i="6"/>
  <c r="B1742" i="6"/>
  <c r="A1742" i="6"/>
  <c r="E1741" i="6"/>
  <c r="D1741" i="6"/>
  <c r="B1741" i="6"/>
  <c r="A1741" i="6"/>
  <c r="E1740" i="6"/>
  <c r="D1740" i="6"/>
  <c r="B1740" i="6"/>
  <c r="A1740" i="6"/>
  <c r="E1739" i="6"/>
  <c r="D1739" i="6"/>
  <c r="B1739" i="6"/>
  <c r="A1739" i="6"/>
  <c r="E1738" i="6"/>
  <c r="D1738" i="6"/>
  <c r="B1738" i="6"/>
  <c r="A1738" i="6"/>
  <c r="E1737" i="6"/>
  <c r="D1737" i="6"/>
  <c r="B1737" i="6"/>
  <c r="A1737" i="6"/>
  <c r="E1736" i="6"/>
  <c r="D1736" i="6"/>
  <c r="B1736" i="6"/>
  <c r="A1736" i="6"/>
  <c r="E1735" i="6"/>
  <c r="D1735" i="6"/>
  <c r="B1735" i="6"/>
  <c r="A1735" i="6"/>
  <c r="E1734" i="6"/>
  <c r="D1734" i="6"/>
  <c r="B1734" i="6"/>
  <c r="A1734" i="6"/>
  <c r="E1733" i="6"/>
  <c r="D1733" i="6"/>
  <c r="B1733" i="6"/>
  <c r="A1733" i="6"/>
  <c r="E1732" i="6"/>
  <c r="D1732" i="6"/>
  <c r="B1732" i="6"/>
  <c r="A1732" i="6"/>
  <c r="E1731" i="6"/>
  <c r="D1731" i="6"/>
  <c r="B1731" i="6"/>
  <c r="A1731" i="6"/>
  <c r="E1730" i="6"/>
  <c r="D1730" i="6"/>
  <c r="B1730" i="6"/>
  <c r="A1730" i="6"/>
  <c r="E1729" i="6"/>
  <c r="D1729" i="6"/>
  <c r="B1729" i="6"/>
  <c r="A1729" i="6"/>
  <c r="E1728" i="6"/>
  <c r="D1728" i="6"/>
  <c r="B1728" i="6"/>
  <c r="A1728" i="6"/>
  <c r="E1727" i="6"/>
  <c r="D1727" i="6"/>
  <c r="B1727" i="6"/>
  <c r="A1727" i="6"/>
  <c r="E1726" i="6"/>
  <c r="D1726" i="6"/>
  <c r="B1726" i="6"/>
  <c r="A1726" i="6"/>
  <c r="E1725" i="6"/>
  <c r="D1725" i="6"/>
  <c r="B1725" i="6"/>
  <c r="A1725" i="6"/>
  <c r="E1724" i="6"/>
  <c r="D1724" i="6"/>
  <c r="B1724" i="6"/>
  <c r="A1724" i="6"/>
  <c r="E1723" i="6"/>
  <c r="D1723" i="6"/>
  <c r="B1723" i="6"/>
  <c r="A1723" i="6"/>
  <c r="E1722" i="6"/>
  <c r="D1722" i="6"/>
  <c r="B1722" i="6"/>
  <c r="A1722" i="6"/>
  <c r="E1721" i="6"/>
  <c r="D1721" i="6"/>
  <c r="B1721" i="6"/>
  <c r="A1721" i="6"/>
  <c r="E1720" i="6"/>
  <c r="D1720" i="6"/>
  <c r="B1720" i="6"/>
  <c r="A1720" i="6"/>
  <c r="E1719" i="6"/>
  <c r="D1719" i="6"/>
  <c r="B1719" i="6"/>
  <c r="A1719" i="6"/>
  <c r="E1718" i="6"/>
  <c r="D1718" i="6"/>
  <c r="B1718" i="6"/>
  <c r="A1718" i="6"/>
  <c r="E1717" i="6"/>
  <c r="D1717" i="6"/>
  <c r="B1717" i="6"/>
  <c r="A1717" i="6"/>
  <c r="E1716" i="6"/>
  <c r="D1716" i="6"/>
  <c r="B1716" i="6"/>
  <c r="A1716" i="6"/>
  <c r="E1715" i="6"/>
  <c r="D1715" i="6"/>
  <c r="B1715" i="6"/>
  <c r="A1715" i="6"/>
  <c r="E1714" i="6"/>
  <c r="D1714" i="6"/>
  <c r="B1714" i="6"/>
  <c r="A1714" i="6"/>
  <c r="E1713" i="6"/>
  <c r="D1713" i="6"/>
  <c r="B1713" i="6"/>
  <c r="A1713" i="6"/>
  <c r="E1712" i="6"/>
  <c r="D1712" i="6"/>
  <c r="B1712" i="6"/>
  <c r="A1712" i="6"/>
  <c r="E1711" i="6"/>
  <c r="D1711" i="6"/>
  <c r="B1711" i="6"/>
  <c r="A1711" i="6"/>
  <c r="E1710" i="6"/>
  <c r="D1710" i="6"/>
  <c r="B1710" i="6"/>
  <c r="A1710" i="6"/>
  <c r="E1709" i="6"/>
  <c r="D1709" i="6"/>
  <c r="B1709" i="6"/>
  <c r="A1709" i="6"/>
  <c r="E1708" i="6"/>
  <c r="D1708" i="6"/>
  <c r="B1708" i="6"/>
  <c r="A1708" i="6"/>
  <c r="E1707" i="6"/>
  <c r="D1707" i="6"/>
  <c r="B1707" i="6"/>
  <c r="A1707" i="6"/>
  <c r="E1706" i="6"/>
  <c r="D1706" i="6"/>
  <c r="B1706" i="6"/>
  <c r="A1706" i="6"/>
  <c r="E1705" i="6"/>
  <c r="D1705" i="6"/>
  <c r="B1705" i="6"/>
  <c r="A1705" i="6"/>
  <c r="E1704" i="6"/>
  <c r="D1704" i="6"/>
  <c r="B1704" i="6"/>
  <c r="A1704" i="6"/>
  <c r="E1703" i="6"/>
  <c r="D1703" i="6"/>
  <c r="B1703" i="6"/>
  <c r="A1703" i="6"/>
  <c r="E1702" i="6"/>
  <c r="D1702" i="6"/>
  <c r="B1702" i="6"/>
  <c r="A1702" i="6"/>
  <c r="E1701" i="6"/>
  <c r="D1701" i="6"/>
  <c r="B1701" i="6"/>
  <c r="A1701" i="6"/>
  <c r="E1700" i="6"/>
  <c r="D1700" i="6"/>
  <c r="B1700" i="6"/>
  <c r="A1700" i="6"/>
  <c r="E1699" i="6"/>
  <c r="D1699" i="6"/>
  <c r="B1699" i="6"/>
  <c r="A1699" i="6"/>
  <c r="E1698" i="6"/>
  <c r="D1698" i="6"/>
  <c r="B1698" i="6"/>
  <c r="A1698" i="6"/>
  <c r="E1697" i="6"/>
  <c r="D1697" i="6"/>
  <c r="B1697" i="6"/>
  <c r="A1697" i="6"/>
  <c r="E1696" i="6"/>
  <c r="D1696" i="6"/>
  <c r="B1696" i="6"/>
  <c r="A1696" i="6"/>
  <c r="E1695" i="6"/>
  <c r="D1695" i="6"/>
  <c r="B1695" i="6"/>
  <c r="A1695" i="6"/>
  <c r="E1694" i="6"/>
  <c r="D1694" i="6"/>
  <c r="B1694" i="6"/>
  <c r="A1694" i="6"/>
  <c r="E1693" i="6"/>
  <c r="D1693" i="6"/>
  <c r="B1693" i="6"/>
  <c r="A1693" i="6"/>
  <c r="E1692" i="6"/>
  <c r="D1692" i="6"/>
  <c r="B1692" i="6"/>
  <c r="A1692" i="6"/>
  <c r="E1691" i="6"/>
  <c r="D1691" i="6"/>
  <c r="B1691" i="6"/>
  <c r="A1691" i="6"/>
  <c r="E1690" i="6"/>
  <c r="D1690" i="6"/>
  <c r="B1690" i="6"/>
  <c r="A1690" i="6"/>
  <c r="E1689" i="6"/>
  <c r="D1689" i="6"/>
  <c r="B1689" i="6"/>
  <c r="A1689" i="6"/>
  <c r="E1688" i="6"/>
  <c r="D1688" i="6"/>
  <c r="B1688" i="6"/>
  <c r="A1688" i="6"/>
  <c r="E1687" i="6"/>
  <c r="D1687" i="6"/>
  <c r="B1687" i="6"/>
  <c r="A1687" i="6"/>
  <c r="E1686" i="6"/>
  <c r="D1686" i="6"/>
  <c r="B1686" i="6"/>
  <c r="A1686" i="6"/>
  <c r="E1685" i="6"/>
  <c r="D1685" i="6"/>
  <c r="B1685" i="6"/>
  <c r="A1685" i="6"/>
  <c r="E1684" i="6"/>
  <c r="D1684" i="6"/>
  <c r="B1684" i="6"/>
  <c r="A1684" i="6"/>
  <c r="E1683" i="6"/>
  <c r="D1683" i="6"/>
  <c r="B1683" i="6"/>
  <c r="A1683" i="6"/>
  <c r="E1682" i="6"/>
  <c r="D1682" i="6"/>
  <c r="B1682" i="6"/>
  <c r="A1682" i="6"/>
  <c r="E1681" i="6"/>
  <c r="D1681" i="6"/>
  <c r="B1681" i="6"/>
  <c r="A1681" i="6"/>
  <c r="E1680" i="6"/>
  <c r="D1680" i="6"/>
  <c r="B1680" i="6"/>
  <c r="A1680" i="6"/>
  <c r="E1679" i="6"/>
  <c r="D1679" i="6"/>
  <c r="B1679" i="6"/>
  <c r="A1679" i="6"/>
  <c r="E1678" i="6"/>
  <c r="D1678" i="6"/>
  <c r="B1678" i="6"/>
  <c r="A1678" i="6"/>
  <c r="E1677" i="6"/>
  <c r="D1677" i="6"/>
  <c r="B1677" i="6"/>
  <c r="A1677" i="6"/>
  <c r="E1676" i="6"/>
  <c r="D1676" i="6"/>
  <c r="B1676" i="6"/>
  <c r="A1676" i="6"/>
  <c r="E1675" i="6"/>
  <c r="D1675" i="6"/>
  <c r="B1675" i="6"/>
  <c r="A1675" i="6"/>
  <c r="E1674" i="6"/>
  <c r="D1674" i="6"/>
  <c r="B1674" i="6"/>
  <c r="A1674" i="6"/>
  <c r="E1673" i="6"/>
  <c r="D1673" i="6"/>
  <c r="B1673" i="6"/>
  <c r="A1673" i="6"/>
  <c r="E1672" i="6"/>
  <c r="D1672" i="6"/>
  <c r="B1672" i="6"/>
  <c r="A1672" i="6"/>
  <c r="E1671" i="6"/>
  <c r="D1671" i="6"/>
  <c r="B1671" i="6"/>
  <c r="A1671" i="6"/>
  <c r="E1670" i="6"/>
  <c r="D1670" i="6"/>
  <c r="B1670" i="6"/>
  <c r="A1670" i="6"/>
  <c r="E1669" i="6"/>
  <c r="D1669" i="6"/>
  <c r="B1669" i="6"/>
  <c r="A1669" i="6"/>
  <c r="E1668" i="6"/>
  <c r="D1668" i="6"/>
  <c r="B1668" i="6"/>
  <c r="A1668" i="6"/>
  <c r="E1667" i="6"/>
  <c r="D1667" i="6"/>
  <c r="B1667" i="6"/>
  <c r="A1667" i="6"/>
  <c r="E1666" i="6"/>
  <c r="D1666" i="6"/>
  <c r="B1666" i="6"/>
  <c r="A1666" i="6"/>
  <c r="E1665" i="6"/>
  <c r="D1665" i="6"/>
  <c r="B1665" i="6"/>
  <c r="A1665" i="6"/>
  <c r="E1664" i="6"/>
  <c r="D1664" i="6"/>
  <c r="B1664" i="6"/>
  <c r="A1664" i="6"/>
  <c r="E1663" i="6"/>
  <c r="D1663" i="6"/>
  <c r="B1663" i="6"/>
  <c r="A1663" i="6"/>
  <c r="E1662" i="6"/>
  <c r="D1662" i="6"/>
  <c r="B1662" i="6"/>
  <c r="A1662" i="6"/>
  <c r="E1661" i="6"/>
  <c r="D1661" i="6"/>
  <c r="B1661" i="6"/>
  <c r="A1661" i="6"/>
  <c r="E1660" i="6"/>
  <c r="D1660" i="6"/>
  <c r="B1660" i="6"/>
  <c r="A1660" i="6"/>
  <c r="E1659" i="6"/>
  <c r="D1659" i="6"/>
  <c r="B1659" i="6"/>
  <c r="A1659" i="6"/>
  <c r="E1658" i="6"/>
  <c r="D1658" i="6"/>
  <c r="B1658" i="6"/>
  <c r="A1658" i="6"/>
  <c r="E1657" i="6"/>
  <c r="D1657" i="6"/>
  <c r="B1657" i="6"/>
  <c r="A1657" i="6"/>
  <c r="E1656" i="6"/>
  <c r="D1656" i="6"/>
  <c r="B1656" i="6"/>
  <c r="A1656" i="6"/>
  <c r="E1655" i="6"/>
  <c r="D1655" i="6"/>
  <c r="B1655" i="6"/>
  <c r="A1655" i="6"/>
  <c r="E1654" i="6"/>
  <c r="D1654" i="6"/>
  <c r="B1654" i="6"/>
  <c r="A1654" i="6"/>
  <c r="E1653" i="6"/>
  <c r="D1653" i="6"/>
  <c r="B1653" i="6"/>
  <c r="A1653" i="6"/>
  <c r="E1652" i="6"/>
  <c r="D1652" i="6"/>
  <c r="B1652" i="6"/>
  <c r="A1652" i="6"/>
  <c r="E1651" i="6"/>
  <c r="D1651" i="6"/>
  <c r="B1651" i="6"/>
  <c r="A1651" i="6"/>
  <c r="E1650" i="6"/>
  <c r="D1650" i="6"/>
  <c r="B1650" i="6"/>
  <c r="A1650" i="6"/>
  <c r="E1649" i="6"/>
  <c r="D1649" i="6"/>
  <c r="B1649" i="6"/>
  <c r="A1649" i="6"/>
  <c r="E1648" i="6"/>
  <c r="D1648" i="6"/>
  <c r="B1648" i="6"/>
  <c r="A1648" i="6"/>
  <c r="E1647" i="6"/>
  <c r="D1647" i="6"/>
  <c r="B1647" i="6"/>
  <c r="A1647" i="6"/>
  <c r="E1646" i="6"/>
  <c r="D1646" i="6"/>
  <c r="B1646" i="6"/>
  <c r="A1646" i="6"/>
  <c r="E1645" i="6"/>
  <c r="D1645" i="6"/>
  <c r="B1645" i="6"/>
  <c r="A1645" i="6"/>
  <c r="E1644" i="6"/>
  <c r="D1644" i="6"/>
  <c r="B1644" i="6"/>
  <c r="A1644" i="6"/>
  <c r="E1643" i="6"/>
  <c r="D1643" i="6"/>
  <c r="B1643" i="6"/>
  <c r="A1643" i="6"/>
  <c r="E1642" i="6"/>
  <c r="D1642" i="6"/>
  <c r="B1642" i="6"/>
  <c r="A1642" i="6"/>
  <c r="E1641" i="6"/>
  <c r="D1641" i="6"/>
  <c r="B1641" i="6"/>
  <c r="A1641" i="6"/>
  <c r="E1640" i="6"/>
  <c r="D1640" i="6"/>
  <c r="B1640" i="6"/>
  <c r="A1640" i="6"/>
  <c r="E1639" i="6"/>
  <c r="D1639" i="6"/>
  <c r="B1639" i="6"/>
  <c r="A1639" i="6"/>
  <c r="E1638" i="6"/>
  <c r="D1638" i="6"/>
  <c r="B1638" i="6"/>
  <c r="A1638" i="6"/>
  <c r="E1637" i="6"/>
  <c r="D1637" i="6"/>
  <c r="B1637" i="6"/>
  <c r="A1637" i="6"/>
  <c r="E1636" i="6"/>
  <c r="D1636" i="6"/>
  <c r="B1636" i="6"/>
  <c r="A1636" i="6"/>
  <c r="E1635" i="6"/>
  <c r="D1635" i="6"/>
  <c r="B1635" i="6"/>
  <c r="A1635" i="6"/>
  <c r="E1634" i="6"/>
  <c r="D1634" i="6"/>
  <c r="B1634" i="6"/>
  <c r="A1634" i="6"/>
  <c r="E1633" i="6"/>
  <c r="D1633" i="6"/>
  <c r="B1633" i="6"/>
  <c r="A1633" i="6"/>
  <c r="E1632" i="6"/>
  <c r="D1632" i="6"/>
  <c r="B1632" i="6"/>
  <c r="A1632" i="6"/>
  <c r="E1631" i="6"/>
  <c r="D1631" i="6"/>
  <c r="B1631" i="6"/>
  <c r="A1631" i="6"/>
  <c r="E1630" i="6"/>
  <c r="D1630" i="6"/>
  <c r="B1630" i="6"/>
  <c r="A1630" i="6"/>
  <c r="E1629" i="6"/>
  <c r="D1629" i="6"/>
  <c r="B1629" i="6"/>
  <c r="A1629" i="6"/>
  <c r="E1628" i="6"/>
  <c r="D1628" i="6"/>
  <c r="B1628" i="6"/>
  <c r="A1628" i="6"/>
  <c r="E1627" i="6"/>
  <c r="D1627" i="6"/>
  <c r="B1627" i="6"/>
  <c r="A1627" i="6"/>
  <c r="E1626" i="6"/>
  <c r="D1626" i="6"/>
  <c r="B1626" i="6"/>
  <c r="A1626" i="6"/>
  <c r="E1625" i="6"/>
  <c r="D1625" i="6"/>
  <c r="B1625" i="6"/>
  <c r="A1625" i="6"/>
  <c r="E1624" i="6"/>
  <c r="D1624" i="6"/>
  <c r="B1624" i="6"/>
  <c r="A1624" i="6"/>
  <c r="E1623" i="6"/>
  <c r="D1623" i="6"/>
  <c r="B1623" i="6"/>
  <c r="A1623" i="6"/>
  <c r="E1622" i="6"/>
  <c r="D1622" i="6"/>
  <c r="B1622" i="6"/>
  <c r="A1622" i="6"/>
  <c r="E1621" i="6"/>
  <c r="D1621" i="6"/>
  <c r="B1621" i="6"/>
  <c r="A1621" i="6"/>
  <c r="E1620" i="6"/>
  <c r="D1620" i="6"/>
  <c r="B1620" i="6"/>
  <c r="A1620" i="6"/>
  <c r="E1619" i="6"/>
  <c r="D1619" i="6"/>
  <c r="B1619" i="6"/>
  <c r="A1619" i="6"/>
  <c r="E1618" i="6"/>
  <c r="D1618" i="6"/>
  <c r="B1618" i="6"/>
  <c r="A1618" i="6"/>
  <c r="E1617" i="6"/>
  <c r="D1617" i="6"/>
  <c r="B1617" i="6"/>
  <c r="A1617" i="6"/>
  <c r="E1616" i="6"/>
  <c r="D1616" i="6"/>
  <c r="B1616" i="6"/>
  <c r="A1616" i="6"/>
  <c r="E1615" i="6"/>
  <c r="D1615" i="6"/>
  <c r="B1615" i="6"/>
  <c r="A1615" i="6"/>
  <c r="E1614" i="6"/>
  <c r="D1614" i="6"/>
  <c r="B1614" i="6"/>
  <c r="A1614" i="6"/>
  <c r="E1613" i="6"/>
  <c r="D1613" i="6"/>
  <c r="B1613" i="6"/>
  <c r="A1613" i="6"/>
  <c r="E1612" i="6"/>
  <c r="D1612" i="6"/>
  <c r="B1612" i="6"/>
  <c r="A1612" i="6"/>
  <c r="E1611" i="6"/>
  <c r="D1611" i="6"/>
  <c r="B1611" i="6"/>
  <c r="A1611" i="6"/>
  <c r="E1610" i="6"/>
  <c r="D1610" i="6"/>
  <c r="B1610" i="6"/>
  <c r="A1610" i="6"/>
  <c r="E1609" i="6"/>
  <c r="D1609" i="6"/>
  <c r="B1609" i="6"/>
  <c r="A1609" i="6"/>
  <c r="E1608" i="6"/>
  <c r="D1608" i="6"/>
  <c r="B1608" i="6"/>
  <c r="A1608" i="6"/>
  <c r="E1607" i="6"/>
  <c r="D1607" i="6"/>
  <c r="B1607" i="6"/>
  <c r="A1607" i="6"/>
  <c r="E1606" i="6"/>
  <c r="D1606" i="6"/>
  <c r="B1606" i="6"/>
  <c r="A1606" i="6"/>
  <c r="E1605" i="6"/>
  <c r="D1605" i="6"/>
  <c r="B1605" i="6"/>
  <c r="A1605" i="6"/>
  <c r="E1604" i="6"/>
  <c r="D1604" i="6"/>
  <c r="B1604" i="6"/>
  <c r="A1604" i="6"/>
  <c r="E1603" i="6"/>
  <c r="D1603" i="6"/>
  <c r="B1603" i="6"/>
  <c r="A1603" i="6"/>
  <c r="E1602" i="6"/>
  <c r="D1602" i="6"/>
  <c r="B1602" i="6"/>
  <c r="A1602" i="6"/>
  <c r="E1601" i="6"/>
  <c r="D1601" i="6"/>
  <c r="B1601" i="6"/>
  <c r="A1601" i="6"/>
  <c r="E1600" i="6"/>
  <c r="D1600" i="6"/>
  <c r="B1600" i="6"/>
  <c r="A1600" i="6"/>
  <c r="E1599" i="6"/>
  <c r="D1599" i="6"/>
  <c r="B1599" i="6"/>
  <c r="A1599" i="6"/>
  <c r="E1598" i="6"/>
  <c r="D1598" i="6"/>
  <c r="B1598" i="6"/>
  <c r="A1598" i="6"/>
  <c r="E1597" i="6"/>
  <c r="D1597" i="6"/>
  <c r="B1597" i="6"/>
  <c r="A1597" i="6"/>
  <c r="E1596" i="6"/>
  <c r="D1596" i="6"/>
  <c r="B1596" i="6"/>
  <c r="A1596" i="6"/>
  <c r="E1595" i="6"/>
  <c r="D1595" i="6"/>
  <c r="B1595" i="6"/>
  <c r="A1595" i="6"/>
  <c r="E1594" i="6"/>
  <c r="D1594" i="6"/>
  <c r="B1594" i="6"/>
  <c r="A1594" i="6"/>
  <c r="E1593" i="6"/>
  <c r="D1593" i="6"/>
  <c r="B1593" i="6"/>
  <c r="A1593" i="6"/>
  <c r="E1592" i="6"/>
  <c r="D1592" i="6"/>
  <c r="B1592" i="6"/>
  <c r="A1592" i="6"/>
  <c r="E1591" i="6"/>
  <c r="D1591" i="6"/>
  <c r="B1591" i="6"/>
  <c r="A1591" i="6"/>
  <c r="E1590" i="6"/>
  <c r="D1590" i="6"/>
  <c r="B1590" i="6"/>
  <c r="A1590" i="6"/>
  <c r="E1589" i="6"/>
  <c r="D1589" i="6"/>
  <c r="B1589" i="6"/>
  <c r="A1589" i="6"/>
  <c r="E1588" i="6"/>
  <c r="D1588" i="6"/>
  <c r="B1588" i="6"/>
  <c r="A1588" i="6"/>
  <c r="E1587" i="6"/>
  <c r="D1587" i="6"/>
  <c r="B1587" i="6"/>
  <c r="A1587" i="6"/>
  <c r="E1586" i="6"/>
  <c r="D1586" i="6"/>
  <c r="B1586" i="6"/>
  <c r="A1586" i="6"/>
  <c r="E1585" i="6"/>
  <c r="D1585" i="6"/>
  <c r="B1585" i="6"/>
  <c r="A1585" i="6"/>
  <c r="E1584" i="6"/>
  <c r="D1584" i="6"/>
  <c r="B1584" i="6"/>
  <c r="A1584" i="6"/>
  <c r="E1583" i="6"/>
  <c r="D1583" i="6"/>
  <c r="B1583" i="6"/>
  <c r="A1583" i="6"/>
  <c r="E1582" i="6"/>
  <c r="D1582" i="6"/>
  <c r="B1582" i="6"/>
  <c r="A1582" i="6"/>
  <c r="E1581" i="6"/>
  <c r="D1581" i="6"/>
  <c r="B1581" i="6"/>
  <c r="A1581" i="6"/>
  <c r="E1580" i="6"/>
  <c r="D1580" i="6"/>
  <c r="B1580" i="6"/>
  <c r="A1580" i="6"/>
  <c r="E1579" i="6"/>
  <c r="D1579" i="6"/>
  <c r="B1579" i="6"/>
  <c r="A1579" i="6"/>
  <c r="E1578" i="6"/>
  <c r="D1578" i="6"/>
  <c r="B1578" i="6"/>
  <c r="A1578" i="6"/>
  <c r="E1577" i="6"/>
  <c r="D1577" i="6"/>
  <c r="B1577" i="6"/>
  <c r="A1577" i="6"/>
  <c r="E1576" i="6"/>
  <c r="D1576" i="6"/>
  <c r="B1576" i="6"/>
  <c r="A1576" i="6"/>
  <c r="E1575" i="6"/>
  <c r="D1575" i="6"/>
  <c r="B1575" i="6"/>
  <c r="A1575" i="6"/>
  <c r="E1574" i="6"/>
  <c r="D1574" i="6"/>
  <c r="B1574" i="6"/>
  <c r="A1574" i="6"/>
  <c r="E1573" i="6"/>
  <c r="D1573" i="6"/>
  <c r="B1573" i="6"/>
  <c r="A1573" i="6"/>
  <c r="E1572" i="6"/>
  <c r="D1572" i="6"/>
  <c r="B1572" i="6"/>
  <c r="A1572" i="6"/>
  <c r="E1571" i="6"/>
  <c r="D1571" i="6"/>
  <c r="B1571" i="6"/>
  <c r="A1571" i="6"/>
  <c r="E1570" i="6"/>
  <c r="D1570" i="6"/>
  <c r="B1570" i="6"/>
  <c r="A1570" i="6"/>
  <c r="E1569" i="6"/>
  <c r="D1569" i="6"/>
  <c r="B1569" i="6"/>
  <c r="A1569" i="6"/>
  <c r="E1568" i="6"/>
  <c r="D1568" i="6"/>
  <c r="B1568" i="6"/>
  <c r="A1568" i="6"/>
  <c r="E1567" i="6"/>
  <c r="D1567" i="6"/>
  <c r="B1567" i="6"/>
  <c r="A1567" i="6"/>
  <c r="E1566" i="6"/>
  <c r="D1566" i="6"/>
  <c r="B1566" i="6"/>
  <c r="A1566" i="6"/>
  <c r="E1565" i="6"/>
  <c r="D1565" i="6"/>
  <c r="B1565" i="6"/>
  <c r="A1565" i="6"/>
  <c r="E1564" i="6"/>
  <c r="D1564" i="6"/>
  <c r="B1564" i="6"/>
  <c r="A1564" i="6"/>
  <c r="E1563" i="6"/>
  <c r="D1563" i="6"/>
  <c r="B1563" i="6"/>
  <c r="A1563" i="6"/>
  <c r="E1562" i="6"/>
  <c r="D1562" i="6"/>
  <c r="B1562" i="6"/>
  <c r="A1562" i="6"/>
  <c r="E1561" i="6"/>
  <c r="D1561" i="6"/>
  <c r="B1561" i="6"/>
  <c r="A1561" i="6"/>
  <c r="E1560" i="6"/>
  <c r="D1560" i="6"/>
  <c r="B1560" i="6"/>
  <c r="A1560" i="6"/>
  <c r="E1559" i="6"/>
  <c r="D1559" i="6"/>
  <c r="B1559" i="6"/>
  <c r="A1559" i="6"/>
  <c r="E1558" i="6"/>
  <c r="D1558" i="6"/>
  <c r="B1558" i="6"/>
  <c r="A1558" i="6"/>
  <c r="E1557" i="6"/>
  <c r="D1557" i="6"/>
  <c r="B1557" i="6"/>
  <c r="A1557" i="6"/>
  <c r="E1556" i="6"/>
  <c r="D1556" i="6"/>
  <c r="B1556" i="6"/>
  <c r="A1556" i="6"/>
  <c r="E1555" i="6"/>
  <c r="D1555" i="6"/>
  <c r="B1555" i="6"/>
  <c r="A1555" i="6"/>
  <c r="E1554" i="6"/>
  <c r="D1554" i="6"/>
  <c r="B1554" i="6"/>
  <c r="A1554" i="6"/>
  <c r="E1553" i="6"/>
  <c r="D1553" i="6"/>
  <c r="B1553" i="6"/>
  <c r="A1553" i="6"/>
  <c r="E1552" i="6"/>
  <c r="D1552" i="6"/>
  <c r="B1552" i="6"/>
  <c r="A1552" i="6"/>
  <c r="E1551" i="6"/>
  <c r="D1551" i="6"/>
  <c r="B1551" i="6"/>
  <c r="A1551" i="6"/>
  <c r="E1550" i="6"/>
  <c r="D1550" i="6"/>
  <c r="B1550" i="6"/>
  <c r="A1550" i="6"/>
  <c r="E1549" i="6"/>
  <c r="D1549" i="6"/>
  <c r="B1549" i="6"/>
  <c r="A1549" i="6"/>
  <c r="E1548" i="6"/>
  <c r="D1548" i="6"/>
  <c r="B1548" i="6"/>
  <c r="A1548" i="6"/>
  <c r="E1547" i="6"/>
  <c r="D1547" i="6"/>
  <c r="B1547" i="6"/>
  <c r="A1547" i="6"/>
  <c r="E1546" i="6"/>
  <c r="D1546" i="6"/>
  <c r="B1546" i="6"/>
  <c r="A1546" i="6"/>
  <c r="E1545" i="6"/>
  <c r="D1545" i="6"/>
  <c r="B1545" i="6"/>
  <c r="A1545" i="6"/>
  <c r="E1544" i="6"/>
  <c r="D1544" i="6"/>
  <c r="B1544" i="6"/>
  <c r="A1544" i="6"/>
  <c r="E1543" i="6"/>
  <c r="D1543" i="6"/>
  <c r="B1543" i="6"/>
  <c r="A1543" i="6"/>
  <c r="E1542" i="6"/>
  <c r="D1542" i="6"/>
  <c r="B1542" i="6"/>
  <c r="A1542" i="6"/>
  <c r="E1541" i="6"/>
  <c r="D1541" i="6"/>
  <c r="B1541" i="6"/>
  <c r="A1541" i="6"/>
  <c r="E1540" i="6"/>
  <c r="D1540" i="6"/>
  <c r="B1540" i="6"/>
  <c r="A1540" i="6"/>
  <c r="E1539" i="6"/>
  <c r="D1539" i="6"/>
  <c r="B1539" i="6"/>
  <c r="A1539" i="6"/>
  <c r="E1538" i="6"/>
  <c r="D1538" i="6"/>
  <c r="B1538" i="6"/>
  <c r="A1538" i="6"/>
  <c r="E1537" i="6"/>
  <c r="D1537" i="6"/>
  <c r="B1537" i="6"/>
  <c r="A1537" i="6"/>
  <c r="E1536" i="6"/>
  <c r="D1536" i="6"/>
  <c r="B1536" i="6"/>
  <c r="A1536" i="6"/>
  <c r="E1535" i="6"/>
  <c r="D1535" i="6"/>
  <c r="B1535" i="6"/>
  <c r="A1535" i="6"/>
  <c r="E1534" i="6"/>
  <c r="D1534" i="6"/>
  <c r="B1534" i="6"/>
  <c r="A1534" i="6"/>
  <c r="E1533" i="6"/>
  <c r="D1533" i="6"/>
  <c r="B1533" i="6"/>
  <c r="A1533" i="6"/>
  <c r="E1532" i="6"/>
  <c r="D1532" i="6"/>
  <c r="B1532" i="6"/>
  <c r="A1532" i="6"/>
  <c r="E1531" i="6"/>
  <c r="D1531" i="6"/>
  <c r="B1531" i="6"/>
  <c r="A1531" i="6"/>
  <c r="E1530" i="6"/>
  <c r="D1530" i="6"/>
  <c r="B1530" i="6"/>
  <c r="A1530" i="6"/>
  <c r="E1529" i="6"/>
  <c r="D1529" i="6"/>
  <c r="B1529" i="6"/>
  <c r="A1529" i="6"/>
  <c r="E1528" i="6"/>
  <c r="D1528" i="6"/>
  <c r="B1528" i="6"/>
  <c r="A1528" i="6"/>
  <c r="E1527" i="6"/>
  <c r="D1527" i="6"/>
  <c r="B1527" i="6"/>
  <c r="A1527" i="6"/>
  <c r="E1526" i="6"/>
  <c r="D1526" i="6"/>
  <c r="B1526" i="6"/>
  <c r="A1526" i="6"/>
  <c r="E1525" i="6"/>
  <c r="D1525" i="6"/>
  <c r="B1525" i="6"/>
  <c r="A1525" i="6"/>
  <c r="E1524" i="6"/>
  <c r="D1524" i="6"/>
  <c r="B1524" i="6"/>
  <c r="A1524" i="6"/>
  <c r="E1523" i="6"/>
  <c r="D1523" i="6"/>
  <c r="B1523" i="6"/>
  <c r="A1523" i="6"/>
  <c r="E1522" i="6"/>
  <c r="D1522" i="6"/>
  <c r="B1522" i="6"/>
  <c r="A1522" i="6"/>
  <c r="E1521" i="6"/>
  <c r="D1521" i="6"/>
  <c r="B1521" i="6"/>
  <c r="A1521" i="6"/>
  <c r="E1520" i="6"/>
  <c r="D1520" i="6"/>
  <c r="B1520" i="6"/>
  <c r="A1520" i="6"/>
  <c r="E1519" i="6"/>
  <c r="D1519" i="6"/>
  <c r="B1519" i="6"/>
  <c r="A1519" i="6"/>
  <c r="E1518" i="6"/>
  <c r="D1518" i="6"/>
  <c r="B1518" i="6"/>
  <c r="A1518" i="6"/>
  <c r="E1517" i="6"/>
  <c r="D1517" i="6"/>
  <c r="B1517" i="6"/>
  <c r="A1517" i="6"/>
  <c r="E1516" i="6"/>
  <c r="D1516" i="6"/>
  <c r="B1516" i="6"/>
  <c r="A1516" i="6"/>
  <c r="E1515" i="6"/>
  <c r="D1515" i="6"/>
  <c r="B1515" i="6"/>
  <c r="A1515" i="6"/>
  <c r="E1514" i="6"/>
  <c r="D1514" i="6"/>
  <c r="B1514" i="6"/>
  <c r="A1514" i="6"/>
  <c r="E1513" i="6"/>
  <c r="D1513" i="6"/>
  <c r="B1513" i="6"/>
  <c r="A1513" i="6"/>
  <c r="E1512" i="6"/>
  <c r="D1512" i="6"/>
  <c r="B1512" i="6"/>
  <c r="A1512" i="6"/>
  <c r="E1511" i="6"/>
  <c r="D1511" i="6"/>
  <c r="B1511" i="6"/>
  <c r="A1511" i="6"/>
  <c r="E1510" i="6"/>
  <c r="D1510" i="6"/>
  <c r="B1510" i="6"/>
  <c r="A1510" i="6"/>
  <c r="E1509" i="6"/>
  <c r="D1509" i="6"/>
  <c r="B1509" i="6"/>
  <c r="A1509" i="6"/>
  <c r="E1508" i="6"/>
  <c r="D1508" i="6"/>
  <c r="B1508" i="6"/>
  <c r="A1508" i="6"/>
  <c r="E1507" i="6"/>
  <c r="D1507" i="6"/>
  <c r="B1507" i="6"/>
  <c r="A1507" i="6"/>
  <c r="E1506" i="6"/>
  <c r="D1506" i="6"/>
  <c r="B1506" i="6"/>
  <c r="A1506" i="6"/>
  <c r="E1505" i="6"/>
  <c r="D1505" i="6"/>
  <c r="B1505" i="6"/>
  <c r="A1505" i="6"/>
  <c r="E1504" i="6"/>
  <c r="D1504" i="6"/>
  <c r="B1504" i="6"/>
  <c r="A1504" i="6"/>
  <c r="E1503" i="6"/>
  <c r="D1503" i="6"/>
  <c r="B1503" i="6"/>
  <c r="A1503" i="6"/>
  <c r="E1502" i="6"/>
  <c r="D1502" i="6"/>
  <c r="B1502" i="6"/>
  <c r="A1502" i="6"/>
  <c r="E1501" i="6"/>
  <c r="D1501" i="6"/>
  <c r="B1501" i="6"/>
  <c r="A1501" i="6"/>
  <c r="E1500" i="6"/>
  <c r="D1500" i="6"/>
  <c r="B1500" i="6"/>
  <c r="A1500" i="6"/>
  <c r="E1499" i="6"/>
  <c r="D1499" i="6"/>
  <c r="B1499" i="6"/>
  <c r="A1499" i="6"/>
  <c r="E1498" i="6"/>
  <c r="D1498" i="6"/>
  <c r="B1498" i="6"/>
  <c r="A1498" i="6"/>
  <c r="E1497" i="6"/>
  <c r="D1497" i="6"/>
  <c r="B1497" i="6"/>
  <c r="A1497" i="6"/>
  <c r="E1496" i="6"/>
  <c r="D1496" i="6"/>
  <c r="B1496" i="6"/>
  <c r="A1496" i="6"/>
  <c r="E1495" i="6"/>
  <c r="D1495" i="6"/>
  <c r="B1495" i="6"/>
  <c r="A1495" i="6"/>
  <c r="E1494" i="6"/>
  <c r="D1494" i="6"/>
  <c r="B1494" i="6"/>
  <c r="A1494" i="6"/>
  <c r="E1493" i="6"/>
  <c r="D1493" i="6"/>
  <c r="B1493" i="6"/>
  <c r="A1493" i="6"/>
  <c r="E1492" i="6"/>
  <c r="D1492" i="6"/>
  <c r="B1492" i="6"/>
  <c r="A1492" i="6"/>
  <c r="E1491" i="6"/>
  <c r="D1491" i="6"/>
  <c r="B1491" i="6"/>
  <c r="A1491" i="6"/>
  <c r="E1490" i="6"/>
  <c r="D1490" i="6"/>
  <c r="B1490" i="6"/>
  <c r="A1490" i="6"/>
  <c r="E1489" i="6"/>
  <c r="D1489" i="6"/>
  <c r="B1489" i="6"/>
  <c r="A1489" i="6"/>
  <c r="E1488" i="6"/>
  <c r="D1488" i="6"/>
  <c r="B1488" i="6"/>
  <c r="A1488" i="6"/>
  <c r="E1487" i="6"/>
  <c r="D1487" i="6"/>
  <c r="B1487" i="6"/>
  <c r="A1487" i="6"/>
  <c r="E1486" i="6"/>
  <c r="D1486" i="6"/>
  <c r="B1486" i="6"/>
  <c r="A1486" i="6"/>
  <c r="E1485" i="6"/>
  <c r="D1485" i="6"/>
  <c r="B1485" i="6"/>
  <c r="A1485" i="6"/>
  <c r="E1484" i="6"/>
  <c r="D1484" i="6"/>
  <c r="B1484" i="6"/>
  <c r="A1484" i="6"/>
  <c r="E1483" i="6"/>
  <c r="D1483" i="6"/>
  <c r="B1483" i="6"/>
  <c r="A1483" i="6"/>
  <c r="E1482" i="6"/>
  <c r="D1482" i="6"/>
  <c r="B1482" i="6"/>
  <c r="A1482" i="6"/>
  <c r="E1481" i="6"/>
  <c r="D1481" i="6"/>
  <c r="B1481" i="6"/>
  <c r="A1481" i="6"/>
  <c r="E1480" i="6"/>
  <c r="D1480" i="6"/>
  <c r="B1480" i="6"/>
  <c r="A1480" i="6"/>
  <c r="E1479" i="6"/>
  <c r="D1479" i="6"/>
  <c r="B1479" i="6"/>
  <c r="A1479" i="6"/>
  <c r="E1478" i="6"/>
  <c r="D1478" i="6"/>
  <c r="B1478" i="6"/>
  <c r="A1478" i="6"/>
  <c r="E1477" i="6"/>
  <c r="D1477" i="6"/>
  <c r="B1477" i="6"/>
  <c r="A1477" i="6"/>
  <c r="E1476" i="6"/>
  <c r="D1476" i="6"/>
  <c r="B1476" i="6"/>
  <c r="A1476" i="6"/>
  <c r="E1475" i="6"/>
  <c r="D1475" i="6"/>
  <c r="B1475" i="6"/>
  <c r="A1475" i="6"/>
  <c r="E1474" i="6"/>
  <c r="D1474" i="6"/>
  <c r="B1474" i="6"/>
  <c r="A1474" i="6"/>
  <c r="E1473" i="6"/>
  <c r="D1473" i="6"/>
  <c r="B1473" i="6"/>
  <c r="A1473" i="6"/>
  <c r="E1472" i="6"/>
  <c r="D1472" i="6"/>
  <c r="B1472" i="6"/>
  <c r="A1472" i="6"/>
  <c r="E1471" i="6"/>
  <c r="D1471" i="6"/>
  <c r="B1471" i="6"/>
  <c r="A1471" i="6"/>
  <c r="E1470" i="6"/>
  <c r="D1470" i="6"/>
  <c r="B1470" i="6"/>
  <c r="A1470" i="6"/>
  <c r="E1469" i="6"/>
  <c r="D1469" i="6"/>
  <c r="B1469" i="6"/>
  <c r="A1469" i="6"/>
  <c r="E1468" i="6"/>
  <c r="D1468" i="6"/>
  <c r="B1468" i="6"/>
  <c r="A1468" i="6"/>
  <c r="E1467" i="6"/>
  <c r="D1467" i="6"/>
  <c r="B1467" i="6"/>
  <c r="A1467" i="6"/>
  <c r="E1466" i="6"/>
  <c r="D1466" i="6"/>
  <c r="B1466" i="6"/>
  <c r="A1466" i="6"/>
  <c r="E1465" i="6"/>
  <c r="D1465" i="6"/>
  <c r="B1465" i="6"/>
  <c r="A1465" i="6"/>
  <c r="E1464" i="6"/>
  <c r="D1464" i="6"/>
  <c r="B1464" i="6"/>
  <c r="A1464" i="6"/>
  <c r="E1463" i="6"/>
  <c r="D1463" i="6"/>
  <c r="B1463" i="6"/>
  <c r="A1463" i="6"/>
  <c r="E1462" i="6"/>
  <c r="D1462" i="6"/>
  <c r="B1462" i="6"/>
  <c r="A1462" i="6"/>
  <c r="E1461" i="6"/>
  <c r="D1461" i="6"/>
  <c r="B1461" i="6"/>
  <c r="A1461" i="6"/>
  <c r="E1460" i="6"/>
  <c r="D1460" i="6"/>
  <c r="B1460" i="6"/>
  <c r="A1460" i="6"/>
  <c r="E1459" i="6"/>
  <c r="D1459" i="6"/>
  <c r="B1459" i="6"/>
  <c r="A1459" i="6"/>
  <c r="E1458" i="6"/>
  <c r="D1458" i="6"/>
  <c r="B1458" i="6"/>
  <c r="A1458" i="6"/>
  <c r="E1457" i="6"/>
  <c r="D1457" i="6"/>
  <c r="B1457" i="6"/>
  <c r="A1457" i="6"/>
  <c r="E1456" i="6"/>
  <c r="D1456" i="6"/>
  <c r="B1456" i="6"/>
  <c r="A1456" i="6"/>
  <c r="E1455" i="6"/>
  <c r="D1455" i="6"/>
  <c r="B1455" i="6"/>
  <c r="A1455" i="6"/>
  <c r="E1454" i="6"/>
  <c r="D1454" i="6"/>
  <c r="B1454" i="6"/>
  <c r="A1454" i="6"/>
  <c r="E1453" i="6"/>
  <c r="D1453" i="6"/>
  <c r="B1453" i="6"/>
  <c r="A1453" i="6"/>
  <c r="E1452" i="6"/>
  <c r="D1452" i="6"/>
  <c r="B1452" i="6"/>
  <c r="A1452" i="6"/>
  <c r="E1451" i="6"/>
  <c r="D1451" i="6"/>
  <c r="B1451" i="6"/>
  <c r="A1451" i="6"/>
  <c r="E1450" i="6"/>
  <c r="D1450" i="6"/>
  <c r="B1450" i="6"/>
  <c r="A1450" i="6"/>
  <c r="E1449" i="6"/>
  <c r="D1449" i="6"/>
  <c r="B1449" i="6"/>
  <c r="A1449" i="6"/>
  <c r="E1448" i="6"/>
  <c r="D1448" i="6"/>
  <c r="B1448" i="6"/>
  <c r="A1448" i="6"/>
  <c r="E1447" i="6"/>
  <c r="D1447" i="6"/>
  <c r="B1447" i="6"/>
  <c r="A1447" i="6"/>
  <c r="E1446" i="6"/>
  <c r="D1446" i="6"/>
  <c r="B1446" i="6"/>
  <c r="A1446" i="6"/>
  <c r="E1445" i="6"/>
  <c r="D1445" i="6"/>
  <c r="B1445" i="6"/>
  <c r="A1445" i="6"/>
  <c r="E1444" i="6"/>
  <c r="D1444" i="6"/>
  <c r="B1444" i="6"/>
  <c r="A1444" i="6"/>
  <c r="E1443" i="6"/>
  <c r="D1443" i="6"/>
  <c r="B1443" i="6"/>
  <c r="A1443" i="6"/>
  <c r="E1442" i="6"/>
  <c r="D1442" i="6"/>
  <c r="B1442" i="6"/>
  <c r="A1442" i="6"/>
  <c r="E1441" i="6"/>
  <c r="D1441" i="6"/>
  <c r="B1441" i="6"/>
  <c r="A1441" i="6"/>
  <c r="E1440" i="6"/>
  <c r="D1440" i="6"/>
  <c r="B1440" i="6"/>
  <c r="A1440" i="6"/>
  <c r="E1439" i="6"/>
  <c r="D1439" i="6"/>
  <c r="B1439" i="6"/>
  <c r="A1439" i="6"/>
  <c r="E1438" i="6"/>
  <c r="D1438" i="6"/>
  <c r="B1438" i="6"/>
  <c r="A1438" i="6"/>
  <c r="E1437" i="6"/>
  <c r="D1437" i="6"/>
  <c r="B1437" i="6"/>
  <c r="A1437" i="6"/>
  <c r="E1436" i="6"/>
  <c r="D1436" i="6"/>
  <c r="B1436" i="6"/>
  <c r="A1436" i="6"/>
  <c r="E1435" i="6"/>
  <c r="D1435" i="6"/>
  <c r="B1435" i="6"/>
  <c r="A1435" i="6"/>
  <c r="E1434" i="6"/>
  <c r="D1434" i="6"/>
  <c r="B1434" i="6"/>
  <c r="A1434" i="6"/>
  <c r="E1433" i="6"/>
  <c r="D1433" i="6"/>
  <c r="B1433" i="6"/>
  <c r="A1433" i="6"/>
  <c r="E1432" i="6"/>
  <c r="D1432" i="6"/>
  <c r="B1432" i="6"/>
  <c r="A1432" i="6"/>
  <c r="E1431" i="6"/>
  <c r="D1431" i="6"/>
  <c r="B1431" i="6"/>
  <c r="A1431" i="6"/>
  <c r="E1430" i="6"/>
  <c r="D1430" i="6"/>
  <c r="B1430" i="6"/>
  <c r="A1430" i="6"/>
  <c r="E1429" i="6"/>
  <c r="D1429" i="6"/>
  <c r="B1429" i="6"/>
  <c r="A1429" i="6"/>
  <c r="E1428" i="6"/>
  <c r="D1428" i="6"/>
  <c r="B1428" i="6"/>
  <c r="A1428" i="6"/>
  <c r="E1427" i="6"/>
  <c r="D1427" i="6"/>
  <c r="B1427" i="6"/>
  <c r="A1427" i="6"/>
  <c r="E1426" i="6"/>
  <c r="D1426" i="6"/>
  <c r="B1426" i="6"/>
  <c r="A1426" i="6"/>
  <c r="E1425" i="6"/>
  <c r="D1425" i="6"/>
  <c r="B1425" i="6"/>
  <c r="A1425" i="6"/>
  <c r="E1424" i="6"/>
  <c r="D1424" i="6"/>
  <c r="B1424" i="6"/>
  <c r="A1424" i="6"/>
  <c r="E1423" i="6"/>
  <c r="D1423" i="6"/>
  <c r="B1423" i="6"/>
  <c r="A1423" i="6"/>
  <c r="E1422" i="6"/>
  <c r="D1422" i="6"/>
  <c r="B1422" i="6"/>
  <c r="A1422" i="6"/>
  <c r="E1421" i="6"/>
  <c r="D1421" i="6"/>
  <c r="B1421" i="6"/>
  <c r="A1421" i="6"/>
  <c r="E1420" i="6"/>
  <c r="D1420" i="6"/>
  <c r="B1420" i="6"/>
  <c r="A1420" i="6"/>
  <c r="E1419" i="6"/>
  <c r="D1419" i="6"/>
  <c r="B1419" i="6"/>
  <c r="A1419" i="6"/>
  <c r="E1418" i="6"/>
  <c r="D1418" i="6"/>
  <c r="B1418" i="6"/>
  <c r="A1418" i="6"/>
  <c r="E1417" i="6"/>
  <c r="D1417" i="6"/>
  <c r="B1417" i="6"/>
  <c r="A1417" i="6"/>
  <c r="E1416" i="6"/>
  <c r="D1416" i="6"/>
  <c r="B1416" i="6"/>
  <c r="A1416" i="6"/>
  <c r="E1415" i="6"/>
  <c r="D1415" i="6"/>
  <c r="B1415" i="6"/>
  <c r="A1415" i="6"/>
  <c r="E1414" i="6"/>
  <c r="D1414" i="6"/>
  <c r="B1414" i="6"/>
  <c r="A1414" i="6"/>
  <c r="E1413" i="6"/>
  <c r="D1413" i="6"/>
  <c r="B1413" i="6"/>
  <c r="A1413" i="6"/>
  <c r="E1412" i="6"/>
  <c r="D1412" i="6"/>
  <c r="B1412" i="6"/>
  <c r="A1412" i="6"/>
  <c r="E1411" i="6"/>
  <c r="D1411" i="6"/>
  <c r="B1411" i="6"/>
  <c r="A1411" i="6"/>
  <c r="E1410" i="6"/>
  <c r="D1410" i="6"/>
  <c r="B1410" i="6"/>
  <c r="A1410" i="6"/>
  <c r="E1409" i="6"/>
  <c r="D1409" i="6"/>
  <c r="B1409" i="6"/>
  <c r="A1409" i="6"/>
  <c r="E1408" i="6"/>
  <c r="D1408" i="6"/>
  <c r="B1408" i="6"/>
  <c r="A1408" i="6"/>
  <c r="E1407" i="6"/>
  <c r="D1407" i="6"/>
  <c r="B1407" i="6"/>
  <c r="A1407" i="6"/>
  <c r="E1406" i="6"/>
  <c r="D1406" i="6"/>
  <c r="B1406" i="6"/>
  <c r="A1406" i="6"/>
  <c r="E1405" i="6"/>
  <c r="D1405" i="6"/>
  <c r="B1405" i="6"/>
  <c r="A1405" i="6"/>
  <c r="E1404" i="6"/>
  <c r="D1404" i="6"/>
  <c r="B1404" i="6"/>
  <c r="A1404" i="6"/>
  <c r="E1403" i="6"/>
  <c r="D1403" i="6"/>
  <c r="B1403" i="6"/>
  <c r="A1403" i="6"/>
  <c r="E1402" i="6"/>
  <c r="D1402" i="6"/>
  <c r="B1402" i="6"/>
  <c r="A1402" i="6"/>
  <c r="E1401" i="6"/>
  <c r="D1401" i="6"/>
  <c r="B1401" i="6"/>
  <c r="A1401" i="6"/>
  <c r="E1400" i="6"/>
  <c r="D1400" i="6"/>
  <c r="B1400" i="6"/>
  <c r="A1400" i="6"/>
  <c r="E1399" i="6"/>
  <c r="D1399" i="6"/>
  <c r="B1399" i="6"/>
  <c r="A1399" i="6"/>
  <c r="E1398" i="6"/>
  <c r="D1398" i="6"/>
  <c r="B1398" i="6"/>
  <c r="A1398" i="6"/>
  <c r="E1397" i="6"/>
  <c r="D1397" i="6"/>
  <c r="B1397" i="6"/>
  <c r="A1397" i="6"/>
  <c r="E1396" i="6"/>
  <c r="D1396" i="6"/>
  <c r="B1396" i="6"/>
  <c r="A1396" i="6"/>
  <c r="E1395" i="6"/>
  <c r="D1395" i="6"/>
  <c r="B1395" i="6"/>
  <c r="A1395" i="6"/>
  <c r="E1394" i="6"/>
  <c r="D1394" i="6"/>
  <c r="B1394" i="6"/>
  <c r="A1394" i="6"/>
  <c r="E1393" i="6"/>
  <c r="D1393" i="6"/>
  <c r="B1393" i="6"/>
  <c r="A1393" i="6"/>
  <c r="E1392" i="6"/>
  <c r="D1392" i="6"/>
  <c r="B1392" i="6"/>
  <c r="A1392" i="6"/>
  <c r="E1391" i="6"/>
  <c r="D1391" i="6"/>
  <c r="B1391" i="6"/>
  <c r="A1391" i="6"/>
  <c r="E1390" i="6"/>
  <c r="D1390" i="6"/>
  <c r="B1390" i="6"/>
  <c r="A1390" i="6"/>
  <c r="E1389" i="6"/>
  <c r="D1389" i="6"/>
  <c r="B1389" i="6"/>
  <c r="A1389" i="6"/>
  <c r="E1388" i="6"/>
  <c r="D1388" i="6"/>
  <c r="B1388" i="6"/>
  <c r="A1388" i="6"/>
  <c r="E1387" i="6"/>
  <c r="D1387" i="6"/>
  <c r="B1387" i="6"/>
  <c r="A1387" i="6"/>
  <c r="E1386" i="6"/>
  <c r="D1386" i="6"/>
  <c r="B1386" i="6"/>
  <c r="A1386" i="6"/>
  <c r="E1385" i="6"/>
  <c r="D1385" i="6"/>
  <c r="B1385" i="6"/>
  <c r="A1385" i="6"/>
  <c r="E1384" i="6"/>
  <c r="D1384" i="6"/>
  <c r="B1384" i="6"/>
  <c r="A1384" i="6"/>
  <c r="E1383" i="6"/>
  <c r="D1383" i="6"/>
  <c r="B1383" i="6"/>
  <c r="A1383" i="6"/>
  <c r="E1382" i="6"/>
  <c r="D1382" i="6"/>
  <c r="B1382" i="6"/>
  <c r="A1382" i="6"/>
  <c r="E1381" i="6"/>
  <c r="D1381" i="6"/>
  <c r="B1381" i="6"/>
  <c r="A1381" i="6"/>
  <c r="E1380" i="6"/>
  <c r="D1380" i="6"/>
  <c r="B1380" i="6"/>
  <c r="A1380" i="6"/>
  <c r="E1379" i="6"/>
  <c r="D1379" i="6"/>
  <c r="B1379" i="6"/>
  <c r="A1379" i="6"/>
  <c r="E1378" i="6"/>
  <c r="D1378" i="6"/>
  <c r="B1378" i="6"/>
  <c r="A1378" i="6"/>
  <c r="E1377" i="6"/>
  <c r="D1377" i="6"/>
  <c r="B1377" i="6"/>
  <c r="A1377" i="6"/>
  <c r="E1376" i="6"/>
  <c r="D1376" i="6"/>
  <c r="B1376" i="6"/>
  <c r="A1376" i="6"/>
  <c r="E1375" i="6"/>
  <c r="D1375" i="6"/>
  <c r="B1375" i="6"/>
  <c r="A1375" i="6"/>
  <c r="E1374" i="6"/>
  <c r="D1374" i="6"/>
  <c r="B1374" i="6"/>
  <c r="A1374" i="6"/>
  <c r="E1373" i="6"/>
  <c r="D1373" i="6"/>
  <c r="B1373" i="6"/>
  <c r="A1373" i="6"/>
  <c r="E1372" i="6"/>
  <c r="D1372" i="6"/>
  <c r="B1372" i="6"/>
  <c r="A1372" i="6"/>
  <c r="E1371" i="6"/>
  <c r="D1371" i="6"/>
  <c r="B1371" i="6"/>
  <c r="A1371" i="6"/>
  <c r="E1370" i="6"/>
  <c r="D1370" i="6"/>
  <c r="B1370" i="6"/>
  <c r="A1370" i="6"/>
  <c r="E1369" i="6"/>
  <c r="D1369" i="6"/>
  <c r="B1369" i="6"/>
  <c r="A1369" i="6"/>
  <c r="E1368" i="6"/>
  <c r="D1368" i="6"/>
  <c r="B1368" i="6"/>
  <c r="A1368" i="6"/>
  <c r="E1367" i="6"/>
  <c r="D1367" i="6"/>
  <c r="B1367" i="6"/>
  <c r="A1367" i="6"/>
  <c r="E1366" i="6"/>
  <c r="D1366" i="6"/>
  <c r="B1366" i="6"/>
  <c r="A1366" i="6"/>
  <c r="E1365" i="6"/>
  <c r="D1365" i="6"/>
  <c r="B1365" i="6"/>
  <c r="A1365" i="6"/>
  <c r="E1364" i="6"/>
  <c r="D1364" i="6"/>
  <c r="B1364" i="6"/>
  <c r="A1364" i="6"/>
  <c r="E1363" i="6"/>
  <c r="D1363" i="6"/>
  <c r="B1363" i="6"/>
  <c r="A1363" i="6"/>
  <c r="E1362" i="6"/>
  <c r="D1362" i="6"/>
  <c r="B1362" i="6"/>
  <c r="A1362" i="6"/>
  <c r="E1361" i="6"/>
  <c r="D1361" i="6"/>
  <c r="B1361" i="6"/>
  <c r="A1361" i="6"/>
  <c r="E1360" i="6"/>
  <c r="D1360" i="6"/>
  <c r="B1360" i="6"/>
  <c r="A1360" i="6"/>
  <c r="E1359" i="6"/>
  <c r="D1359" i="6"/>
  <c r="B1359" i="6"/>
  <c r="A1359" i="6"/>
  <c r="E1358" i="6"/>
  <c r="D1358" i="6"/>
  <c r="B1358" i="6"/>
  <c r="A1358" i="6"/>
  <c r="E1357" i="6"/>
  <c r="D1357" i="6"/>
  <c r="B1357" i="6"/>
  <c r="A1357" i="6"/>
  <c r="E1356" i="6"/>
  <c r="D1356" i="6"/>
  <c r="B1356" i="6"/>
  <c r="A1356" i="6"/>
  <c r="E1355" i="6"/>
  <c r="D1355" i="6"/>
  <c r="B1355" i="6"/>
  <c r="A1355" i="6"/>
  <c r="E1354" i="6"/>
  <c r="D1354" i="6"/>
  <c r="B1354" i="6"/>
  <c r="A1354" i="6"/>
  <c r="E1353" i="6"/>
  <c r="D1353" i="6"/>
  <c r="B1353" i="6"/>
  <c r="A1353" i="6"/>
  <c r="E1352" i="6"/>
  <c r="D1352" i="6"/>
  <c r="B1352" i="6"/>
  <c r="A1352" i="6"/>
  <c r="E1351" i="6"/>
  <c r="D1351" i="6"/>
  <c r="B1351" i="6"/>
  <c r="A1351" i="6"/>
  <c r="E1350" i="6"/>
  <c r="D1350" i="6"/>
  <c r="B1350" i="6"/>
  <c r="A1350" i="6"/>
  <c r="E1349" i="6"/>
  <c r="D1349" i="6"/>
  <c r="B1349" i="6"/>
  <c r="A1349" i="6"/>
  <c r="E1348" i="6"/>
  <c r="D1348" i="6"/>
  <c r="B1348" i="6"/>
  <c r="A1348" i="6"/>
  <c r="E1347" i="6"/>
  <c r="D1347" i="6"/>
  <c r="B1347" i="6"/>
  <c r="A1347" i="6"/>
  <c r="E1346" i="6"/>
  <c r="D1346" i="6"/>
  <c r="B1346" i="6"/>
  <c r="A1346" i="6"/>
  <c r="E1345" i="6"/>
  <c r="D1345" i="6"/>
  <c r="B1345" i="6"/>
  <c r="A1345" i="6"/>
  <c r="E1344" i="6"/>
  <c r="D1344" i="6"/>
  <c r="B1344" i="6"/>
  <c r="A1344" i="6"/>
  <c r="E1343" i="6"/>
  <c r="D1343" i="6"/>
  <c r="B1343" i="6"/>
  <c r="A1343" i="6"/>
  <c r="E1342" i="6"/>
  <c r="D1342" i="6"/>
  <c r="B1342" i="6"/>
  <c r="A1342" i="6"/>
  <c r="E1341" i="6"/>
  <c r="D1341" i="6"/>
  <c r="B1341" i="6"/>
  <c r="A1341" i="6"/>
  <c r="E1340" i="6"/>
  <c r="D1340" i="6"/>
  <c r="B1340" i="6"/>
  <c r="A1340" i="6"/>
  <c r="E1339" i="6"/>
  <c r="D1339" i="6"/>
  <c r="B1339" i="6"/>
  <c r="A1339" i="6"/>
  <c r="E1338" i="6"/>
  <c r="D1338" i="6"/>
  <c r="B1338" i="6"/>
  <c r="A1338" i="6"/>
  <c r="E1337" i="6"/>
  <c r="D1337" i="6"/>
  <c r="B1337" i="6"/>
  <c r="A1337" i="6"/>
  <c r="E1336" i="6"/>
  <c r="D1336" i="6"/>
  <c r="B1336" i="6"/>
  <c r="A1336" i="6"/>
  <c r="E1335" i="6"/>
  <c r="D1335" i="6"/>
  <c r="B1335" i="6"/>
  <c r="A1335" i="6"/>
  <c r="D1334" i="6"/>
  <c r="B1334" i="6"/>
  <c r="A1334" i="6"/>
  <c r="E1333" i="6"/>
  <c r="D1333" i="6"/>
  <c r="B1333" i="6"/>
  <c r="A1333" i="6"/>
  <c r="D1332" i="6"/>
  <c r="B1332" i="6"/>
  <c r="A1332" i="6"/>
  <c r="D1331" i="6"/>
  <c r="B1331" i="6"/>
  <c r="A1331" i="6"/>
  <c r="E1330" i="6"/>
  <c r="D1330" i="6"/>
  <c r="B1330" i="6"/>
  <c r="A1330" i="6"/>
  <c r="E1329" i="6"/>
  <c r="D1329" i="6"/>
  <c r="B1329" i="6"/>
  <c r="A1329" i="6"/>
  <c r="E1328" i="6"/>
  <c r="D1328" i="6"/>
  <c r="B1328" i="6"/>
  <c r="A1328" i="6"/>
  <c r="E1327" i="6"/>
  <c r="D1327" i="6"/>
  <c r="B1327" i="6"/>
  <c r="A1327" i="6"/>
  <c r="E1326" i="6"/>
  <c r="D1326" i="6"/>
  <c r="B1326" i="6"/>
  <c r="A1326" i="6"/>
  <c r="E1325" i="6"/>
  <c r="D1325" i="6"/>
  <c r="B1325" i="6"/>
  <c r="A1325" i="6"/>
  <c r="E1324" i="6"/>
  <c r="D1324" i="6"/>
  <c r="B1324" i="6"/>
  <c r="A1324" i="6"/>
  <c r="E1323" i="6"/>
  <c r="D1323" i="6"/>
  <c r="B1323" i="6"/>
  <c r="A1323" i="6"/>
  <c r="E1322" i="6"/>
  <c r="D1322" i="6"/>
  <c r="B1322" i="6"/>
  <c r="A1322" i="6"/>
  <c r="E1321" i="6"/>
  <c r="D1321" i="6"/>
  <c r="B1321" i="6"/>
  <c r="A1321" i="6"/>
  <c r="E1320" i="6"/>
  <c r="D1320" i="6"/>
  <c r="B1320" i="6"/>
  <c r="A1320" i="6"/>
  <c r="E1319" i="6"/>
  <c r="D1319" i="6"/>
  <c r="B1319" i="6"/>
  <c r="A1319" i="6"/>
  <c r="E1318" i="6"/>
  <c r="D1318" i="6"/>
  <c r="B1318" i="6"/>
  <c r="A1318" i="6"/>
  <c r="E1317" i="6"/>
  <c r="D1317" i="6"/>
  <c r="B1317" i="6"/>
  <c r="A1317" i="6"/>
  <c r="E1316" i="6"/>
  <c r="D1316" i="6"/>
  <c r="B1316" i="6"/>
  <c r="A1316" i="6"/>
  <c r="E1315" i="6"/>
  <c r="D1315" i="6"/>
  <c r="B1315" i="6"/>
  <c r="A1315" i="6"/>
  <c r="E1314" i="6"/>
  <c r="D1314" i="6"/>
  <c r="B1314" i="6"/>
  <c r="A1314" i="6"/>
  <c r="E1313" i="6"/>
  <c r="D1313" i="6"/>
  <c r="B1313" i="6"/>
  <c r="A1313" i="6"/>
  <c r="E1312" i="6"/>
  <c r="D1312" i="6"/>
  <c r="B1312" i="6"/>
  <c r="A1312" i="6"/>
  <c r="E1311" i="6"/>
  <c r="D1311" i="6"/>
  <c r="B1311" i="6"/>
  <c r="A1311" i="6"/>
  <c r="E1310" i="6"/>
  <c r="D1310" i="6"/>
  <c r="B1310" i="6"/>
  <c r="A1310" i="6"/>
  <c r="E1309" i="6"/>
  <c r="D1309" i="6"/>
  <c r="B1309" i="6"/>
  <c r="E1308" i="6"/>
  <c r="D1308" i="6"/>
  <c r="B1308" i="6"/>
  <c r="E1307" i="6"/>
  <c r="D1307" i="6"/>
  <c r="B1307" i="6"/>
  <c r="E1306" i="6"/>
  <c r="D1306" i="6"/>
  <c r="B1306" i="6"/>
  <c r="E1305" i="6"/>
  <c r="D1305" i="6"/>
  <c r="B1305" i="6"/>
  <c r="E1304" i="6"/>
  <c r="D1304" i="6"/>
  <c r="B1304" i="6"/>
  <c r="E1303" i="6"/>
  <c r="D1303" i="6"/>
  <c r="B1303" i="6"/>
  <c r="E1302" i="6"/>
  <c r="D1302" i="6"/>
  <c r="B1302" i="6"/>
  <c r="E1301" i="6"/>
  <c r="D1301" i="6"/>
  <c r="B1301" i="6"/>
  <c r="E1300" i="6"/>
  <c r="D1300" i="6"/>
  <c r="B1300" i="6"/>
  <c r="E1299" i="6"/>
  <c r="D1299" i="6"/>
  <c r="B1299" i="6"/>
  <c r="E1298" i="6"/>
  <c r="D1298" i="6"/>
  <c r="B1298" i="6"/>
  <c r="E1297" i="6"/>
  <c r="D1297" i="6"/>
  <c r="B1297" i="6"/>
  <c r="E1296" i="6"/>
  <c r="D1296" i="6"/>
  <c r="B1296" i="6"/>
  <c r="E1295" i="6"/>
  <c r="D1295" i="6"/>
  <c r="B1295" i="6"/>
  <c r="E1294" i="6"/>
  <c r="D1294" i="6"/>
  <c r="B1294" i="6"/>
  <c r="E1293" i="6"/>
  <c r="D1293" i="6"/>
  <c r="B1293" i="6"/>
  <c r="E1292" i="6"/>
  <c r="D1292" i="6"/>
  <c r="B1292" i="6"/>
  <c r="E1291" i="6"/>
  <c r="D1291" i="6"/>
  <c r="B1291" i="6"/>
  <c r="E1290" i="6"/>
  <c r="D1290" i="6"/>
  <c r="B1290" i="6"/>
  <c r="E1289" i="6"/>
  <c r="D1289" i="6"/>
  <c r="B1289" i="6"/>
  <c r="E1288" i="6"/>
  <c r="D1288" i="6"/>
  <c r="B1288" i="6"/>
  <c r="E1287" i="6"/>
  <c r="D1287" i="6"/>
  <c r="B1287" i="6"/>
  <c r="E1286" i="6"/>
  <c r="D1286" i="6"/>
  <c r="B1286" i="6"/>
  <c r="E1285" i="6"/>
  <c r="D1285" i="6"/>
  <c r="B1285" i="6"/>
  <c r="E1284" i="6"/>
  <c r="D1284" i="6"/>
  <c r="B1284" i="6"/>
  <c r="E1283" i="6"/>
  <c r="D1283" i="6"/>
  <c r="B1283" i="6"/>
  <c r="E1282" i="6"/>
  <c r="D1282" i="6"/>
  <c r="B1282" i="6"/>
  <c r="E1281" i="6"/>
  <c r="D1281" i="6"/>
  <c r="B1281" i="6"/>
  <c r="E1280" i="6"/>
  <c r="D1280" i="6"/>
  <c r="B1280" i="6"/>
  <c r="A1280" i="6"/>
  <c r="E1279" i="6"/>
  <c r="D1279" i="6"/>
  <c r="B1279" i="6"/>
  <c r="A1279" i="6"/>
  <c r="E1278" i="6"/>
  <c r="D1278" i="6"/>
  <c r="B1278" i="6"/>
  <c r="A1278" i="6"/>
  <c r="E1277" i="6"/>
  <c r="D1277" i="6"/>
  <c r="B1277" i="6"/>
  <c r="A1277" i="6"/>
  <c r="E1276" i="6"/>
  <c r="D1276" i="6"/>
  <c r="B1276" i="6"/>
  <c r="A1276" i="6"/>
  <c r="E1275" i="6"/>
  <c r="D1275" i="6"/>
  <c r="B1275" i="6"/>
  <c r="A1275" i="6"/>
  <c r="E1274" i="6"/>
  <c r="D1274" i="6"/>
  <c r="B1274" i="6"/>
  <c r="A1274" i="6"/>
  <c r="E1273" i="6"/>
  <c r="D1273" i="6"/>
  <c r="B1273" i="6"/>
  <c r="A1273" i="6"/>
  <c r="E1272" i="6"/>
  <c r="D1272" i="6"/>
  <c r="B1272" i="6"/>
  <c r="A1272" i="6"/>
  <c r="E1271" i="6"/>
  <c r="D1271" i="6"/>
  <c r="B1271" i="6"/>
  <c r="A1271" i="6"/>
  <c r="E1270" i="6"/>
  <c r="D1270" i="6"/>
  <c r="B1270" i="6"/>
  <c r="A1270" i="6"/>
  <c r="E1269" i="6"/>
  <c r="D1269" i="6"/>
  <c r="B1269" i="6"/>
  <c r="A1269" i="6"/>
  <c r="E1268" i="6"/>
  <c r="D1268" i="6"/>
  <c r="B1268" i="6"/>
  <c r="A1268" i="6"/>
  <c r="E1267" i="6"/>
  <c r="D1267" i="6"/>
  <c r="B1267" i="6"/>
  <c r="A1267" i="6"/>
  <c r="E1266" i="6"/>
  <c r="D1266" i="6"/>
  <c r="B1266" i="6"/>
  <c r="A1266" i="6"/>
  <c r="E1265" i="6"/>
  <c r="D1265" i="6"/>
  <c r="B1265" i="6"/>
  <c r="A1265" i="6"/>
  <c r="E1264" i="6"/>
  <c r="D1264" i="6"/>
  <c r="B1264" i="6"/>
  <c r="A1264" i="6"/>
  <c r="E1263" i="6"/>
  <c r="D1263" i="6"/>
  <c r="B1263" i="6"/>
  <c r="A1263" i="6"/>
  <c r="E1262" i="6"/>
  <c r="D1262" i="6"/>
  <c r="B1262" i="6"/>
  <c r="A1262" i="6"/>
  <c r="E1261" i="6"/>
  <c r="D1261" i="6"/>
  <c r="B1261" i="6"/>
  <c r="A1261" i="6"/>
  <c r="E1260" i="6"/>
  <c r="D1260" i="6"/>
  <c r="B1260" i="6"/>
  <c r="A1260" i="6"/>
  <c r="E1259" i="6"/>
  <c r="D1259" i="6"/>
  <c r="B1259" i="6"/>
  <c r="A1259" i="6"/>
  <c r="E1258" i="6"/>
  <c r="D1258" i="6"/>
  <c r="B1258" i="6"/>
  <c r="A1258" i="6"/>
  <c r="E1257" i="6"/>
  <c r="D1257" i="6"/>
  <c r="B1257" i="6"/>
  <c r="A1257" i="6"/>
  <c r="E1256" i="6"/>
  <c r="D1256" i="6"/>
  <c r="B1256" i="6"/>
  <c r="A1256" i="6"/>
  <c r="E1255" i="6"/>
  <c r="D1255" i="6"/>
  <c r="B1255" i="6"/>
  <c r="A1255" i="6"/>
  <c r="E1254" i="6"/>
  <c r="D1254" i="6"/>
  <c r="B1254" i="6"/>
  <c r="A1254" i="6"/>
  <c r="E1253" i="6"/>
  <c r="D1253" i="6"/>
  <c r="B1253" i="6"/>
  <c r="A1253" i="6"/>
  <c r="E1252" i="6"/>
  <c r="D1252" i="6"/>
  <c r="B1252" i="6"/>
  <c r="A1252" i="6"/>
  <c r="E1251" i="6"/>
  <c r="D1251" i="6"/>
  <c r="B1251" i="6"/>
  <c r="A1251" i="6"/>
  <c r="E1250" i="6"/>
  <c r="D1250" i="6"/>
  <c r="B1250" i="6"/>
  <c r="A1250" i="6"/>
  <c r="E1249" i="6"/>
  <c r="D1249" i="6"/>
  <c r="B1249" i="6"/>
  <c r="A1249" i="6"/>
  <c r="E1248" i="6"/>
  <c r="D1248" i="6"/>
  <c r="B1248" i="6"/>
  <c r="A1248" i="6"/>
  <c r="E1247" i="6"/>
  <c r="D1247" i="6"/>
  <c r="B1247" i="6"/>
  <c r="A1247" i="6"/>
  <c r="E1246" i="6"/>
  <c r="D1246" i="6"/>
  <c r="B1246" i="6"/>
  <c r="A1246" i="6"/>
  <c r="E1245" i="6"/>
  <c r="D1245" i="6"/>
  <c r="B1245" i="6"/>
  <c r="A1245" i="6"/>
  <c r="E1244" i="6"/>
  <c r="D1244" i="6"/>
  <c r="B1244" i="6"/>
  <c r="A1244" i="6"/>
  <c r="E1243" i="6"/>
  <c r="D1243" i="6"/>
  <c r="B1243" i="6"/>
  <c r="A1243" i="6"/>
  <c r="E1242" i="6"/>
  <c r="D1242" i="6"/>
  <c r="B1242" i="6"/>
  <c r="A1242" i="6"/>
  <c r="E1241" i="6"/>
  <c r="D1241" i="6"/>
  <c r="B1241" i="6"/>
  <c r="A1241" i="6"/>
  <c r="E1240" i="6"/>
  <c r="D1240" i="6"/>
  <c r="B1240" i="6"/>
  <c r="A1240" i="6"/>
  <c r="E1239" i="6"/>
  <c r="D1239" i="6"/>
  <c r="B1239" i="6"/>
  <c r="A1239" i="6"/>
  <c r="E1238" i="6"/>
  <c r="D1238" i="6"/>
  <c r="B1238" i="6"/>
  <c r="A1238" i="6"/>
  <c r="E1237" i="6"/>
  <c r="D1237" i="6"/>
  <c r="B1237" i="6"/>
  <c r="A1237" i="6"/>
  <c r="E1236" i="6"/>
  <c r="D1236" i="6"/>
  <c r="B1236" i="6"/>
  <c r="A1236" i="6"/>
  <c r="E1235" i="6"/>
  <c r="D1235" i="6"/>
  <c r="B1235" i="6"/>
  <c r="A1235" i="6"/>
  <c r="E1234" i="6"/>
  <c r="D1234" i="6"/>
  <c r="B1234" i="6"/>
  <c r="A1234" i="6"/>
  <c r="E1233" i="6"/>
  <c r="D1233" i="6"/>
  <c r="B1233" i="6"/>
  <c r="A1233" i="6"/>
  <c r="E1232" i="6"/>
  <c r="D1232" i="6"/>
  <c r="B1232" i="6"/>
  <c r="A1232" i="6"/>
  <c r="E1231" i="6"/>
  <c r="D1231" i="6"/>
  <c r="B1231" i="6"/>
  <c r="A1231" i="6"/>
  <c r="E1230" i="6"/>
  <c r="D1230" i="6"/>
  <c r="B1230" i="6"/>
  <c r="A1230" i="6"/>
  <c r="E1229" i="6"/>
  <c r="D1229" i="6"/>
  <c r="B1229" i="6"/>
  <c r="A1229" i="6"/>
  <c r="E1228" i="6"/>
  <c r="D1228" i="6"/>
  <c r="B1228" i="6"/>
  <c r="A1228" i="6"/>
  <c r="E1227" i="6"/>
  <c r="D1227" i="6"/>
  <c r="B1227" i="6"/>
  <c r="A1227" i="6"/>
  <c r="E1226" i="6"/>
  <c r="D1226" i="6"/>
  <c r="B1226" i="6"/>
  <c r="A1226" i="6"/>
  <c r="E1225" i="6"/>
  <c r="D1225" i="6"/>
  <c r="B1225" i="6"/>
  <c r="A1225" i="6"/>
  <c r="E1224" i="6"/>
  <c r="D1224" i="6"/>
  <c r="B1224" i="6"/>
  <c r="A1224" i="6"/>
  <c r="E1223" i="6"/>
  <c r="D1223" i="6"/>
  <c r="B1223" i="6"/>
  <c r="A1223" i="6"/>
  <c r="E1222" i="6"/>
  <c r="D1222" i="6"/>
  <c r="B1222" i="6"/>
  <c r="A1222" i="6"/>
  <c r="E1221" i="6"/>
  <c r="D1221" i="6"/>
  <c r="B1221" i="6"/>
  <c r="A1221" i="6"/>
  <c r="E1220" i="6"/>
  <c r="D1220" i="6"/>
  <c r="B1220" i="6"/>
  <c r="A1220" i="6"/>
  <c r="E1219" i="6"/>
  <c r="D1219" i="6"/>
  <c r="B1219" i="6"/>
  <c r="A1219" i="6"/>
  <c r="E1218" i="6"/>
  <c r="D1218" i="6"/>
  <c r="B1218" i="6"/>
  <c r="A1218" i="6"/>
  <c r="E1217" i="6"/>
  <c r="D1217" i="6"/>
  <c r="B1217" i="6"/>
  <c r="A1217" i="6"/>
  <c r="E1216" i="6"/>
  <c r="D1216" i="6"/>
  <c r="B1216" i="6"/>
  <c r="A1216" i="6"/>
  <c r="E1215" i="6"/>
  <c r="D1215" i="6"/>
  <c r="B1215" i="6"/>
  <c r="A1215" i="6"/>
  <c r="E1214" i="6"/>
  <c r="D1214" i="6"/>
  <c r="B1214" i="6"/>
  <c r="A1214" i="6"/>
  <c r="E1213" i="6"/>
  <c r="D1213" i="6"/>
  <c r="B1213" i="6"/>
  <c r="A1213" i="6"/>
  <c r="E1212" i="6"/>
  <c r="D1212" i="6"/>
  <c r="B1212" i="6"/>
  <c r="A1212" i="6"/>
  <c r="E1211" i="6"/>
  <c r="D1211" i="6"/>
  <c r="B1211" i="6"/>
  <c r="A1211" i="6"/>
  <c r="E1210" i="6"/>
  <c r="D1210" i="6"/>
  <c r="B1210" i="6"/>
  <c r="A1210" i="6"/>
  <c r="E1209" i="6"/>
  <c r="D1209" i="6"/>
  <c r="B1209" i="6"/>
  <c r="A1209" i="6"/>
  <c r="E1208" i="6"/>
  <c r="D1208" i="6"/>
  <c r="B1208" i="6"/>
  <c r="A1208" i="6"/>
  <c r="E1207" i="6"/>
  <c r="D1207" i="6"/>
  <c r="B1207" i="6"/>
  <c r="A1207" i="6"/>
  <c r="E1206" i="6"/>
  <c r="D1206" i="6"/>
  <c r="B1206" i="6"/>
  <c r="A1206" i="6"/>
  <c r="E1205" i="6"/>
  <c r="D1205" i="6"/>
  <c r="B1205" i="6"/>
  <c r="A1205" i="6"/>
  <c r="E1204" i="6"/>
  <c r="D1204" i="6"/>
  <c r="B1204" i="6"/>
  <c r="A1204" i="6"/>
  <c r="E1203" i="6"/>
  <c r="D1203" i="6"/>
  <c r="B1203" i="6"/>
  <c r="A1203" i="6"/>
  <c r="E1202" i="6"/>
  <c r="D1202" i="6"/>
  <c r="B1202" i="6"/>
  <c r="A1202" i="6"/>
  <c r="E1201" i="6"/>
  <c r="D1201" i="6"/>
  <c r="B1201" i="6"/>
  <c r="A1201" i="6"/>
  <c r="E1200" i="6"/>
  <c r="D1200" i="6"/>
  <c r="B1200" i="6"/>
  <c r="A1200" i="6"/>
  <c r="E1199" i="6"/>
  <c r="D1199" i="6"/>
  <c r="B1199" i="6"/>
  <c r="A1199" i="6"/>
  <c r="E1198" i="6"/>
  <c r="D1198" i="6"/>
  <c r="B1198" i="6"/>
  <c r="A1198" i="6"/>
  <c r="E1197" i="6"/>
  <c r="D1197" i="6"/>
  <c r="B1197" i="6"/>
  <c r="A1197" i="6"/>
  <c r="E1196" i="6"/>
  <c r="D1196" i="6"/>
  <c r="B1196" i="6"/>
  <c r="A1196" i="6"/>
  <c r="E1195" i="6"/>
  <c r="D1195" i="6"/>
  <c r="B1195" i="6"/>
  <c r="A1195" i="6"/>
  <c r="E1194" i="6"/>
  <c r="D1194" i="6"/>
  <c r="B1194" i="6"/>
  <c r="A1194" i="6"/>
  <c r="E1193" i="6"/>
  <c r="D1193" i="6"/>
  <c r="B1193" i="6"/>
  <c r="A1193" i="6"/>
  <c r="E1192" i="6"/>
  <c r="D1192" i="6"/>
  <c r="B1192" i="6"/>
  <c r="A1192" i="6"/>
  <c r="E1191" i="6"/>
  <c r="D1191" i="6"/>
  <c r="B1191" i="6"/>
  <c r="A1191" i="6"/>
  <c r="E1190" i="6"/>
  <c r="D1190" i="6"/>
  <c r="B1190" i="6"/>
  <c r="A1190" i="6"/>
  <c r="E1189" i="6"/>
  <c r="D1189" i="6"/>
  <c r="B1189" i="6"/>
  <c r="A1189" i="6"/>
  <c r="E1188" i="6"/>
  <c r="D1188" i="6"/>
  <c r="B1188" i="6"/>
  <c r="A1188" i="6"/>
  <c r="E1187" i="6"/>
  <c r="D1187" i="6"/>
  <c r="B1187" i="6"/>
  <c r="A1187" i="6"/>
  <c r="E1186" i="6"/>
  <c r="D1186" i="6"/>
  <c r="B1186" i="6"/>
  <c r="A1186" i="6"/>
  <c r="E1185" i="6"/>
  <c r="D1185" i="6"/>
  <c r="B1185" i="6"/>
  <c r="A1185" i="6"/>
  <c r="E1184" i="6"/>
  <c r="D1184" i="6"/>
  <c r="B1184" i="6"/>
  <c r="A1184" i="6"/>
  <c r="E1183" i="6"/>
  <c r="D1183" i="6"/>
  <c r="B1183" i="6"/>
  <c r="A1183" i="6"/>
  <c r="E1182" i="6"/>
  <c r="D1182" i="6"/>
  <c r="B1182" i="6"/>
  <c r="A1182" i="6"/>
  <c r="E1181" i="6"/>
  <c r="D1181" i="6"/>
  <c r="B1181" i="6"/>
  <c r="A1181" i="6"/>
  <c r="E1180" i="6"/>
  <c r="D1180" i="6"/>
  <c r="B1180" i="6"/>
  <c r="A1180" i="6"/>
  <c r="E1179" i="6"/>
  <c r="D1179" i="6"/>
  <c r="B1179" i="6"/>
  <c r="A1179" i="6"/>
  <c r="E1178" i="6"/>
  <c r="D1178" i="6"/>
  <c r="B1178" i="6"/>
  <c r="A1178" i="6"/>
  <c r="E1177" i="6"/>
  <c r="D1177" i="6"/>
  <c r="B1177" i="6"/>
  <c r="A1177" i="6"/>
  <c r="E1176" i="6"/>
  <c r="D1176" i="6"/>
  <c r="B1176" i="6"/>
  <c r="A1176" i="6"/>
  <c r="E1175" i="6"/>
  <c r="D1175" i="6"/>
  <c r="B1175" i="6"/>
  <c r="E1174" i="6"/>
  <c r="D1174" i="6"/>
  <c r="B1174" i="6"/>
  <c r="E1173" i="6"/>
  <c r="D1173" i="6"/>
  <c r="B1173" i="6"/>
  <c r="E1172" i="6"/>
  <c r="D1172" i="6"/>
  <c r="B1172" i="6"/>
  <c r="E1171" i="6"/>
  <c r="D1171" i="6"/>
  <c r="B1171" i="6"/>
  <c r="E1170" i="6"/>
  <c r="D1170" i="6"/>
  <c r="B1170" i="6"/>
  <c r="E1169" i="6"/>
  <c r="D1169" i="6"/>
  <c r="B1169" i="6"/>
  <c r="E1168" i="6"/>
  <c r="D1168" i="6"/>
  <c r="B1168" i="6"/>
  <c r="E1167" i="6"/>
  <c r="D1167" i="6"/>
  <c r="B1167" i="6"/>
  <c r="E1166" i="6"/>
  <c r="D1166" i="6"/>
  <c r="B1166" i="6"/>
  <c r="E1165" i="6"/>
  <c r="D1165" i="6"/>
  <c r="B1165" i="6"/>
  <c r="E1164" i="6"/>
  <c r="D1164" i="6"/>
  <c r="B1164" i="6"/>
  <c r="E1163" i="6"/>
  <c r="D1163" i="6"/>
  <c r="B1163" i="6"/>
  <c r="E1162" i="6"/>
  <c r="D1162" i="6"/>
  <c r="B1162" i="6"/>
  <c r="E1161" i="6"/>
  <c r="D1161" i="6"/>
  <c r="B1161" i="6"/>
  <c r="E1160" i="6"/>
  <c r="D1160" i="6"/>
  <c r="B1160" i="6"/>
  <c r="E1159" i="6"/>
  <c r="D1159" i="6"/>
  <c r="B1159" i="6"/>
  <c r="E1158" i="6"/>
  <c r="D1158" i="6"/>
  <c r="B1158" i="6"/>
  <c r="E1157" i="6"/>
  <c r="D1157" i="6"/>
  <c r="B1157" i="6"/>
  <c r="E1156" i="6"/>
  <c r="D1156" i="6"/>
  <c r="B1156" i="6"/>
  <c r="E1155" i="6"/>
  <c r="D1155" i="6"/>
  <c r="B1155" i="6"/>
  <c r="A1155" i="6"/>
  <c r="E1154" i="6"/>
  <c r="D1154" i="6"/>
  <c r="B1154" i="6"/>
  <c r="A1154" i="6"/>
  <c r="E1153" i="6"/>
  <c r="D1153" i="6"/>
  <c r="B1153" i="6"/>
  <c r="A1153" i="6"/>
  <c r="E1152" i="6"/>
  <c r="D1152" i="6"/>
  <c r="B1152" i="6"/>
  <c r="A1152" i="6"/>
  <c r="E1151" i="6"/>
  <c r="D1151" i="6"/>
  <c r="B1151" i="6"/>
  <c r="A1151" i="6"/>
  <c r="E1150" i="6"/>
  <c r="D1150" i="6"/>
  <c r="B1150" i="6"/>
  <c r="A1150" i="6"/>
  <c r="E1149" i="6"/>
  <c r="D1149" i="6"/>
  <c r="B1149" i="6"/>
  <c r="A1149" i="6"/>
  <c r="E1148" i="6"/>
  <c r="D1148" i="6"/>
  <c r="B1148" i="6"/>
  <c r="A1148" i="6"/>
  <c r="E1147" i="6"/>
  <c r="D1147" i="6"/>
  <c r="B1147" i="6"/>
  <c r="A1147" i="6"/>
  <c r="E1146" i="6"/>
  <c r="D1146" i="6"/>
  <c r="B1146" i="6"/>
  <c r="A1146" i="6"/>
  <c r="E1145" i="6"/>
  <c r="D1145" i="6"/>
  <c r="B1145" i="6"/>
  <c r="A1145" i="6"/>
  <c r="E1144" i="6"/>
  <c r="D1144" i="6"/>
  <c r="B1144" i="6"/>
  <c r="A1144" i="6"/>
  <c r="E1143" i="6"/>
  <c r="D1143" i="6"/>
  <c r="B1143" i="6"/>
  <c r="A1143" i="6"/>
  <c r="E1142" i="6"/>
  <c r="D1142" i="6"/>
  <c r="B1142" i="6"/>
  <c r="A1142" i="6"/>
  <c r="E1141" i="6"/>
  <c r="D1141" i="6"/>
  <c r="B1141" i="6"/>
  <c r="A1141" i="6"/>
  <c r="E1140" i="6"/>
  <c r="D1140" i="6"/>
  <c r="B1140" i="6"/>
  <c r="A1140" i="6"/>
  <c r="E1139" i="6"/>
  <c r="D1139" i="6"/>
  <c r="B1139" i="6"/>
  <c r="A1139" i="6"/>
  <c r="E1138" i="6"/>
  <c r="D1138" i="6"/>
  <c r="B1138" i="6"/>
  <c r="A1138" i="6"/>
  <c r="E1137" i="6"/>
  <c r="D1137" i="6"/>
  <c r="B1137" i="6"/>
  <c r="A1137" i="6"/>
  <c r="E1136" i="6"/>
  <c r="D1136" i="6"/>
  <c r="B1136" i="6"/>
  <c r="A1136" i="6"/>
  <c r="E1135" i="6"/>
  <c r="D1135" i="6"/>
  <c r="B1135" i="6"/>
  <c r="A1135" i="6"/>
  <c r="E1134" i="6"/>
  <c r="D1134" i="6"/>
  <c r="B1134" i="6"/>
  <c r="A1134" i="6"/>
  <c r="E1133" i="6"/>
  <c r="D1133" i="6"/>
  <c r="B1133" i="6"/>
  <c r="A1133" i="6"/>
  <c r="E1132" i="6"/>
  <c r="D1132" i="6"/>
  <c r="B1132" i="6"/>
  <c r="A1132" i="6"/>
  <c r="E1131" i="6"/>
  <c r="D1131" i="6"/>
  <c r="B1131" i="6"/>
  <c r="A1131" i="6"/>
  <c r="E1130" i="6"/>
  <c r="D1130" i="6"/>
  <c r="B1130" i="6"/>
  <c r="A1130" i="6"/>
  <c r="E1129" i="6"/>
  <c r="D1129" i="6"/>
  <c r="B1129" i="6"/>
  <c r="A1129" i="6"/>
  <c r="E1128" i="6"/>
  <c r="D1128" i="6"/>
  <c r="B1128" i="6"/>
  <c r="A1128" i="6"/>
  <c r="E1127" i="6"/>
  <c r="D1127" i="6"/>
  <c r="B1127" i="6"/>
  <c r="A1127" i="6"/>
  <c r="E1126" i="6"/>
  <c r="D1126" i="6"/>
  <c r="B1126" i="6"/>
  <c r="A1126" i="6"/>
  <c r="E1125" i="6"/>
  <c r="D1125" i="6"/>
  <c r="B1125" i="6"/>
  <c r="A1125" i="6"/>
  <c r="E1124" i="6"/>
  <c r="D1124" i="6"/>
  <c r="B1124" i="6"/>
  <c r="A1124" i="6"/>
  <c r="E1123" i="6"/>
  <c r="D1123" i="6"/>
  <c r="B1123" i="6"/>
  <c r="A1123" i="6"/>
  <c r="E1122" i="6"/>
  <c r="D1122" i="6"/>
  <c r="B1122" i="6"/>
  <c r="A1122" i="6"/>
  <c r="E1121" i="6"/>
  <c r="D1121" i="6"/>
  <c r="B1121" i="6"/>
  <c r="A1121" i="6"/>
  <c r="E1120" i="6"/>
  <c r="D1120" i="6"/>
  <c r="B1120" i="6"/>
  <c r="A1120" i="6"/>
  <c r="E1119" i="6"/>
  <c r="D1119" i="6"/>
  <c r="B1119" i="6"/>
  <c r="A1119" i="6"/>
  <c r="E1118" i="6"/>
  <c r="D1118" i="6"/>
  <c r="B1118" i="6"/>
  <c r="A1118" i="6"/>
  <c r="E1117" i="6"/>
  <c r="D1117" i="6"/>
  <c r="B1117" i="6"/>
  <c r="A1117" i="6"/>
  <c r="E1116" i="6"/>
  <c r="D1116" i="6"/>
  <c r="B1116" i="6"/>
  <c r="A1116" i="6"/>
  <c r="E1115" i="6"/>
  <c r="D1115" i="6"/>
  <c r="B1115" i="6"/>
  <c r="A1115" i="6"/>
  <c r="E1114" i="6"/>
  <c r="D1114" i="6"/>
  <c r="B1114" i="6"/>
  <c r="A1114" i="6"/>
  <c r="E1113" i="6"/>
  <c r="D1113" i="6"/>
  <c r="B1113" i="6"/>
  <c r="A1113" i="6"/>
  <c r="E1112" i="6"/>
  <c r="D1112" i="6"/>
  <c r="B1112" i="6"/>
  <c r="A1112" i="6"/>
  <c r="E1111" i="6"/>
  <c r="D1111" i="6"/>
  <c r="B1111" i="6"/>
  <c r="A1111" i="6"/>
  <c r="E1110" i="6"/>
  <c r="D1110" i="6"/>
  <c r="B1110" i="6"/>
  <c r="A1110" i="6"/>
  <c r="E1109" i="6"/>
  <c r="D1109" i="6"/>
  <c r="B1109" i="6"/>
  <c r="A1109" i="6"/>
  <c r="E1108" i="6"/>
  <c r="D1108" i="6"/>
  <c r="B1108" i="6"/>
  <c r="A1108" i="6"/>
  <c r="E1107" i="6"/>
  <c r="D1107" i="6"/>
  <c r="B1107" i="6"/>
  <c r="A1107" i="6"/>
  <c r="E1106" i="6"/>
  <c r="D1106" i="6"/>
  <c r="B1106" i="6"/>
  <c r="A1106" i="6"/>
  <c r="E1105" i="6"/>
  <c r="D1105" i="6"/>
  <c r="B1105" i="6"/>
  <c r="A1105" i="6"/>
  <c r="E1104" i="6"/>
  <c r="D1104" i="6"/>
  <c r="B1104" i="6"/>
  <c r="A1104" i="6"/>
  <c r="E1103" i="6"/>
  <c r="D1103" i="6"/>
  <c r="B1103" i="6"/>
  <c r="A1103" i="6"/>
  <c r="E1102" i="6"/>
  <c r="D1102" i="6"/>
  <c r="B1102" i="6"/>
  <c r="A1102" i="6"/>
  <c r="E1101" i="6"/>
  <c r="D1101" i="6"/>
  <c r="B1101" i="6"/>
  <c r="A1101" i="6"/>
  <c r="E1100" i="6"/>
  <c r="D1100" i="6"/>
  <c r="B1100" i="6"/>
  <c r="A1100" i="6"/>
  <c r="E1099" i="6"/>
  <c r="D1099" i="6"/>
  <c r="B1099" i="6"/>
  <c r="A1099" i="6"/>
  <c r="E1098" i="6"/>
  <c r="D1098" i="6"/>
  <c r="B1098" i="6"/>
  <c r="A1098" i="6"/>
  <c r="E1097" i="6"/>
  <c r="D1097" i="6"/>
  <c r="B1097" i="6"/>
  <c r="A1097" i="6"/>
  <c r="D1096" i="6"/>
  <c r="B1096" i="6"/>
  <c r="A1096" i="6"/>
  <c r="E1095" i="6"/>
  <c r="D1095" i="6"/>
  <c r="B1095" i="6"/>
  <c r="A1095" i="6"/>
  <c r="D1094" i="6"/>
  <c r="B1094" i="6"/>
  <c r="A1094" i="6"/>
  <c r="E1093" i="6"/>
  <c r="D1093" i="6"/>
  <c r="B1093" i="6"/>
  <c r="A1093" i="6"/>
  <c r="D1092" i="6"/>
  <c r="B1092" i="6"/>
  <c r="A1092" i="6"/>
  <c r="E1091" i="6"/>
  <c r="D1091" i="6"/>
  <c r="B1091" i="6"/>
  <c r="A1091" i="6"/>
  <c r="E1090" i="6"/>
  <c r="D1090" i="6"/>
  <c r="B1090" i="6"/>
  <c r="A1090" i="6"/>
  <c r="E1089" i="6"/>
  <c r="D1089" i="6"/>
  <c r="B1089" i="6"/>
  <c r="A1089" i="6"/>
  <c r="E1088" i="6"/>
  <c r="D1088" i="6"/>
  <c r="B1088" i="6"/>
  <c r="A1088" i="6"/>
  <c r="E1087" i="6"/>
  <c r="D1087" i="6"/>
  <c r="B1087" i="6"/>
  <c r="A1087" i="6"/>
  <c r="E1086" i="6"/>
  <c r="D1086" i="6"/>
  <c r="B1086" i="6"/>
  <c r="A1086" i="6"/>
  <c r="E1085" i="6"/>
  <c r="D1085" i="6"/>
  <c r="B1085" i="6"/>
  <c r="A1085" i="6"/>
  <c r="E1084" i="6"/>
  <c r="D1084" i="6"/>
  <c r="B1084" i="6"/>
  <c r="A1084" i="6"/>
  <c r="E1083" i="6"/>
  <c r="D1083" i="6"/>
  <c r="B1083" i="6"/>
  <c r="A1083" i="6"/>
  <c r="E1082" i="6"/>
  <c r="D1082" i="6"/>
  <c r="B1082" i="6"/>
  <c r="A1082" i="6"/>
  <c r="E1081" i="6"/>
  <c r="D1081" i="6"/>
  <c r="B1081" i="6"/>
  <c r="A1081" i="6"/>
  <c r="E1080" i="6"/>
  <c r="D1080" i="6"/>
  <c r="B1080" i="6"/>
  <c r="A1080" i="6"/>
  <c r="E1079" i="6"/>
  <c r="D1079" i="6"/>
  <c r="B1079" i="6"/>
  <c r="A1079" i="6"/>
  <c r="E1078" i="6"/>
  <c r="D1078" i="6"/>
  <c r="B1078" i="6"/>
  <c r="A1078" i="6"/>
  <c r="E1077" i="6"/>
  <c r="D1077" i="6"/>
  <c r="B1077" i="6"/>
  <c r="A1077" i="6"/>
  <c r="E1076" i="6"/>
  <c r="D1076" i="6"/>
  <c r="B1076" i="6"/>
  <c r="A1076" i="6"/>
  <c r="E1075" i="6"/>
  <c r="D1075" i="6"/>
  <c r="B1075" i="6"/>
  <c r="A1075" i="6"/>
  <c r="E1074" i="6"/>
  <c r="D1074" i="6"/>
  <c r="B1074" i="6"/>
  <c r="A1074" i="6"/>
  <c r="E1073" i="6"/>
  <c r="D1073" i="6"/>
  <c r="B1073" i="6"/>
  <c r="A1073" i="6"/>
  <c r="E1072" i="6"/>
  <c r="D1072" i="6"/>
  <c r="B1072" i="6"/>
  <c r="A1072" i="6"/>
  <c r="E1071" i="6"/>
  <c r="D1071" i="6"/>
  <c r="B1071" i="6"/>
  <c r="A1071" i="6"/>
  <c r="E1070" i="6"/>
  <c r="D1070" i="6"/>
  <c r="B1070" i="6"/>
  <c r="A1070" i="6"/>
  <c r="E1069" i="6"/>
  <c r="D1069" i="6"/>
  <c r="B1069" i="6"/>
  <c r="A1069" i="6"/>
  <c r="E1068" i="6"/>
  <c r="D1068" i="6"/>
  <c r="B1068" i="6"/>
  <c r="A1068" i="6"/>
  <c r="E1067" i="6"/>
  <c r="D1067" i="6"/>
  <c r="B1067" i="6"/>
  <c r="A1067" i="6"/>
  <c r="E1066" i="6"/>
  <c r="D1066" i="6"/>
  <c r="B1066" i="6"/>
  <c r="A1066" i="6"/>
  <c r="E1065" i="6"/>
  <c r="D1065" i="6"/>
  <c r="B1065" i="6"/>
  <c r="A1065" i="6"/>
  <c r="E1064" i="6"/>
  <c r="D1064" i="6"/>
  <c r="B1064" i="6"/>
  <c r="A1064" i="6"/>
  <c r="E1063" i="6"/>
  <c r="D1063" i="6"/>
  <c r="B1063" i="6"/>
  <c r="E1062" i="6"/>
  <c r="D1062" i="6"/>
  <c r="B1062" i="6"/>
  <c r="E1061" i="6"/>
  <c r="D1061" i="6"/>
  <c r="B1061" i="6"/>
  <c r="E1060" i="6"/>
  <c r="D1060" i="6"/>
  <c r="B1060" i="6"/>
  <c r="E1059" i="6"/>
  <c r="D1059" i="6"/>
  <c r="B1059" i="6"/>
  <c r="E1058" i="6"/>
  <c r="D1058" i="6"/>
  <c r="B1058" i="6"/>
  <c r="E1057" i="6"/>
  <c r="D1057" i="6"/>
  <c r="B1057" i="6"/>
  <c r="E1056" i="6"/>
  <c r="D1056" i="6"/>
  <c r="B1056" i="6"/>
  <c r="E1055" i="6"/>
  <c r="D1055" i="6"/>
  <c r="B1055" i="6"/>
  <c r="E1054" i="6"/>
  <c r="D1054" i="6"/>
  <c r="B1054" i="6"/>
  <c r="E1053" i="6"/>
  <c r="D1053" i="6"/>
  <c r="B1053" i="6"/>
  <c r="E1052" i="6"/>
  <c r="D1052" i="6"/>
  <c r="B1052" i="6"/>
  <c r="E1051" i="6"/>
  <c r="D1051" i="6"/>
  <c r="B1051" i="6"/>
  <c r="E1050" i="6"/>
  <c r="D1050" i="6"/>
  <c r="B1050" i="6"/>
  <c r="E1049" i="6"/>
  <c r="D1049" i="6"/>
  <c r="B1049" i="6"/>
  <c r="E1048" i="6"/>
  <c r="D1048" i="6"/>
  <c r="B1048" i="6"/>
  <c r="E1047" i="6"/>
  <c r="D1047" i="6"/>
  <c r="B1047" i="6"/>
  <c r="E1046" i="6"/>
  <c r="D1046" i="6"/>
  <c r="B1046" i="6"/>
  <c r="E1045" i="6"/>
  <c r="D1045" i="6"/>
  <c r="B1045" i="6"/>
  <c r="E1044" i="6"/>
  <c r="D1044" i="6"/>
  <c r="B1044" i="6"/>
  <c r="E1043" i="6"/>
  <c r="D1043" i="6"/>
  <c r="B1043" i="6"/>
  <c r="A1043" i="6"/>
  <c r="E1042" i="6"/>
  <c r="D1042" i="6"/>
  <c r="B1042" i="6"/>
  <c r="A1042" i="6"/>
  <c r="E1041" i="6"/>
  <c r="D1041" i="6"/>
  <c r="B1041" i="6"/>
  <c r="A1041" i="6"/>
  <c r="E1040" i="6"/>
  <c r="D1040" i="6"/>
  <c r="B1040" i="6"/>
  <c r="A1040" i="6"/>
  <c r="E1039" i="6"/>
  <c r="D1039" i="6"/>
  <c r="B1039" i="6"/>
  <c r="A1039" i="6"/>
  <c r="E1038" i="6"/>
  <c r="D1038" i="6"/>
  <c r="B1038" i="6"/>
  <c r="A1038" i="6"/>
  <c r="E1037" i="6"/>
  <c r="D1037" i="6"/>
  <c r="B1037" i="6"/>
  <c r="A1037" i="6"/>
  <c r="E1036" i="6"/>
  <c r="D1036" i="6"/>
  <c r="B1036" i="6"/>
  <c r="A1036" i="6"/>
  <c r="E1035" i="6"/>
  <c r="D1035" i="6"/>
  <c r="B1035" i="6"/>
  <c r="A1035" i="6"/>
  <c r="E1034" i="6"/>
  <c r="D1034" i="6"/>
  <c r="B1034" i="6"/>
  <c r="A1034" i="6"/>
  <c r="E1033" i="6"/>
  <c r="D1033" i="6"/>
  <c r="B1033" i="6"/>
  <c r="A1033" i="6"/>
  <c r="E1032" i="6"/>
  <c r="D1032" i="6"/>
  <c r="B1032" i="6"/>
  <c r="A1032" i="6"/>
  <c r="E1031" i="6"/>
  <c r="D1031" i="6"/>
  <c r="B1031" i="6"/>
  <c r="A1031" i="6"/>
  <c r="E1030" i="6"/>
  <c r="D1030" i="6"/>
  <c r="B1030" i="6"/>
  <c r="A1030" i="6"/>
  <c r="E1029" i="6"/>
  <c r="D1029" i="6"/>
  <c r="B1029" i="6"/>
  <c r="A1029" i="6"/>
  <c r="E1028" i="6"/>
  <c r="D1028" i="6"/>
  <c r="B1028" i="6"/>
  <c r="A1028" i="6"/>
  <c r="E1027" i="6"/>
  <c r="D1027" i="6"/>
  <c r="B1027" i="6"/>
  <c r="A1027" i="6"/>
  <c r="E1026" i="6"/>
  <c r="D1026" i="6"/>
  <c r="B1026" i="6"/>
  <c r="A1026" i="6"/>
  <c r="E1025" i="6"/>
  <c r="D1025" i="6"/>
  <c r="B1025" i="6"/>
  <c r="A1025" i="6"/>
  <c r="E1024" i="6"/>
  <c r="D1024" i="6"/>
  <c r="B1024" i="6"/>
  <c r="A1024" i="6"/>
  <c r="E1023" i="6"/>
  <c r="D1023" i="6"/>
  <c r="B1023" i="6"/>
  <c r="A1023" i="6"/>
  <c r="E1022" i="6"/>
  <c r="D1022" i="6"/>
  <c r="B1022" i="6"/>
  <c r="A1022" i="6"/>
  <c r="E1021" i="6"/>
  <c r="D1021" i="6"/>
  <c r="B1021" i="6"/>
  <c r="A1021" i="6"/>
  <c r="E1020" i="6"/>
  <c r="D1020" i="6"/>
  <c r="B1020" i="6"/>
  <c r="A1020" i="6"/>
  <c r="E1019" i="6"/>
  <c r="D1019" i="6"/>
  <c r="B1019" i="6"/>
  <c r="A1019" i="6"/>
  <c r="E1018" i="6"/>
  <c r="D1018" i="6"/>
  <c r="B1018" i="6"/>
  <c r="A1018" i="6"/>
  <c r="E1017" i="6"/>
  <c r="D1017" i="6"/>
  <c r="B1017" i="6"/>
  <c r="A1017" i="6"/>
  <c r="E1016" i="6"/>
  <c r="D1016" i="6"/>
  <c r="B1016" i="6"/>
  <c r="A1016" i="6"/>
  <c r="E1015" i="6"/>
  <c r="D1015" i="6"/>
  <c r="B1015" i="6"/>
  <c r="A1015" i="6"/>
  <c r="E1014" i="6"/>
  <c r="D1014" i="6"/>
  <c r="B1014" i="6"/>
  <c r="A1014" i="6"/>
  <c r="E1013" i="6"/>
  <c r="D1013" i="6"/>
  <c r="B1013" i="6"/>
  <c r="A1013" i="6"/>
  <c r="E1012" i="6"/>
  <c r="D1012" i="6"/>
  <c r="B1012" i="6"/>
  <c r="A1012" i="6"/>
  <c r="E1011" i="6"/>
  <c r="D1011" i="6"/>
  <c r="B1011" i="6"/>
  <c r="A1011" i="6"/>
  <c r="E1010" i="6"/>
  <c r="D1010" i="6"/>
  <c r="B1010" i="6"/>
  <c r="A1010" i="6"/>
  <c r="E1009" i="6"/>
  <c r="D1009" i="6"/>
  <c r="B1009" i="6"/>
  <c r="A1009" i="6"/>
  <c r="E1008" i="6"/>
  <c r="D1008" i="6"/>
  <c r="B1008" i="6"/>
  <c r="A1008" i="6"/>
  <c r="E1007" i="6"/>
  <c r="D1007" i="6"/>
  <c r="B1007" i="6"/>
  <c r="A1007" i="6"/>
  <c r="E1006" i="6"/>
  <c r="D1006" i="6"/>
  <c r="B1006" i="6"/>
  <c r="A1006" i="6"/>
  <c r="E1005" i="6"/>
  <c r="D1005" i="6"/>
  <c r="B1005" i="6"/>
  <c r="A1005" i="6"/>
  <c r="E1004" i="6"/>
  <c r="D1004" i="6"/>
  <c r="B1004" i="6"/>
  <c r="A1004" i="6"/>
  <c r="E1003" i="6"/>
  <c r="D1003" i="6"/>
  <c r="B1003" i="6"/>
  <c r="A1003" i="6"/>
  <c r="E1002" i="6"/>
  <c r="D1002" i="6"/>
  <c r="B1002" i="6"/>
  <c r="A1002" i="6"/>
  <c r="E1001" i="6"/>
  <c r="D1001" i="6"/>
  <c r="B1001" i="6"/>
  <c r="A1001" i="6"/>
  <c r="E1000" i="6"/>
  <c r="D1000" i="6"/>
  <c r="B1000" i="6"/>
  <c r="A1000" i="6"/>
  <c r="D999" i="6"/>
  <c r="B999" i="6"/>
  <c r="A999" i="6"/>
  <c r="D998" i="6"/>
  <c r="B998" i="6"/>
  <c r="A998" i="6"/>
  <c r="D997" i="6"/>
  <c r="B997" i="6"/>
  <c r="A997" i="6"/>
  <c r="D996" i="6"/>
  <c r="B996" i="6"/>
  <c r="A996" i="6"/>
  <c r="D995" i="6"/>
  <c r="B995" i="6"/>
  <c r="A995" i="6"/>
  <c r="D994" i="6"/>
  <c r="B994" i="6"/>
  <c r="A994" i="6"/>
  <c r="E993" i="6"/>
  <c r="D993" i="6"/>
  <c r="B993" i="6"/>
  <c r="A993" i="6"/>
  <c r="E992" i="6"/>
  <c r="D992" i="6"/>
  <c r="B992" i="6"/>
  <c r="A992" i="6"/>
  <c r="E991" i="6"/>
  <c r="D991" i="6"/>
  <c r="B991" i="6"/>
  <c r="A991" i="6"/>
  <c r="E990" i="6"/>
  <c r="D990" i="6"/>
  <c r="B990" i="6"/>
  <c r="A990" i="6"/>
  <c r="E989" i="6"/>
  <c r="D989" i="6"/>
  <c r="B989" i="6"/>
  <c r="A989" i="6"/>
  <c r="E988" i="6"/>
  <c r="D988" i="6"/>
  <c r="B988" i="6"/>
  <c r="A988" i="6"/>
  <c r="E987" i="6"/>
  <c r="D987" i="6"/>
  <c r="B987" i="6"/>
  <c r="A987" i="6"/>
  <c r="E986" i="6"/>
  <c r="D986" i="6"/>
  <c r="B986" i="6"/>
  <c r="A986" i="6"/>
  <c r="E985" i="6"/>
  <c r="D985" i="6"/>
  <c r="B985" i="6"/>
  <c r="A985" i="6"/>
  <c r="D984" i="6"/>
  <c r="B984" i="6"/>
  <c r="A984" i="6"/>
  <c r="E983" i="6"/>
  <c r="D983" i="6"/>
  <c r="B983" i="6"/>
  <c r="A983" i="6"/>
  <c r="E982" i="6"/>
  <c r="D982" i="6"/>
  <c r="B982" i="6"/>
  <c r="A982" i="6"/>
  <c r="E981" i="6"/>
  <c r="D981" i="6"/>
  <c r="B981" i="6"/>
  <c r="A981" i="6"/>
  <c r="E980" i="6"/>
  <c r="D980" i="6"/>
  <c r="B980" i="6"/>
  <c r="A980" i="6"/>
  <c r="E979" i="6"/>
  <c r="D979" i="6"/>
  <c r="B979" i="6"/>
  <c r="A979" i="6"/>
  <c r="E978" i="6"/>
  <c r="D978" i="6"/>
  <c r="B978" i="6"/>
  <c r="A978" i="6"/>
  <c r="E977" i="6"/>
  <c r="D977" i="6"/>
  <c r="B977" i="6"/>
  <c r="A977" i="6"/>
  <c r="E976" i="6"/>
  <c r="D976" i="6"/>
  <c r="B976" i="6"/>
  <c r="A976" i="6"/>
  <c r="E975" i="6"/>
  <c r="D975" i="6"/>
  <c r="B975" i="6"/>
  <c r="A975" i="6"/>
  <c r="E974" i="6"/>
  <c r="D974" i="6"/>
  <c r="B974" i="6"/>
  <c r="A974" i="6"/>
  <c r="E973" i="6"/>
  <c r="D973" i="6"/>
  <c r="B973" i="6"/>
  <c r="A973" i="6"/>
  <c r="E972" i="6"/>
  <c r="D972" i="6"/>
  <c r="B972" i="6"/>
  <c r="A972" i="6"/>
  <c r="E971" i="6"/>
  <c r="D971" i="6"/>
  <c r="B971" i="6"/>
  <c r="A971" i="6"/>
  <c r="E970" i="6"/>
  <c r="D970" i="6"/>
  <c r="B970" i="6"/>
  <c r="A970" i="6"/>
  <c r="E969" i="6"/>
  <c r="D969" i="6"/>
  <c r="B969" i="6"/>
  <c r="A969" i="6"/>
  <c r="E968" i="6"/>
  <c r="D968" i="6"/>
  <c r="B968" i="6"/>
  <c r="A968" i="6"/>
  <c r="E967" i="6"/>
  <c r="D967" i="6"/>
  <c r="B967" i="6"/>
  <c r="A967" i="6"/>
  <c r="E966" i="6"/>
  <c r="D966" i="6"/>
  <c r="B966" i="6"/>
  <c r="A966" i="6"/>
  <c r="E965" i="6"/>
  <c r="D965" i="6"/>
  <c r="B965" i="6"/>
  <c r="A965" i="6"/>
  <c r="E964" i="6"/>
  <c r="D964" i="6"/>
  <c r="B964" i="6"/>
  <c r="A964" i="6"/>
  <c r="E963" i="6"/>
  <c r="D963" i="6"/>
  <c r="B963" i="6"/>
  <c r="A963" i="6"/>
  <c r="E962" i="6"/>
  <c r="D962" i="6"/>
  <c r="B962" i="6"/>
  <c r="A962" i="6"/>
  <c r="E961" i="6"/>
  <c r="D961" i="6"/>
  <c r="B961" i="6"/>
  <c r="A961" i="6"/>
  <c r="E960" i="6"/>
  <c r="D960" i="6"/>
  <c r="B960" i="6"/>
  <c r="A960" i="6"/>
  <c r="E959" i="6"/>
  <c r="D959" i="6"/>
  <c r="B959" i="6"/>
  <c r="A959" i="6"/>
  <c r="E958" i="6"/>
  <c r="D958" i="6"/>
  <c r="B958" i="6"/>
  <c r="A958" i="6"/>
  <c r="E957" i="6"/>
  <c r="D957" i="6"/>
  <c r="B957" i="6"/>
  <c r="A957" i="6"/>
  <c r="E956" i="6"/>
  <c r="D956" i="6"/>
  <c r="B956" i="6"/>
  <c r="A956" i="6"/>
  <c r="E955" i="6"/>
  <c r="D955" i="6"/>
  <c r="B955" i="6"/>
  <c r="A955" i="6"/>
  <c r="E954" i="6"/>
  <c r="D954" i="6"/>
  <c r="B954" i="6"/>
  <c r="A954" i="6"/>
  <c r="E953" i="6"/>
  <c r="D953" i="6"/>
  <c r="B953" i="6"/>
  <c r="A953" i="6"/>
  <c r="E952" i="6"/>
  <c r="D952" i="6"/>
  <c r="B952" i="6"/>
  <c r="A952" i="6"/>
  <c r="E951" i="6"/>
  <c r="D951" i="6"/>
  <c r="B951" i="6"/>
  <c r="A951" i="6"/>
  <c r="E950" i="6"/>
  <c r="D950" i="6"/>
  <c r="B950" i="6"/>
  <c r="A950" i="6"/>
  <c r="E949" i="6"/>
  <c r="D949" i="6"/>
  <c r="B949" i="6"/>
  <c r="A949" i="6"/>
  <c r="E948" i="6"/>
  <c r="D948" i="6"/>
  <c r="B948" i="6"/>
  <c r="A948" i="6"/>
  <c r="E947" i="6"/>
  <c r="D947" i="6"/>
  <c r="B947" i="6"/>
  <c r="A947" i="6"/>
  <c r="E946" i="6"/>
  <c r="D946" i="6"/>
  <c r="B946" i="6"/>
  <c r="A946" i="6"/>
  <c r="E945" i="6"/>
  <c r="D945" i="6"/>
  <c r="B945" i="6"/>
  <c r="A945" i="6"/>
  <c r="E944" i="6"/>
  <c r="D944" i="6"/>
  <c r="B944" i="6"/>
  <c r="A944" i="6"/>
  <c r="E943" i="6"/>
  <c r="D943" i="6"/>
  <c r="B943" i="6"/>
  <c r="A943" i="6"/>
  <c r="E942" i="6"/>
  <c r="D942" i="6"/>
  <c r="B942" i="6"/>
  <c r="A942" i="6"/>
  <c r="E941" i="6"/>
  <c r="D941" i="6"/>
  <c r="B941" i="6"/>
  <c r="A941" i="6"/>
  <c r="E940" i="6"/>
  <c r="D940" i="6"/>
  <c r="B940" i="6"/>
  <c r="A940" i="6"/>
  <c r="E939" i="6"/>
  <c r="D939" i="6"/>
  <c r="B939" i="6"/>
  <c r="A939" i="6"/>
  <c r="E938" i="6"/>
  <c r="D938" i="6"/>
  <c r="B938" i="6"/>
  <c r="A938" i="6"/>
  <c r="E937" i="6"/>
  <c r="D937" i="6"/>
  <c r="B937" i="6"/>
  <c r="A937" i="6"/>
  <c r="E936" i="6"/>
  <c r="D936" i="6"/>
  <c r="B936" i="6"/>
  <c r="A936" i="6"/>
  <c r="E935" i="6"/>
  <c r="D935" i="6"/>
  <c r="B935" i="6"/>
  <c r="A935" i="6"/>
  <c r="E934" i="6"/>
  <c r="D934" i="6"/>
  <c r="B934" i="6"/>
  <c r="A934" i="6"/>
  <c r="E933" i="6"/>
  <c r="D933" i="6"/>
  <c r="B933" i="6"/>
  <c r="A933" i="6"/>
  <c r="E932" i="6"/>
  <c r="D932" i="6"/>
  <c r="B932" i="6"/>
  <c r="A932" i="6"/>
  <c r="E931" i="6"/>
  <c r="D931" i="6"/>
  <c r="B931" i="6"/>
  <c r="A931" i="6"/>
  <c r="E930" i="6"/>
  <c r="D930" i="6"/>
  <c r="B930" i="6"/>
  <c r="A930" i="6"/>
  <c r="E929" i="6"/>
  <c r="D929" i="6"/>
  <c r="B929" i="6"/>
  <c r="A929" i="6"/>
  <c r="E928" i="6"/>
  <c r="D928" i="6"/>
  <c r="B928" i="6"/>
  <c r="A928" i="6"/>
  <c r="E927" i="6"/>
  <c r="D927" i="6"/>
  <c r="B927" i="6"/>
  <c r="A927" i="6"/>
  <c r="E926" i="6"/>
  <c r="D926" i="6"/>
  <c r="B926" i="6"/>
  <c r="A926" i="6"/>
  <c r="E925" i="6"/>
  <c r="D925" i="6"/>
  <c r="B925" i="6"/>
  <c r="A925" i="6"/>
  <c r="E924" i="6"/>
  <c r="D924" i="6"/>
  <c r="B924" i="6"/>
  <c r="A924" i="6"/>
  <c r="E923" i="6"/>
  <c r="D923" i="6"/>
  <c r="B923" i="6"/>
  <c r="A923" i="6"/>
  <c r="E922" i="6"/>
  <c r="D922" i="6"/>
  <c r="B922" i="6"/>
  <c r="A922" i="6"/>
  <c r="E921" i="6"/>
  <c r="D921" i="6"/>
  <c r="B921" i="6"/>
  <c r="A921" i="6"/>
  <c r="E920" i="6"/>
  <c r="D920" i="6"/>
  <c r="B920" i="6"/>
  <c r="A920" i="6"/>
  <c r="E919" i="6"/>
  <c r="D919" i="6"/>
  <c r="B919" i="6"/>
  <c r="A919" i="6"/>
  <c r="E918" i="6"/>
  <c r="D918" i="6"/>
  <c r="B918" i="6"/>
  <c r="A918" i="6"/>
  <c r="E917" i="6"/>
  <c r="D917" i="6"/>
  <c r="B917" i="6"/>
  <c r="A917" i="6"/>
  <c r="E916" i="6"/>
  <c r="D916" i="6"/>
  <c r="B916" i="6"/>
  <c r="A916" i="6"/>
  <c r="E915" i="6"/>
  <c r="D915" i="6"/>
  <c r="B915" i="6"/>
  <c r="A915" i="6"/>
  <c r="E914" i="6"/>
  <c r="D914" i="6"/>
  <c r="B914" i="6"/>
  <c r="A914" i="6"/>
  <c r="E913" i="6"/>
  <c r="D913" i="6"/>
  <c r="B913" i="6"/>
  <c r="A913" i="6"/>
  <c r="E912" i="6"/>
  <c r="D912" i="6"/>
  <c r="B912" i="6"/>
  <c r="A912" i="6"/>
  <c r="E911" i="6"/>
  <c r="D911" i="6"/>
  <c r="B911" i="6"/>
  <c r="A911" i="6"/>
  <c r="E910" i="6"/>
  <c r="D910" i="6"/>
  <c r="B910" i="6"/>
  <c r="A910" i="6"/>
  <c r="E909" i="6"/>
  <c r="D909" i="6"/>
  <c r="B909" i="6"/>
  <c r="A909" i="6"/>
  <c r="E908" i="6"/>
  <c r="D908" i="6"/>
  <c r="B908" i="6"/>
  <c r="A908" i="6"/>
  <c r="E907" i="6"/>
  <c r="D907" i="6"/>
  <c r="B907" i="6"/>
  <c r="A907" i="6"/>
  <c r="E906" i="6"/>
  <c r="D906" i="6"/>
  <c r="B906" i="6"/>
  <c r="A906" i="6"/>
  <c r="E905" i="6"/>
  <c r="D905" i="6"/>
  <c r="B905" i="6"/>
  <c r="A905" i="6"/>
  <c r="E904" i="6"/>
  <c r="D904" i="6"/>
  <c r="B904" i="6"/>
  <c r="A904" i="6"/>
  <c r="E903" i="6"/>
  <c r="D903" i="6"/>
  <c r="B903" i="6"/>
  <c r="A903" i="6"/>
  <c r="E902" i="6"/>
  <c r="D902" i="6"/>
  <c r="B902" i="6"/>
  <c r="A902" i="6"/>
  <c r="E901" i="6"/>
  <c r="D901" i="6"/>
  <c r="B901" i="6"/>
  <c r="A901" i="6"/>
  <c r="E900" i="6"/>
  <c r="D900" i="6"/>
  <c r="B900" i="6"/>
  <c r="A900" i="6"/>
  <c r="E899" i="6"/>
  <c r="D899" i="6"/>
  <c r="B899" i="6"/>
  <c r="A899" i="6"/>
  <c r="E898" i="6"/>
  <c r="D898" i="6"/>
  <c r="B898" i="6"/>
  <c r="A898" i="6"/>
  <c r="E897" i="6"/>
  <c r="D897" i="6"/>
  <c r="B897" i="6"/>
  <c r="A897" i="6"/>
  <c r="E896" i="6"/>
  <c r="D896" i="6"/>
  <c r="B896" i="6"/>
  <c r="A896" i="6"/>
  <c r="E895" i="6"/>
  <c r="D895" i="6"/>
  <c r="B895" i="6"/>
  <c r="A895" i="6"/>
  <c r="E894" i="6"/>
  <c r="D894" i="6"/>
  <c r="B894" i="6"/>
  <c r="A894" i="6"/>
  <c r="E893" i="6"/>
  <c r="D893" i="6"/>
  <c r="B893" i="6"/>
  <c r="A893" i="6"/>
  <c r="E892" i="6"/>
  <c r="D892" i="6"/>
  <c r="B892" i="6"/>
  <c r="A892" i="6"/>
  <c r="E891" i="6"/>
  <c r="D891" i="6"/>
  <c r="B891" i="6"/>
  <c r="A891" i="6"/>
  <c r="E890" i="6"/>
  <c r="D890" i="6"/>
  <c r="B890" i="6"/>
  <c r="A890" i="6"/>
  <c r="E889" i="6"/>
  <c r="D889" i="6"/>
  <c r="B889" i="6"/>
  <c r="A889" i="6"/>
  <c r="E888" i="6"/>
  <c r="D888" i="6"/>
  <c r="B888" i="6"/>
  <c r="A888" i="6"/>
  <c r="E887" i="6"/>
  <c r="D887" i="6"/>
  <c r="B887" i="6"/>
  <c r="A887" i="6"/>
  <c r="E886" i="6"/>
  <c r="D886" i="6"/>
  <c r="B886" i="6"/>
  <c r="A886" i="6"/>
  <c r="E885" i="6"/>
  <c r="D885" i="6"/>
  <c r="B885" i="6"/>
  <c r="A885" i="6"/>
  <c r="E884" i="6"/>
  <c r="D884" i="6"/>
  <c r="B884" i="6"/>
  <c r="A884" i="6"/>
  <c r="E883" i="6"/>
  <c r="D883" i="6"/>
  <c r="B883" i="6"/>
  <c r="A883" i="6"/>
  <c r="E882" i="6"/>
  <c r="D882" i="6"/>
  <c r="B882" i="6"/>
  <c r="A882" i="6"/>
  <c r="E881" i="6"/>
  <c r="D881" i="6"/>
  <c r="B881" i="6"/>
  <c r="A881" i="6"/>
  <c r="E880" i="6"/>
  <c r="D880" i="6"/>
  <c r="B880" i="6"/>
  <c r="A880" i="6"/>
  <c r="E879" i="6"/>
  <c r="D879" i="6"/>
  <c r="B879" i="6"/>
  <c r="A879" i="6"/>
  <c r="E878" i="6"/>
  <c r="D878" i="6"/>
  <c r="B878" i="6"/>
  <c r="A878" i="6"/>
  <c r="E877" i="6"/>
  <c r="D877" i="6"/>
  <c r="B877" i="6"/>
  <c r="A877" i="6"/>
  <c r="E876" i="6"/>
  <c r="D876" i="6"/>
  <c r="B876" i="6"/>
  <c r="A876" i="6"/>
  <c r="E875" i="6"/>
  <c r="D875" i="6"/>
  <c r="B875" i="6"/>
  <c r="A875" i="6"/>
  <c r="E874" i="6"/>
  <c r="D874" i="6"/>
  <c r="B874" i="6"/>
  <c r="A874" i="6"/>
  <c r="E873" i="6"/>
  <c r="D873" i="6"/>
  <c r="B873" i="6"/>
  <c r="A873" i="6"/>
  <c r="E872" i="6"/>
  <c r="D872" i="6"/>
  <c r="B872" i="6"/>
  <c r="A872" i="6"/>
  <c r="E871" i="6"/>
  <c r="D871" i="6"/>
  <c r="B871" i="6"/>
  <c r="A871" i="6"/>
  <c r="E870" i="6"/>
  <c r="D870" i="6"/>
  <c r="B870" i="6"/>
  <c r="A870" i="6"/>
  <c r="E869" i="6"/>
  <c r="D869" i="6"/>
  <c r="B869" i="6"/>
  <c r="A869" i="6"/>
  <c r="E868" i="6"/>
  <c r="D868" i="6"/>
  <c r="B868" i="6"/>
  <c r="A868" i="6"/>
  <c r="E867" i="6"/>
  <c r="D867" i="6"/>
  <c r="B867" i="6"/>
  <c r="A867" i="6"/>
  <c r="E866" i="6"/>
  <c r="D866" i="6"/>
  <c r="B866" i="6"/>
  <c r="A866" i="6"/>
  <c r="D865" i="6"/>
  <c r="B865" i="6"/>
  <c r="A865" i="6"/>
  <c r="E864" i="6"/>
  <c r="D864" i="6"/>
  <c r="B864" i="6"/>
  <c r="A864" i="6"/>
  <c r="E863" i="6"/>
  <c r="D863" i="6"/>
  <c r="B863" i="6"/>
  <c r="E862" i="6"/>
  <c r="D862" i="6"/>
  <c r="B862" i="6"/>
  <c r="E861" i="6"/>
  <c r="D861" i="6"/>
  <c r="B861" i="6"/>
  <c r="E860" i="6"/>
  <c r="D860" i="6"/>
  <c r="B860" i="6"/>
  <c r="E859" i="6"/>
  <c r="D859" i="6"/>
  <c r="B859" i="6"/>
  <c r="A859" i="6"/>
  <c r="E858" i="6"/>
  <c r="D858" i="6"/>
  <c r="B858" i="6"/>
  <c r="A858" i="6"/>
  <c r="E857" i="6"/>
  <c r="D857" i="6"/>
  <c r="B857" i="6"/>
  <c r="A857" i="6"/>
  <c r="E856" i="6"/>
  <c r="D856" i="6"/>
  <c r="B856" i="6"/>
  <c r="A856" i="6"/>
  <c r="E855" i="6"/>
  <c r="D855" i="6"/>
  <c r="B855" i="6"/>
  <c r="A855" i="6"/>
  <c r="E854" i="6"/>
  <c r="D854" i="6"/>
  <c r="B854" i="6"/>
  <c r="A854" i="6"/>
  <c r="E853" i="6"/>
  <c r="D853" i="6"/>
  <c r="B853" i="6"/>
  <c r="A853" i="6"/>
  <c r="E852" i="6"/>
  <c r="D852" i="6"/>
  <c r="B852" i="6"/>
  <c r="A852" i="6"/>
  <c r="E851" i="6"/>
  <c r="D851" i="6"/>
  <c r="B851" i="6"/>
  <c r="A851" i="6"/>
  <c r="E850" i="6"/>
  <c r="D850" i="6"/>
  <c r="B850" i="6"/>
  <c r="A850" i="6"/>
  <c r="D849" i="6"/>
  <c r="B849" i="6"/>
  <c r="A849" i="6"/>
  <c r="E848" i="6"/>
  <c r="D848" i="6"/>
  <c r="B848" i="6"/>
  <c r="A848" i="6"/>
  <c r="E847" i="6"/>
  <c r="D847" i="6"/>
  <c r="B847" i="6"/>
  <c r="A847" i="6"/>
  <c r="E846" i="6"/>
  <c r="D846" i="6"/>
  <c r="B846" i="6"/>
  <c r="A846" i="6"/>
  <c r="E845" i="6"/>
  <c r="D845" i="6"/>
  <c r="B845" i="6"/>
  <c r="A845" i="6"/>
  <c r="D844" i="6"/>
  <c r="B844" i="6"/>
  <c r="A844" i="6"/>
  <c r="E843" i="6"/>
  <c r="D843" i="6"/>
  <c r="B843" i="6"/>
  <c r="A843" i="6"/>
  <c r="E842" i="6"/>
  <c r="D842" i="6"/>
  <c r="B842" i="6"/>
  <c r="A842" i="6"/>
  <c r="D841" i="6"/>
  <c r="B841" i="6"/>
  <c r="A841" i="6"/>
  <c r="E840" i="6"/>
  <c r="D840" i="6"/>
  <c r="B840" i="6"/>
  <c r="A840" i="6"/>
  <c r="D839" i="6"/>
  <c r="B839" i="6"/>
  <c r="A839" i="6"/>
  <c r="E838" i="6"/>
  <c r="D838" i="6"/>
  <c r="B838" i="6"/>
  <c r="A838" i="6"/>
  <c r="E837" i="6"/>
  <c r="D837" i="6"/>
  <c r="B837" i="6"/>
  <c r="A837" i="6"/>
  <c r="E836" i="6"/>
  <c r="D836" i="6"/>
  <c r="B836" i="6"/>
  <c r="A836" i="6"/>
  <c r="E835" i="6"/>
  <c r="D835" i="6"/>
  <c r="B835" i="6"/>
  <c r="A835" i="6"/>
  <c r="E834" i="6"/>
  <c r="D834" i="6"/>
  <c r="B834" i="6"/>
  <c r="A834" i="6"/>
  <c r="E833" i="6"/>
  <c r="D833" i="6"/>
  <c r="B833" i="6"/>
  <c r="A833" i="6"/>
  <c r="E832" i="6"/>
  <c r="D832" i="6"/>
  <c r="B832" i="6"/>
  <c r="A832" i="6"/>
  <c r="E831" i="6"/>
  <c r="D831" i="6"/>
  <c r="B831" i="6"/>
  <c r="A831" i="6"/>
  <c r="E830" i="6"/>
  <c r="D830" i="6"/>
  <c r="B830" i="6"/>
  <c r="A830" i="6"/>
  <c r="E829" i="6"/>
  <c r="D829" i="6"/>
  <c r="B829" i="6"/>
  <c r="A829" i="6"/>
  <c r="E828" i="6"/>
  <c r="D828" i="6"/>
  <c r="B828" i="6"/>
  <c r="A828" i="6"/>
  <c r="E827" i="6"/>
  <c r="D827" i="6"/>
  <c r="B827" i="6"/>
  <c r="A827" i="6"/>
  <c r="E826" i="6"/>
  <c r="D826" i="6"/>
  <c r="B826" i="6"/>
  <c r="A826" i="6"/>
  <c r="E825" i="6"/>
  <c r="D825" i="6"/>
  <c r="B825" i="6"/>
  <c r="A825" i="6"/>
  <c r="E824" i="6"/>
  <c r="D824" i="6"/>
  <c r="B824" i="6"/>
  <c r="A824" i="6"/>
  <c r="E823" i="6"/>
  <c r="D823" i="6"/>
  <c r="B823" i="6"/>
  <c r="A823" i="6"/>
  <c r="E822" i="6"/>
  <c r="D822" i="6"/>
  <c r="B822" i="6"/>
  <c r="A822" i="6"/>
  <c r="E821" i="6"/>
  <c r="D821" i="6"/>
  <c r="B821" i="6"/>
  <c r="A821" i="6"/>
  <c r="E820" i="6"/>
  <c r="D820" i="6"/>
  <c r="B820" i="6"/>
  <c r="A820" i="6"/>
  <c r="E819" i="6"/>
  <c r="D819" i="6"/>
  <c r="B819" i="6"/>
  <c r="A819" i="6"/>
  <c r="E818" i="6"/>
  <c r="D818" i="6"/>
  <c r="B818" i="6"/>
  <c r="A818" i="6"/>
  <c r="E817" i="6"/>
  <c r="D817" i="6"/>
  <c r="B817" i="6"/>
  <c r="A817" i="6"/>
  <c r="E816" i="6"/>
  <c r="D816" i="6"/>
  <c r="B816" i="6"/>
  <c r="A816" i="6"/>
  <c r="E815" i="6"/>
  <c r="D815" i="6"/>
  <c r="B815" i="6"/>
  <c r="A815" i="6"/>
  <c r="E814" i="6"/>
  <c r="D814" i="6"/>
  <c r="B814" i="6"/>
  <c r="A814" i="6"/>
  <c r="E813" i="6"/>
  <c r="D813" i="6"/>
  <c r="B813" i="6"/>
  <c r="A813" i="6"/>
  <c r="E812" i="6"/>
  <c r="D812" i="6"/>
  <c r="B812" i="6"/>
  <c r="A812" i="6"/>
  <c r="E811" i="6"/>
  <c r="D811" i="6"/>
  <c r="B811" i="6"/>
  <c r="A811" i="6"/>
  <c r="E810" i="6"/>
  <c r="D810" i="6"/>
  <c r="B810" i="6"/>
  <c r="A810" i="6"/>
  <c r="E809" i="6"/>
  <c r="D809" i="6"/>
  <c r="B809" i="6"/>
  <c r="A809" i="6"/>
  <c r="E808" i="6"/>
  <c r="D808" i="6"/>
  <c r="B808" i="6"/>
  <c r="A808" i="6"/>
  <c r="E807" i="6"/>
  <c r="D807" i="6"/>
  <c r="B807" i="6"/>
  <c r="A807" i="6"/>
  <c r="E806" i="6"/>
  <c r="D806" i="6"/>
  <c r="B806" i="6"/>
  <c r="A806" i="6"/>
  <c r="E805" i="6"/>
  <c r="D805" i="6"/>
  <c r="B805" i="6"/>
  <c r="A805" i="6"/>
  <c r="E804" i="6"/>
  <c r="D804" i="6"/>
  <c r="B804" i="6"/>
  <c r="A804" i="6"/>
  <c r="E803" i="6"/>
  <c r="D803" i="6"/>
  <c r="B803" i="6"/>
  <c r="A803" i="6"/>
  <c r="E802" i="6"/>
  <c r="D802" i="6"/>
  <c r="B802" i="6"/>
  <c r="A802" i="6"/>
  <c r="E801" i="6"/>
  <c r="D801" i="6"/>
  <c r="B801" i="6"/>
  <c r="A801" i="6"/>
  <c r="E800" i="6"/>
  <c r="D800" i="6"/>
  <c r="B800" i="6"/>
  <c r="A800" i="6"/>
  <c r="E799" i="6"/>
  <c r="D799" i="6"/>
  <c r="B799" i="6"/>
  <c r="A799" i="6"/>
  <c r="E798" i="6"/>
  <c r="D798" i="6"/>
  <c r="B798" i="6"/>
  <c r="A798" i="6"/>
  <c r="E797" i="6"/>
  <c r="D797" i="6"/>
  <c r="B797" i="6"/>
  <c r="A797" i="6"/>
  <c r="E796" i="6"/>
  <c r="D796" i="6"/>
  <c r="B796" i="6"/>
  <c r="A796" i="6"/>
  <c r="E795" i="6"/>
  <c r="D795" i="6"/>
  <c r="B795" i="6"/>
  <c r="A795" i="6"/>
  <c r="E794" i="6"/>
  <c r="D794" i="6"/>
  <c r="B794" i="6"/>
  <c r="A794" i="6"/>
  <c r="E793" i="6"/>
  <c r="D793" i="6"/>
  <c r="B793" i="6"/>
  <c r="A793" i="6"/>
  <c r="E792" i="6"/>
  <c r="D792" i="6"/>
  <c r="B792" i="6"/>
  <c r="A792" i="6"/>
  <c r="E791" i="6"/>
  <c r="D791" i="6"/>
  <c r="B791" i="6"/>
  <c r="A791" i="6"/>
  <c r="E790" i="6"/>
  <c r="D790" i="6"/>
  <c r="B790" i="6"/>
  <c r="A790" i="6"/>
  <c r="E789" i="6"/>
  <c r="D789" i="6"/>
  <c r="B789" i="6"/>
  <c r="A789" i="6"/>
  <c r="E788" i="6"/>
  <c r="D788" i="6"/>
  <c r="B788" i="6"/>
  <c r="A788" i="6"/>
  <c r="E787" i="6"/>
  <c r="D787" i="6"/>
  <c r="B787" i="6"/>
  <c r="A787" i="6"/>
  <c r="E786" i="6"/>
  <c r="D786" i="6"/>
  <c r="B786" i="6"/>
  <c r="A786" i="6"/>
  <c r="E785" i="6"/>
  <c r="D785" i="6"/>
  <c r="B785" i="6"/>
  <c r="A785" i="6"/>
  <c r="E784" i="6"/>
  <c r="D784" i="6"/>
  <c r="B784" i="6"/>
  <c r="A784" i="6"/>
  <c r="E783" i="6"/>
  <c r="D783" i="6"/>
  <c r="B783" i="6"/>
  <c r="A783" i="6"/>
  <c r="E782" i="6"/>
  <c r="D782" i="6"/>
  <c r="B782" i="6"/>
  <c r="A782" i="6"/>
  <c r="E781" i="6"/>
  <c r="D781" i="6"/>
  <c r="B781" i="6"/>
  <c r="A781" i="6"/>
  <c r="E780" i="6"/>
  <c r="D780" i="6"/>
  <c r="B780" i="6"/>
  <c r="A780" i="6"/>
  <c r="E779" i="6"/>
  <c r="D779" i="6"/>
  <c r="B779" i="6"/>
  <c r="A779" i="6"/>
  <c r="E778" i="6"/>
  <c r="D778" i="6"/>
  <c r="B778" i="6"/>
  <c r="A778" i="6"/>
  <c r="E777" i="6"/>
  <c r="D777" i="6"/>
  <c r="B777" i="6"/>
  <c r="A777" i="6"/>
  <c r="E776" i="6"/>
  <c r="D776" i="6"/>
  <c r="B776" i="6"/>
  <c r="A776" i="6"/>
  <c r="E775" i="6"/>
  <c r="D775" i="6"/>
  <c r="B775" i="6"/>
  <c r="A775" i="6"/>
  <c r="E774" i="6"/>
  <c r="D774" i="6"/>
  <c r="B774" i="6"/>
  <c r="A774" i="6"/>
  <c r="E773" i="6"/>
  <c r="D773" i="6"/>
  <c r="B773" i="6"/>
  <c r="A773" i="6"/>
  <c r="E772" i="6"/>
  <c r="D772" i="6"/>
  <c r="B772" i="6"/>
  <c r="A772" i="6"/>
  <c r="E771" i="6"/>
  <c r="D771" i="6"/>
  <c r="B771" i="6"/>
  <c r="A771" i="6"/>
  <c r="E770" i="6"/>
  <c r="D770" i="6"/>
  <c r="B770" i="6"/>
  <c r="A770" i="6"/>
  <c r="E769" i="6"/>
  <c r="D769" i="6"/>
  <c r="B769" i="6"/>
  <c r="A769" i="6"/>
  <c r="E768" i="6"/>
  <c r="D768" i="6"/>
  <c r="B768" i="6"/>
  <c r="A768" i="6"/>
  <c r="E767" i="6"/>
  <c r="D767" i="6"/>
  <c r="B767" i="6"/>
  <c r="A767" i="6"/>
  <c r="E766" i="6"/>
  <c r="D766" i="6"/>
  <c r="B766" i="6"/>
  <c r="A766" i="6"/>
  <c r="E765" i="6"/>
  <c r="D765" i="6"/>
  <c r="B765" i="6"/>
  <c r="A765" i="6"/>
  <c r="E764" i="6"/>
  <c r="D764" i="6"/>
  <c r="B764" i="6"/>
  <c r="A764" i="6"/>
  <c r="E763" i="6"/>
  <c r="D763" i="6"/>
  <c r="B763" i="6"/>
  <c r="A763" i="6"/>
  <c r="E762" i="6"/>
  <c r="D762" i="6"/>
  <c r="B762" i="6"/>
  <c r="A762" i="6"/>
  <c r="E761" i="6"/>
  <c r="D761" i="6"/>
  <c r="B761" i="6"/>
  <c r="A761" i="6"/>
  <c r="E760" i="6"/>
  <c r="D760" i="6"/>
  <c r="B760" i="6"/>
  <c r="A760" i="6"/>
  <c r="E759" i="6"/>
  <c r="D759" i="6"/>
  <c r="B759" i="6"/>
  <c r="A759" i="6"/>
  <c r="E758" i="6"/>
  <c r="D758" i="6"/>
  <c r="B758" i="6"/>
  <c r="A758" i="6"/>
  <c r="E757" i="6"/>
  <c r="D757" i="6"/>
  <c r="B757" i="6"/>
  <c r="A757" i="6"/>
  <c r="E756" i="6"/>
  <c r="D756" i="6"/>
  <c r="B756" i="6"/>
  <c r="A756" i="6"/>
  <c r="E755" i="6"/>
  <c r="D755" i="6"/>
  <c r="B755" i="6"/>
  <c r="A755" i="6"/>
  <c r="E754" i="6"/>
  <c r="D754" i="6"/>
  <c r="B754" i="6"/>
  <c r="A754" i="6"/>
  <c r="E753" i="6"/>
  <c r="D753" i="6"/>
  <c r="B753" i="6"/>
  <c r="A753" i="6"/>
  <c r="E752" i="6"/>
  <c r="D752" i="6"/>
  <c r="B752" i="6"/>
  <c r="A752" i="6"/>
  <c r="E751" i="6"/>
  <c r="D751" i="6"/>
  <c r="B751" i="6"/>
  <c r="A751" i="6"/>
  <c r="E750" i="6"/>
  <c r="D750" i="6"/>
  <c r="B750" i="6"/>
  <c r="A750" i="6"/>
  <c r="E749" i="6"/>
  <c r="D749" i="6"/>
  <c r="B749" i="6"/>
  <c r="A749" i="6"/>
  <c r="E748" i="6"/>
  <c r="D748" i="6"/>
  <c r="B748" i="6"/>
  <c r="A748" i="6"/>
  <c r="E747" i="6"/>
  <c r="D747" i="6"/>
  <c r="B747" i="6"/>
  <c r="A747" i="6"/>
  <c r="E746" i="6"/>
  <c r="D746" i="6"/>
  <c r="B746" i="6"/>
  <c r="A746" i="6"/>
  <c r="E745" i="6"/>
  <c r="D745" i="6"/>
  <c r="B745" i="6"/>
  <c r="A745" i="6"/>
  <c r="E744" i="6"/>
  <c r="D744" i="6"/>
  <c r="B744" i="6"/>
  <c r="A744" i="6"/>
  <c r="E743" i="6"/>
  <c r="D743" i="6"/>
  <c r="B743" i="6"/>
  <c r="A743" i="6"/>
  <c r="E742" i="6"/>
  <c r="D742" i="6"/>
  <c r="B742" i="6"/>
  <c r="A742" i="6"/>
  <c r="E741" i="6"/>
  <c r="D741" i="6"/>
  <c r="B741" i="6"/>
  <c r="A741" i="6"/>
  <c r="E740" i="6"/>
  <c r="D740" i="6"/>
  <c r="B740" i="6"/>
  <c r="A740" i="6"/>
  <c r="E739" i="6"/>
  <c r="D739" i="6"/>
  <c r="B739" i="6"/>
  <c r="A739" i="6"/>
  <c r="E738" i="6"/>
  <c r="D738" i="6"/>
  <c r="B738" i="6"/>
  <c r="A738" i="6"/>
  <c r="E737" i="6"/>
  <c r="D737" i="6"/>
  <c r="B737" i="6"/>
  <c r="A737" i="6"/>
  <c r="E736" i="6"/>
  <c r="D736" i="6"/>
  <c r="B736" i="6"/>
  <c r="A736" i="6"/>
  <c r="E735" i="6"/>
  <c r="D735" i="6"/>
  <c r="B735" i="6"/>
  <c r="A735" i="6"/>
  <c r="E734" i="6"/>
  <c r="D734" i="6"/>
  <c r="B734" i="6"/>
  <c r="A734" i="6"/>
  <c r="E733" i="6"/>
  <c r="D733" i="6"/>
  <c r="B733" i="6"/>
  <c r="A733" i="6"/>
  <c r="E732" i="6"/>
  <c r="D732" i="6"/>
  <c r="B732" i="6"/>
  <c r="A732" i="6"/>
  <c r="E731" i="6"/>
  <c r="D731" i="6"/>
  <c r="B731" i="6"/>
  <c r="A731" i="6"/>
  <c r="E730" i="6"/>
  <c r="D730" i="6"/>
  <c r="B730" i="6"/>
  <c r="A730" i="6"/>
  <c r="E729" i="6"/>
  <c r="D729" i="6"/>
  <c r="B729" i="6"/>
  <c r="A729" i="6"/>
  <c r="E728" i="6"/>
  <c r="D728" i="6"/>
  <c r="B728" i="6"/>
  <c r="A728" i="6"/>
  <c r="E727" i="6"/>
  <c r="D727" i="6"/>
  <c r="B727" i="6"/>
  <c r="A727" i="6"/>
  <c r="E726" i="6"/>
  <c r="D726" i="6"/>
  <c r="B726" i="6"/>
  <c r="A726" i="6"/>
  <c r="E725" i="6"/>
  <c r="D725" i="6"/>
  <c r="B725" i="6"/>
  <c r="A725" i="6"/>
  <c r="E724" i="6"/>
  <c r="D724" i="6"/>
  <c r="B724" i="6"/>
  <c r="A724" i="6"/>
  <c r="E723" i="6"/>
  <c r="D723" i="6"/>
  <c r="B723" i="6"/>
  <c r="A723" i="6"/>
  <c r="E722" i="6"/>
  <c r="D722" i="6"/>
  <c r="B722" i="6"/>
  <c r="A722" i="6"/>
  <c r="E721" i="6"/>
  <c r="D721" i="6"/>
  <c r="B721" i="6"/>
  <c r="A721" i="6"/>
  <c r="E720" i="6"/>
  <c r="D720" i="6"/>
  <c r="B720" i="6"/>
  <c r="A720" i="6"/>
  <c r="E719" i="6"/>
  <c r="D719" i="6"/>
  <c r="B719" i="6"/>
  <c r="A719" i="6"/>
  <c r="E718" i="6"/>
  <c r="D718" i="6"/>
  <c r="B718" i="6"/>
  <c r="A718" i="6"/>
  <c r="E717" i="6"/>
  <c r="D717" i="6"/>
  <c r="B717" i="6"/>
  <c r="A717" i="6"/>
  <c r="E716" i="6"/>
  <c r="D716" i="6"/>
  <c r="B716" i="6"/>
  <c r="A716" i="6"/>
  <c r="E715" i="6"/>
  <c r="D715" i="6"/>
  <c r="B715" i="6"/>
  <c r="A715" i="6"/>
  <c r="E714" i="6"/>
  <c r="D714" i="6"/>
  <c r="B714" i="6"/>
  <c r="A714" i="6"/>
  <c r="E713" i="6"/>
  <c r="D713" i="6"/>
  <c r="B713" i="6"/>
  <c r="A713" i="6"/>
  <c r="E712" i="6"/>
  <c r="D712" i="6"/>
  <c r="B712" i="6"/>
  <c r="A712" i="6"/>
  <c r="E711" i="6"/>
  <c r="D711" i="6"/>
  <c r="B711" i="6"/>
  <c r="A711" i="6"/>
  <c r="E710" i="6"/>
  <c r="D710" i="6"/>
  <c r="B710" i="6"/>
  <c r="A710" i="6"/>
  <c r="E709" i="6"/>
  <c r="D709" i="6"/>
  <c r="B709" i="6"/>
  <c r="A709" i="6"/>
  <c r="E708" i="6"/>
  <c r="D708" i="6"/>
  <c r="B708" i="6"/>
  <c r="A708" i="6"/>
  <c r="E707" i="6"/>
  <c r="D707" i="6"/>
  <c r="B707" i="6"/>
  <c r="A707" i="6"/>
  <c r="E706" i="6"/>
  <c r="D706" i="6"/>
  <c r="B706" i="6"/>
  <c r="A706" i="6"/>
  <c r="E705" i="6"/>
  <c r="D705" i="6"/>
  <c r="B705" i="6"/>
  <c r="A705" i="6"/>
  <c r="E704" i="6"/>
  <c r="D704" i="6"/>
  <c r="B704" i="6"/>
  <c r="A704" i="6"/>
  <c r="E703" i="6"/>
  <c r="D703" i="6"/>
  <c r="B703" i="6"/>
  <c r="A703" i="6"/>
  <c r="E702" i="6"/>
  <c r="D702" i="6"/>
  <c r="B702" i="6"/>
  <c r="A702" i="6"/>
  <c r="E701" i="6"/>
  <c r="D701" i="6"/>
  <c r="B701" i="6"/>
  <c r="A701" i="6"/>
  <c r="E700" i="6"/>
  <c r="D700" i="6"/>
  <c r="B700" i="6"/>
  <c r="A700" i="6"/>
  <c r="E699" i="6"/>
  <c r="D699" i="6"/>
  <c r="B699" i="6"/>
  <c r="A699" i="6"/>
  <c r="E698" i="6"/>
  <c r="D698" i="6"/>
  <c r="B698" i="6"/>
  <c r="A698" i="6"/>
  <c r="E697" i="6"/>
  <c r="D697" i="6"/>
  <c r="B697" i="6"/>
  <c r="A697" i="6"/>
  <c r="E696" i="6"/>
  <c r="D696" i="6"/>
  <c r="B696" i="6"/>
  <c r="A696" i="6"/>
  <c r="E695" i="6"/>
  <c r="D695" i="6"/>
  <c r="B695" i="6"/>
  <c r="A695" i="6"/>
  <c r="E694" i="6"/>
  <c r="D694" i="6"/>
  <c r="B694" i="6"/>
  <c r="A694" i="6"/>
  <c r="E693" i="6"/>
  <c r="D693" i="6"/>
  <c r="B693" i="6"/>
  <c r="A693" i="6"/>
  <c r="E692" i="6"/>
  <c r="D692" i="6"/>
  <c r="B692" i="6"/>
  <c r="A692" i="6"/>
  <c r="E691" i="6"/>
  <c r="D691" i="6"/>
  <c r="B691" i="6"/>
  <c r="A691" i="6"/>
  <c r="E690" i="6"/>
  <c r="D690" i="6"/>
  <c r="B690" i="6"/>
  <c r="A690" i="6"/>
  <c r="E689" i="6"/>
  <c r="D689" i="6"/>
  <c r="B689" i="6"/>
  <c r="A689" i="6"/>
  <c r="E688" i="6"/>
  <c r="D688" i="6"/>
  <c r="B688" i="6"/>
  <c r="A688" i="6"/>
  <c r="E687" i="6"/>
  <c r="D687" i="6"/>
  <c r="B687" i="6"/>
  <c r="A687" i="6"/>
  <c r="E686" i="6"/>
  <c r="D686" i="6"/>
  <c r="B686" i="6"/>
  <c r="A686" i="6"/>
  <c r="E685" i="6"/>
  <c r="D685" i="6"/>
  <c r="B685" i="6"/>
  <c r="A685" i="6"/>
  <c r="E684" i="6"/>
  <c r="D684" i="6"/>
  <c r="B684" i="6"/>
  <c r="A684" i="6"/>
  <c r="E683" i="6"/>
  <c r="D683" i="6"/>
  <c r="B683" i="6"/>
  <c r="A683" i="6"/>
  <c r="E682" i="6"/>
  <c r="D682" i="6"/>
  <c r="B682" i="6"/>
  <c r="A682" i="6"/>
  <c r="E681" i="6"/>
  <c r="D681" i="6"/>
  <c r="B681" i="6"/>
  <c r="A681" i="6"/>
  <c r="E680" i="6"/>
  <c r="D680" i="6"/>
  <c r="B680" i="6"/>
  <c r="A680" i="6"/>
  <c r="E679" i="6"/>
  <c r="D679" i="6"/>
  <c r="B679" i="6"/>
  <c r="A679" i="6"/>
  <c r="E678" i="6"/>
  <c r="D678" i="6"/>
  <c r="B678" i="6"/>
  <c r="A678" i="6"/>
  <c r="E677" i="6"/>
  <c r="D677" i="6"/>
  <c r="B677" i="6"/>
  <c r="A677" i="6"/>
  <c r="E676" i="6"/>
  <c r="D676" i="6"/>
  <c r="B676" i="6"/>
  <c r="A676" i="6"/>
  <c r="E675" i="6"/>
  <c r="D675" i="6"/>
  <c r="B675" i="6"/>
  <c r="A675" i="6"/>
  <c r="E674" i="6"/>
  <c r="D674" i="6"/>
  <c r="B674" i="6"/>
  <c r="A674" i="6"/>
  <c r="E673" i="6"/>
  <c r="D673" i="6"/>
  <c r="B673" i="6"/>
  <c r="A673" i="6"/>
  <c r="E672" i="6"/>
  <c r="D672" i="6"/>
  <c r="B672" i="6"/>
  <c r="A672" i="6"/>
  <c r="E671" i="6"/>
  <c r="D671" i="6"/>
  <c r="B671" i="6"/>
  <c r="A671" i="6"/>
  <c r="E670" i="6"/>
  <c r="D670" i="6"/>
  <c r="B670" i="6"/>
  <c r="A670" i="6"/>
  <c r="E669" i="6"/>
  <c r="D669" i="6"/>
  <c r="B669" i="6"/>
  <c r="A669" i="6"/>
  <c r="E668" i="6"/>
  <c r="D668" i="6"/>
  <c r="B668" i="6"/>
  <c r="A668" i="6"/>
  <c r="E667" i="6"/>
  <c r="D667" i="6"/>
  <c r="B667" i="6"/>
  <c r="A667" i="6"/>
  <c r="E666" i="6"/>
  <c r="D666" i="6"/>
  <c r="B666" i="6"/>
  <c r="A666" i="6"/>
  <c r="E665" i="6"/>
  <c r="D665" i="6"/>
  <c r="B665" i="6"/>
  <c r="A665" i="6"/>
  <c r="E664" i="6"/>
  <c r="D664" i="6"/>
  <c r="B664" i="6"/>
  <c r="A664" i="6"/>
  <c r="E663" i="6"/>
  <c r="D663" i="6"/>
  <c r="B663" i="6"/>
  <c r="A663" i="6"/>
  <c r="E662" i="6"/>
  <c r="D662" i="6"/>
  <c r="B662" i="6"/>
  <c r="A662" i="6"/>
  <c r="E661" i="6"/>
  <c r="D661" i="6"/>
  <c r="B661" i="6"/>
  <c r="A661" i="6"/>
  <c r="E660" i="6"/>
  <c r="D660" i="6"/>
  <c r="B660" i="6"/>
  <c r="A660" i="6"/>
  <c r="E659" i="6"/>
  <c r="D659" i="6"/>
  <c r="B659" i="6"/>
  <c r="A659" i="6"/>
  <c r="E658" i="6"/>
  <c r="D658" i="6"/>
  <c r="B658" i="6"/>
  <c r="A658" i="6"/>
  <c r="D657" i="6"/>
  <c r="B657" i="6"/>
  <c r="A657" i="6"/>
  <c r="E656" i="6"/>
  <c r="D656" i="6"/>
  <c r="B656" i="6"/>
  <c r="A656" i="6"/>
  <c r="E655" i="6"/>
  <c r="D655" i="6"/>
  <c r="B655" i="6"/>
  <c r="A655" i="6"/>
  <c r="E654" i="6"/>
  <c r="D654" i="6"/>
  <c r="B654" i="6"/>
  <c r="A654" i="6"/>
  <c r="E653" i="6"/>
  <c r="D653" i="6"/>
  <c r="B653" i="6"/>
  <c r="A653" i="6"/>
  <c r="E652" i="6"/>
  <c r="D652" i="6"/>
  <c r="B652" i="6"/>
  <c r="A652" i="6"/>
  <c r="E651" i="6"/>
  <c r="D651" i="6"/>
  <c r="B651" i="6"/>
  <c r="A651" i="6"/>
  <c r="E650" i="6"/>
  <c r="D650" i="6"/>
  <c r="B650" i="6"/>
  <c r="A650" i="6"/>
  <c r="E649" i="6"/>
  <c r="D649" i="6"/>
  <c r="B649" i="6"/>
  <c r="A649" i="6"/>
  <c r="E648" i="6"/>
  <c r="D648" i="6"/>
  <c r="B648" i="6"/>
  <c r="A648" i="6"/>
  <c r="E647" i="6"/>
  <c r="D647" i="6"/>
  <c r="B647" i="6"/>
  <c r="A647" i="6"/>
  <c r="E646" i="6"/>
  <c r="D646" i="6"/>
  <c r="B646" i="6"/>
  <c r="A646" i="6"/>
  <c r="E645" i="6"/>
  <c r="D645" i="6"/>
  <c r="B645" i="6"/>
  <c r="A645" i="6"/>
  <c r="E644" i="6"/>
  <c r="D644" i="6"/>
  <c r="B644" i="6"/>
  <c r="A644" i="6"/>
  <c r="E643" i="6"/>
  <c r="D643" i="6"/>
  <c r="B643" i="6"/>
  <c r="A643" i="6"/>
  <c r="E642" i="6"/>
  <c r="D642" i="6"/>
  <c r="B642" i="6"/>
  <c r="A642" i="6"/>
  <c r="E641" i="6"/>
  <c r="D641" i="6"/>
  <c r="B641" i="6"/>
  <c r="A641" i="6"/>
  <c r="E640" i="6"/>
  <c r="D640" i="6"/>
  <c r="B640" i="6"/>
  <c r="A640" i="6"/>
  <c r="E639" i="6"/>
  <c r="D639" i="6"/>
  <c r="B639" i="6"/>
  <c r="A639" i="6"/>
  <c r="E638" i="6"/>
  <c r="D638" i="6"/>
  <c r="B638" i="6"/>
  <c r="A638" i="6"/>
  <c r="E637" i="6"/>
  <c r="D637" i="6"/>
  <c r="B637" i="6"/>
  <c r="A637" i="6"/>
  <c r="E636" i="6"/>
  <c r="D636" i="6"/>
  <c r="B636" i="6"/>
  <c r="A636" i="6"/>
  <c r="E635" i="6"/>
  <c r="D635" i="6"/>
  <c r="B635" i="6"/>
  <c r="A635" i="6"/>
  <c r="E634" i="6"/>
  <c r="D634" i="6"/>
  <c r="B634" i="6"/>
  <c r="A634" i="6"/>
  <c r="E633" i="6"/>
  <c r="D633" i="6"/>
  <c r="B633" i="6"/>
  <c r="A633" i="6"/>
  <c r="E632" i="6"/>
  <c r="D632" i="6"/>
  <c r="B632" i="6"/>
  <c r="A632" i="6"/>
  <c r="E631" i="6"/>
  <c r="D631" i="6"/>
  <c r="B631" i="6"/>
  <c r="A631" i="6"/>
  <c r="E630" i="6"/>
  <c r="D630" i="6"/>
  <c r="B630" i="6"/>
  <c r="A630" i="6"/>
  <c r="E629" i="6"/>
  <c r="D629" i="6"/>
  <c r="B629" i="6"/>
  <c r="A629" i="6"/>
  <c r="E628" i="6"/>
  <c r="D628" i="6"/>
  <c r="B628" i="6"/>
  <c r="A628" i="6"/>
  <c r="E627" i="6"/>
  <c r="D627" i="6"/>
  <c r="B627" i="6"/>
  <c r="A627" i="6"/>
  <c r="E626" i="6"/>
  <c r="D626" i="6"/>
  <c r="B626" i="6"/>
  <c r="A626" i="6"/>
  <c r="E625" i="6"/>
  <c r="D625" i="6"/>
  <c r="B625" i="6"/>
  <c r="A625" i="6"/>
  <c r="E624" i="6"/>
  <c r="D624" i="6"/>
  <c r="B624" i="6"/>
  <c r="A624" i="6"/>
  <c r="E623" i="6"/>
  <c r="D623" i="6"/>
  <c r="B623" i="6"/>
  <c r="A623" i="6"/>
  <c r="E622" i="6"/>
  <c r="D622" i="6"/>
  <c r="B622" i="6"/>
  <c r="A622" i="6"/>
  <c r="E621" i="6"/>
  <c r="D621" i="6"/>
  <c r="B621" i="6"/>
  <c r="A621" i="6"/>
  <c r="E620" i="6"/>
  <c r="D620" i="6"/>
  <c r="B620" i="6"/>
  <c r="A620" i="6"/>
  <c r="E619" i="6"/>
  <c r="D619" i="6"/>
  <c r="B619" i="6"/>
  <c r="A619" i="6"/>
  <c r="E618" i="6"/>
  <c r="D618" i="6"/>
  <c r="B618" i="6"/>
  <c r="A618" i="6"/>
  <c r="E617" i="6"/>
  <c r="D617" i="6"/>
  <c r="B617" i="6"/>
  <c r="A617" i="6"/>
  <c r="E616" i="6"/>
  <c r="D616" i="6"/>
  <c r="B616" i="6"/>
  <c r="A616" i="6"/>
  <c r="E615" i="6"/>
  <c r="D615" i="6"/>
  <c r="B615" i="6"/>
  <c r="A615" i="6"/>
  <c r="E614" i="6"/>
  <c r="D614" i="6"/>
  <c r="B614" i="6"/>
  <c r="A614" i="6"/>
  <c r="E613" i="6"/>
  <c r="D613" i="6"/>
  <c r="B613" i="6"/>
  <c r="A613" i="6"/>
  <c r="E612" i="6"/>
  <c r="D612" i="6"/>
  <c r="B612" i="6"/>
  <c r="A612" i="6"/>
  <c r="E611" i="6"/>
  <c r="D611" i="6"/>
  <c r="B611" i="6"/>
  <c r="A611" i="6"/>
  <c r="E610" i="6"/>
  <c r="D610" i="6"/>
  <c r="B610" i="6"/>
  <c r="A610" i="6"/>
  <c r="E609" i="6"/>
  <c r="D609" i="6"/>
  <c r="B609" i="6"/>
  <c r="A609" i="6"/>
  <c r="E608" i="6"/>
  <c r="D608" i="6"/>
  <c r="B608" i="6"/>
  <c r="A608" i="6"/>
  <c r="E607" i="6"/>
  <c r="D607" i="6"/>
  <c r="B607" i="6"/>
  <c r="A607" i="6"/>
  <c r="E606" i="6"/>
  <c r="D606" i="6"/>
  <c r="B606" i="6"/>
  <c r="A606" i="6"/>
  <c r="E605" i="6"/>
  <c r="D605" i="6"/>
  <c r="B605" i="6"/>
  <c r="A605" i="6"/>
  <c r="E604" i="6"/>
  <c r="D604" i="6"/>
  <c r="B604" i="6"/>
  <c r="A604" i="6"/>
  <c r="E603" i="6"/>
  <c r="D603" i="6"/>
  <c r="B603" i="6"/>
  <c r="A603" i="6"/>
  <c r="E602" i="6"/>
  <c r="D602" i="6"/>
  <c r="B602" i="6"/>
  <c r="A602" i="6"/>
  <c r="E601" i="6"/>
  <c r="D601" i="6"/>
  <c r="B601" i="6"/>
  <c r="A601" i="6"/>
  <c r="E600" i="6"/>
  <c r="D600" i="6"/>
  <c r="B600" i="6"/>
  <c r="A600" i="6"/>
  <c r="E599" i="6"/>
  <c r="D599" i="6"/>
  <c r="B599" i="6"/>
  <c r="A599" i="6"/>
  <c r="E598" i="6"/>
  <c r="D598" i="6"/>
  <c r="B598" i="6"/>
  <c r="A598" i="6"/>
  <c r="E597" i="6"/>
  <c r="D597" i="6"/>
  <c r="B597" i="6"/>
  <c r="A597" i="6"/>
  <c r="E596" i="6"/>
  <c r="D596" i="6"/>
  <c r="B596" i="6"/>
  <c r="A596" i="6"/>
  <c r="E595" i="6"/>
  <c r="D595" i="6"/>
  <c r="B595" i="6"/>
  <c r="A595" i="6"/>
  <c r="E594" i="6"/>
  <c r="D594" i="6"/>
  <c r="B594" i="6"/>
  <c r="A594" i="6"/>
  <c r="E593" i="6"/>
  <c r="D593" i="6"/>
  <c r="B593" i="6"/>
  <c r="A593" i="6"/>
  <c r="E592" i="6"/>
  <c r="D592" i="6"/>
  <c r="B592" i="6"/>
  <c r="A592" i="6"/>
  <c r="E591" i="6"/>
  <c r="D591" i="6"/>
  <c r="B591" i="6"/>
  <c r="A591" i="6"/>
  <c r="E590" i="6"/>
  <c r="D590" i="6"/>
  <c r="B590" i="6"/>
  <c r="A590" i="6"/>
  <c r="E589" i="6"/>
  <c r="D589" i="6"/>
  <c r="B589" i="6"/>
  <c r="A589" i="6"/>
  <c r="E588" i="6"/>
  <c r="D588" i="6"/>
  <c r="B588" i="6"/>
  <c r="A588" i="6"/>
  <c r="E587" i="6"/>
  <c r="D587" i="6"/>
  <c r="B587" i="6"/>
  <c r="A587" i="6"/>
  <c r="E586" i="6"/>
  <c r="D586" i="6"/>
  <c r="B586" i="6"/>
  <c r="A586" i="6"/>
  <c r="E585" i="6"/>
  <c r="D585" i="6"/>
  <c r="B585" i="6"/>
  <c r="A585" i="6"/>
  <c r="E584" i="6"/>
  <c r="D584" i="6"/>
  <c r="B584" i="6"/>
  <c r="A584" i="6"/>
  <c r="E583" i="6"/>
  <c r="D583" i="6"/>
  <c r="B583" i="6"/>
  <c r="A583" i="6"/>
  <c r="E582" i="6"/>
  <c r="D582" i="6"/>
  <c r="B582" i="6"/>
  <c r="A582" i="6"/>
  <c r="E581" i="6"/>
  <c r="D581" i="6"/>
  <c r="B581" i="6"/>
  <c r="A581" i="6"/>
  <c r="E580" i="6"/>
  <c r="D580" i="6"/>
  <c r="B580" i="6"/>
  <c r="A580" i="6"/>
  <c r="E579" i="6"/>
  <c r="D579" i="6"/>
  <c r="B579" i="6"/>
  <c r="A579" i="6"/>
  <c r="D578" i="6"/>
  <c r="B578" i="6"/>
  <c r="A578" i="6"/>
  <c r="E577" i="6"/>
  <c r="D577" i="6"/>
  <c r="B577" i="6"/>
  <c r="A577" i="6"/>
  <c r="E576" i="6"/>
  <c r="D576" i="6"/>
  <c r="B576" i="6"/>
  <c r="A576" i="6"/>
  <c r="E575" i="6"/>
  <c r="D575" i="6"/>
  <c r="B575" i="6"/>
  <c r="A575" i="6"/>
  <c r="E574" i="6"/>
  <c r="D574" i="6"/>
  <c r="B574" i="6"/>
  <c r="A574" i="6"/>
  <c r="E573" i="6"/>
  <c r="D573" i="6"/>
  <c r="B573" i="6"/>
  <c r="A573" i="6"/>
  <c r="E572" i="6"/>
  <c r="D572" i="6"/>
  <c r="B572" i="6"/>
  <c r="A572" i="6"/>
  <c r="E571" i="6"/>
  <c r="D571" i="6"/>
  <c r="B571" i="6"/>
  <c r="A571" i="6"/>
  <c r="E570" i="6"/>
  <c r="D570" i="6"/>
  <c r="B570" i="6"/>
  <c r="A570" i="6"/>
  <c r="E569" i="6"/>
  <c r="D569" i="6"/>
  <c r="B569" i="6"/>
  <c r="A569" i="6"/>
  <c r="E568" i="6"/>
  <c r="D568" i="6"/>
  <c r="B568" i="6"/>
  <c r="A568" i="6"/>
  <c r="E567" i="6"/>
  <c r="D567" i="6"/>
  <c r="B567" i="6"/>
  <c r="A567" i="6"/>
  <c r="E566" i="6"/>
  <c r="D566" i="6"/>
  <c r="B566" i="6"/>
  <c r="A566" i="6"/>
  <c r="E565" i="6"/>
  <c r="D565" i="6"/>
  <c r="B565" i="6"/>
  <c r="A565" i="6"/>
  <c r="E564" i="6"/>
  <c r="D564" i="6"/>
  <c r="B564" i="6"/>
  <c r="A564" i="6"/>
  <c r="E563" i="6"/>
  <c r="D563" i="6"/>
  <c r="B563" i="6"/>
  <c r="A563" i="6"/>
  <c r="E562" i="6"/>
  <c r="D562" i="6"/>
  <c r="B562" i="6"/>
  <c r="A562" i="6"/>
  <c r="E561" i="6"/>
  <c r="D561" i="6"/>
  <c r="B561" i="6"/>
  <c r="A561" i="6"/>
  <c r="E560" i="6"/>
  <c r="D560" i="6"/>
  <c r="B560" i="6"/>
  <c r="A560" i="6"/>
  <c r="E559" i="6"/>
  <c r="D559" i="6"/>
  <c r="B559" i="6"/>
  <c r="A559" i="6"/>
  <c r="E558" i="6"/>
  <c r="D558" i="6"/>
  <c r="B558" i="6"/>
  <c r="A558" i="6"/>
  <c r="E557" i="6"/>
  <c r="D557" i="6"/>
  <c r="B557" i="6"/>
  <c r="A557" i="6"/>
  <c r="E556" i="6"/>
  <c r="D556" i="6"/>
  <c r="B556" i="6"/>
  <c r="A556" i="6"/>
  <c r="E555" i="6"/>
  <c r="D555" i="6"/>
  <c r="B555" i="6"/>
  <c r="A555" i="6"/>
  <c r="E554" i="6"/>
  <c r="D554" i="6"/>
  <c r="B554" i="6"/>
  <c r="A554" i="6"/>
  <c r="E553" i="6"/>
  <c r="D553" i="6"/>
  <c r="B553" i="6"/>
  <c r="A553" i="6"/>
  <c r="E552" i="6"/>
  <c r="D552" i="6"/>
  <c r="B552" i="6"/>
  <c r="A552" i="6"/>
  <c r="E551" i="6"/>
  <c r="D551" i="6"/>
  <c r="B551" i="6"/>
  <c r="A551" i="6"/>
  <c r="E550" i="6"/>
  <c r="D550" i="6"/>
  <c r="B550" i="6"/>
  <c r="A550" i="6"/>
  <c r="E549" i="6"/>
  <c r="D549" i="6"/>
  <c r="B549" i="6"/>
  <c r="A549" i="6"/>
  <c r="E548" i="6"/>
  <c r="D548" i="6"/>
  <c r="B548" i="6"/>
  <c r="A548" i="6"/>
  <c r="E547" i="6"/>
  <c r="D547" i="6"/>
  <c r="B547" i="6"/>
  <c r="A547" i="6"/>
  <c r="E546" i="6"/>
  <c r="D546" i="6"/>
  <c r="B546" i="6"/>
  <c r="A546" i="6"/>
  <c r="E545" i="6"/>
  <c r="D545" i="6"/>
  <c r="B545" i="6"/>
  <c r="A545" i="6"/>
  <c r="E544" i="6"/>
  <c r="D544" i="6"/>
  <c r="B544" i="6"/>
  <c r="A544" i="6"/>
  <c r="E543" i="6"/>
  <c r="D543" i="6"/>
  <c r="B543" i="6"/>
  <c r="A543" i="6"/>
  <c r="E542" i="6"/>
  <c r="D542" i="6"/>
  <c r="B542" i="6"/>
  <c r="A542" i="6"/>
  <c r="E541" i="6"/>
  <c r="D541" i="6"/>
  <c r="B541" i="6"/>
  <c r="A541" i="6"/>
  <c r="E540" i="6"/>
  <c r="D540" i="6"/>
  <c r="B540" i="6"/>
  <c r="A540" i="6"/>
  <c r="E539" i="6"/>
  <c r="D539" i="6"/>
  <c r="B539" i="6"/>
  <c r="A539" i="6"/>
  <c r="E538" i="6"/>
  <c r="D538" i="6"/>
  <c r="B538" i="6"/>
  <c r="A538" i="6"/>
  <c r="E537" i="6"/>
  <c r="D537" i="6"/>
  <c r="B537" i="6"/>
  <c r="A537" i="6"/>
  <c r="E536" i="6"/>
  <c r="D536" i="6"/>
  <c r="B536" i="6"/>
  <c r="A536" i="6"/>
  <c r="E535" i="6"/>
  <c r="D535" i="6"/>
  <c r="B535" i="6"/>
  <c r="A535" i="6"/>
  <c r="E534" i="6"/>
  <c r="D534" i="6"/>
  <c r="B534" i="6"/>
  <c r="A534" i="6"/>
  <c r="E533" i="6"/>
  <c r="D533" i="6"/>
  <c r="B533" i="6"/>
  <c r="A533" i="6"/>
  <c r="E532" i="6"/>
  <c r="D532" i="6"/>
  <c r="B532" i="6"/>
  <c r="A532" i="6"/>
  <c r="E531" i="6"/>
  <c r="D531" i="6"/>
  <c r="B531" i="6"/>
  <c r="A531" i="6"/>
  <c r="E530" i="6"/>
  <c r="D530" i="6"/>
  <c r="B530" i="6"/>
  <c r="A530" i="6"/>
  <c r="E529" i="6"/>
  <c r="D529" i="6"/>
  <c r="B529" i="6"/>
  <c r="A529" i="6"/>
  <c r="E528" i="6"/>
  <c r="D528" i="6"/>
  <c r="B528" i="6"/>
  <c r="A528" i="6"/>
  <c r="E527" i="6"/>
  <c r="D527" i="6"/>
  <c r="B527" i="6"/>
  <c r="A527" i="6"/>
  <c r="E526" i="6"/>
  <c r="D526" i="6"/>
  <c r="B526" i="6"/>
  <c r="A526" i="6"/>
  <c r="E525" i="6"/>
  <c r="D525" i="6"/>
  <c r="B525" i="6"/>
  <c r="A525" i="6"/>
  <c r="E524" i="6"/>
  <c r="D524" i="6"/>
  <c r="B524" i="6"/>
  <c r="A524" i="6"/>
  <c r="E523" i="6"/>
  <c r="D523" i="6"/>
  <c r="B523" i="6"/>
  <c r="A523" i="6"/>
  <c r="E522" i="6"/>
  <c r="D522" i="6"/>
  <c r="B522" i="6"/>
  <c r="A522" i="6"/>
  <c r="E521" i="6"/>
  <c r="D521" i="6"/>
  <c r="B521" i="6"/>
  <c r="A521" i="6"/>
  <c r="E520" i="6"/>
  <c r="D520" i="6"/>
  <c r="B520" i="6"/>
  <c r="A520" i="6"/>
  <c r="E519" i="6"/>
  <c r="D519" i="6"/>
  <c r="B519" i="6"/>
  <c r="A519" i="6"/>
  <c r="D518" i="6"/>
  <c r="B518" i="6"/>
  <c r="A518" i="6"/>
  <c r="E517" i="6"/>
  <c r="D517" i="6"/>
  <c r="B517" i="6"/>
  <c r="A517" i="6"/>
  <c r="E516" i="6"/>
  <c r="D516" i="6"/>
  <c r="B516" i="6"/>
  <c r="A516" i="6"/>
  <c r="E515" i="6"/>
  <c r="D515" i="6"/>
  <c r="B515" i="6"/>
  <c r="A515" i="6"/>
  <c r="E514" i="6"/>
  <c r="D514" i="6"/>
  <c r="B514" i="6"/>
  <c r="A514" i="6"/>
  <c r="E513" i="6"/>
  <c r="D513" i="6"/>
  <c r="B513" i="6"/>
  <c r="A513" i="6"/>
  <c r="E512" i="6"/>
  <c r="D512" i="6"/>
  <c r="B512" i="6"/>
  <c r="A512" i="6"/>
  <c r="E511" i="6"/>
  <c r="D511" i="6"/>
  <c r="B511" i="6"/>
  <c r="A511" i="6"/>
  <c r="E510" i="6"/>
  <c r="D510" i="6"/>
  <c r="B510" i="6"/>
  <c r="A510" i="6"/>
  <c r="E509" i="6"/>
  <c r="D509" i="6"/>
  <c r="B509" i="6"/>
  <c r="E508" i="6"/>
  <c r="D508" i="6"/>
  <c r="B508" i="6"/>
  <c r="A508" i="6"/>
  <c r="E507" i="6"/>
  <c r="D507" i="6"/>
  <c r="B507" i="6"/>
  <c r="A507" i="6"/>
  <c r="E506" i="6"/>
  <c r="D506" i="6"/>
  <c r="B506" i="6"/>
  <c r="A506" i="6"/>
  <c r="E505" i="6"/>
  <c r="D505" i="6"/>
  <c r="B505" i="6"/>
  <c r="A505" i="6"/>
  <c r="E504" i="6"/>
  <c r="D504" i="6"/>
  <c r="B504" i="6"/>
  <c r="A504" i="6"/>
  <c r="E503" i="6"/>
  <c r="D503" i="6"/>
  <c r="B503" i="6"/>
  <c r="A503" i="6"/>
  <c r="E502" i="6"/>
  <c r="D502" i="6"/>
  <c r="B502" i="6"/>
  <c r="A502" i="6"/>
  <c r="E501" i="6"/>
  <c r="D501" i="6"/>
  <c r="B501" i="6"/>
  <c r="E500" i="6"/>
  <c r="D500" i="6"/>
  <c r="B500" i="6"/>
  <c r="A500" i="6"/>
  <c r="E499" i="6"/>
  <c r="D499" i="6"/>
  <c r="B499" i="6"/>
  <c r="A499" i="6"/>
  <c r="E498" i="6"/>
  <c r="D498" i="6"/>
  <c r="B498" i="6"/>
  <c r="A498" i="6"/>
  <c r="E497" i="6"/>
  <c r="D497" i="6"/>
  <c r="B497" i="6"/>
  <c r="A497" i="6"/>
  <c r="E496" i="6"/>
  <c r="D496" i="6"/>
  <c r="B496" i="6"/>
  <c r="A496" i="6"/>
  <c r="E495" i="6"/>
  <c r="D495" i="6"/>
  <c r="B495" i="6"/>
  <c r="A495" i="6"/>
  <c r="E494" i="6"/>
  <c r="D494" i="6"/>
  <c r="B494" i="6"/>
  <c r="A494" i="6"/>
  <c r="E493" i="6"/>
  <c r="D493" i="6"/>
  <c r="B493" i="6"/>
  <c r="A493" i="6"/>
  <c r="E492" i="6"/>
  <c r="D492" i="6"/>
  <c r="B492" i="6"/>
  <c r="A492" i="6"/>
  <c r="E491" i="6"/>
  <c r="D491" i="6"/>
  <c r="B491" i="6"/>
  <c r="A491" i="6"/>
  <c r="E490" i="6"/>
  <c r="D490" i="6"/>
  <c r="B490" i="6"/>
  <c r="A490" i="6"/>
  <c r="E489" i="6"/>
  <c r="D489" i="6"/>
  <c r="B489" i="6"/>
  <c r="A489" i="6"/>
  <c r="E488" i="6"/>
  <c r="D488" i="6"/>
  <c r="B488" i="6"/>
  <c r="A488" i="6"/>
  <c r="E487" i="6"/>
  <c r="D487" i="6"/>
  <c r="B487" i="6"/>
  <c r="A487" i="6"/>
  <c r="E486" i="6"/>
  <c r="D486" i="6"/>
  <c r="B486" i="6"/>
  <c r="A486" i="6"/>
  <c r="E485" i="6"/>
  <c r="D485" i="6"/>
  <c r="B485" i="6"/>
  <c r="A485" i="6"/>
  <c r="E484" i="6"/>
  <c r="D484" i="6"/>
  <c r="B484" i="6"/>
  <c r="A484" i="6"/>
  <c r="E483" i="6"/>
  <c r="D483" i="6"/>
  <c r="B483" i="6"/>
  <c r="A483" i="6"/>
  <c r="E482" i="6"/>
  <c r="D482" i="6"/>
  <c r="B482" i="6"/>
  <c r="A482" i="6"/>
  <c r="E481" i="6"/>
  <c r="D481" i="6"/>
  <c r="B481" i="6"/>
  <c r="A481" i="6"/>
  <c r="E480" i="6"/>
  <c r="D480" i="6"/>
  <c r="B480" i="6"/>
  <c r="A480" i="6"/>
  <c r="E479" i="6"/>
  <c r="D479" i="6"/>
  <c r="B479" i="6"/>
  <c r="A479" i="6"/>
  <c r="E478" i="6"/>
  <c r="D478" i="6"/>
  <c r="B478" i="6"/>
  <c r="A478" i="6"/>
  <c r="E477" i="6"/>
  <c r="D477" i="6"/>
  <c r="B477" i="6"/>
  <c r="A477" i="6"/>
  <c r="E476" i="6"/>
  <c r="D476" i="6"/>
  <c r="B476" i="6"/>
  <c r="A476" i="6"/>
  <c r="E475" i="6"/>
  <c r="D475" i="6"/>
  <c r="B475" i="6"/>
  <c r="A475" i="6"/>
  <c r="E474" i="6"/>
  <c r="D474" i="6"/>
  <c r="B474" i="6"/>
  <c r="A474" i="6"/>
  <c r="E473" i="6"/>
  <c r="D473" i="6"/>
  <c r="B473" i="6"/>
  <c r="A473" i="6"/>
  <c r="E472" i="6"/>
  <c r="D472" i="6"/>
  <c r="B472" i="6"/>
  <c r="A472" i="6"/>
  <c r="E471" i="6"/>
  <c r="D471" i="6"/>
  <c r="B471" i="6"/>
  <c r="A471" i="6"/>
  <c r="E470" i="6"/>
  <c r="D470" i="6"/>
  <c r="B470" i="6"/>
  <c r="A470" i="6"/>
  <c r="E469" i="6"/>
  <c r="D469" i="6"/>
  <c r="B469" i="6"/>
  <c r="A469" i="6"/>
  <c r="E468" i="6"/>
  <c r="D468" i="6"/>
  <c r="B468" i="6"/>
  <c r="A468" i="6"/>
  <c r="E467" i="6"/>
  <c r="D467" i="6"/>
  <c r="B467" i="6"/>
  <c r="A467" i="6"/>
  <c r="E466" i="6"/>
  <c r="D466" i="6"/>
  <c r="B466" i="6"/>
  <c r="A466" i="6"/>
  <c r="E465" i="6"/>
  <c r="D465" i="6"/>
  <c r="B465" i="6"/>
  <c r="A465" i="6"/>
  <c r="E464" i="6"/>
  <c r="D464" i="6"/>
  <c r="B464" i="6"/>
  <c r="A464" i="6"/>
  <c r="E463" i="6"/>
  <c r="D463" i="6"/>
  <c r="B463" i="6"/>
  <c r="A463" i="6"/>
  <c r="E462" i="6"/>
  <c r="D462" i="6"/>
  <c r="B462" i="6"/>
  <c r="A462" i="6"/>
  <c r="E461" i="6"/>
  <c r="D461" i="6"/>
  <c r="B461" i="6"/>
  <c r="A461" i="6"/>
  <c r="E460" i="6"/>
  <c r="D460" i="6"/>
  <c r="B460" i="6"/>
  <c r="A460" i="6"/>
  <c r="E459" i="6"/>
  <c r="D459" i="6"/>
  <c r="B459" i="6"/>
  <c r="A459" i="6"/>
  <c r="E458" i="6"/>
  <c r="D458" i="6"/>
  <c r="B458" i="6"/>
  <c r="A458" i="6"/>
  <c r="E457" i="6"/>
  <c r="D457" i="6"/>
  <c r="B457" i="6"/>
  <c r="A457" i="6"/>
  <c r="E456" i="6"/>
  <c r="D456" i="6"/>
  <c r="B456" i="6"/>
  <c r="A456" i="6"/>
  <c r="E455" i="6"/>
  <c r="D455" i="6"/>
  <c r="B455" i="6"/>
  <c r="A455" i="6"/>
  <c r="E454" i="6"/>
  <c r="D454" i="6"/>
  <c r="B454" i="6"/>
  <c r="A454" i="6"/>
  <c r="E453" i="6"/>
  <c r="D453" i="6"/>
  <c r="B453" i="6"/>
  <c r="A453" i="6"/>
  <c r="E452" i="6"/>
  <c r="D452" i="6"/>
  <c r="B452" i="6"/>
  <c r="A452" i="6"/>
  <c r="E451" i="6"/>
  <c r="D451" i="6"/>
  <c r="B451" i="6"/>
  <c r="A451" i="6"/>
  <c r="E450" i="6"/>
  <c r="D450" i="6"/>
  <c r="B450" i="6"/>
  <c r="A450" i="6"/>
  <c r="E449" i="6"/>
  <c r="D449" i="6"/>
  <c r="B449" i="6"/>
  <c r="A449" i="6"/>
  <c r="E448" i="6"/>
  <c r="D448" i="6"/>
  <c r="B448" i="6"/>
  <c r="A448" i="6"/>
  <c r="E447" i="6"/>
  <c r="D447" i="6"/>
  <c r="B447" i="6"/>
  <c r="A447" i="6"/>
  <c r="E446" i="6"/>
  <c r="D446" i="6"/>
  <c r="B446" i="6"/>
  <c r="A446" i="6"/>
  <c r="E445" i="6"/>
  <c r="D445" i="6"/>
  <c r="B445" i="6"/>
  <c r="A445" i="6"/>
  <c r="E444" i="6"/>
  <c r="D444" i="6"/>
  <c r="B444" i="6"/>
  <c r="A444" i="6"/>
  <c r="E443" i="6"/>
  <c r="D443" i="6"/>
  <c r="B443" i="6"/>
  <c r="A443" i="6"/>
  <c r="E442" i="6"/>
  <c r="D442" i="6"/>
  <c r="B442" i="6"/>
  <c r="A442" i="6"/>
  <c r="E441" i="6"/>
  <c r="D441" i="6"/>
  <c r="B441" i="6"/>
  <c r="A441" i="6"/>
  <c r="E440" i="6"/>
  <c r="D440" i="6"/>
  <c r="B440" i="6"/>
  <c r="A440" i="6"/>
  <c r="E439" i="6"/>
  <c r="D439" i="6"/>
  <c r="B439" i="6"/>
  <c r="A439" i="6"/>
  <c r="E438" i="6"/>
  <c r="D438" i="6"/>
  <c r="B438" i="6"/>
  <c r="A438" i="6"/>
  <c r="E437" i="6"/>
  <c r="D437" i="6"/>
  <c r="B437" i="6"/>
  <c r="A437" i="6"/>
  <c r="E436" i="6"/>
  <c r="D436" i="6"/>
  <c r="B436" i="6"/>
  <c r="A436" i="6"/>
  <c r="E435" i="6"/>
  <c r="D435" i="6"/>
  <c r="B435" i="6"/>
  <c r="A435" i="6"/>
  <c r="E434" i="6"/>
  <c r="D434" i="6"/>
  <c r="B434" i="6"/>
  <c r="A434" i="6"/>
  <c r="E433" i="6"/>
  <c r="D433" i="6"/>
  <c r="B433" i="6"/>
  <c r="A433" i="6"/>
  <c r="E432" i="6"/>
  <c r="D432" i="6"/>
  <c r="B432" i="6"/>
  <c r="A432" i="6"/>
  <c r="E431" i="6"/>
  <c r="D431" i="6"/>
  <c r="B431" i="6"/>
  <c r="A431" i="6"/>
  <c r="E430" i="6"/>
  <c r="D430" i="6"/>
  <c r="B430" i="6"/>
  <c r="A430" i="6"/>
  <c r="E429" i="6"/>
  <c r="D429" i="6"/>
  <c r="B429" i="6"/>
  <c r="A429" i="6"/>
  <c r="E428" i="6"/>
  <c r="D428" i="6"/>
  <c r="B428" i="6"/>
  <c r="A428" i="6"/>
  <c r="E427" i="6"/>
  <c r="D427" i="6"/>
  <c r="B427" i="6"/>
  <c r="A427" i="6"/>
  <c r="E426" i="6"/>
  <c r="D426" i="6"/>
  <c r="B426" i="6"/>
  <c r="A426" i="6"/>
  <c r="E425" i="6"/>
  <c r="D425" i="6"/>
  <c r="B425" i="6"/>
  <c r="A425" i="6"/>
  <c r="E424" i="6"/>
  <c r="D424" i="6"/>
  <c r="B424" i="6"/>
  <c r="A424" i="6"/>
  <c r="E423" i="6"/>
  <c r="D423" i="6"/>
  <c r="B423" i="6"/>
  <c r="A423" i="6"/>
  <c r="E422" i="6"/>
  <c r="D422" i="6"/>
  <c r="B422" i="6"/>
  <c r="A422" i="6"/>
  <c r="E421" i="6"/>
  <c r="D421" i="6"/>
  <c r="B421" i="6"/>
  <c r="A421" i="6"/>
  <c r="E420" i="6"/>
  <c r="D420" i="6"/>
  <c r="B420" i="6"/>
  <c r="A420" i="6"/>
  <c r="E419" i="6"/>
  <c r="D419" i="6"/>
  <c r="B419" i="6"/>
  <c r="A419" i="6"/>
  <c r="E418" i="6"/>
  <c r="D418" i="6"/>
  <c r="B418" i="6"/>
  <c r="A418" i="6"/>
  <c r="E417" i="6"/>
  <c r="D417" i="6"/>
  <c r="B417" i="6"/>
  <c r="A417" i="6"/>
  <c r="E416" i="6"/>
  <c r="D416" i="6"/>
  <c r="B416" i="6"/>
  <c r="A416" i="6"/>
  <c r="E415" i="6"/>
  <c r="D415" i="6"/>
  <c r="B415" i="6"/>
  <c r="A415" i="6"/>
  <c r="E414" i="6"/>
  <c r="D414" i="6"/>
  <c r="B414" i="6"/>
  <c r="A414" i="6"/>
  <c r="E413" i="6"/>
  <c r="D413" i="6"/>
  <c r="B413" i="6"/>
  <c r="A413" i="6"/>
  <c r="E412" i="6"/>
  <c r="D412" i="6"/>
  <c r="B412" i="6"/>
  <c r="A412" i="6"/>
  <c r="E411" i="6"/>
  <c r="D411" i="6"/>
  <c r="B411" i="6"/>
  <c r="A411" i="6"/>
  <c r="E410" i="6"/>
  <c r="D410" i="6"/>
  <c r="B410" i="6"/>
  <c r="A410" i="6"/>
  <c r="E409" i="6"/>
  <c r="D409" i="6"/>
  <c r="B409" i="6"/>
  <c r="A409" i="6"/>
  <c r="E408" i="6"/>
  <c r="D408" i="6"/>
  <c r="B408" i="6"/>
  <c r="A408" i="6"/>
  <c r="E407" i="6"/>
  <c r="D407" i="6"/>
  <c r="B407" i="6"/>
  <c r="A407" i="6"/>
  <c r="E406" i="6"/>
  <c r="D406" i="6"/>
  <c r="B406" i="6"/>
  <c r="A406" i="6"/>
  <c r="E405" i="6"/>
  <c r="D405" i="6"/>
  <c r="B405" i="6"/>
  <c r="A405" i="6"/>
  <c r="E404" i="6"/>
  <c r="D404" i="6"/>
  <c r="B404" i="6"/>
  <c r="A404" i="6"/>
  <c r="E403" i="6"/>
  <c r="D403" i="6"/>
  <c r="B403" i="6"/>
  <c r="A403" i="6"/>
  <c r="E402" i="6"/>
  <c r="D402" i="6"/>
  <c r="B402" i="6"/>
  <c r="A402" i="6"/>
  <c r="E401" i="6"/>
  <c r="D401" i="6"/>
  <c r="B401" i="6"/>
  <c r="A401" i="6"/>
  <c r="E400" i="6"/>
  <c r="D400" i="6"/>
  <c r="B400" i="6"/>
  <c r="A400" i="6"/>
  <c r="E399" i="6"/>
  <c r="D399" i="6"/>
  <c r="B399" i="6"/>
  <c r="A399" i="6"/>
  <c r="E398" i="6"/>
  <c r="D398" i="6"/>
  <c r="B398" i="6"/>
  <c r="A398" i="6"/>
  <c r="E397" i="6"/>
  <c r="D397" i="6"/>
  <c r="B397" i="6"/>
  <c r="A397" i="6"/>
  <c r="E396" i="6"/>
  <c r="D396" i="6"/>
  <c r="B396" i="6"/>
  <c r="A396" i="6"/>
  <c r="E395" i="6"/>
  <c r="D395" i="6"/>
  <c r="B395" i="6"/>
  <c r="A395" i="6"/>
  <c r="E394" i="6"/>
  <c r="D394" i="6"/>
  <c r="B394" i="6"/>
  <c r="A394" i="6"/>
  <c r="D393" i="6"/>
  <c r="B393" i="6"/>
  <c r="A393" i="6"/>
  <c r="E392" i="6"/>
  <c r="D392" i="6"/>
  <c r="B392" i="6"/>
  <c r="A392" i="6"/>
  <c r="D391" i="6"/>
  <c r="B391" i="6"/>
  <c r="A391" i="6"/>
  <c r="E390" i="6"/>
  <c r="D390" i="6"/>
  <c r="B390" i="6"/>
  <c r="A390" i="6"/>
  <c r="D389" i="6"/>
  <c r="B389" i="6"/>
  <c r="A389" i="6"/>
  <c r="E388" i="6"/>
  <c r="D388" i="6"/>
  <c r="B388" i="6"/>
  <c r="A388" i="6"/>
  <c r="D387" i="6"/>
  <c r="B387" i="6"/>
  <c r="A387" i="6"/>
  <c r="E386" i="6"/>
  <c r="D386" i="6"/>
  <c r="B386" i="6"/>
  <c r="A386" i="6"/>
  <c r="E385" i="6"/>
  <c r="D385" i="6"/>
  <c r="B385" i="6"/>
  <c r="A385" i="6"/>
  <c r="E384" i="6"/>
  <c r="D384" i="6"/>
  <c r="B384" i="6"/>
  <c r="E383" i="6"/>
  <c r="D383" i="6"/>
  <c r="B383" i="6"/>
  <c r="E382" i="6"/>
  <c r="D382" i="6"/>
  <c r="B382" i="6"/>
  <c r="E381" i="6"/>
  <c r="D381" i="6"/>
  <c r="B381" i="6"/>
  <c r="E380" i="6"/>
  <c r="D380" i="6"/>
  <c r="B380" i="6"/>
  <c r="E379" i="6"/>
  <c r="D379" i="6"/>
  <c r="B379" i="6"/>
  <c r="E378" i="6"/>
  <c r="D378" i="6"/>
  <c r="B378" i="6"/>
  <c r="E377" i="6"/>
  <c r="D377" i="6"/>
  <c r="B377" i="6"/>
  <c r="E376" i="6"/>
  <c r="D376" i="6"/>
  <c r="B376" i="6"/>
  <c r="E375" i="6"/>
  <c r="D375" i="6"/>
  <c r="B375" i="6"/>
  <c r="E374" i="6"/>
  <c r="D374" i="6"/>
  <c r="B374" i="6"/>
  <c r="A374" i="6"/>
  <c r="E373" i="6"/>
  <c r="D373" i="6"/>
  <c r="B373" i="6"/>
  <c r="A373" i="6"/>
  <c r="E372" i="6"/>
  <c r="D372" i="6"/>
  <c r="B372" i="6"/>
  <c r="A372" i="6"/>
  <c r="E371" i="6"/>
  <c r="D371" i="6"/>
  <c r="B371" i="6"/>
  <c r="A371" i="6"/>
  <c r="E370" i="6"/>
  <c r="D370" i="6"/>
  <c r="B370" i="6"/>
  <c r="A370" i="6"/>
  <c r="E369" i="6"/>
  <c r="D369" i="6"/>
  <c r="B369" i="6"/>
  <c r="A369" i="6"/>
  <c r="E368" i="6"/>
  <c r="D368" i="6"/>
  <c r="B368" i="6"/>
  <c r="A368" i="6"/>
  <c r="E367" i="6"/>
  <c r="D367" i="6"/>
  <c r="B367" i="6"/>
  <c r="A367" i="6"/>
  <c r="E366" i="6"/>
  <c r="D366" i="6"/>
  <c r="B366" i="6"/>
  <c r="A366" i="6"/>
  <c r="E365" i="6"/>
  <c r="D365" i="6"/>
  <c r="B365" i="6"/>
  <c r="A365" i="6"/>
  <c r="E364" i="6"/>
  <c r="D364" i="6"/>
  <c r="B364" i="6"/>
  <c r="A364" i="6"/>
  <c r="E363" i="6"/>
  <c r="D363" i="6"/>
  <c r="B363" i="6"/>
  <c r="A363" i="6"/>
  <c r="E362" i="6"/>
  <c r="D362" i="6"/>
  <c r="B362" i="6"/>
  <c r="A362" i="6"/>
  <c r="E361" i="6"/>
  <c r="D361" i="6"/>
  <c r="B361" i="6"/>
  <c r="A361" i="6"/>
  <c r="E360" i="6"/>
  <c r="D360" i="6"/>
  <c r="B360" i="6"/>
  <c r="A360" i="6"/>
  <c r="E359" i="6"/>
  <c r="D359" i="6"/>
  <c r="B359" i="6"/>
  <c r="A359" i="6"/>
  <c r="E358" i="6"/>
  <c r="D358" i="6"/>
  <c r="B358" i="6"/>
  <c r="A358" i="6"/>
  <c r="E357" i="6"/>
  <c r="D357" i="6"/>
  <c r="B357" i="6"/>
  <c r="A357" i="6"/>
  <c r="E356" i="6"/>
  <c r="D356" i="6"/>
  <c r="B356" i="6"/>
  <c r="A356" i="6"/>
  <c r="E355" i="6"/>
  <c r="D355" i="6"/>
  <c r="B355" i="6"/>
  <c r="A355" i="6"/>
  <c r="E354" i="6"/>
  <c r="D354" i="6"/>
  <c r="B354" i="6"/>
  <c r="A354" i="6"/>
  <c r="E353" i="6"/>
  <c r="D353" i="6"/>
  <c r="B353" i="6"/>
  <c r="A353" i="6"/>
  <c r="E352" i="6"/>
  <c r="D352" i="6"/>
  <c r="B352" i="6"/>
  <c r="A352" i="6"/>
  <c r="E351" i="6"/>
  <c r="D351" i="6"/>
  <c r="B351" i="6"/>
  <c r="A351" i="6"/>
  <c r="E350" i="6"/>
  <c r="D350" i="6"/>
  <c r="B350" i="6"/>
  <c r="A350" i="6"/>
  <c r="E349" i="6"/>
  <c r="D349" i="6"/>
  <c r="B349" i="6"/>
  <c r="A349" i="6"/>
  <c r="E348" i="6"/>
  <c r="D348" i="6"/>
  <c r="B348" i="6"/>
  <c r="A348" i="6"/>
  <c r="E347" i="6"/>
  <c r="D347" i="6"/>
  <c r="B347" i="6"/>
  <c r="A347" i="6"/>
  <c r="E346" i="6"/>
  <c r="D346" i="6"/>
  <c r="B346" i="6"/>
  <c r="A346" i="6"/>
  <c r="E345" i="6"/>
  <c r="D345" i="6"/>
  <c r="B345" i="6"/>
  <c r="A345" i="6"/>
  <c r="E344" i="6"/>
  <c r="D344" i="6"/>
  <c r="B344" i="6"/>
  <c r="A344" i="6"/>
  <c r="E343" i="6"/>
  <c r="D343" i="6"/>
  <c r="B343" i="6"/>
  <c r="A343" i="6"/>
  <c r="E342" i="6"/>
  <c r="D342" i="6"/>
  <c r="B342" i="6"/>
  <c r="A342" i="6"/>
  <c r="E341" i="6"/>
  <c r="D341" i="6"/>
  <c r="B341" i="6"/>
  <c r="A341" i="6"/>
  <c r="E340" i="6"/>
  <c r="D340" i="6"/>
  <c r="B340" i="6"/>
  <c r="A340" i="6"/>
  <c r="E339" i="6"/>
  <c r="D339" i="6"/>
  <c r="B339" i="6"/>
  <c r="A339" i="6"/>
  <c r="E338" i="6"/>
  <c r="D338" i="6"/>
  <c r="B338" i="6"/>
  <c r="A338" i="6"/>
  <c r="E337" i="6"/>
  <c r="D337" i="6"/>
  <c r="B337" i="6"/>
  <c r="A337" i="6"/>
  <c r="E336" i="6"/>
  <c r="D336" i="6"/>
  <c r="B336" i="6"/>
  <c r="A336" i="6"/>
  <c r="E335" i="6"/>
  <c r="D335" i="6"/>
  <c r="B335" i="6"/>
  <c r="A335" i="6"/>
  <c r="E334" i="6"/>
  <c r="D334" i="6"/>
  <c r="B334" i="6"/>
  <c r="A334" i="6"/>
  <c r="E333" i="6"/>
  <c r="D333" i="6"/>
  <c r="B333" i="6"/>
  <c r="A333" i="6"/>
  <c r="E332" i="6"/>
  <c r="D332" i="6"/>
  <c r="B332" i="6"/>
  <c r="A332" i="6"/>
  <c r="E331" i="6"/>
  <c r="D331" i="6"/>
  <c r="B331" i="6"/>
  <c r="A331" i="6"/>
  <c r="E330" i="6"/>
  <c r="D330" i="6"/>
  <c r="B330" i="6"/>
  <c r="A330" i="6"/>
  <c r="E329" i="6"/>
  <c r="D329" i="6"/>
  <c r="B329" i="6"/>
  <c r="A329" i="6"/>
  <c r="E328" i="6"/>
  <c r="D328" i="6"/>
  <c r="B328" i="6"/>
  <c r="A328" i="6"/>
  <c r="E327" i="6"/>
  <c r="D327" i="6"/>
  <c r="B327" i="6"/>
  <c r="A327" i="6"/>
  <c r="E326" i="6"/>
  <c r="D326" i="6"/>
  <c r="B326" i="6"/>
  <c r="A326" i="6"/>
  <c r="E325" i="6"/>
  <c r="D325" i="6"/>
  <c r="B325" i="6"/>
  <c r="A325" i="6"/>
  <c r="E324" i="6"/>
  <c r="D324" i="6"/>
  <c r="B324" i="6"/>
  <c r="A324" i="6"/>
  <c r="E323" i="6"/>
  <c r="D323" i="6"/>
  <c r="B323" i="6"/>
  <c r="A323" i="6"/>
  <c r="E322" i="6"/>
  <c r="D322" i="6"/>
  <c r="B322" i="6"/>
  <c r="A322" i="6"/>
  <c r="E321" i="6"/>
  <c r="D321" i="6"/>
  <c r="B321" i="6"/>
  <c r="A321" i="6"/>
  <c r="E320" i="6"/>
  <c r="D320" i="6"/>
  <c r="B320" i="6"/>
  <c r="A320" i="6"/>
  <c r="E319" i="6"/>
  <c r="D319" i="6"/>
  <c r="B319" i="6"/>
  <c r="A319" i="6"/>
  <c r="E318" i="6"/>
  <c r="D318" i="6"/>
  <c r="B318" i="6"/>
  <c r="A318" i="6"/>
  <c r="E317" i="6"/>
  <c r="D317" i="6"/>
  <c r="B317" i="6"/>
  <c r="A317" i="6"/>
  <c r="E316" i="6"/>
  <c r="D316" i="6"/>
  <c r="B316" i="6"/>
  <c r="A316" i="6"/>
  <c r="E315" i="6"/>
  <c r="D315" i="6"/>
  <c r="B315" i="6"/>
  <c r="A315" i="6"/>
  <c r="E314" i="6"/>
  <c r="D314" i="6"/>
  <c r="B314" i="6"/>
  <c r="A314" i="6"/>
  <c r="E313" i="6"/>
  <c r="D313" i="6"/>
  <c r="B313" i="6"/>
  <c r="A313" i="6"/>
  <c r="E312" i="6"/>
  <c r="D312" i="6"/>
  <c r="B312" i="6"/>
  <c r="A312" i="6"/>
  <c r="E311" i="6"/>
  <c r="D311" i="6"/>
  <c r="B311" i="6"/>
  <c r="A311" i="6"/>
  <c r="E310" i="6"/>
  <c r="D310" i="6"/>
  <c r="B310" i="6"/>
  <c r="A310" i="6"/>
  <c r="E309" i="6"/>
  <c r="D309" i="6"/>
  <c r="B309" i="6"/>
  <c r="A309" i="6"/>
  <c r="E308" i="6"/>
  <c r="D308" i="6"/>
  <c r="B308" i="6"/>
  <c r="A308" i="6"/>
  <c r="E307" i="6"/>
  <c r="D307" i="6"/>
  <c r="B307" i="6"/>
  <c r="A307" i="6"/>
  <c r="E306" i="6"/>
  <c r="D306" i="6"/>
  <c r="B306" i="6"/>
  <c r="A306" i="6"/>
  <c r="E305" i="6"/>
  <c r="D305" i="6"/>
  <c r="B305" i="6"/>
  <c r="A305" i="6"/>
  <c r="E304" i="6"/>
  <c r="D304" i="6"/>
  <c r="B304" i="6"/>
  <c r="A304" i="6"/>
  <c r="E303" i="6"/>
  <c r="D303" i="6"/>
  <c r="B303" i="6"/>
  <c r="A303" i="6"/>
  <c r="E302" i="6"/>
  <c r="D302" i="6"/>
  <c r="B302" i="6"/>
  <c r="A302" i="6"/>
  <c r="E301" i="6"/>
  <c r="D301" i="6"/>
  <c r="B301" i="6"/>
  <c r="A301" i="6"/>
  <c r="E300" i="6"/>
  <c r="D300" i="6"/>
  <c r="B300" i="6"/>
  <c r="A300" i="6"/>
  <c r="E299" i="6"/>
  <c r="D299" i="6"/>
  <c r="B299" i="6"/>
  <c r="A299" i="6"/>
  <c r="E298" i="6"/>
  <c r="D298" i="6"/>
  <c r="B298" i="6"/>
  <c r="A298" i="6"/>
  <c r="E297" i="6"/>
  <c r="D297" i="6"/>
  <c r="B297" i="6"/>
  <c r="A297" i="6"/>
  <c r="E296" i="6"/>
  <c r="D296" i="6"/>
  <c r="B296" i="6"/>
  <c r="A296" i="6"/>
  <c r="E295" i="6"/>
  <c r="D295" i="6"/>
  <c r="B295" i="6"/>
  <c r="A295" i="6"/>
  <c r="E294" i="6"/>
  <c r="D294" i="6"/>
  <c r="B294" i="6"/>
  <c r="A294" i="6"/>
  <c r="E293" i="6"/>
  <c r="D293" i="6"/>
  <c r="B293" i="6"/>
  <c r="A293" i="6"/>
  <c r="E292" i="6"/>
  <c r="D292" i="6"/>
  <c r="B292" i="6"/>
  <c r="A292" i="6"/>
  <c r="E291" i="6"/>
  <c r="D291" i="6"/>
  <c r="B291" i="6"/>
  <c r="A291" i="6"/>
  <c r="E290" i="6"/>
  <c r="D290" i="6"/>
  <c r="B290" i="6"/>
  <c r="A290" i="6"/>
  <c r="E289" i="6"/>
  <c r="D289" i="6"/>
  <c r="B289" i="6"/>
  <c r="A289" i="6"/>
  <c r="E288" i="6"/>
  <c r="D288" i="6"/>
  <c r="B288" i="6"/>
  <c r="A288" i="6"/>
  <c r="E287" i="6"/>
  <c r="D287" i="6"/>
  <c r="B287" i="6"/>
  <c r="A287" i="6"/>
  <c r="E286" i="6"/>
  <c r="D286" i="6"/>
  <c r="B286" i="6"/>
  <c r="A286" i="6"/>
  <c r="E285" i="6"/>
  <c r="D285" i="6"/>
  <c r="B285" i="6"/>
  <c r="A285" i="6"/>
  <c r="E284" i="6"/>
  <c r="D284" i="6"/>
  <c r="B284" i="6"/>
  <c r="A284" i="6"/>
  <c r="E283" i="6"/>
  <c r="D283" i="6"/>
  <c r="B283" i="6"/>
  <c r="A283" i="6"/>
  <c r="E282" i="6"/>
  <c r="D282" i="6"/>
  <c r="B282" i="6"/>
  <c r="A282" i="6"/>
  <c r="E281" i="6"/>
  <c r="D281" i="6"/>
  <c r="B281" i="6"/>
  <c r="A281" i="6"/>
  <c r="E280" i="6"/>
  <c r="D280" i="6"/>
  <c r="B280" i="6"/>
  <c r="A280" i="6"/>
  <c r="E279" i="6"/>
  <c r="D279" i="6"/>
  <c r="B279" i="6"/>
  <c r="A279" i="6"/>
  <c r="E278" i="6"/>
  <c r="D278" i="6"/>
  <c r="B278" i="6"/>
  <c r="A278" i="6"/>
  <c r="E277" i="6"/>
  <c r="D277" i="6"/>
  <c r="B277" i="6"/>
  <c r="A277" i="6"/>
  <c r="E276" i="6"/>
  <c r="D276" i="6"/>
  <c r="B276" i="6"/>
  <c r="A276" i="6"/>
  <c r="E275" i="6"/>
  <c r="D275" i="6"/>
  <c r="B275" i="6"/>
  <c r="A275" i="6"/>
  <c r="E274" i="6"/>
  <c r="D274" i="6"/>
  <c r="B274" i="6"/>
  <c r="A274" i="6"/>
  <c r="E273" i="6"/>
  <c r="D273" i="6"/>
  <c r="B273" i="6"/>
  <c r="A273" i="6"/>
  <c r="E272" i="6"/>
  <c r="D272" i="6"/>
  <c r="B272" i="6"/>
  <c r="A272" i="6"/>
  <c r="E271" i="6"/>
  <c r="D271" i="6"/>
  <c r="B271" i="6"/>
  <c r="A271" i="6"/>
  <c r="E270" i="6"/>
  <c r="D270" i="6"/>
  <c r="B270" i="6"/>
  <c r="A270" i="6"/>
  <c r="E269" i="6"/>
  <c r="D269" i="6"/>
  <c r="B269" i="6"/>
  <c r="A269" i="6"/>
  <c r="E268" i="6"/>
  <c r="D268" i="6"/>
  <c r="B268" i="6"/>
  <c r="A268" i="6"/>
  <c r="E267" i="6"/>
  <c r="D267" i="6"/>
  <c r="B267" i="6"/>
  <c r="A267" i="6"/>
  <c r="E266" i="6"/>
  <c r="D266" i="6"/>
  <c r="B266" i="6"/>
  <c r="A266" i="6"/>
  <c r="E265" i="6"/>
  <c r="D265" i="6"/>
  <c r="B265" i="6"/>
  <c r="A265" i="6"/>
  <c r="E264" i="6"/>
  <c r="D264" i="6"/>
  <c r="B264" i="6"/>
  <c r="A264" i="6"/>
  <c r="E263" i="6"/>
  <c r="D263" i="6"/>
  <c r="B263" i="6"/>
  <c r="A263" i="6"/>
  <c r="E262" i="6"/>
  <c r="D262" i="6"/>
  <c r="B262" i="6"/>
  <c r="A262" i="6"/>
  <c r="E261" i="6"/>
  <c r="D261" i="6"/>
  <c r="B261" i="6"/>
  <c r="A261" i="6"/>
  <c r="E260" i="6"/>
  <c r="D260" i="6"/>
  <c r="B260" i="6"/>
  <c r="A260" i="6"/>
  <c r="E259" i="6"/>
  <c r="D259" i="6"/>
  <c r="B259" i="6"/>
  <c r="A259" i="6"/>
  <c r="E258" i="6"/>
  <c r="D258" i="6"/>
  <c r="B258" i="6"/>
  <c r="A258" i="6"/>
  <c r="E257" i="6"/>
  <c r="D257" i="6"/>
  <c r="B257" i="6"/>
  <c r="A257" i="6"/>
  <c r="E256" i="6"/>
  <c r="D256" i="6"/>
  <c r="B256" i="6"/>
  <c r="A256" i="6"/>
  <c r="E255" i="6"/>
  <c r="D255" i="6"/>
  <c r="B255" i="6"/>
  <c r="A255" i="6"/>
  <c r="E254" i="6"/>
  <c r="D254" i="6"/>
  <c r="B254" i="6"/>
  <c r="A254" i="6"/>
  <c r="E253" i="6"/>
  <c r="D253" i="6"/>
  <c r="B253" i="6"/>
  <c r="A253" i="6"/>
  <c r="E252" i="6"/>
  <c r="D252" i="6"/>
  <c r="B252" i="6"/>
  <c r="A252" i="6"/>
  <c r="E251" i="6"/>
  <c r="D251" i="6"/>
  <c r="B251" i="6"/>
  <c r="A251" i="6"/>
  <c r="E250" i="6"/>
  <c r="D250" i="6"/>
  <c r="B250" i="6"/>
  <c r="A250" i="6"/>
  <c r="E249" i="6"/>
  <c r="D249" i="6"/>
  <c r="B249" i="6"/>
  <c r="A249" i="6"/>
  <c r="E248" i="6"/>
  <c r="D248" i="6"/>
  <c r="B248" i="6"/>
  <c r="A248" i="6"/>
  <c r="E247" i="6"/>
  <c r="D247" i="6"/>
  <c r="B247" i="6"/>
  <c r="A247" i="6"/>
  <c r="E246" i="6"/>
  <c r="D246" i="6"/>
  <c r="B246" i="6"/>
  <c r="A246" i="6"/>
  <c r="E245" i="6"/>
  <c r="D245" i="6"/>
  <c r="B245" i="6"/>
  <c r="A245" i="6"/>
  <c r="E244" i="6"/>
  <c r="D244" i="6"/>
  <c r="B244" i="6"/>
  <c r="A244" i="6"/>
  <c r="E243" i="6"/>
  <c r="D243" i="6"/>
  <c r="B243" i="6"/>
  <c r="A243" i="6"/>
  <c r="E242" i="6"/>
  <c r="D242" i="6"/>
  <c r="B242" i="6"/>
  <c r="A242" i="6"/>
  <c r="E241" i="6"/>
  <c r="D241" i="6"/>
  <c r="B241" i="6"/>
  <c r="A241" i="6"/>
  <c r="E240" i="6"/>
  <c r="D240" i="6"/>
  <c r="B240" i="6"/>
  <c r="A240" i="6"/>
  <c r="E239" i="6"/>
  <c r="D239" i="6"/>
  <c r="B239" i="6"/>
  <c r="A239" i="6"/>
  <c r="E238" i="6"/>
  <c r="D238" i="6"/>
  <c r="B238" i="6"/>
  <c r="A238" i="6"/>
  <c r="E237" i="6"/>
  <c r="D237" i="6"/>
  <c r="B237" i="6"/>
  <c r="A237" i="6"/>
  <c r="E236" i="6"/>
  <c r="D236" i="6"/>
  <c r="B236" i="6"/>
  <c r="A236" i="6"/>
  <c r="E235" i="6"/>
  <c r="D235" i="6"/>
  <c r="B235" i="6"/>
  <c r="A235" i="6"/>
  <c r="E234" i="6"/>
  <c r="D234" i="6"/>
  <c r="B234" i="6"/>
  <c r="A234" i="6"/>
  <c r="E233" i="6"/>
  <c r="D233" i="6"/>
  <c r="B233" i="6"/>
  <c r="A233" i="6"/>
  <c r="E232" i="6"/>
  <c r="D232" i="6"/>
  <c r="B232" i="6"/>
  <c r="A232" i="6"/>
  <c r="E231" i="6"/>
  <c r="D231" i="6"/>
  <c r="B231" i="6"/>
  <c r="A231" i="6"/>
  <c r="E230" i="6"/>
  <c r="D230" i="6"/>
  <c r="B230" i="6"/>
  <c r="A230" i="6"/>
  <c r="E229" i="6"/>
  <c r="D229" i="6"/>
  <c r="B229" i="6"/>
  <c r="A229" i="6"/>
  <c r="E228" i="6"/>
  <c r="D228" i="6"/>
  <c r="B228" i="6"/>
  <c r="A228" i="6"/>
  <c r="E227" i="6"/>
  <c r="D227" i="6"/>
  <c r="B227" i="6"/>
  <c r="A227" i="6"/>
  <c r="E226" i="6"/>
  <c r="D226" i="6"/>
  <c r="B226" i="6"/>
  <c r="A226" i="6"/>
  <c r="E225" i="6"/>
  <c r="D225" i="6"/>
  <c r="B225" i="6"/>
  <c r="A225" i="6"/>
  <c r="E224" i="6"/>
  <c r="D224" i="6"/>
  <c r="B224" i="6"/>
  <c r="A224" i="6"/>
  <c r="E223" i="6"/>
  <c r="D223" i="6"/>
  <c r="B223" i="6"/>
  <c r="A223" i="6"/>
  <c r="E222" i="6"/>
  <c r="D222" i="6"/>
  <c r="B222" i="6"/>
  <c r="A222" i="6"/>
  <c r="E221" i="6"/>
  <c r="D221" i="6"/>
  <c r="B221" i="6"/>
  <c r="A221" i="6"/>
  <c r="E220" i="6"/>
  <c r="D220" i="6"/>
  <c r="B220" i="6"/>
  <c r="A220" i="6"/>
  <c r="E219" i="6"/>
  <c r="D219" i="6"/>
  <c r="B219" i="6"/>
  <c r="A219" i="6"/>
  <c r="E218" i="6"/>
  <c r="D218" i="6"/>
  <c r="B218" i="6"/>
  <c r="A218" i="6"/>
  <c r="E217" i="6"/>
  <c r="D217" i="6"/>
  <c r="B217" i="6"/>
  <c r="A217" i="6"/>
  <c r="E216" i="6"/>
  <c r="D216" i="6"/>
  <c r="B216" i="6"/>
  <c r="A216" i="6"/>
  <c r="E215" i="6"/>
  <c r="D215" i="6"/>
  <c r="B215" i="6"/>
  <c r="A215" i="6"/>
  <c r="E214" i="6"/>
  <c r="D214" i="6"/>
  <c r="B214" i="6"/>
  <c r="A214" i="6"/>
  <c r="E213" i="6"/>
  <c r="D213" i="6"/>
  <c r="B213" i="6"/>
  <c r="A213" i="6"/>
  <c r="E212" i="6"/>
  <c r="D212" i="6"/>
  <c r="B212" i="6"/>
  <c r="A212" i="6"/>
  <c r="E211" i="6"/>
  <c r="D211" i="6"/>
  <c r="B211" i="6"/>
  <c r="A211" i="6"/>
  <c r="E210" i="6"/>
  <c r="D210" i="6"/>
  <c r="B210" i="6"/>
  <c r="A210" i="6"/>
  <c r="E209" i="6"/>
  <c r="D209" i="6"/>
  <c r="B209" i="6"/>
  <c r="A209" i="6"/>
  <c r="E208" i="6"/>
  <c r="D208" i="6"/>
  <c r="B208" i="6"/>
  <c r="A208" i="6"/>
  <c r="E207" i="6"/>
  <c r="D207" i="6"/>
  <c r="B207" i="6"/>
  <c r="A207" i="6"/>
  <c r="E206" i="6"/>
  <c r="D206" i="6"/>
  <c r="B206" i="6"/>
  <c r="A206" i="6"/>
  <c r="E205" i="6"/>
  <c r="D205" i="6"/>
  <c r="B205" i="6"/>
  <c r="A205" i="6"/>
  <c r="E204" i="6"/>
  <c r="D204" i="6"/>
  <c r="B204" i="6"/>
  <c r="A204" i="6"/>
  <c r="E203" i="6"/>
  <c r="D203" i="6"/>
  <c r="B203" i="6"/>
  <c r="A203" i="6"/>
  <c r="E202" i="6"/>
  <c r="D202" i="6"/>
  <c r="B202" i="6"/>
  <c r="A202" i="6"/>
  <c r="E201" i="6"/>
  <c r="D201" i="6"/>
  <c r="B201" i="6"/>
  <c r="A201" i="6"/>
  <c r="E200" i="6"/>
  <c r="D200" i="6"/>
  <c r="B200" i="6"/>
  <c r="A200" i="6"/>
  <c r="E199" i="6"/>
  <c r="D199" i="6"/>
  <c r="B199" i="6"/>
  <c r="A199" i="6"/>
  <c r="E198" i="6"/>
  <c r="D198" i="6"/>
  <c r="B198" i="6"/>
  <c r="A198" i="6"/>
  <c r="E197" i="6"/>
  <c r="D197" i="6"/>
  <c r="B197" i="6"/>
  <c r="A197" i="6"/>
  <c r="E196" i="6"/>
  <c r="D196" i="6"/>
  <c r="B196" i="6"/>
  <c r="A196" i="6"/>
  <c r="E195" i="6"/>
  <c r="D195" i="6"/>
  <c r="B195" i="6"/>
  <c r="A195" i="6"/>
  <c r="E194" i="6"/>
  <c r="D194" i="6"/>
  <c r="B194" i="6"/>
  <c r="A194" i="6"/>
  <c r="E193" i="6"/>
  <c r="D193" i="6"/>
  <c r="B193" i="6"/>
  <c r="A193" i="6"/>
  <c r="E192" i="6"/>
  <c r="D192" i="6"/>
  <c r="B192" i="6"/>
  <c r="A192" i="6"/>
  <c r="E191" i="6"/>
  <c r="D191" i="6"/>
  <c r="B191" i="6"/>
  <c r="A191" i="6"/>
  <c r="E190" i="6"/>
  <c r="D190" i="6"/>
  <c r="B190" i="6"/>
  <c r="A190" i="6"/>
  <c r="E189" i="6"/>
  <c r="D189" i="6"/>
  <c r="B189" i="6"/>
  <c r="A189" i="6"/>
  <c r="E188" i="6"/>
  <c r="D188" i="6"/>
  <c r="B188" i="6"/>
  <c r="A188" i="6"/>
  <c r="E187" i="6"/>
  <c r="D187" i="6"/>
  <c r="B187" i="6"/>
  <c r="A187" i="6"/>
  <c r="E186" i="6"/>
  <c r="D186" i="6"/>
  <c r="B186" i="6"/>
  <c r="A186" i="6"/>
  <c r="E185" i="6"/>
  <c r="D185" i="6"/>
  <c r="B185" i="6"/>
  <c r="A185" i="6"/>
  <c r="E184" i="6"/>
  <c r="D184" i="6"/>
  <c r="B184" i="6"/>
  <c r="A184" i="6"/>
  <c r="E183" i="6"/>
  <c r="D183" i="6"/>
  <c r="B183" i="6"/>
  <c r="A183" i="6"/>
  <c r="E182" i="6"/>
  <c r="D182" i="6"/>
  <c r="B182" i="6"/>
  <c r="A182" i="6"/>
  <c r="E181" i="6"/>
  <c r="D181" i="6"/>
  <c r="B181" i="6"/>
  <c r="A181" i="6"/>
  <c r="E180" i="6"/>
  <c r="D180" i="6"/>
  <c r="B180" i="6"/>
  <c r="A180" i="6"/>
  <c r="E179" i="6"/>
  <c r="D179" i="6"/>
  <c r="B179" i="6"/>
  <c r="A179" i="6"/>
  <c r="E178" i="6"/>
  <c r="D178" i="6"/>
  <c r="B178" i="6"/>
  <c r="A178" i="6"/>
  <c r="E177" i="6"/>
  <c r="D177" i="6"/>
  <c r="B177" i="6"/>
  <c r="A177" i="6"/>
  <c r="E176" i="6"/>
  <c r="D176" i="6"/>
  <c r="B176" i="6"/>
  <c r="A176" i="6"/>
  <c r="E175" i="6"/>
  <c r="D175" i="6"/>
  <c r="B175" i="6"/>
  <c r="A175" i="6"/>
  <c r="E174" i="6"/>
  <c r="D174" i="6"/>
  <c r="B174" i="6"/>
  <c r="A174" i="6"/>
  <c r="E173" i="6"/>
  <c r="D173" i="6"/>
  <c r="B173" i="6"/>
  <c r="A173" i="6"/>
  <c r="E172" i="6"/>
  <c r="D172" i="6"/>
  <c r="B172" i="6"/>
  <c r="A172" i="6"/>
  <c r="E171" i="6"/>
  <c r="D171" i="6"/>
  <c r="B171" i="6"/>
  <c r="A171" i="6"/>
  <c r="E170" i="6"/>
  <c r="D170" i="6"/>
  <c r="B170" i="6"/>
  <c r="A170" i="6"/>
  <c r="E169" i="6"/>
  <c r="D169" i="6"/>
  <c r="B169" i="6"/>
  <c r="A169" i="6"/>
  <c r="E168" i="6"/>
  <c r="D168" i="6"/>
  <c r="B168" i="6"/>
  <c r="A168" i="6"/>
  <c r="E167" i="6"/>
  <c r="D167" i="6"/>
  <c r="B167" i="6"/>
  <c r="A167" i="6"/>
  <c r="E166" i="6"/>
  <c r="D166" i="6"/>
  <c r="B166" i="6"/>
  <c r="A166" i="6"/>
  <c r="E165" i="6"/>
  <c r="D165" i="6"/>
  <c r="B165" i="6"/>
  <c r="A165" i="6"/>
  <c r="E164" i="6"/>
  <c r="D164" i="6"/>
  <c r="B164" i="6"/>
  <c r="A164" i="6"/>
  <c r="E163" i="6"/>
  <c r="D163" i="6"/>
  <c r="B163" i="6"/>
  <c r="A163" i="6"/>
  <c r="E162" i="6"/>
  <c r="D162" i="6"/>
  <c r="B162" i="6"/>
  <c r="A162" i="6"/>
  <c r="E161" i="6"/>
  <c r="D161" i="6"/>
  <c r="B161" i="6"/>
  <c r="A161" i="6"/>
  <c r="E160" i="6"/>
  <c r="D160" i="6"/>
  <c r="B160" i="6"/>
  <c r="A160" i="6"/>
  <c r="E159" i="6"/>
  <c r="D159" i="6"/>
  <c r="B159" i="6"/>
  <c r="A159" i="6"/>
  <c r="E158" i="6"/>
  <c r="D158" i="6"/>
  <c r="B158" i="6"/>
  <c r="A158" i="6"/>
  <c r="E157" i="6"/>
  <c r="D157" i="6"/>
  <c r="B157" i="6"/>
  <c r="A157" i="6"/>
  <c r="E156" i="6"/>
  <c r="D156" i="6"/>
  <c r="B156" i="6"/>
  <c r="A156" i="6"/>
  <c r="E155" i="6"/>
  <c r="D155" i="6"/>
  <c r="B155" i="6"/>
  <c r="A155" i="6"/>
  <c r="E154" i="6"/>
  <c r="D154" i="6"/>
  <c r="B154" i="6"/>
  <c r="A154" i="6"/>
  <c r="E153" i="6"/>
  <c r="D153" i="6"/>
  <c r="B153" i="6"/>
  <c r="A153" i="6"/>
  <c r="E152" i="6"/>
  <c r="D152" i="6"/>
  <c r="B152" i="6"/>
  <c r="A152" i="6"/>
  <c r="E151" i="6"/>
  <c r="D151" i="6"/>
  <c r="B151" i="6"/>
  <c r="A151" i="6"/>
  <c r="E150" i="6"/>
  <c r="D150" i="6"/>
  <c r="B150" i="6"/>
  <c r="A150" i="6"/>
  <c r="E149" i="6"/>
  <c r="D149" i="6"/>
  <c r="B149" i="6"/>
  <c r="A149" i="6"/>
  <c r="E148" i="6"/>
  <c r="D148" i="6"/>
  <c r="B148" i="6"/>
  <c r="A148" i="6"/>
  <c r="E147" i="6"/>
  <c r="D147" i="6"/>
  <c r="B147" i="6"/>
  <c r="A147" i="6"/>
  <c r="E146" i="6"/>
  <c r="D146" i="6"/>
  <c r="B146" i="6"/>
  <c r="A146" i="6"/>
  <c r="E145" i="6"/>
  <c r="D145" i="6"/>
  <c r="B145" i="6"/>
  <c r="A145" i="6"/>
  <c r="E144" i="6"/>
  <c r="D144" i="6"/>
  <c r="B144" i="6"/>
  <c r="A144" i="6"/>
  <c r="E143" i="6"/>
  <c r="D143" i="6"/>
  <c r="B143" i="6"/>
  <c r="A143" i="6"/>
  <c r="E142" i="6"/>
  <c r="D142" i="6"/>
  <c r="B142" i="6"/>
  <c r="A142" i="6"/>
  <c r="E141" i="6"/>
  <c r="D141" i="6"/>
  <c r="B141" i="6"/>
  <c r="A141" i="6"/>
  <c r="E140" i="6"/>
  <c r="D140" i="6"/>
  <c r="B140" i="6"/>
  <c r="A140" i="6"/>
  <c r="E139" i="6"/>
  <c r="D139" i="6"/>
  <c r="B139" i="6"/>
  <c r="A139" i="6"/>
  <c r="E138" i="6"/>
  <c r="D138" i="6"/>
  <c r="B138" i="6"/>
  <c r="A138" i="6"/>
  <c r="E137" i="6"/>
  <c r="D137" i="6"/>
  <c r="B137" i="6"/>
  <c r="A137" i="6"/>
  <c r="E136" i="6"/>
  <c r="D136" i="6"/>
  <c r="B136" i="6"/>
  <c r="A136" i="6"/>
  <c r="E135" i="6"/>
  <c r="D135" i="6"/>
  <c r="B135" i="6"/>
  <c r="A135" i="6"/>
  <c r="E134" i="6"/>
  <c r="D134" i="6"/>
  <c r="B134" i="6"/>
  <c r="A134" i="6"/>
  <c r="E133" i="6"/>
  <c r="D133" i="6"/>
  <c r="B133" i="6"/>
  <c r="A133" i="6"/>
  <c r="E132" i="6"/>
  <c r="D132" i="6"/>
  <c r="B132" i="6"/>
  <c r="A132" i="6"/>
  <c r="E131" i="6"/>
  <c r="D131" i="6"/>
  <c r="B131" i="6"/>
  <c r="A131" i="6"/>
  <c r="E130" i="6"/>
  <c r="D130" i="6"/>
  <c r="B130" i="6"/>
  <c r="A130" i="6"/>
  <c r="E129" i="6"/>
  <c r="D129" i="6"/>
  <c r="B129" i="6"/>
  <c r="A129" i="6"/>
  <c r="E128" i="6"/>
  <c r="D128" i="6"/>
  <c r="B128" i="6"/>
  <c r="A128" i="6"/>
  <c r="E127" i="6"/>
  <c r="D127" i="6"/>
  <c r="B127" i="6"/>
  <c r="A127" i="6"/>
  <c r="E126" i="6"/>
  <c r="D126" i="6"/>
  <c r="B126" i="6"/>
  <c r="A126" i="6"/>
  <c r="E125" i="6"/>
  <c r="D125" i="6"/>
  <c r="B125" i="6"/>
  <c r="A125" i="6"/>
  <c r="E124" i="6"/>
  <c r="D124" i="6"/>
  <c r="B124" i="6"/>
  <c r="A124" i="6"/>
  <c r="E123" i="6"/>
  <c r="D123" i="6"/>
  <c r="B123" i="6"/>
  <c r="A123" i="6"/>
  <c r="E122" i="6"/>
  <c r="D122" i="6"/>
  <c r="B122" i="6"/>
  <c r="A122" i="6"/>
  <c r="E121" i="6"/>
  <c r="D121" i="6"/>
  <c r="B121" i="6"/>
  <c r="A121" i="6"/>
  <c r="E120" i="6"/>
  <c r="D120" i="6"/>
  <c r="B120" i="6"/>
  <c r="A120" i="6"/>
  <c r="E119" i="6"/>
  <c r="D119" i="6"/>
  <c r="B119" i="6"/>
  <c r="A119" i="6"/>
  <c r="E118" i="6"/>
  <c r="D118" i="6"/>
  <c r="B118" i="6"/>
  <c r="A118" i="6"/>
  <c r="E117" i="6"/>
  <c r="D117" i="6"/>
  <c r="B117" i="6"/>
  <c r="A117" i="6"/>
  <c r="E116" i="6"/>
  <c r="D116" i="6"/>
  <c r="B116" i="6"/>
  <c r="A116" i="6"/>
  <c r="E115" i="6"/>
  <c r="D115" i="6"/>
  <c r="B115" i="6"/>
  <c r="A115" i="6"/>
  <c r="E114" i="6"/>
  <c r="D114" i="6"/>
  <c r="B114" i="6"/>
  <c r="A114" i="6"/>
  <c r="E113" i="6"/>
  <c r="D113" i="6"/>
  <c r="B113" i="6"/>
  <c r="A113" i="6"/>
  <c r="E112" i="6"/>
  <c r="D112" i="6"/>
  <c r="B112" i="6"/>
  <c r="A112" i="6"/>
  <c r="E111" i="6"/>
  <c r="D111" i="6"/>
  <c r="B111" i="6"/>
  <c r="A111" i="6"/>
  <c r="E110" i="6"/>
  <c r="D110" i="6"/>
  <c r="B110" i="6"/>
  <c r="A110" i="6"/>
  <c r="E109" i="6"/>
  <c r="D109" i="6"/>
  <c r="B109" i="6"/>
  <c r="A109" i="6"/>
  <c r="E108" i="6"/>
  <c r="D108" i="6"/>
  <c r="B108" i="6"/>
  <c r="A108" i="6"/>
  <c r="E107" i="6"/>
  <c r="D107" i="6"/>
  <c r="B107" i="6"/>
  <c r="A107" i="6"/>
  <c r="E106" i="6"/>
  <c r="D106" i="6"/>
  <c r="B106" i="6"/>
  <c r="A106" i="6"/>
  <c r="E105" i="6"/>
  <c r="D105" i="6"/>
  <c r="B105" i="6"/>
  <c r="A105" i="6"/>
  <c r="E104" i="6"/>
  <c r="D104" i="6"/>
  <c r="B104" i="6"/>
  <c r="A104" i="6"/>
  <c r="E103" i="6"/>
  <c r="D103" i="6"/>
  <c r="B103" i="6"/>
  <c r="A103" i="6"/>
  <c r="E102" i="6"/>
  <c r="D102" i="6"/>
  <c r="B102" i="6"/>
  <c r="A102" i="6"/>
  <c r="E101" i="6"/>
  <c r="D101" i="6"/>
  <c r="B101" i="6"/>
  <c r="A101" i="6"/>
  <c r="E100" i="6"/>
  <c r="D100" i="6"/>
  <c r="B100" i="6"/>
  <c r="A100" i="6"/>
  <c r="E99" i="6"/>
  <c r="D99" i="6"/>
  <c r="B99" i="6"/>
  <c r="A99" i="6"/>
  <c r="E98" i="6"/>
  <c r="D98" i="6"/>
  <c r="B98" i="6"/>
  <c r="A98" i="6"/>
  <c r="E97" i="6"/>
  <c r="D97" i="6"/>
  <c r="B97" i="6"/>
  <c r="A97" i="6"/>
  <c r="E96" i="6"/>
  <c r="D96" i="6"/>
  <c r="B96" i="6"/>
  <c r="A96" i="6"/>
  <c r="E95" i="6"/>
  <c r="D95" i="6"/>
  <c r="B95" i="6"/>
  <c r="A95" i="6"/>
  <c r="E94" i="6"/>
  <c r="D94" i="6"/>
  <c r="B94" i="6"/>
  <c r="A94" i="6"/>
  <c r="E93" i="6"/>
  <c r="D93" i="6"/>
  <c r="B93" i="6"/>
  <c r="A93" i="6"/>
  <c r="E92" i="6"/>
  <c r="D92" i="6"/>
  <c r="B92" i="6"/>
  <c r="A92" i="6"/>
  <c r="E91" i="6"/>
  <c r="D91" i="6"/>
  <c r="B91" i="6"/>
  <c r="A91" i="6"/>
  <c r="E90" i="6"/>
  <c r="D90" i="6"/>
  <c r="B90" i="6"/>
  <c r="A90" i="6"/>
  <c r="E89" i="6"/>
  <c r="D89" i="6"/>
  <c r="B89" i="6"/>
  <c r="A89" i="6"/>
  <c r="E88" i="6"/>
  <c r="D88" i="6"/>
  <c r="B88" i="6"/>
  <c r="A88" i="6"/>
  <c r="E87" i="6"/>
  <c r="D87" i="6"/>
  <c r="B87" i="6"/>
  <c r="A87" i="6"/>
  <c r="E86" i="6"/>
  <c r="D86" i="6"/>
  <c r="B86" i="6"/>
  <c r="A86" i="6"/>
  <c r="E85" i="6"/>
  <c r="D85" i="6"/>
  <c r="B85" i="6"/>
  <c r="A85" i="6"/>
  <c r="E84" i="6"/>
  <c r="D84" i="6"/>
  <c r="B84" i="6"/>
  <c r="A84" i="6"/>
  <c r="E83" i="6"/>
  <c r="D83" i="6"/>
  <c r="B83" i="6"/>
  <c r="A83" i="6"/>
  <c r="E82" i="6"/>
  <c r="D82" i="6"/>
  <c r="B82" i="6"/>
  <c r="A82" i="6"/>
  <c r="E81" i="6"/>
  <c r="D81" i="6"/>
  <c r="B81" i="6"/>
  <c r="A81" i="6"/>
  <c r="E80" i="6"/>
  <c r="D80" i="6"/>
  <c r="B80" i="6"/>
  <c r="A80" i="6"/>
  <c r="E79" i="6"/>
  <c r="D79" i="6"/>
  <c r="B79" i="6"/>
  <c r="A79" i="6"/>
  <c r="E78" i="6"/>
  <c r="D78" i="6"/>
  <c r="B78" i="6"/>
  <c r="A78" i="6"/>
  <c r="E77" i="6"/>
  <c r="D77" i="6"/>
  <c r="B77" i="6"/>
  <c r="A77" i="6"/>
  <c r="E76" i="6"/>
  <c r="D76" i="6"/>
  <c r="B76" i="6"/>
  <c r="A76" i="6"/>
  <c r="E75" i="6"/>
  <c r="D75" i="6"/>
  <c r="B75" i="6"/>
  <c r="A75" i="6"/>
  <c r="E74" i="6"/>
  <c r="D74" i="6"/>
  <c r="B74" i="6"/>
  <c r="A74" i="6"/>
  <c r="E73" i="6"/>
  <c r="D73" i="6"/>
  <c r="B73" i="6"/>
  <c r="A73" i="6"/>
  <c r="E72" i="6"/>
  <c r="D72" i="6"/>
  <c r="B72" i="6"/>
  <c r="A72" i="6"/>
  <c r="E71" i="6"/>
  <c r="D71" i="6"/>
  <c r="B71" i="6"/>
  <c r="A71" i="6"/>
  <c r="E70" i="6"/>
  <c r="D70" i="6"/>
  <c r="B70" i="6"/>
  <c r="A70" i="6"/>
  <c r="E69" i="6"/>
  <c r="D69" i="6"/>
  <c r="B69" i="6"/>
  <c r="A69" i="6"/>
  <c r="E68" i="6"/>
  <c r="D68" i="6"/>
  <c r="B68" i="6"/>
  <c r="A68" i="6"/>
  <c r="E67" i="6"/>
  <c r="D67" i="6"/>
  <c r="B67" i="6"/>
  <c r="A67" i="6"/>
  <c r="E66" i="6"/>
  <c r="D66" i="6"/>
  <c r="B66" i="6"/>
  <c r="A66" i="6"/>
  <c r="E65" i="6"/>
  <c r="D65" i="6"/>
  <c r="B65" i="6"/>
  <c r="A65" i="6"/>
  <c r="E64" i="6"/>
  <c r="D64" i="6"/>
  <c r="B64" i="6"/>
  <c r="A64" i="6"/>
  <c r="E63" i="6"/>
  <c r="D63" i="6"/>
  <c r="B63" i="6"/>
  <c r="A63" i="6"/>
  <c r="E62" i="6"/>
  <c r="D62" i="6"/>
  <c r="B62" i="6"/>
  <c r="A62" i="6"/>
  <c r="E61" i="6"/>
  <c r="D61" i="6"/>
  <c r="B61" i="6"/>
  <c r="A61" i="6"/>
  <c r="E60" i="6"/>
  <c r="D60" i="6"/>
  <c r="B60" i="6"/>
  <c r="A60" i="6"/>
  <c r="E59" i="6"/>
  <c r="D59" i="6"/>
  <c r="B59" i="6"/>
  <c r="A59" i="6"/>
  <c r="E58" i="6"/>
  <c r="D58" i="6"/>
  <c r="B58" i="6"/>
  <c r="A58" i="6"/>
  <c r="E57" i="6"/>
  <c r="D57" i="6"/>
  <c r="B57" i="6"/>
  <c r="A57" i="6"/>
  <c r="E56" i="6"/>
  <c r="D56" i="6"/>
  <c r="B56" i="6"/>
  <c r="A56" i="6"/>
  <c r="E55" i="6"/>
  <c r="D55" i="6"/>
  <c r="B55" i="6"/>
  <c r="A55" i="6"/>
  <c r="E54" i="6"/>
  <c r="D54" i="6"/>
  <c r="B54" i="6"/>
  <c r="A54" i="6"/>
  <c r="E53" i="6"/>
  <c r="D53" i="6"/>
  <c r="B53" i="6"/>
  <c r="A53" i="6"/>
  <c r="E52" i="6"/>
  <c r="D52" i="6"/>
  <c r="B52" i="6"/>
  <c r="A52" i="6"/>
  <c r="E51" i="6"/>
  <c r="D51" i="6"/>
  <c r="B51" i="6"/>
  <c r="A51" i="6"/>
  <c r="E50" i="6"/>
  <c r="D50" i="6"/>
  <c r="B50" i="6"/>
  <c r="A50" i="6"/>
  <c r="E49" i="6"/>
  <c r="D49" i="6"/>
  <c r="B49" i="6"/>
  <c r="E48" i="6"/>
  <c r="D48" i="6"/>
  <c r="B48" i="6"/>
  <c r="E47" i="6"/>
  <c r="D47" i="6"/>
  <c r="B47" i="6"/>
  <c r="E46" i="6"/>
  <c r="D46" i="6"/>
  <c r="B46" i="6"/>
  <c r="E45" i="6"/>
  <c r="D45" i="6"/>
  <c r="B45" i="6"/>
  <c r="E44" i="6"/>
  <c r="D44" i="6"/>
  <c r="B44" i="6"/>
  <c r="E43" i="6"/>
  <c r="D43" i="6"/>
  <c r="B43" i="6"/>
  <c r="E42" i="6"/>
  <c r="D42" i="6"/>
  <c r="B42" i="6"/>
  <c r="E41" i="6"/>
  <c r="D41" i="6"/>
  <c r="B41" i="6"/>
  <c r="E40" i="6"/>
  <c r="D40" i="6"/>
  <c r="B40" i="6"/>
  <c r="E39" i="6"/>
  <c r="D39" i="6"/>
  <c r="B39" i="6"/>
  <c r="E38" i="6"/>
  <c r="D38" i="6"/>
  <c r="B38" i="6"/>
  <c r="E37" i="6"/>
  <c r="D37" i="6"/>
  <c r="B37" i="6"/>
  <c r="E36" i="6"/>
  <c r="D36" i="6"/>
  <c r="B36" i="6"/>
  <c r="A36" i="6"/>
  <c r="E35" i="6"/>
  <c r="D35" i="6"/>
  <c r="B35" i="6"/>
  <c r="A35" i="6"/>
  <c r="E34" i="6"/>
  <c r="D34" i="6"/>
  <c r="B34" i="6"/>
  <c r="A34" i="6"/>
  <c r="E33" i="6"/>
  <c r="D33" i="6"/>
  <c r="B33" i="6"/>
  <c r="A33" i="6"/>
  <c r="E32" i="6"/>
  <c r="D32" i="6"/>
  <c r="B32" i="6"/>
  <c r="A32" i="6"/>
  <c r="E31" i="6"/>
  <c r="D31" i="6"/>
  <c r="B31" i="6"/>
  <c r="A31" i="6"/>
  <c r="E30" i="6"/>
  <c r="D30" i="6"/>
  <c r="B30" i="6"/>
  <c r="A30" i="6"/>
  <c r="E29" i="6"/>
  <c r="D29" i="6"/>
  <c r="B29" i="6"/>
  <c r="A29" i="6"/>
  <c r="E28" i="6"/>
  <c r="D28" i="6"/>
  <c r="B28" i="6"/>
  <c r="A28" i="6"/>
  <c r="E27" i="6"/>
  <c r="D27" i="6"/>
  <c r="B27" i="6"/>
  <c r="A27" i="6"/>
  <c r="E26" i="6"/>
  <c r="D26" i="6"/>
  <c r="B26" i="6"/>
  <c r="A26" i="6"/>
  <c r="E25" i="6"/>
  <c r="D25" i="6"/>
  <c r="B25" i="6"/>
  <c r="A25" i="6"/>
  <c r="E24" i="6"/>
  <c r="D24" i="6"/>
  <c r="B24" i="6"/>
  <c r="A24" i="6"/>
  <c r="E23" i="6"/>
  <c r="D23" i="6"/>
  <c r="B23" i="6"/>
  <c r="A23" i="6"/>
  <c r="E22" i="6"/>
  <c r="D22" i="6"/>
  <c r="B22" i="6"/>
  <c r="A22" i="6"/>
  <c r="E21" i="6"/>
  <c r="D21" i="6"/>
  <c r="B21" i="6"/>
  <c r="A21" i="6"/>
  <c r="E20" i="6"/>
  <c r="D20" i="6"/>
  <c r="B20" i="6"/>
  <c r="A20" i="6"/>
  <c r="E19" i="6"/>
  <c r="D19" i="6"/>
  <c r="B19" i="6"/>
  <c r="A19" i="6"/>
  <c r="E18" i="6"/>
  <c r="D18" i="6"/>
  <c r="B18" i="6"/>
  <c r="A18" i="6"/>
  <c r="E17" i="6"/>
  <c r="D17" i="6"/>
  <c r="B17" i="6"/>
  <c r="A17" i="6"/>
  <c r="E16" i="6"/>
  <c r="D16" i="6"/>
  <c r="B16" i="6"/>
  <c r="A16" i="6"/>
  <c r="E15" i="6"/>
  <c r="D15" i="6"/>
  <c r="B15" i="6"/>
  <c r="E14" i="6"/>
  <c r="D14" i="6"/>
  <c r="B14" i="6"/>
  <c r="E13" i="6"/>
  <c r="D13" i="6"/>
  <c r="B13" i="6"/>
  <c r="E12" i="6"/>
  <c r="D12" i="6"/>
  <c r="B12" i="6"/>
  <c r="E11" i="6"/>
  <c r="D11" i="6"/>
  <c r="B11" i="6"/>
  <c r="E10" i="6"/>
  <c r="D10" i="6"/>
  <c r="B10" i="6"/>
  <c r="E9" i="6"/>
  <c r="D9" i="6"/>
  <c r="B9" i="6"/>
  <c r="E8" i="6"/>
  <c r="D8" i="6"/>
  <c r="B8" i="6"/>
  <c r="E7" i="6"/>
  <c r="D7" i="6"/>
  <c r="B7" i="6"/>
  <c r="E6" i="6"/>
  <c r="D6" i="6"/>
  <c r="B6" i="6"/>
  <c r="E5" i="6"/>
  <c r="D5" i="6"/>
  <c r="B5" i="6"/>
  <c r="E4" i="6"/>
  <c r="D4" i="6"/>
  <c r="B4" i="6"/>
  <c r="E3" i="6"/>
  <c r="D3" i="6"/>
  <c r="B3" i="6"/>
  <c r="E2" i="6"/>
  <c r="D2" i="6"/>
  <c r="B2" i="6"/>
  <c r="E1" i="6"/>
  <c r="D1" i="6"/>
  <c r="B1" i="6"/>
  <c r="A1" i="6"/>
  <c r="F301" i="4" a="1"/>
  <c r="F301" i="4" s="1"/>
  <c r="E301" i="4"/>
  <c r="F300" i="4" a="1"/>
  <c r="F300" i="4" s="1"/>
  <c r="E300" i="4"/>
  <c r="F299" i="4" a="1"/>
  <c r="F299" i="4" s="1"/>
  <c r="E299" i="4"/>
  <c r="F298" i="4" a="1"/>
  <c r="F298" i="4" s="1"/>
  <c r="E298" i="4"/>
  <c r="F297" i="4" a="1"/>
  <c r="F297" i="4" s="1"/>
  <c r="E297" i="4"/>
  <c r="F296" i="4" a="1"/>
  <c r="F296" i="4" s="1"/>
  <c r="E296" i="4"/>
  <c r="F295" i="4" a="1"/>
  <c r="F295" i="4" s="1"/>
  <c r="E295" i="4"/>
  <c r="F294" i="4" a="1"/>
  <c r="F294" i="4" s="1"/>
  <c r="E294" i="4"/>
  <c r="F293" i="4" a="1"/>
  <c r="F293" i="4" s="1"/>
  <c r="E293" i="4"/>
  <c r="F292" i="4" a="1"/>
  <c r="F292" i="4" s="1"/>
  <c r="E292" i="4"/>
  <c r="F291" i="4" a="1"/>
  <c r="F291" i="4" s="1"/>
  <c r="E291" i="4"/>
  <c r="F290" i="4" a="1"/>
  <c r="F290" i="4" s="1"/>
  <c r="E290" i="4"/>
  <c r="F289" i="4" a="1"/>
  <c r="F289" i="4" s="1"/>
  <c r="E289" i="4"/>
  <c r="F288" i="4" a="1"/>
  <c r="F288" i="4" s="1"/>
  <c r="E288" i="4"/>
  <c r="F287" i="4" a="1"/>
  <c r="F287" i="4" s="1"/>
  <c r="E287" i="4"/>
  <c r="F286" i="4" a="1"/>
  <c r="F286" i="4" s="1"/>
  <c r="E286" i="4"/>
  <c r="F285" i="4" a="1"/>
  <c r="F285" i="4" s="1"/>
  <c r="E285" i="4"/>
  <c r="F284" i="4" a="1"/>
  <c r="F284" i="4" s="1"/>
  <c r="E284" i="4"/>
  <c r="F283" i="4" a="1"/>
  <c r="F283" i="4" s="1"/>
  <c r="E283" i="4"/>
  <c r="F282" i="4" a="1"/>
  <c r="F282" i="4" s="1"/>
  <c r="E282" i="4"/>
  <c r="F281" i="4" a="1"/>
  <c r="F281" i="4" s="1"/>
  <c r="E281" i="4"/>
  <c r="F280" i="4" a="1"/>
  <c r="F280" i="4" s="1"/>
  <c r="E280" i="4"/>
  <c r="F279" i="4" a="1"/>
  <c r="F279" i="4" s="1"/>
  <c r="E279" i="4"/>
  <c r="F278" i="4" a="1"/>
  <c r="F278" i="4" s="1"/>
  <c r="E278" i="4"/>
  <c r="F277" i="4" a="1"/>
  <c r="F277" i="4" s="1"/>
  <c r="E277" i="4"/>
  <c r="F276" i="4" a="1"/>
  <c r="F276" i="4" s="1"/>
  <c r="E276" i="4"/>
  <c r="F275" i="4" a="1"/>
  <c r="F275" i="4" s="1"/>
  <c r="E275" i="4"/>
  <c r="F274" i="4" a="1"/>
  <c r="F274" i="4" s="1"/>
  <c r="E274" i="4"/>
  <c r="F273" i="4" a="1"/>
  <c r="F273" i="4" s="1"/>
  <c r="E273" i="4"/>
  <c r="F272" i="4" a="1"/>
  <c r="F272" i="4" s="1"/>
  <c r="E272" i="4"/>
  <c r="F271" i="4" a="1"/>
  <c r="F271" i="4" s="1"/>
  <c r="E271" i="4"/>
  <c r="F270" i="4" a="1"/>
  <c r="F270" i="4" s="1"/>
  <c r="E270" i="4"/>
  <c r="F269" i="4" a="1"/>
  <c r="F269" i="4" s="1"/>
  <c r="E269" i="4"/>
  <c r="F268" i="4" a="1"/>
  <c r="F268" i="4" s="1"/>
  <c r="E268" i="4"/>
  <c r="F267" i="4" a="1"/>
  <c r="F267" i="4" s="1"/>
  <c r="E267" i="4"/>
  <c r="F266" i="4" a="1"/>
  <c r="F266" i="4" s="1"/>
  <c r="E266" i="4"/>
  <c r="F265" i="4" a="1"/>
  <c r="F265" i="4" s="1"/>
  <c r="E265" i="4"/>
  <c r="F264" i="4" a="1"/>
  <c r="F264" i="4" s="1"/>
  <c r="E264" i="4"/>
  <c r="F263" i="4" a="1"/>
  <c r="F263" i="4" s="1"/>
  <c r="E263" i="4"/>
  <c r="F262" i="4" a="1"/>
  <c r="F262" i="4" s="1"/>
  <c r="E262" i="4"/>
  <c r="F261" i="4" a="1"/>
  <c r="F261" i="4" s="1"/>
  <c r="E261" i="4"/>
  <c r="F260" i="4" a="1"/>
  <c r="F260" i="4" s="1"/>
  <c r="E260" i="4"/>
  <c r="F259" i="4" a="1"/>
  <c r="F259" i="4" s="1"/>
  <c r="E259" i="4"/>
  <c r="F258" i="4" a="1"/>
  <c r="F258" i="4" s="1"/>
  <c r="E258" i="4"/>
  <c r="F257" i="4" a="1"/>
  <c r="F257" i="4" s="1"/>
  <c r="E257" i="4"/>
  <c r="F256" i="4" a="1"/>
  <c r="F256" i="4" s="1"/>
  <c r="E256" i="4"/>
  <c r="F255" i="4" a="1"/>
  <c r="F255" i="4" s="1"/>
  <c r="E255" i="4"/>
  <c r="F254" i="4" a="1"/>
  <c r="F254" i="4" s="1"/>
  <c r="E254" i="4"/>
  <c r="F253" i="4" a="1"/>
  <c r="F253" i="4" s="1"/>
  <c r="E253" i="4"/>
  <c r="F252" i="4" a="1"/>
  <c r="F252" i="4" s="1"/>
  <c r="E252" i="4"/>
  <c r="F251" i="4" a="1"/>
  <c r="F251" i="4" s="1"/>
  <c r="E251" i="4"/>
  <c r="F250" i="4" a="1"/>
  <c r="F250" i="4" s="1"/>
  <c r="E250" i="4"/>
  <c r="F249" i="4" a="1"/>
  <c r="F249" i="4" s="1"/>
  <c r="E249" i="4"/>
  <c r="F248" i="4" a="1"/>
  <c r="F248" i="4" s="1"/>
  <c r="E248" i="4"/>
  <c r="F247" i="4" a="1"/>
  <c r="F247" i="4" s="1"/>
  <c r="E247" i="4"/>
  <c r="F246" i="4" a="1"/>
  <c r="F246" i="4" s="1"/>
  <c r="E246" i="4"/>
  <c r="F245" i="4" a="1"/>
  <c r="F245" i="4" s="1"/>
  <c r="E245" i="4"/>
  <c r="F244" i="4" a="1"/>
  <c r="F244" i="4" s="1"/>
  <c r="E244" i="4"/>
  <c r="F243" i="4" a="1"/>
  <c r="F243" i="4" s="1"/>
  <c r="E243" i="4"/>
  <c r="F242" i="4" a="1"/>
  <c r="F242" i="4" s="1"/>
  <c r="E242" i="4"/>
  <c r="F241" i="4" a="1"/>
  <c r="F241" i="4" s="1"/>
  <c r="E241" i="4"/>
  <c r="F240" i="4" a="1"/>
  <c r="F240" i="4" s="1"/>
  <c r="E240" i="4"/>
  <c r="F239" i="4" a="1"/>
  <c r="F239" i="4" s="1"/>
  <c r="E239" i="4"/>
  <c r="F238" i="4" a="1"/>
  <c r="F238" i="4" s="1"/>
  <c r="E238" i="4"/>
  <c r="F237" i="4" a="1"/>
  <c r="F237" i="4" s="1"/>
  <c r="E237" i="4"/>
  <c r="F236" i="4" a="1"/>
  <c r="F236" i="4" s="1"/>
  <c r="E236" i="4"/>
  <c r="F235" i="4" a="1"/>
  <c r="F235" i="4" s="1"/>
  <c r="E235" i="4"/>
  <c r="F234" i="4" a="1"/>
  <c r="F234" i="4" s="1"/>
  <c r="E234" i="4"/>
  <c r="F233" i="4" a="1"/>
  <c r="F233" i="4" s="1"/>
  <c r="E233" i="4"/>
  <c r="F232" i="4" a="1"/>
  <c r="F232" i="4" s="1"/>
  <c r="E232" i="4"/>
  <c r="F231" i="4" a="1"/>
  <c r="F231" i="4" s="1"/>
  <c r="E231" i="4"/>
  <c r="F230" i="4" a="1"/>
  <c r="F230" i="4" s="1"/>
  <c r="E230" i="4"/>
  <c r="F229" i="4" a="1"/>
  <c r="F229" i="4" s="1"/>
  <c r="E229" i="4"/>
  <c r="F228" i="4" a="1"/>
  <c r="F228" i="4" s="1"/>
  <c r="E228" i="4"/>
  <c r="F227" i="4" a="1"/>
  <c r="F227" i="4" s="1"/>
  <c r="E227" i="4"/>
  <c r="F226" i="4" a="1"/>
  <c r="F226" i="4" s="1"/>
  <c r="E226" i="4"/>
  <c r="F225" i="4" a="1"/>
  <c r="F225" i="4" s="1"/>
  <c r="E225" i="4"/>
  <c r="F224" i="4" a="1"/>
  <c r="F224" i="4" s="1"/>
  <c r="E224" i="4"/>
  <c r="F223" i="4" a="1"/>
  <c r="F223" i="4" s="1"/>
  <c r="E223" i="4"/>
  <c r="F222" i="4" a="1"/>
  <c r="F222" i="4" s="1"/>
  <c r="E222" i="4"/>
  <c r="F221" i="4" a="1"/>
  <c r="F221" i="4" s="1"/>
  <c r="E221" i="4"/>
  <c r="F220" i="4" a="1"/>
  <c r="F220" i="4" s="1"/>
  <c r="E220" i="4"/>
  <c r="F219" i="4" a="1"/>
  <c r="F219" i="4" s="1"/>
  <c r="E219" i="4"/>
  <c r="F218" i="4" a="1"/>
  <c r="F218" i="4" s="1"/>
  <c r="E218" i="4"/>
  <c r="F217" i="4" a="1"/>
  <c r="F217" i="4" s="1"/>
  <c r="E217" i="4"/>
  <c r="F216" i="4" a="1"/>
  <c r="F216" i="4" s="1"/>
  <c r="E216" i="4"/>
  <c r="F215" i="4" a="1"/>
  <c r="F215" i="4" s="1"/>
  <c r="E215" i="4"/>
  <c r="F214" i="4" a="1"/>
  <c r="F214" i="4" s="1"/>
  <c r="E214" i="4"/>
  <c r="F213" i="4" a="1"/>
  <c r="F213" i="4" s="1"/>
  <c r="E213" i="4"/>
  <c r="F212" i="4" a="1"/>
  <c r="F212" i="4" s="1"/>
  <c r="E212" i="4"/>
  <c r="F211" i="4" a="1"/>
  <c r="F211" i="4" s="1"/>
  <c r="E211" i="4"/>
  <c r="F210" i="4" a="1"/>
  <c r="F210" i="4" s="1"/>
  <c r="E210" i="4"/>
  <c r="F209" i="4" a="1"/>
  <c r="F209" i="4" s="1"/>
  <c r="E209" i="4"/>
  <c r="F208" i="4" a="1"/>
  <c r="F208" i="4" s="1"/>
  <c r="E208" i="4"/>
  <c r="F207" i="4" a="1"/>
  <c r="F207" i="4" s="1"/>
  <c r="E207" i="4"/>
  <c r="F206" i="4" a="1"/>
  <c r="F206" i="4" s="1"/>
  <c r="E206" i="4"/>
  <c r="F205" i="4" a="1"/>
  <c r="F205" i="4" s="1"/>
  <c r="E205" i="4"/>
  <c r="F204" i="4" a="1"/>
  <c r="F204" i="4" s="1"/>
  <c r="E204" i="4"/>
  <c r="F203" i="4" a="1"/>
  <c r="F203" i="4" s="1"/>
  <c r="E203" i="4"/>
  <c r="F202" i="4" a="1"/>
  <c r="F202" i="4" s="1"/>
  <c r="E202" i="4"/>
  <c r="F201" i="4" a="1"/>
  <c r="F201" i="4" s="1"/>
  <c r="E201" i="4"/>
  <c r="F200" i="4" a="1"/>
  <c r="F200" i="4" s="1"/>
  <c r="E200" i="4"/>
  <c r="F199" i="4" a="1"/>
  <c r="F199" i="4" s="1"/>
  <c r="E199" i="4"/>
  <c r="F198" i="4" a="1"/>
  <c r="F198" i="4" s="1"/>
  <c r="E198" i="4"/>
  <c r="F197" i="4" a="1"/>
  <c r="F197" i="4" s="1"/>
  <c r="E197" i="4"/>
  <c r="F196" i="4" a="1"/>
  <c r="F196" i="4" s="1"/>
  <c r="E196" i="4"/>
  <c r="F195" i="4" a="1"/>
  <c r="F195" i="4" s="1"/>
  <c r="E195" i="4"/>
  <c r="F194" i="4" a="1"/>
  <c r="F194" i="4" s="1"/>
  <c r="E194" i="4"/>
  <c r="F193" i="4" a="1"/>
  <c r="F193" i="4" s="1"/>
  <c r="E193" i="4"/>
  <c r="F192" i="4" a="1"/>
  <c r="F192" i="4" s="1"/>
  <c r="E192" i="4"/>
  <c r="F191" i="4" a="1"/>
  <c r="F191" i="4" s="1"/>
  <c r="E191" i="4"/>
  <c r="F190" i="4" a="1"/>
  <c r="F190" i="4" s="1"/>
  <c r="E190" i="4"/>
  <c r="F189" i="4" a="1"/>
  <c r="F189" i="4" s="1"/>
  <c r="E189" i="4"/>
  <c r="F188" i="4" a="1"/>
  <c r="F188" i="4" s="1"/>
  <c r="E188" i="4"/>
  <c r="F187" i="4" a="1"/>
  <c r="F187" i="4" s="1"/>
  <c r="E187" i="4"/>
  <c r="F186" i="4" a="1"/>
  <c r="F186" i="4" s="1"/>
  <c r="E186" i="4"/>
  <c r="F185" i="4" a="1"/>
  <c r="F185" i="4" s="1"/>
  <c r="E185" i="4"/>
  <c r="F184" i="4" a="1"/>
  <c r="F184" i="4" s="1"/>
  <c r="E184" i="4"/>
  <c r="F183" i="4" a="1"/>
  <c r="F183" i="4" s="1"/>
  <c r="E183" i="4"/>
  <c r="F182" i="4" a="1"/>
  <c r="F182" i="4" s="1"/>
  <c r="E182" i="4"/>
  <c r="F181" i="4" a="1"/>
  <c r="F181" i="4" s="1"/>
  <c r="E181" i="4"/>
  <c r="F180" i="4" a="1"/>
  <c r="F180" i="4" s="1"/>
  <c r="E180" i="4"/>
  <c r="F179" i="4" a="1"/>
  <c r="F179" i="4" s="1"/>
  <c r="E179" i="4"/>
  <c r="F178" i="4" a="1"/>
  <c r="F178" i="4" s="1"/>
  <c r="E178" i="4"/>
  <c r="F177" i="4" a="1"/>
  <c r="F177" i="4" s="1"/>
  <c r="E177" i="4"/>
  <c r="F176" i="4" a="1"/>
  <c r="F176" i="4" s="1"/>
  <c r="E176" i="4"/>
  <c r="F175" i="4" a="1"/>
  <c r="F175" i="4" s="1"/>
  <c r="E175" i="4"/>
  <c r="F174" i="4" a="1"/>
  <c r="F174" i="4" s="1"/>
  <c r="E174" i="4"/>
  <c r="F173" i="4" a="1"/>
  <c r="F173" i="4" s="1"/>
  <c r="E173" i="4"/>
  <c r="F172" i="4" a="1"/>
  <c r="F172" i="4" s="1"/>
  <c r="E172" i="4"/>
  <c r="F171" i="4" a="1"/>
  <c r="F171" i="4" s="1"/>
  <c r="E171" i="4"/>
  <c r="F170" i="4" a="1"/>
  <c r="F170" i="4" s="1"/>
  <c r="E170" i="4"/>
  <c r="F169" i="4" a="1"/>
  <c r="F169" i="4" s="1"/>
  <c r="E169" i="4"/>
  <c r="F168" i="4" a="1"/>
  <c r="F168" i="4" s="1"/>
  <c r="E168" i="4"/>
  <c r="F167" i="4" a="1"/>
  <c r="F167" i="4" s="1"/>
  <c r="E167" i="4"/>
  <c r="F166" i="4" a="1"/>
  <c r="F166" i="4" s="1"/>
  <c r="E166" i="4"/>
  <c r="F165" i="4" a="1"/>
  <c r="F165" i="4" s="1"/>
  <c r="E165" i="4"/>
  <c r="F164" i="4" a="1"/>
  <c r="F164" i="4" s="1"/>
  <c r="E164" i="4"/>
  <c r="F163" i="4" a="1"/>
  <c r="F163" i="4" s="1"/>
  <c r="E163" i="4"/>
  <c r="F162" i="4" a="1"/>
  <c r="F162" i="4" s="1"/>
  <c r="E162" i="4"/>
  <c r="F161" i="4" a="1"/>
  <c r="F161" i="4" s="1"/>
  <c r="E161" i="4"/>
  <c r="F160" i="4" a="1"/>
  <c r="F160" i="4" s="1"/>
  <c r="E160" i="4"/>
  <c r="F159" i="4" a="1"/>
  <c r="F159" i="4" s="1"/>
  <c r="E159" i="4"/>
  <c r="F158" i="4" a="1"/>
  <c r="F158" i="4" s="1"/>
  <c r="E158" i="4"/>
  <c r="F157" i="4" a="1"/>
  <c r="F157" i="4" s="1"/>
  <c r="E157" i="4"/>
  <c r="F156" i="4" a="1"/>
  <c r="F156" i="4" s="1"/>
  <c r="E156" i="4"/>
  <c r="F155" i="4" a="1"/>
  <c r="F155" i="4" s="1"/>
  <c r="E155" i="4"/>
  <c r="F154" i="4" a="1"/>
  <c r="F154" i="4" s="1"/>
  <c r="E154" i="4"/>
  <c r="F153" i="4" a="1"/>
  <c r="F153" i="4" s="1"/>
  <c r="E153" i="4"/>
  <c r="F152" i="4" a="1"/>
  <c r="F152" i="4" s="1"/>
  <c r="E152" i="4"/>
  <c r="F151" i="4" a="1"/>
  <c r="F151" i="4" s="1"/>
  <c r="E151" i="4"/>
  <c r="F150" i="4" a="1"/>
  <c r="F150" i="4" s="1"/>
  <c r="E150" i="4"/>
  <c r="F149" i="4" a="1"/>
  <c r="F149" i="4" s="1"/>
  <c r="E149" i="4"/>
  <c r="F148" i="4" a="1"/>
  <c r="F148" i="4" s="1"/>
  <c r="E148" i="4"/>
  <c r="F147" i="4" a="1"/>
  <c r="F147" i="4" s="1"/>
  <c r="E147" i="4"/>
  <c r="F146" i="4" a="1"/>
  <c r="F146" i="4" s="1"/>
  <c r="E146" i="4"/>
  <c r="F145" i="4" a="1"/>
  <c r="F145" i="4" s="1"/>
  <c r="E145" i="4"/>
  <c r="F144" i="4" a="1"/>
  <c r="F144" i="4" s="1"/>
  <c r="E144" i="4"/>
  <c r="F143" i="4" a="1"/>
  <c r="F143" i="4" s="1"/>
  <c r="E143" i="4"/>
  <c r="F142" i="4" a="1"/>
  <c r="F142" i="4" s="1"/>
  <c r="E142" i="4"/>
  <c r="F141" i="4" a="1"/>
  <c r="F141" i="4" s="1"/>
  <c r="E141" i="4"/>
  <c r="F140" i="4" a="1"/>
  <c r="F140" i="4" s="1"/>
  <c r="E140" i="4"/>
  <c r="F139" i="4" a="1"/>
  <c r="F139" i="4" s="1"/>
  <c r="E139" i="4"/>
  <c r="F138" i="4" a="1"/>
  <c r="F138" i="4" s="1"/>
  <c r="E138" i="4"/>
  <c r="F137" i="4" a="1"/>
  <c r="F137" i="4" s="1"/>
  <c r="E137" i="4"/>
  <c r="F136" i="4" a="1"/>
  <c r="F136" i="4" s="1"/>
  <c r="E136" i="4"/>
  <c r="F135" i="4" a="1"/>
  <c r="F135" i="4" s="1"/>
  <c r="E135" i="4"/>
  <c r="F134" i="4" a="1"/>
  <c r="F134" i="4" s="1"/>
  <c r="E134" i="4"/>
  <c r="F133" i="4" a="1"/>
  <c r="F133" i="4" s="1"/>
  <c r="E133" i="4"/>
  <c r="F132" i="4" a="1"/>
  <c r="F132" i="4" s="1"/>
  <c r="E132" i="4"/>
  <c r="F131" i="4" a="1"/>
  <c r="F131" i="4" s="1"/>
  <c r="E131" i="4"/>
  <c r="F130" i="4" a="1"/>
  <c r="F130" i="4" s="1"/>
  <c r="E130" i="4"/>
  <c r="F129" i="4" a="1"/>
  <c r="F129" i="4" s="1"/>
  <c r="E129" i="4"/>
  <c r="F128" i="4" a="1"/>
  <c r="F128" i="4" s="1"/>
  <c r="E128" i="4"/>
  <c r="F127" i="4" a="1"/>
  <c r="F127" i="4" s="1"/>
  <c r="E127" i="4"/>
  <c r="F126" i="4" a="1"/>
  <c r="F126" i="4" s="1"/>
  <c r="E126" i="4"/>
  <c r="F125" i="4" a="1"/>
  <c r="F125" i="4" s="1"/>
  <c r="E125" i="4"/>
  <c r="F124" i="4" a="1"/>
  <c r="F124" i="4" s="1"/>
  <c r="E124" i="4"/>
  <c r="F123" i="4" a="1"/>
  <c r="F123" i="4" s="1"/>
  <c r="E123" i="4"/>
  <c r="F122" i="4" a="1"/>
  <c r="F122" i="4" s="1"/>
  <c r="E122" i="4"/>
  <c r="F121" i="4" a="1"/>
  <c r="F121" i="4" s="1"/>
  <c r="E121" i="4"/>
  <c r="F120" i="4" a="1"/>
  <c r="F120" i="4" s="1"/>
  <c r="E120" i="4"/>
  <c r="F119" i="4" a="1"/>
  <c r="F119" i="4" s="1"/>
  <c r="E119" i="4"/>
  <c r="F118" i="4" a="1"/>
  <c r="F118" i="4" s="1"/>
  <c r="E118" i="4"/>
  <c r="F117" i="4" a="1"/>
  <c r="F117" i="4" s="1"/>
  <c r="E117" i="4"/>
  <c r="F116" i="4" a="1"/>
  <c r="F116" i="4" s="1"/>
  <c r="E116" i="4"/>
  <c r="F115" i="4" a="1"/>
  <c r="F115" i="4" s="1"/>
  <c r="E115" i="4"/>
  <c r="F114" i="4" a="1"/>
  <c r="F114" i="4" s="1"/>
  <c r="E114" i="4"/>
  <c r="F113" i="4" a="1"/>
  <c r="F113" i="4" s="1"/>
  <c r="E113" i="4"/>
  <c r="F112" i="4" a="1"/>
  <c r="F112" i="4" s="1"/>
  <c r="E112" i="4"/>
  <c r="F111" i="4" a="1"/>
  <c r="F111" i="4" s="1"/>
  <c r="E111" i="4"/>
  <c r="F110" i="4" a="1"/>
  <c r="F110" i="4" s="1"/>
  <c r="E110" i="4"/>
  <c r="F109" i="4" a="1"/>
  <c r="F109" i="4" s="1"/>
  <c r="E109" i="4"/>
  <c r="F108" i="4" a="1"/>
  <c r="F108" i="4" s="1"/>
  <c r="E108" i="4"/>
  <c r="F107" i="4" a="1"/>
  <c r="F107" i="4" s="1"/>
  <c r="E107" i="4"/>
  <c r="F106" i="4" a="1"/>
  <c r="F106" i="4" s="1"/>
  <c r="E106" i="4"/>
  <c r="F105" i="4" a="1"/>
  <c r="F105" i="4" s="1"/>
  <c r="E105" i="4"/>
  <c r="F104" i="4" a="1"/>
  <c r="F104" i="4" s="1"/>
  <c r="E104" i="4"/>
  <c r="F103" i="4" a="1"/>
  <c r="F103" i="4" s="1"/>
  <c r="E103" i="4"/>
  <c r="F102" i="4" a="1"/>
  <c r="F102" i="4" s="1"/>
  <c r="E102" i="4"/>
  <c r="F101" i="4" a="1"/>
  <c r="F101" i="4" s="1"/>
  <c r="E101" i="4"/>
  <c r="F100" i="4" a="1"/>
  <c r="F100" i="4" s="1"/>
  <c r="E100" i="4"/>
  <c r="F99" i="4" a="1"/>
  <c r="F99" i="4" s="1"/>
  <c r="E99" i="4"/>
  <c r="F98" i="4" a="1"/>
  <c r="F98" i="4" s="1"/>
  <c r="E98" i="4"/>
  <c r="F97" i="4" a="1"/>
  <c r="F97" i="4" s="1"/>
  <c r="E97" i="4"/>
  <c r="F96" i="4" a="1"/>
  <c r="F96" i="4" s="1"/>
  <c r="E96" i="4"/>
  <c r="F95" i="4" a="1"/>
  <c r="F95" i="4" s="1"/>
  <c r="E95" i="4"/>
  <c r="F94" i="4" a="1"/>
  <c r="F94" i="4" s="1"/>
  <c r="E94" i="4"/>
  <c r="F93" i="4" a="1"/>
  <c r="F93" i="4" s="1"/>
  <c r="E93" i="4"/>
  <c r="F92" i="4" a="1"/>
  <c r="F92" i="4" s="1"/>
  <c r="E92" i="4"/>
  <c r="F91" i="4" a="1"/>
  <c r="F91" i="4" s="1"/>
  <c r="E91" i="4"/>
  <c r="F90" i="4" a="1"/>
  <c r="F90" i="4" s="1"/>
  <c r="E90" i="4"/>
  <c r="F89" i="4" a="1"/>
  <c r="F89" i="4" s="1"/>
  <c r="E89" i="4"/>
  <c r="F88" i="4" a="1"/>
  <c r="F88" i="4" s="1"/>
  <c r="E88" i="4"/>
  <c r="F87" i="4" a="1"/>
  <c r="F87" i="4" s="1"/>
  <c r="E87" i="4"/>
  <c r="F86" i="4" a="1"/>
  <c r="F86" i="4" s="1"/>
  <c r="E86" i="4"/>
  <c r="F85" i="4" a="1"/>
  <c r="F85" i="4" s="1"/>
  <c r="E85" i="4"/>
  <c r="F84" i="4" a="1"/>
  <c r="F84" i="4" s="1"/>
  <c r="E84" i="4"/>
  <c r="F83" i="4" a="1"/>
  <c r="F83" i="4" s="1"/>
  <c r="E83" i="4"/>
  <c r="F82" i="4" a="1"/>
  <c r="F82" i="4" s="1"/>
  <c r="E82" i="4"/>
  <c r="F81" i="4" a="1"/>
  <c r="F81" i="4" s="1"/>
  <c r="E81" i="4"/>
  <c r="F80" i="4" a="1"/>
  <c r="F80" i="4" s="1"/>
  <c r="E80" i="4"/>
  <c r="F79" i="4" a="1"/>
  <c r="F79" i="4" s="1"/>
  <c r="E79" i="4"/>
  <c r="F78" i="4" a="1"/>
  <c r="F78" i="4" s="1"/>
  <c r="E78" i="4"/>
  <c r="F77" i="4" a="1"/>
  <c r="F77" i="4" s="1"/>
  <c r="E77" i="4"/>
  <c r="F76" i="4" a="1"/>
  <c r="F76" i="4" s="1"/>
  <c r="E76" i="4"/>
  <c r="F75" i="4" a="1"/>
  <c r="F75" i="4" s="1"/>
  <c r="E75" i="4"/>
  <c r="F74" i="4" a="1"/>
  <c r="F74" i="4" s="1"/>
  <c r="E74" i="4"/>
  <c r="F73" i="4" a="1"/>
  <c r="F73" i="4" s="1"/>
  <c r="E73" i="4"/>
  <c r="F72" i="4" a="1"/>
  <c r="F72" i="4" s="1"/>
  <c r="E72" i="4"/>
  <c r="F71" i="4" a="1"/>
  <c r="F71" i="4" s="1"/>
  <c r="E71" i="4"/>
  <c r="F70" i="4" a="1"/>
  <c r="F70" i="4" s="1"/>
  <c r="E70" i="4"/>
  <c r="F69" i="4" a="1"/>
  <c r="F69" i="4" s="1"/>
  <c r="E69" i="4"/>
  <c r="F68" i="4" a="1"/>
  <c r="F68" i="4" s="1"/>
  <c r="E68" i="4"/>
  <c r="F67" i="4" a="1"/>
  <c r="F67" i="4" s="1"/>
  <c r="E67" i="4"/>
  <c r="F66" i="4" a="1"/>
  <c r="F66" i="4" s="1"/>
  <c r="E66" i="4"/>
  <c r="F65" i="4" a="1"/>
  <c r="F65" i="4" s="1"/>
  <c r="E65" i="4"/>
  <c r="F64" i="4" a="1"/>
  <c r="F64" i="4" s="1"/>
  <c r="E64" i="4"/>
  <c r="F63" i="4" a="1"/>
  <c r="F63" i="4" s="1"/>
  <c r="E63" i="4"/>
  <c r="F62" i="4" a="1"/>
  <c r="F62" i="4" s="1"/>
  <c r="E62" i="4"/>
  <c r="F61" i="4" a="1"/>
  <c r="F61" i="4" s="1"/>
  <c r="E61" i="4"/>
  <c r="F60" i="4" a="1"/>
  <c r="F60" i="4" s="1"/>
  <c r="E60" i="4"/>
  <c r="F59" i="4" a="1"/>
  <c r="F59" i="4" s="1"/>
  <c r="E59" i="4"/>
  <c r="F58" i="4" a="1"/>
  <c r="F58" i="4" s="1"/>
  <c r="E58" i="4"/>
  <c r="F57" i="4" a="1"/>
  <c r="F57" i="4" s="1"/>
  <c r="E57" i="4"/>
  <c r="F56" i="4" a="1"/>
  <c r="F56" i="4" s="1"/>
  <c r="E56" i="4"/>
  <c r="F55" i="4" a="1"/>
  <c r="F55" i="4" s="1"/>
  <c r="E55" i="4"/>
  <c r="F54" i="4" a="1"/>
  <c r="F54" i="4" s="1"/>
  <c r="E54" i="4"/>
  <c r="F53" i="4" a="1"/>
  <c r="F53" i="4" s="1"/>
  <c r="E53" i="4"/>
  <c r="F52" i="4" a="1"/>
  <c r="F52" i="4" s="1"/>
  <c r="E52" i="4"/>
  <c r="F51" i="4" a="1"/>
  <c r="F51" i="4" s="1"/>
  <c r="E51" i="4"/>
  <c r="F50" i="4" a="1"/>
  <c r="F50" i="4" s="1"/>
  <c r="E50" i="4"/>
  <c r="F49" i="4" a="1"/>
  <c r="F49" i="4" s="1"/>
  <c r="E49" i="4"/>
  <c r="F48" i="4" a="1"/>
  <c r="F48" i="4" s="1"/>
  <c r="E48" i="4"/>
  <c r="F47" i="4" a="1"/>
  <c r="F47" i="4" s="1"/>
  <c r="E47" i="4"/>
  <c r="F46" i="4" a="1"/>
  <c r="F46" i="4" s="1"/>
  <c r="E46" i="4"/>
  <c r="F45" i="4" a="1"/>
  <c r="F45" i="4" s="1"/>
  <c r="E45" i="4"/>
  <c r="F44" i="4" a="1"/>
  <c r="F44" i="4" s="1"/>
  <c r="E44" i="4"/>
  <c r="F43" i="4" a="1"/>
  <c r="F43" i="4" s="1"/>
  <c r="E43" i="4"/>
  <c r="F42" i="4" a="1"/>
  <c r="F42" i="4" s="1"/>
  <c r="E42" i="4"/>
  <c r="F41" i="4" a="1"/>
  <c r="F41" i="4" s="1"/>
  <c r="E41" i="4"/>
  <c r="F40" i="4" a="1"/>
  <c r="F40" i="4" s="1"/>
  <c r="E40" i="4"/>
  <c r="F39" i="4" a="1"/>
  <c r="F39" i="4" s="1"/>
  <c r="E39" i="4"/>
  <c r="F38" i="4" a="1"/>
  <c r="F38" i="4" s="1"/>
  <c r="E38" i="4"/>
  <c r="F37" i="4" a="1"/>
  <c r="F37" i="4" s="1"/>
  <c r="E37" i="4"/>
  <c r="F36" i="4" a="1"/>
  <c r="F36" i="4" s="1"/>
  <c r="E36" i="4"/>
  <c r="F35" i="4" a="1"/>
  <c r="F35" i="4" s="1"/>
  <c r="E35" i="4"/>
  <c r="F34" i="4" a="1"/>
  <c r="F34" i="4" s="1"/>
  <c r="E34" i="4"/>
  <c r="F33" i="4" a="1"/>
  <c r="F33" i="4" s="1"/>
  <c r="E33" i="4"/>
  <c r="F32" i="4" a="1"/>
  <c r="F32" i="4" s="1"/>
  <c r="E32" i="4"/>
  <c r="F31" i="4" a="1"/>
  <c r="F31" i="4" s="1"/>
  <c r="E31" i="4"/>
  <c r="F30" i="4" a="1"/>
  <c r="F30" i="4" s="1"/>
  <c r="E30" i="4"/>
  <c r="F29" i="4" a="1"/>
  <c r="F29" i="4" s="1"/>
  <c r="E29" i="4"/>
  <c r="F28" i="4" a="1"/>
  <c r="F28" i="4" s="1"/>
  <c r="E28" i="4"/>
  <c r="F27" i="4" a="1"/>
  <c r="F27" i="4" s="1"/>
  <c r="E27" i="4"/>
  <c r="F26" i="4" a="1"/>
  <c r="F26" i="4" s="1"/>
  <c r="E26" i="4"/>
  <c r="F25" i="4" a="1"/>
  <c r="F25" i="4" s="1"/>
  <c r="E25" i="4"/>
  <c r="F24" i="4" a="1"/>
  <c r="F24" i="4" s="1"/>
  <c r="E24" i="4"/>
  <c r="F23" i="4" a="1"/>
  <c r="F23" i="4" s="1"/>
  <c r="E23" i="4"/>
  <c r="F22" i="4" a="1"/>
  <c r="F22" i="4" s="1"/>
  <c r="E22" i="4"/>
  <c r="F21" i="4" a="1"/>
  <c r="F21" i="4" s="1"/>
  <c r="E21" i="4"/>
  <c r="F20" i="4" a="1"/>
  <c r="F20" i="4" s="1"/>
  <c r="E20" i="4"/>
  <c r="F19" i="4" a="1"/>
  <c r="F19" i="4" s="1"/>
  <c r="E19" i="4"/>
  <c r="F18" i="4" a="1"/>
  <c r="F18" i="4" s="1"/>
  <c r="E18" i="4"/>
  <c r="F17" i="4" a="1"/>
  <c r="F17" i="4" s="1"/>
  <c r="E17" i="4"/>
  <c r="F16" i="4" a="1"/>
  <c r="F16" i="4" s="1"/>
  <c r="E16" i="4"/>
  <c r="F15" i="4" a="1"/>
  <c r="F15" i="4" s="1"/>
  <c r="E15" i="4"/>
  <c r="F14" i="4" a="1"/>
  <c r="F14" i="4" s="1"/>
  <c r="E14" i="4"/>
  <c r="F13" i="4" a="1"/>
  <c r="F13" i="4" s="1"/>
  <c r="E13" i="4"/>
  <c r="F12" i="4" a="1"/>
  <c r="F12" i="4" s="1"/>
  <c r="E12" i="4"/>
  <c r="F11" i="4" a="1"/>
  <c r="F11" i="4" s="1"/>
  <c r="E11" i="4"/>
  <c r="F10" i="4" a="1"/>
  <c r="F10" i="4" s="1"/>
  <c r="E10" i="4"/>
  <c r="F9" i="4" a="1"/>
  <c r="F9" i="4" s="1"/>
  <c r="E9" i="4"/>
  <c r="F8" i="4" a="1"/>
  <c r="F8" i="4" s="1"/>
  <c r="E8" i="4"/>
  <c r="F7" i="4" a="1"/>
  <c r="F7" i="4" s="1"/>
  <c r="E7" i="4"/>
  <c r="F6" i="4" a="1"/>
  <c r="F6" i="4" s="1"/>
  <c r="E6" i="4"/>
  <c r="F5" i="4" a="1"/>
  <c r="F5" i="4" s="1"/>
  <c r="E5" i="4"/>
  <c r="F4" i="4" a="1"/>
  <c r="F4" i="4" s="1"/>
  <c r="E4" i="4"/>
  <c r="F3" i="4" a="1"/>
  <c r="F3" i="4" s="1"/>
  <c r="E3" i="4"/>
  <c r="F2" i="4" a="1"/>
  <c r="F2" i="4" s="1"/>
  <c r="E2" i="4"/>
  <c r="F523" i="3" a="1"/>
  <c r="F523" i="3" s="1"/>
  <c r="E523" i="3" a="1"/>
  <c r="E523" i="3" s="1"/>
  <c r="F522" i="3" a="1"/>
  <c r="F522" i="3" s="1"/>
  <c r="E522" i="3" a="1"/>
  <c r="E522" i="3" s="1"/>
  <c r="F521" i="3" a="1"/>
  <c r="F521" i="3" s="1"/>
  <c r="E521" i="3" a="1"/>
  <c r="E521" i="3" s="1"/>
  <c r="F520" i="3" a="1"/>
  <c r="F520" i="3" s="1"/>
  <c r="E520" i="3" a="1"/>
  <c r="E520" i="3" s="1"/>
  <c r="F519" i="3" a="1"/>
  <c r="F519" i="3" s="1"/>
  <c r="E519" i="3" a="1"/>
  <c r="E519" i="3" s="1"/>
  <c r="F518" i="3" a="1"/>
  <c r="F518" i="3" s="1"/>
  <c r="E518" i="3" a="1"/>
  <c r="E518" i="3" s="1"/>
  <c r="F517" i="3" a="1"/>
  <c r="F517" i="3" s="1"/>
  <c r="E517" i="3" a="1"/>
  <c r="E517" i="3" s="1"/>
  <c r="F516" i="3" a="1"/>
  <c r="F516" i="3" s="1"/>
  <c r="E516" i="3" a="1"/>
  <c r="E516" i="3" s="1"/>
  <c r="F515" i="3" a="1"/>
  <c r="F515" i="3" s="1"/>
  <c r="E515" i="3" a="1"/>
  <c r="E515" i="3" s="1"/>
  <c r="F514" i="3" a="1"/>
  <c r="F514" i="3" s="1"/>
  <c r="E514" i="3" a="1"/>
  <c r="E514" i="3" s="1"/>
  <c r="F513" i="3" a="1"/>
  <c r="F513" i="3" s="1"/>
  <c r="E513" i="3" a="1"/>
  <c r="E513" i="3" s="1"/>
  <c r="F512" i="3" a="1"/>
  <c r="F512" i="3" s="1"/>
  <c r="E512" i="3" a="1"/>
  <c r="E512" i="3" s="1"/>
  <c r="F511" i="3" a="1"/>
  <c r="F511" i="3" s="1"/>
  <c r="E511" i="3" a="1"/>
  <c r="E511" i="3" s="1"/>
  <c r="F510" i="3" a="1"/>
  <c r="F510" i="3" s="1"/>
  <c r="E510" i="3" a="1"/>
  <c r="E510" i="3" s="1"/>
  <c r="F509" i="3" a="1"/>
  <c r="F509" i="3" s="1"/>
  <c r="E509" i="3" a="1"/>
  <c r="E509" i="3" s="1"/>
  <c r="F508" i="3" a="1"/>
  <c r="F508" i="3" s="1"/>
  <c r="E508" i="3" a="1"/>
  <c r="E508" i="3" s="1"/>
  <c r="F507" i="3" a="1"/>
  <c r="F507" i="3" s="1"/>
  <c r="E507" i="3" a="1"/>
  <c r="E507" i="3" s="1"/>
  <c r="F506" i="3" a="1"/>
  <c r="F506" i="3" s="1"/>
  <c r="E506" i="3" a="1"/>
  <c r="E506" i="3" s="1"/>
  <c r="F505" i="3" a="1"/>
  <c r="F505" i="3" s="1"/>
  <c r="E505" i="3" a="1"/>
  <c r="E505" i="3" s="1"/>
  <c r="F504" i="3" a="1"/>
  <c r="F504" i="3" s="1"/>
  <c r="E504" i="3" a="1"/>
  <c r="E504" i="3" s="1"/>
  <c r="F503" i="3" a="1"/>
  <c r="F503" i="3" s="1"/>
  <c r="E503" i="3" a="1"/>
  <c r="E503" i="3" s="1"/>
  <c r="F502" i="3" a="1"/>
  <c r="F502" i="3" s="1"/>
  <c r="E502" i="3" a="1"/>
  <c r="E502" i="3" s="1"/>
  <c r="F501" i="3" a="1"/>
  <c r="F501" i="3" s="1"/>
  <c r="E501" i="3" a="1"/>
  <c r="E501" i="3" s="1"/>
  <c r="F500" i="3" a="1"/>
  <c r="F500" i="3" s="1"/>
  <c r="E500" i="3" a="1"/>
  <c r="E500" i="3" s="1"/>
  <c r="F499" i="3" a="1"/>
  <c r="F499" i="3" s="1"/>
  <c r="E499" i="3" a="1"/>
  <c r="E499" i="3" s="1"/>
  <c r="F498" i="3" a="1"/>
  <c r="F498" i="3" s="1"/>
  <c r="E498" i="3" a="1"/>
  <c r="E498" i="3" s="1"/>
  <c r="F497" i="3" a="1"/>
  <c r="F497" i="3" s="1"/>
  <c r="E497" i="3" a="1"/>
  <c r="E497" i="3" s="1"/>
  <c r="F496" i="3" a="1"/>
  <c r="F496" i="3" s="1"/>
  <c r="E496" i="3" a="1"/>
  <c r="E496" i="3" s="1"/>
  <c r="F495" i="3" a="1"/>
  <c r="F495" i="3" s="1"/>
  <c r="E495" i="3" a="1"/>
  <c r="E495" i="3" s="1"/>
  <c r="F494" i="3" a="1"/>
  <c r="F494" i="3" s="1"/>
  <c r="E494" i="3" a="1"/>
  <c r="E494" i="3" s="1"/>
  <c r="F493" i="3" a="1"/>
  <c r="F493" i="3" s="1"/>
  <c r="E493" i="3" a="1"/>
  <c r="E493" i="3" s="1"/>
  <c r="F492" i="3" a="1"/>
  <c r="F492" i="3" s="1"/>
  <c r="E492" i="3" a="1"/>
  <c r="E492" i="3" s="1"/>
  <c r="F491" i="3" a="1"/>
  <c r="F491" i="3" s="1"/>
  <c r="E491" i="3" a="1"/>
  <c r="E491" i="3" s="1"/>
  <c r="F490" i="3" a="1"/>
  <c r="F490" i="3" s="1"/>
  <c r="E490" i="3" a="1"/>
  <c r="E490" i="3" s="1"/>
  <c r="F489" i="3" a="1"/>
  <c r="F489" i="3" s="1"/>
  <c r="E489" i="3" a="1"/>
  <c r="E489" i="3" s="1"/>
  <c r="F488" i="3" a="1"/>
  <c r="F488" i="3" s="1"/>
  <c r="E488" i="3" a="1"/>
  <c r="E488" i="3" s="1"/>
  <c r="F487" i="3" a="1"/>
  <c r="F487" i="3" s="1"/>
  <c r="E487" i="3" a="1"/>
  <c r="E487" i="3" s="1"/>
  <c r="F486" i="3" a="1"/>
  <c r="F486" i="3" s="1"/>
  <c r="E486" i="3" a="1"/>
  <c r="E486" i="3" s="1"/>
  <c r="F485" i="3" a="1"/>
  <c r="F485" i="3" s="1"/>
  <c r="E485" i="3" a="1"/>
  <c r="E485" i="3" s="1"/>
  <c r="F484" i="3" a="1"/>
  <c r="F484" i="3" s="1"/>
  <c r="E484" i="3" a="1"/>
  <c r="E484" i="3" s="1"/>
  <c r="F483" i="3" a="1"/>
  <c r="F483" i="3" s="1"/>
  <c r="E483" i="3" a="1"/>
  <c r="E483" i="3" s="1"/>
  <c r="F482" i="3" a="1"/>
  <c r="F482" i="3" s="1"/>
  <c r="E482" i="3" a="1"/>
  <c r="E482" i="3" s="1"/>
  <c r="F481" i="3" a="1"/>
  <c r="F481" i="3" s="1"/>
  <c r="E481" i="3" a="1"/>
  <c r="E481" i="3" s="1"/>
  <c r="F480" i="3" a="1"/>
  <c r="F480" i="3" s="1"/>
  <c r="E480" i="3" a="1"/>
  <c r="E480" i="3" s="1"/>
  <c r="F479" i="3" a="1"/>
  <c r="F479" i="3" s="1"/>
  <c r="E479" i="3" a="1"/>
  <c r="E479" i="3" s="1"/>
  <c r="F478" i="3" a="1"/>
  <c r="F478" i="3" s="1"/>
  <c r="E478" i="3" a="1"/>
  <c r="E478" i="3" s="1"/>
  <c r="F477" i="3" a="1"/>
  <c r="F477" i="3" s="1"/>
  <c r="E477" i="3" a="1"/>
  <c r="E477" i="3" s="1"/>
  <c r="F476" i="3" a="1"/>
  <c r="F476" i="3" s="1"/>
  <c r="E476" i="3" a="1"/>
  <c r="E476" i="3" s="1"/>
  <c r="F475" i="3" a="1"/>
  <c r="F475" i="3" s="1"/>
  <c r="E475" i="3" a="1"/>
  <c r="E475" i="3" s="1"/>
  <c r="F474" i="3" a="1"/>
  <c r="F474" i="3" s="1"/>
  <c r="E474" i="3" a="1"/>
  <c r="E474" i="3" s="1"/>
  <c r="F473" i="3" a="1"/>
  <c r="F473" i="3" s="1"/>
  <c r="E473" i="3" a="1"/>
  <c r="E473" i="3" s="1"/>
  <c r="F472" i="3" a="1"/>
  <c r="F472" i="3" s="1"/>
  <c r="E472" i="3" a="1"/>
  <c r="E472" i="3" s="1"/>
  <c r="F471" i="3" a="1"/>
  <c r="F471" i="3" s="1"/>
  <c r="E471" i="3" a="1"/>
  <c r="E471" i="3" s="1"/>
  <c r="F470" i="3" a="1"/>
  <c r="F470" i="3" s="1"/>
  <c r="E470" i="3" a="1"/>
  <c r="E470" i="3" s="1"/>
  <c r="F469" i="3" a="1"/>
  <c r="F469" i="3" s="1"/>
  <c r="E469" i="3" a="1"/>
  <c r="E469" i="3" s="1"/>
  <c r="F468" i="3" a="1"/>
  <c r="F468" i="3" s="1"/>
  <c r="E468" i="3" a="1"/>
  <c r="E468" i="3" s="1"/>
  <c r="F467" i="3" a="1"/>
  <c r="F467" i="3" s="1"/>
  <c r="E467" i="3" a="1"/>
  <c r="E467" i="3" s="1"/>
  <c r="F466" i="3" a="1"/>
  <c r="F466" i="3" s="1"/>
  <c r="E466" i="3" a="1"/>
  <c r="E466" i="3" s="1"/>
  <c r="F465" i="3" a="1"/>
  <c r="F465" i="3" s="1"/>
  <c r="E465" i="3" a="1"/>
  <c r="E465" i="3" s="1"/>
  <c r="F464" i="3" a="1"/>
  <c r="F464" i="3" s="1"/>
  <c r="E464" i="3" a="1"/>
  <c r="E464" i="3" s="1"/>
  <c r="F463" i="3" a="1"/>
  <c r="F463" i="3" s="1"/>
  <c r="E463" i="3" a="1"/>
  <c r="E463" i="3" s="1"/>
  <c r="F462" i="3" a="1"/>
  <c r="F462" i="3" s="1"/>
  <c r="E462" i="3" a="1"/>
  <c r="E462" i="3" s="1"/>
  <c r="F461" i="3" a="1"/>
  <c r="F461" i="3" s="1"/>
  <c r="E461" i="3" a="1"/>
  <c r="E461" i="3" s="1"/>
  <c r="F460" i="3" a="1"/>
  <c r="F460" i="3" s="1"/>
  <c r="E460" i="3" a="1"/>
  <c r="E460" i="3" s="1"/>
  <c r="F459" i="3" a="1"/>
  <c r="F459" i="3" s="1"/>
  <c r="E459" i="3" a="1"/>
  <c r="E459" i="3" s="1"/>
  <c r="F458" i="3" a="1"/>
  <c r="F458" i="3" s="1"/>
  <c r="E458" i="3" a="1"/>
  <c r="E458" i="3" s="1"/>
  <c r="F457" i="3" a="1"/>
  <c r="F457" i="3" s="1"/>
  <c r="E457" i="3" a="1"/>
  <c r="E457" i="3" s="1"/>
  <c r="F456" i="3" a="1"/>
  <c r="F456" i="3" s="1"/>
  <c r="E456" i="3" a="1"/>
  <c r="E456" i="3" s="1"/>
  <c r="F455" i="3" a="1"/>
  <c r="F455" i="3" s="1"/>
  <c r="E455" i="3" a="1"/>
  <c r="E455" i="3" s="1"/>
  <c r="F454" i="3" a="1"/>
  <c r="F454" i="3" s="1"/>
  <c r="E454" i="3" a="1"/>
  <c r="E454" i="3" s="1"/>
  <c r="F453" i="3" a="1"/>
  <c r="F453" i="3" s="1"/>
  <c r="E453" i="3" a="1"/>
  <c r="E453" i="3" s="1"/>
  <c r="F452" i="3" a="1"/>
  <c r="F452" i="3" s="1"/>
  <c r="E452" i="3" a="1"/>
  <c r="E452" i="3" s="1"/>
  <c r="F451" i="3" a="1"/>
  <c r="F451" i="3" s="1"/>
  <c r="E451" i="3" a="1"/>
  <c r="E451" i="3" s="1"/>
  <c r="F450" i="3" a="1"/>
  <c r="F450" i="3" s="1"/>
  <c r="E450" i="3" a="1"/>
  <c r="E450" i="3" s="1"/>
  <c r="F449" i="3" a="1"/>
  <c r="F449" i="3" s="1"/>
  <c r="E449" i="3" a="1"/>
  <c r="E449" i="3" s="1"/>
  <c r="F448" i="3" a="1"/>
  <c r="F448" i="3" s="1"/>
  <c r="E448" i="3" a="1"/>
  <c r="E448" i="3" s="1"/>
  <c r="F447" i="3" a="1"/>
  <c r="F447" i="3" s="1"/>
  <c r="E447" i="3" a="1"/>
  <c r="E447" i="3" s="1"/>
  <c r="F446" i="3" a="1"/>
  <c r="F446" i="3" s="1"/>
  <c r="E446" i="3" a="1"/>
  <c r="E446" i="3" s="1"/>
  <c r="F445" i="3" a="1"/>
  <c r="F445" i="3" s="1"/>
  <c r="E445" i="3" a="1"/>
  <c r="E445" i="3" s="1"/>
  <c r="F444" i="3" a="1"/>
  <c r="F444" i="3" s="1"/>
  <c r="E444" i="3" a="1"/>
  <c r="E444" i="3" s="1"/>
  <c r="F443" i="3" a="1"/>
  <c r="F443" i="3" s="1"/>
  <c r="E443" i="3" a="1"/>
  <c r="E443" i="3" s="1"/>
  <c r="F442" i="3" a="1"/>
  <c r="F442" i="3" s="1"/>
  <c r="E442" i="3" a="1"/>
  <c r="E442" i="3" s="1"/>
  <c r="F441" i="3" a="1"/>
  <c r="F441" i="3" s="1"/>
  <c r="E441" i="3" a="1"/>
  <c r="E441" i="3" s="1"/>
  <c r="F440" i="3" a="1"/>
  <c r="F440" i="3" s="1"/>
  <c r="E440" i="3" a="1"/>
  <c r="E440" i="3" s="1"/>
  <c r="F439" i="3" a="1"/>
  <c r="F439" i="3" s="1"/>
  <c r="E439" i="3" a="1"/>
  <c r="E439" i="3" s="1"/>
  <c r="F438" i="3" a="1"/>
  <c r="F438" i="3" s="1"/>
  <c r="E438" i="3" a="1"/>
  <c r="E438" i="3" s="1"/>
  <c r="F437" i="3" a="1"/>
  <c r="F437" i="3" s="1"/>
  <c r="E437" i="3" a="1"/>
  <c r="E437" i="3" s="1"/>
  <c r="F436" i="3" a="1"/>
  <c r="F436" i="3" s="1"/>
  <c r="E436" i="3" a="1"/>
  <c r="E436" i="3" s="1"/>
  <c r="F435" i="3" a="1"/>
  <c r="F435" i="3" s="1"/>
  <c r="E435" i="3" a="1"/>
  <c r="E435" i="3" s="1"/>
  <c r="F434" i="3" a="1"/>
  <c r="F434" i="3" s="1"/>
  <c r="E434" i="3" a="1"/>
  <c r="E434" i="3" s="1"/>
  <c r="F433" i="3" a="1"/>
  <c r="F433" i="3" s="1"/>
  <c r="E433" i="3" a="1"/>
  <c r="E433" i="3" s="1"/>
  <c r="F432" i="3" a="1"/>
  <c r="F432" i="3" s="1"/>
  <c r="E432" i="3" a="1"/>
  <c r="E432" i="3" s="1"/>
  <c r="F431" i="3" a="1"/>
  <c r="F431" i="3" s="1"/>
  <c r="E431" i="3" a="1"/>
  <c r="E431" i="3" s="1"/>
  <c r="F430" i="3" a="1"/>
  <c r="F430" i="3" s="1"/>
  <c r="E430" i="3" a="1"/>
  <c r="E430" i="3" s="1"/>
  <c r="F429" i="3" a="1"/>
  <c r="F429" i="3" s="1"/>
  <c r="E429" i="3" a="1"/>
  <c r="E429" i="3" s="1"/>
  <c r="F428" i="3" a="1"/>
  <c r="F428" i="3" s="1"/>
  <c r="E428" i="3" a="1"/>
  <c r="E428" i="3" s="1"/>
  <c r="F427" i="3" a="1"/>
  <c r="F427" i="3" s="1"/>
  <c r="E427" i="3" a="1"/>
  <c r="E427" i="3" s="1"/>
  <c r="F426" i="3" a="1"/>
  <c r="F426" i="3" s="1"/>
  <c r="E426" i="3" a="1"/>
  <c r="E426" i="3" s="1"/>
  <c r="F425" i="3" a="1"/>
  <c r="F425" i="3" s="1"/>
  <c r="E425" i="3" a="1"/>
  <c r="E425" i="3" s="1"/>
  <c r="F424" i="3" a="1"/>
  <c r="F424" i="3" s="1"/>
  <c r="E424" i="3" a="1"/>
  <c r="E424" i="3" s="1"/>
  <c r="F423" i="3" a="1"/>
  <c r="F423" i="3" s="1"/>
  <c r="E423" i="3" a="1"/>
  <c r="E423" i="3" s="1"/>
  <c r="F422" i="3" a="1"/>
  <c r="F422" i="3" s="1"/>
  <c r="E422" i="3" a="1"/>
  <c r="E422" i="3" s="1"/>
  <c r="F421" i="3" a="1"/>
  <c r="F421" i="3" s="1"/>
  <c r="E421" i="3" a="1"/>
  <c r="E421" i="3" s="1"/>
  <c r="F420" i="3" a="1"/>
  <c r="F420" i="3" s="1"/>
  <c r="E420" i="3" a="1"/>
  <c r="E420" i="3" s="1"/>
  <c r="F419" i="3" a="1"/>
  <c r="F419" i="3" s="1"/>
  <c r="E419" i="3" a="1"/>
  <c r="E419" i="3" s="1"/>
  <c r="F418" i="3" a="1"/>
  <c r="F418" i="3" s="1"/>
  <c r="E418" i="3" a="1"/>
  <c r="E418" i="3" s="1"/>
  <c r="F417" i="3" a="1"/>
  <c r="F417" i="3" s="1"/>
  <c r="E417" i="3" a="1"/>
  <c r="E417" i="3" s="1"/>
  <c r="F416" i="3" a="1"/>
  <c r="F416" i="3" s="1"/>
  <c r="E416" i="3" a="1"/>
  <c r="E416" i="3" s="1"/>
  <c r="F415" i="3" a="1"/>
  <c r="F415" i="3" s="1"/>
  <c r="E415" i="3" a="1"/>
  <c r="E415" i="3" s="1"/>
  <c r="F414" i="3" a="1"/>
  <c r="F414" i="3" s="1"/>
  <c r="E414" i="3" a="1"/>
  <c r="E414" i="3" s="1"/>
  <c r="F413" i="3" a="1"/>
  <c r="F413" i="3" s="1"/>
  <c r="E413" i="3" a="1"/>
  <c r="E413" i="3" s="1"/>
  <c r="F412" i="3" a="1"/>
  <c r="F412" i="3" s="1"/>
  <c r="E412" i="3" a="1"/>
  <c r="E412" i="3" s="1"/>
  <c r="F411" i="3" a="1"/>
  <c r="F411" i="3" s="1"/>
  <c r="E411" i="3" a="1"/>
  <c r="E411" i="3" s="1"/>
  <c r="F410" i="3" a="1"/>
  <c r="F410" i="3" s="1"/>
  <c r="E410" i="3" a="1"/>
  <c r="E410" i="3" s="1"/>
  <c r="F409" i="3" a="1"/>
  <c r="F409" i="3" s="1"/>
  <c r="E409" i="3" a="1"/>
  <c r="E409" i="3" s="1"/>
  <c r="F408" i="3" a="1"/>
  <c r="F408" i="3" s="1"/>
  <c r="E408" i="3" a="1"/>
  <c r="E408" i="3" s="1"/>
  <c r="F407" i="3" a="1"/>
  <c r="F407" i="3" s="1"/>
  <c r="E407" i="3" a="1"/>
  <c r="E407" i="3" s="1"/>
  <c r="F406" i="3" a="1"/>
  <c r="F406" i="3" s="1"/>
  <c r="E406" i="3" a="1"/>
  <c r="E406" i="3" s="1"/>
  <c r="F405" i="3" a="1"/>
  <c r="F405" i="3" s="1"/>
  <c r="E405" i="3" a="1"/>
  <c r="E405" i="3" s="1"/>
  <c r="F404" i="3" a="1"/>
  <c r="F404" i="3" s="1"/>
  <c r="E404" i="3" a="1"/>
  <c r="E404" i="3" s="1"/>
  <c r="F403" i="3" a="1"/>
  <c r="F403" i="3" s="1"/>
  <c r="E403" i="3" a="1"/>
  <c r="E403" i="3" s="1"/>
  <c r="F402" i="3" a="1"/>
  <c r="F402" i="3" s="1"/>
  <c r="E402" i="3" a="1"/>
  <c r="E402" i="3" s="1"/>
  <c r="F401" i="3" a="1"/>
  <c r="F401" i="3" s="1"/>
  <c r="E401" i="3" a="1"/>
  <c r="E401" i="3" s="1"/>
  <c r="F400" i="3" a="1"/>
  <c r="F400" i="3" s="1"/>
  <c r="E400" i="3" a="1"/>
  <c r="E400" i="3" s="1"/>
  <c r="F399" i="3" a="1"/>
  <c r="F399" i="3" s="1"/>
  <c r="E399" i="3" a="1"/>
  <c r="E399" i="3" s="1"/>
  <c r="F398" i="3" a="1"/>
  <c r="F398" i="3" s="1"/>
  <c r="E398" i="3" a="1"/>
  <c r="E398" i="3" s="1"/>
  <c r="F397" i="3" a="1"/>
  <c r="F397" i="3" s="1"/>
  <c r="E397" i="3" a="1"/>
  <c r="E397" i="3" s="1"/>
  <c r="F396" i="3" a="1"/>
  <c r="F396" i="3" s="1"/>
  <c r="E396" i="3" a="1"/>
  <c r="E396" i="3" s="1"/>
  <c r="F395" i="3" a="1"/>
  <c r="F395" i="3" s="1"/>
  <c r="E395" i="3" a="1"/>
  <c r="E395" i="3" s="1"/>
  <c r="F394" i="3" a="1"/>
  <c r="F394" i="3" s="1"/>
  <c r="E394" i="3" a="1"/>
  <c r="E394" i="3" s="1"/>
  <c r="F393" i="3" a="1"/>
  <c r="F393" i="3" s="1"/>
  <c r="E393" i="3" a="1"/>
  <c r="E393" i="3" s="1"/>
  <c r="F392" i="3" a="1"/>
  <c r="F392" i="3" s="1"/>
  <c r="E392" i="3" a="1"/>
  <c r="E392" i="3" s="1"/>
  <c r="F391" i="3" a="1"/>
  <c r="F391" i="3" s="1"/>
  <c r="E391" i="3" a="1"/>
  <c r="E391" i="3" s="1"/>
  <c r="F390" i="3" a="1"/>
  <c r="F390" i="3" s="1"/>
  <c r="E390" i="3" a="1"/>
  <c r="E390" i="3" s="1"/>
  <c r="F389" i="3" a="1"/>
  <c r="F389" i="3" s="1"/>
  <c r="E389" i="3" a="1"/>
  <c r="E389" i="3" s="1"/>
  <c r="F388" i="3" a="1"/>
  <c r="F388" i="3" s="1"/>
  <c r="E388" i="3" a="1"/>
  <c r="E388" i="3" s="1"/>
  <c r="F387" i="3" a="1"/>
  <c r="F387" i="3" s="1"/>
  <c r="E387" i="3" a="1"/>
  <c r="E387" i="3" s="1"/>
  <c r="F386" i="3" a="1"/>
  <c r="F386" i="3" s="1"/>
  <c r="E386" i="3" a="1"/>
  <c r="E386" i="3" s="1"/>
  <c r="F385" i="3" a="1"/>
  <c r="F385" i="3" s="1"/>
  <c r="E385" i="3" a="1"/>
  <c r="E385" i="3" s="1"/>
  <c r="F384" i="3" a="1"/>
  <c r="F384" i="3" s="1"/>
  <c r="E384" i="3" a="1"/>
  <c r="E384" i="3" s="1"/>
  <c r="F383" i="3" a="1"/>
  <c r="F383" i="3" s="1"/>
  <c r="E383" i="3" a="1"/>
  <c r="E383" i="3" s="1"/>
  <c r="F382" i="3" a="1"/>
  <c r="F382" i="3" s="1"/>
  <c r="E382" i="3" a="1"/>
  <c r="E382" i="3" s="1"/>
  <c r="F381" i="3" a="1"/>
  <c r="F381" i="3" s="1"/>
  <c r="E381" i="3" a="1"/>
  <c r="E381" i="3" s="1"/>
  <c r="F380" i="3" a="1"/>
  <c r="F380" i="3" s="1"/>
  <c r="E380" i="3" a="1"/>
  <c r="E380" i="3" s="1"/>
  <c r="F379" i="3" a="1"/>
  <c r="F379" i="3" s="1"/>
  <c r="E379" i="3" a="1"/>
  <c r="E379" i="3" s="1"/>
  <c r="F378" i="3" a="1"/>
  <c r="F378" i="3" s="1"/>
  <c r="E378" i="3" a="1"/>
  <c r="E378" i="3" s="1"/>
  <c r="F377" i="3" a="1"/>
  <c r="F377" i="3" s="1"/>
  <c r="E377" i="3" a="1"/>
  <c r="E377" i="3" s="1"/>
  <c r="F376" i="3" a="1"/>
  <c r="F376" i="3" s="1"/>
  <c r="E376" i="3" a="1"/>
  <c r="E376" i="3" s="1"/>
  <c r="F375" i="3" a="1"/>
  <c r="F375" i="3" s="1"/>
  <c r="E375" i="3" a="1"/>
  <c r="E375" i="3" s="1"/>
  <c r="F374" i="3" a="1"/>
  <c r="F374" i="3" s="1"/>
  <c r="E374" i="3" a="1"/>
  <c r="E374" i="3" s="1"/>
  <c r="F373" i="3" a="1"/>
  <c r="F373" i="3" s="1"/>
  <c r="E373" i="3" a="1"/>
  <c r="E373" i="3" s="1"/>
  <c r="F372" i="3" a="1"/>
  <c r="F372" i="3" s="1"/>
  <c r="E372" i="3" a="1"/>
  <c r="E372" i="3" s="1"/>
  <c r="F371" i="3" a="1"/>
  <c r="F371" i="3" s="1"/>
  <c r="E371" i="3" a="1"/>
  <c r="E371" i="3" s="1"/>
  <c r="F370" i="3" a="1"/>
  <c r="F370" i="3" s="1"/>
  <c r="E370" i="3" a="1"/>
  <c r="E370" i="3" s="1"/>
  <c r="F369" i="3" a="1"/>
  <c r="F369" i="3" s="1"/>
  <c r="E369" i="3" a="1"/>
  <c r="E369" i="3" s="1"/>
  <c r="F368" i="3" a="1"/>
  <c r="F368" i="3" s="1"/>
  <c r="E368" i="3" a="1"/>
  <c r="E368" i="3" s="1"/>
  <c r="F367" i="3" a="1"/>
  <c r="F367" i="3" s="1"/>
  <c r="E367" i="3" a="1"/>
  <c r="E367" i="3" s="1"/>
  <c r="F366" i="3" a="1"/>
  <c r="F366" i="3" s="1"/>
  <c r="E366" i="3" a="1"/>
  <c r="E366" i="3" s="1"/>
  <c r="F365" i="3" a="1"/>
  <c r="F365" i="3" s="1"/>
  <c r="E365" i="3" a="1"/>
  <c r="E365" i="3" s="1"/>
  <c r="F364" i="3" a="1"/>
  <c r="F364" i="3" s="1"/>
  <c r="E364" i="3" a="1"/>
  <c r="E364" i="3" s="1"/>
  <c r="F363" i="3" a="1"/>
  <c r="F363" i="3" s="1"/>
  <c r="E363" i="3" a="1"/>
  <c r="E363" i="3" s="1"/>
  <c r="F362" i="3" a="1"/>
  <c r="F362" i="3" s="1"/>
  <c r="E362" i="3" a="1"/>
  <c r="E362" i="3" s="1"/>
  <c r="F361" i="3" a="1"/>
  <c r="F361" i="3" s="1"/>
  <c r="E361" i="3" a="1"/>
  <c r="E361" i="3" s="1"/>
  <c r="F360" i="3" a="1"/>
  <c r="F360" i="3" s="1"/>
  <c r="E360" i="3" a="1"/>
  <c r="E360" i="3" s="1"/>
  <c r="F359" i="3" a="1"/>
  <c r="F359" i="3" s="1"/>
  <c r="E359" i="3" a="1"/>
  <c r="E359" i="3" s="1"/>
  <c r="F358" i="3" a="1"/>
  <c r="F358" i="3" s="1"/>
  <c r="E358" i="3" a="1"/>
  <c r="E358" i="3" s="1"/>
  <c r="F357" i="3" a="1"/>
  <c r="F357" i="3" s="1"/>
  <c r="E357" i="3" a="1"/>
  <c r="E357" i="3" s="1"/>
  <c r="F356" i="3" a="1"/>
  <c r="F356" i="3" s="1"/>
  <c r="E356" i="3" a="1"/>
  <c r="E356" i="3" s="1"/>
  <c r="F355" i="3" a="1"/>
  <c r="F355" i="3" s="1"/>
  <c r="E355" i="3" a="1"/>
  <c r="E355" i="3" s="1"/>
  <c r="F354" i="3" a="1"/>
  <c r="F354" i="3" s="1"/>
  <c r="E354" i="3" a="1"/>
  <c r="E354" i="3" s="1"/>
  <c r="F353" i="3" a="1"/>
  <c r="F353" i="3" s="1"/>
  <c r="E353" i="3" a="1"/>
  <c r="E353" i="3" s="1"/>
  <c r="F352" i="3" a="1"/>
  <c r="F352" i="3" s="1"/>
  <c r="E352" i="3" a="1"/>
  <c r="E352" i="3" s="1"/>
  <c r="F351" i="3" a="1"/>
  <c r="F351" i="3" s="1"/>
  <c r="E351" i="3" a="1"/>
  <c r="E351" i="3" s="1"/>
  <c r="F350" i="3" a="1"/>
  <c r="F350" i="3" s="1"/>
  <c r="E350" i="3" a="1"/>
  <c r="E350" i="3" s="1"/>
  <c r="F349" i="3" a="1"/>
  <c r="F349" i="3" s="1"/>
  <c r="E349" i="3" a="1"/>
  <c r="E349" i="3" s="1"/>
  <c r="F348" i="3" a="1"/>
  <c r="F348" i="3" s="1"/>
  <c r="E348" i="3" a="1"/>
  <c r="E348" i="3" s="1"/>
  <c r="F347" i="3" a="1"/>
  <c r="F347" i="3" s="1"/>
  <c r="E347" i="3" a="1"/>
  <c r="E347" i="3" s="1"/>
  <c r="F346" i="3" a="1"/>
  <c r="F346" i="3" s="1"/>
  <c r="E346" i="3" a="1"/>
  <c r="E346" i="3" s="1"/>
  <c r="F345" i="3" a="1"/>
  <c r="F345" i="3" s="1"/>
  <c r="E345" i="3" a="1"/>
  <c r="E345" i="3" s="1"/>
  <c r="F344" i="3" a="1"/>
  <c r="F344" i="3" s="1"/>
  <c r="E344" i="3" a="1"/>
  <c r="E344" i="3" s="1"/>
  <c r="F343" i="3" a="1"/>
  <c r="F343" i="3" s="1"/>
  <c r="E343" i="3" a="1"/>
  <c r="E343" i="3" s="1"/>
  <c r="F342" i="3" a="1"/>
  <c r="F342" i="3" s="1"/>
  <c r="E342" i="3" a="1"/>
  <c r="E342" i="3" s="1"/>
  <c r="F341" i="3" a="1"/>
  <c r="F341" i="3" s="1"/>
  <c r="E341" i="3" a="1"/>
  <c r="E341" i="3" s="1"/>
  <c r="F340" i="3" a="1"/>
  <c r="F340" i="3" s="1"/>
  <c r="E340" i="3" a="1"/>
  <c r="E340" i="3" s="1"/>
  <c r="F339" i="3" a="1"/>
  <c r="F339" i="3" s="1"/>
  <c r="E339" i="3" a="1"/>
  <c r="E339" i="3" s="1"/>
  <c r="F338" i="3" a="1"/>
  <c r="F338" i="3" s="1"/>
  <c r="E338" i="3" a="1"/>
  <c r="E338" i="3" s="1"/>
  <c r="F337" i="3" a="1"/>
  <c r="F337" i="3" s="1"/>
  <c r="E337" i="3" a="1"/>
  <c r="E337" i="3" s="1"/>
  <c r="F336" i="3" a="1"/>
  <c r="F336" i="3" s="1"/>
  <c r="E336" i="3" a="1"/>
  <c r="E336" i="3" s="1"/>
  <c r="F335" i="3" a="1"/>
  <c r="F335" i="3" s="1"/>
  <c r="E335" i="3" a="1"/>
  <c r="E335" i="3" s="1"/>
  <c r="F334" i="3" a="1"/>
  <c r="F334" i="3" s="1"/>
  <c r="E334" i="3" a="1"/>
  <c r="E334" i="3" s="1"/>
  <c r="F333" i="3" a="1"/>
  <c r="F333" i="3" s="1"/>
  <c r="E333" i="3" a="1"/>
  <c r="E333" i="3" s="1"/>
  <c r="F332" i="3" a="1"/>
  <c r="F332" i="3" s="1"/>
  <c r="E332" i="3" a="1"/>
  <c r="E332" i="3" s="1"/>
  <c r="F331" i="3" a="1"/>
  <c r="F331" i="3" s="1"/>
  <c r="E331" i="3" a="1"/>
  <c r="E331" i="3" s="1"/>
  <c r="F330" i="3" a="1"/>
  <c r="F330" i="3" s="1"/>
  <c r="E330" i="3" a="1"/>
  <c r="E330" i="3" s="1"/>
  <c r="F329" i="3" a="1"/>
  <c r="F329" i="3" s="1"/>
  <c r="E329" i="3" a="1"/>
  <c r="E329" i="3" s="1"/>
  <c r="F328" i="3" a="1"/>
  <c r="F328" i="3" s="1"/>
  <c r="E328" i="3" a="1"/>
  <c r="E328" i="3" s="1"/>
  <c r="F327" i="3" a="1"/>
  <c r="F327" i="3" s="1"/>
  <c r="E327" i="3" a="1"/>
  <c r="E327" i="3" s="1"/>
  <c r="F326" i="3" a="1"/>
  <c r="F326" i="3" s="1"/>
  <c r="E326" i="3" a="1"/>
  <c r="E326" i="3" s="1"/>
  <c r="F325" i="3" a="1"/>
  <c r="F325" i="3" s="1"/>
  <c r="E325" i="3" a="1"/>
  <c r="E325" i="3" s="1"/>
  <c r="F324" i="3" a="1"/>
  <c r="F324" i="3" s="1"/>
  <c r="E324" i="3" a="1"/>
  <c r="E324" i="3" s="1"/>
  <c r="F323" i="3" a="1"/>
  <c r="F323" i="3" s="1"/>
  <c r="E323" i="3" a="1"/>
  <c r="E323" i="3" s="1"/>
  <c r="F322" i="3" a="1"/>
  <c r="F322" i="3" s="1"/>
  <c r="E322" i="3" a="1"/>
  <c r="E322" i="3" s="1"/>
  <c r="F321" i="3" a="1"/>
  <c r="F321" i="3" s="1"/>
  <c r="E321" i="3" a="1"/>
  <c r="E321" i="3" s="1"/>
  <c r="F320" i="3" a="1"/>
  <c r="F320" i="3" s="1"/>
  <c r="E320" i="3" a="1"/>
  <c r="E320" i="3" s="1"/>
  <c r="F319" i="3" a="1"/>
  <c r="F319" i="3" s="1"/>
  <c r="E319" i="3" a="1"/>
  <c r="E319" i="3" s="1"/>
  <c r="F318" i="3" a="1"/>
  <c r="F318" i="3" s="1"/>
  <c r="E318" i="3" a="1"/>
  <c r="E318" i="3" s="1"/>
  <c r="F317" i="3" a="1"/>
  <c r="F317" i="3" s="1"/>
  <c r="E317" i="3" a="1"/>
  <c r="E317" i="3" s="1"/>
  <c r="F316" i="3" a="1"/>
  <c r="F316" i="3" s="1"/>
  <c r="E316" i="3" a="1"/>
  <c r="E316" i="3" s="1"/>
  <c r="F315" i="3" a="1"/>
  <c r="F315" i="3" s="1"/>
  <c r="E315" i="3" a="1"/>
  <c r="E315" i="3" s="1"/>
  <c r="F314" i="3" a="1"/>
  <c r="F314" i="3" s="1"/>
  <c r="E314" i="3" a="1"/>
  <c r="E314" i="3" s="1"/>
  <c r="F313" i="3" a="1"/>
  <c r="F313" i="3" s="1"/>
  <c r="E313" i="3" a="1"/>
  <c r="E313" i="3" s="1"/>
  <c r="F312" i="3" a="1"/>
  <c r="F312" i="3" s="1"/>
  <c r="E312" i="3" a="1"/>
  <c r="E312" i="3" s="1"/>
  <c r="F311" i="3" a="1"/>
  <c r="F311" i="3" s="1"/>
  <c r="E311" i="3" a="1"/>
  <c r="E311" i="3" s="1"/>
  <c r="F310" i="3" a="1"/>
  <c r="F310" i="3" s="1"/>
  <c r="E310" i="3" a="1"/>
  <c r="E310" i="3" s="1"/>
  <c r="F309" i="3" a="1"/>
  <c r="F309" i="3" s="1"/>
  <c r="E309" i="3" a="1"/>
  <c r="E309" i="3" s="1"/>
  <c r="F308" i="3" a="1"/>
  <c r="F308" i="3" s="1"/>
  <c r="E308" i="3" a="1"/>
  <c r="E308" i="3" s="1"/>
  <c r="F307" i="3" a="1"/>
  <c r="F307" i="3" s="1"/>
  <c r="E307" i="3" a="1"/>
  <c r="E307" i="3" s="1"/>
  <c r="F306" i="3" a="1"/>
  <c r="F306" i="3" s="1"/>
  <c r="E306" i="3" a="1"/>
  <c r="E306" i="3" s="1"/>
  <c r="F305" i="3" a="1"/>
  <c r="F305" i="3" s="1"/>
  <c r="E305" i="3" a="1"/>
  <c r="E305" i="3" s="1"/>
  <c r="F304" i="3" a="1"/>
  <c r="F304" i="3" s="1"/>
  <c r="E304" i="3" a="1"/>
  <c r="E304" i="3" s="1"/>
  <c r="F303" i="3" a="1"/>
  <c r="F303" i="3" s="1"/>
  <c r="E303" i="3" a="1"/>
  <c r="E303" i="3" s="1"/>
  <c r="F302" i="3" a="1"/>
  <c r="F302" i="3" s="1"/>
  <c r="E302" i="3" a="1"/>
  <c r="E302" i="3" s="1"/>
  <c r="F301" i="3" a="1"/>
  <c r="F301" i="3" s="1"/>
  <c r="E301" i="3" a="1"/>
  <c r="E301" i="3" s="1"/>
  <c r="F300" i="3" a="1"/>
  <c r="F300" i="3" s="1"/>
  <c r="E300" i="3" a="1"/>
  <c r="E300" i="3" s="1"/>
  <c r="F299" i="3" a="1"/>
  <c r="F299" i="3" s="1"/>
  <c r="E299" i="3" a="1"/>
  <c r="E299" i="3" s="1"/>
  <c r="F298" i="3" a="1"/>
  <c r="F298" i="3" s="1"/>
  <c r="E298" i="3" a="1"/>
  <c r="E298" i="3" s="1"/>
  <c r="F297" i="3" a="1"/>
  <c r="F297" i="3" s="1"/>
  <c r="E297" i="3" a="1"/>
  <c r="E297" i="3" s="1"/>
  <c r="F296" i="3" a="1"/>
  <c r="F296" i="3" s="1"/>
  <c r="E296" i="3" a="1"/>
  <c r="E296" i="3" s="1"/>
  <c r="F295" i="3" a="1"/>
  <c r="F295" i="3" s="1"/>
  <c r="E295" i="3" a="1"/>
  <c r="E295" i="3" s="1"/>
  <c r="F294" i="3" a="1"/>
  <c r="F294" i="3" s="1"/>
  <c r="E294" i="3" a="1"/>
  <c r="E294" i="3" s="1"/>
  <c r="F293" i="3" a="1"/>
  <c r="F293" i="3" s="1"/>
  <c r="E293" i="3" a="1"/>
  <c r="E293" i="3" s="1"/>
  <c r="F292" i="3" a="1"/>
  <c r="F292" i="3" s="1"/>
  <c r="E292" i="3" a="1"/>
  <c r="E292" i="3" s="1"/>
  <c r="F291" i="3" a="1"/>
  <c r="F291" i="3" s="1"/>
  <c r="E291" i="3" a="1"/>
  <c r="E291" i="3" s="1"/>
  <c r="F290" i="3" a="1"/>
  <c r="F290" i="3" s="1"/>
  <c r="E290" i="3" a="1"/>
  <c r="E290" i="3" s="1"/>
  <c r="F289" i="3" a="1"/>
  <c r="F289" i="3" s="1"/>
  <c r="E289" i="3" a="1"/>
  <c r="E289" i="3" s="1"/>
  <c r="F288" i="3" a="1"/>
  <c r="F288" i="3" s="1"/>
  <c r="E288" i="3" a="1"/>
  <c r="E288" i="3" s="1"/>
  <c r="F287" i="3" a="1"/>
  <c r="F287" i="3" s="1"/>
  <c r="E287" i="3" a="1"/>
  <c r="E287" i="3" s="1"/>
  <c r="F286" i="3" a="1"/>
  <c r="F286" i="3" s="1"/>
  <c r="E286" i="3" a="1"/>
  <c r="E286" i="3" s="1"/>
  <c r="F285" i="3" a="1"/>
  <c r="F285" i="3" s="1"/>
  <c r="E285" i="3" a="1"/>
  <c r="E285" i="3" s="1"/>
  <c r="F284" i="3" a="1"/>
  <c r="F284" i="3" s="1"/>
  <c r="E284" i="3" a="1"/>
  <c r="E284" i="3" s="1"/>
  <c r="F283" i="3" a="1"/>
  <c r="F283" i="3" s="1"/>
  <c r="E283" i="3" a="1"/>
  <c r="E283" i="3" s="1"/>
  <c r="F282" i="3" a="1"/>
  <c r="F282" i="3" s="1"/>
  <c r="E282" i="3" a="1"/>
  <c r="E282" i="3" s="1"/>
  <c r="F281" i="3" a="1"/>
  <c r="F281" i="3" s="1"/>
  <c r="E281" i="3" a="1"/>
  <c r="E281" i="3" s="1"/>
  <c r="F280" i="3" a="1"/>
  <c r="F280" i="3" s="1"/>
  <c r="E280" i="3" a="1"/>
  <c r="E280" i="3" s="1"/>
  <c r="F279" i="3" a="1"/>
  <c r="F279" i="3" s="1"/>
  <c r="E279" i="3" a="1"/>
  <c r="E279" i="3" s="1"/>
  <c r="F278" i="3" a="1"/>
  <c r="F278" i="3" s="1"/>
  <c r="E278" i="3" a="1"/>
  <c r="E278" i="3" s="1"/>
  <c r="F277" i="3" a="1"/>
  <c r="F277" i="3" s="1"/>
  <c r="E277" i="3" a="1"/>
  <c r="E277" i="3" s="1"/>
  <c r="F276" i="3" a="1"/>
  <c r="F276" i="3" s="1"/>
  <c r="E276" i="3" a="1"/>
  <c r="E276" i="3" s="1"/>
  <c r="F275" i="3" a="1"/>
  <c r="F275" i="3" s="1"/>
  <c r="E275" i="3" a="1"/>
  <c r="E275" i="3" s="1"/>
  <c r="F274" i="3" a="1"/>
  <c r="F274" i="3" s="1"/>
  <c r="E274" i="3" a="1"/>
  <c r="E274" i="3" s="1"/>
  <c r="F273" i="3" a="1"/>
  <c r="F273" i="3" s="1"/>
  <c r="E273" i="3" a="1"/>
  <c r="E273" i="3" s="1"/>
  <c r="F272" i="3" a="1"/>
  <c r="F272" i="3" s="1"/>
  <c r="E272" i="3" a="1"/>
  <c r="E272" i="3" s="1"/>
  <c r="F271" i="3" a="1"/>
  <c r="F271" i="3" s="1"/>
  <c r="E271" i="3" a="1"/>
  <c r="E271" i="3" s="1"/>
  <c r="F270" i="3" a="1"/>
  <c r="F270" i="3" s="1"/>
  <c r="E270" i="3" a="1"/>
  <c r="E270" i="3" s="1"/>
  <c r="F269" i="3" a="1"/>
  <c r="F269" i="3" s="1"/>
  <c r="E269" i="3" a="1"/>
  <c r="E269" i="3" s="1"/>
  <c r="F268" i="3" a="1"/>
  <c r="F268" i="3" s="1"/>
  <c r="E268" i="3" a="1"/>
  <c r="E268" i="3" s="1"/>
  <c r="F267" i="3" a="1"/>
  <c r="F267" i="3" s="1"/>
  <c r="E267" i="3" a="1"/>
  <c r="E267" i="3" s="1"/>
  <c r="F266" i="3" a="1"/>
  <c r="F266" i="3" s="1"/>
  <c r="E266" i="3" a="1"/>
  <c r="E266" i="3" s="1"/>
  <c r="F265" i="3" a="1"/>
  <c r="F265" i="3" s="1"/>
  <c r="E265" i="3" a="1"/>
  <c r="E265" i="3" s="1"/>
  <c r="F264" i="3" a="1"/>
  <c r="F264" i="3" s="1"/>
  <c r="E264" i="3" a="1"/>
  <c r="E264" i="3" s="1"/>
  <c r="F263" i="3" a="1"/>
  <c r="F263" i="3" s="1"/>
  <c r="E263" i="3" a="1"/>
  <c r="E263" i="3" s="1"/>
  <c r="F262" i="3" a="1"/>
  <c r="F262" i="3" s="1"/>
  <c r="E262" i="3" a="1"/>
  <c r="E262" i="3" s="1"/>
  <c r="F261" i="3" a="1"/>
  <c r="F261" i="3" s="1"/>
  <c r="E261" i="3" a="1"/>
  <c r="E261" i="3" s="1"/>
  <c r="F260" i="3" a="1"/>
  <c r="F260" i="3" s="1"/>
  <c r="E260" i="3" a="1"/>
  <c r="E260" i="3" s="1"/>
  <c r="F259" i="3" a="1"/>
  <c r="F259" i="3" s="1"/>
  <c r="E259" i="3" a="1"/>
  <c r="E259" i="3" s="1"/>
  <c r="F258" i="3" a="1"/>
  <c r="F258" i="3" s="1"/>
  <c r="E258" i="3" a="1"/>
  <c r="E258" i="3" s="1"/>
  <c r="F257" i="3" a="1"/>
  <c r="F257" i="3" s="1"/>
  <c r="E257" i="3" a="1"/>
  <c r="E257" i="3" s="1"/>
  <c r="F256" i="3" a="1"/>
  <c r="F256" i="3" s="1"/>
  <c r="E256" i="3" a="1"/>
  <c r="E256" i="3" s="1"/>
  <c r="F255" i="3" a="1"/>
  <c r="F255" i="3" s="1"/>
  <c r="E255" i="3" a="1"/>
  <c r="E255" i="3" s="1"/>
  <c r="F254" i="3" a="1"/>
  <c r="F254" i="3" s="1"/>
  <c r="E254" i="3" a="1"/>
  <c r="E254" i="3" s="1"/>
  <c r="F253" i="3" a="1"/>
  <c r="F253" i="3" s="1"/>
  <c r="E253" i="3" a="1"/>
  <c r="E253" i="3" s="1"/>
  <c r="F252" i="3" a="1"/>
  <c r="F252" i="3" s="1"/>
  <c r="E252" i="3" a="1"/>
  <c r="E252" i="3" s="1"/>
  <c r="F251" i="3" a="1"/>
  <c r="F251" i="3" s="1"/>
  <c r="E251" i="3" a="1"/>
  <c r="E251" i="3" s="1"/>
  <c r="F250" i="3" a="1"/>
  <c r="F250" i="3" s="1"/>
  <c r="E250" i="3" a="1"/>
  <c r="E250" i="3" s="1"/>
  <c r="F249" i="3" a="1"/>
  <c r="F249" i="3" s="1"/>
  <c r="E249" i="3" a="1"/>
  <c r="E249" i="3" s="1"/>
  <c r="F248" i="3" a="1"/>
  <c r="F248" i="3" s="1"/>
  <c r="E248" i="3" a="1"/>
  <c r="E248" i="3" s="1"/>
  <c r="F247" i="3" a="1"/>
  <c r="F247" i="3" s="1"/>
  <c r="E247" i="3" a="1"/>
  <c r="E247" i="3" s="1"/>
  <c r="F246" i="3" a="1"/>
  <c r="F246" i="3" s="1"/>
  <c r="E246" i="3" a="1"/>
  <c r="E246" i="3" s="1"/>
  <c r="F245" i="3" a="1"/>
  <c r="F245" i="3" s="1"/>
  <c r="E245" i="3" a="1"/>
  <c r="E245" i="3" s="1"/>
  <c r="F244" i="3" a="1"/>
  <c r="F244" i="3" s="1"/>
  <c r="E244" i="3" a="1"/>
  <c r="E244" i="3" s="1"/>
  <c r="F243" i="3" a="1"/>
  <c r="F243" i="3" s="1"/>
  <c r="E243" i="3" a="1"/>
  <c r="E243" i="3" s="1"/>
  <c r="F242" i="3" a="1"/>
  <c r="F242" i="3" s="1"/>
  <c r="E242" i="3" a="1"/>
  <c r="E242" i="3" s="1"/>
  <c r="F241" i="3" a="1"/>
  <c r="F241" i="3" s="1"/>
  <c r="E241" i="3" a="1"/>
  <c r="E241" i="3" s="1"/>
  <c r="F240" i="3" a="1"/>
  <c r="F240" i="3" s="1"/>
  <c r="E240" i="3" a="1"/>
  <c r="E240" i="3" s="1"/>
  <c r="F239" i="3" a="1"/>
  <c r="F239" i="3" s="1"/>
  <c r="E239" i="3" a="1"/>
  <c r="E239" i="3" s="1"/>
  <c r="F238" i="3" a="1"/>
  <c r="F238" i="3" s="1"/>
  <c r="E238" i="3" a="1"/>
  <c r="E238" i="3" s="1"/>
  <c r="F237" i="3" a="1"/>
  <c r="F237" i="3" s="1"/>
  <c r="E237" i="3" a="1"/>
  <c r="E237" i="3" s="1"/>
  <c r="F236" i="3" a="1"/>
  <c r="F236" i="3" s="1"/>
  <c r="E236" i="3" a="1"/>
  <c r="E236" i="3" s="1"/>
  <c r="F235" i="3" a="1"/>
  <c r="F235" i="3" s="1"/>
  <c r="E235" i="3" a="1"/>
  <c r="E235" i="3" s="1"/>
  <c r="F234" i="3" a="1"/>
  <c r="F234" i="3" s="1"/>
  <c r="E234" i="3" a="1"/>
  <c r="E234" i="3" s="1"/>
  <c r="F233" i="3" a="1"/>
  <c r="F233" i="3" s="1"/>
  <c r="E233" i="3" a="1"/>
  <c r="E233" i="3" s="1"/>
  <c r="F232" i="3" a="1"/>
  <c r="F232" i="3" s="1"/>
  <c r="E232" i="3" a="1"/>
  <c r="E232" i="3" s="1"/>
  <c r="F231" i="3" a="1"/>
  <c r="F231" i="3" s="1"/>
  <c r="E231" i="3" a="1"/>
  <c r="E231" i="3" s="1"/>
  <c r="F230" i="3" a="1"/>
  <c r="F230" i="3" s="1"/>
  <c r="E230" i="3" a="1"/>
  <c r="E230" i="3" s="1"/>
  <c r="F229" i="3" a="1"/>
  <c r="F229" i="3" s="1"/>
  <c r="E229" i="3" a="1"/>
  <c r="E229" i="3" s="1"/>
  <c r="F228" i="3" a="1"/>
  <c r="F228" i="3" s="1"/>
  <c r="E228" i="3" a="1"/>
  <c r="E228" i="3" s="1"/>
  <c r="F227" i="3" a="1"/>
  <c r="F227" i="3" s="1"/>
  <c r="E227" i="3" a="1"/>
  <c r="E227" i="3" s="1"/>
  <c r="F226" i="3" a="1"/>
  <c r="F226" i="3" s="1"/>
  <c r="E226" i="3" a="1"/>
  <c r="E226" i="3" s="1"/>
  <c r="F225" i="3" a="1"/>
  <c r="F225" i="3" s="1"/>
  <c r="E225" i="3" a="1"/>
  <c r="E225" i="3" s="1"/>
  <c r="F224" i="3" a="1"/>
  <c r="F224" i="3" s="1"/>
  <c r="E224" i="3" a="1"/>
  <c r="E224" i="3" s="1"/>
  <c r="F223" i="3" a="1"/>
  <c r="F223" i="3" s="1"/>
  <c r="E223" i="3" a="1"/>
  <c r="E223" i="3" s="1"/>
  <c r="F222" i="3" a="1"/>
  <c r="F222" i="3" s="1"/>
  <c r="E222" i="3" a="1"/>
  <c r="E222" i="3" s="1"/>
  <c r="F221" i="3" a="1"/>
  <c r="F221" i="3" s="1"/>
  <c r="E221" i="3" a="1"/>
  <c r="E221" i="3" s="1"/>
  <c r="F220" i="3" a="1"/>
  <c r="F220" i="3" s="1"/>
  <c r="E220" i="3" a="1"/>
  <c r="E220" i="3" s="1"/>
  <c r="F219" i="3" a="1"/>
  <c r="F219" i="3" s="1"/>
  <c r="E219" i="3" a="1"/>
  <c r="E219" i="3" s="1"/>
  <c r="F218" i="3" a="1"/>
  <c r="F218" i="3" s="1"/>
  <c r="E218" i="3" a="1"/>
  <c r="E218" i="3" s="1"/>
  <c r="F217" i="3" a="1"/>
  <c r="F217" i="3" s="1"/>
  <c r="E217" i="3" a="1"/>
  <c r="E217" i="3" s="1"/>
  <c r="F216" i="3" a="1"/>
  <c r="F216" i="3" s="1"/>
  <c r="E216" i="3" a="1"/>
  <c r="E216" i="3" s="1"/>
  <c r="F215" i="3" a="1"/>
  <c r="F215" i="3" s="1"/>
  <c r="E215" i="3" a="1"/>
  <c r="E215" i="3" s="1"/>
  <c r="F214" i="3" a="1"/>
  <c r="F214" i="3" s="1"/>
  <c r="E214" i="3" a="1"/>
  <c r="E214" i="3" s="1"/>
  <c r="F213" i="3" a="1"/>
  <c r="F213" i="3" s="1"/>
  <c r="E213" i="3" a="1"/>
  <c r="E213" i="3" s="1"/>
  <c r="F212" i="3" a="1"/>
  <c r="F212" i="3" s="1"/>
  <c r="E212" i="3" a="1"/>
  <c r="E212" i="3" s="1"/>
  <c r="F211" i="3" a="1"/>
  <c r="F211" i="3" s="1"/>
  <c r="E211" i="3" a="1"/>
  <c r="E211" i="3" s="1"/>
  <c r="F210" i="3" a="1"/>
  <c r="F210" i="3" s="1"/>
  <c r="E210" i="3" a="1"/>
  <c r="E210" i="3" s="1"/>
  <c r="F209" i="3" a="1"/>
  <c r="F209" i="3" s="1"/>
  <c r="E209" i="3" a="1"/>
  <c r="E209" i="3" s="1"/>
  <c r="F208" i="3" a="1"/>
  <c r="F208" i="3" s="1"/>
  <c r="E208" i="3" a="1"/>
  <c r="E208" i="3" s="1"/>
  <c r="F207" i="3" a="1"/>
  <c r="F207" i="3" s="1"/>
  <c r="E207" i="3" a="1"/>
  <c r="E207" i="3" s="1"/>
  <c r="F206" i="3" a="1"/>
  <c r="F206" i="3" s="1"/>
  <c r="E206" i="3" a="1"/>
  <c r="E206" i="3" s="1"/>
  <c r="F205" i="3" a="1"/>
  <c r="F205" i="3" s="1"/>
  <c r="E205" i="3" a="1"/>
  <c r="E205" i="3" s="1"/>
  <c r="F204" i="3" a="1"/>
  <c r="F204" i="3" s="1"/>
  <c r="E204" i="3" a="1"/>
  <c r="E204" i="3" s="1"/>
  <c r="F203" i="3" a="1"/>
  <c r="F203" i="3" s="1"/>
  <c r="E203" i="3" a="1"/>
  <c r="E203" i="3" s="1"/>
  <c r="F202" i="3" a="1"/>
  <c r="F202" i="3" s="1"/>
  <c r="E202" i="3" a="1"/>
  <c r="E202" i="3" s="1"/>
  <c r="F201" i="3" a="1"/>
  <c r="F201" i="3" s="1"/>
  <c r="E201" i="3" a="1"/>
  <c r="E201" i="3" s="1"/>
  <c r="F200" i="3" a="1"/>
  <c r="F200" i="3" s="1"/>
  <c r="E200" i="3" a="1"/>
  <c r="E200" i="3" s="1"/>
  <c r="F199" i="3" a="1"/>
  <c r="F199" i="3" s="1"/>
  <c r="E199" i="3" a="1"/>
  <c r="E199" i="3" s="1"/>
  <c r="F198" i="3" a="1"/>
  <c r="F198" i="3" s="1"/>
  <c r="E198" i="3" a="1"/>
  <c r="E198" i="3" s="1"/>
  <c r="F197" i="3" a="1"/>
  <c r="F197" i="3" s="1"/>
  <c r="E197" i="3" a="1"/>
  <c r="E197" i="3" s="1"/>
  <c r="F196" i="3" a="1"/>
  <c r="F196" i="3" s="1"/>
  <c r="E196" i="3" a="1"/>
  <c r="E196" i="3" s="1"/>
  <c r="F195" i="3" a="1"/>
  <c r="F195" i="3" s="1"/>
  <c r="E195" i="3" a="1"/>
  <c r="E195" i="3" s="1"/>
  <c r="F194" i="3" a="1"/>
  <c r="F194" i="3" s="1"/>
  <c r="E194" i="3" a="1"/>
  <c r="E194" i="3" s="1"/>
  <c r="F193" i="3" a="1"/>
  <c r="F193" i="3" s="1"/>
  <c r="E193" i="3" a="1"/>
  <c r="E193" i="3" s="1"/>
  <c r="F192" i="3" a="1"/>
  <c r="F192" i="3" s="1"/>
  <c r="E192" i="3" a="1"/>
  <c r="E192" i="3" s="1"/>
  <c r="F191" i="3" a="1"/>
  <c r="F191" i="3" s="1"/>
  <c r="E191" i="3" a="1"/>
  <c r="E191" i="3" s="1"/>
  <c r="F190" i="3" a="1"/>
  <c r="F190" i="3" s="1"/>
  <c r="E190" i="3" a="1"/>
  <c r="E190" i="3" s="1"/>
  <c r="F189" i="3" a="1"/>
  <c r="F189" i="3" s="1"/>
  <c r="E189" i="3" a="1"/>
  <c r="E189" i="3" s="1"/>
  <c r="F188" i="3" a="1"/>
  <c r="F188" i="3" s="1"/>
  <c r="E188" i="3" a="1"/>
  <c r="E188" i="3" s="1"/>
  <c r="F187" i="3" a="1"/>
  <c r="F187" i="3" s="1"/>
  <c r="E187" i="3" a="1"/>
  <c r="E187" i="3" s="1"/>
  <c r="F186" i="3" a="1"/>
  <c r="F186" i="3" s="1"/>
  <c r="E186" i="3" a="1"/>
  <c r="E186" i="3" s="1"/>
  <c r="F185" i="3" a="1"/>
  <c r="F185" i="3" s="1"/>
  <c r="E185" i="3" a="1"/>
  <c r="E185" i="3" s="1"/>
  <c r="F184" i="3" a="1"/>
  <c r="F184" i="3" s="1"/>
  <c r="E184" i="3" a="1"/>
  <c r="E184" i="3" s="1"/>
  <c r="F183" i="3" a="1"/>
  <c r="F183" i="3" s="1"/>
  <c r="E183" i="3" a="1"/>
  <c r="E183" i="3" s="1"/>
  <c r="F182" i="3" a="1"/>
  <c r="F182" i="3" s="1"/>
  <c r="E182" i="3" a="1"/>
  <c r="E182" i="3" s="1"/>
  <c r="F181" i="3" a="1"/>
  <c r="F181" i="3" s="1"/>
  <c r="E181" i="3" a="1"/>
  <c r="E181" i="3" s="1"/>
  <c r="F180" i="3" a="1"/>
  <c r="F180" i="3" s="1"/>
  <c r="E180" i="3" a="1"/>
  <c r="E180" i="3" s="1"/>
  <c r="F179" i="3" a="1"/>
  <c r="F179" i="3" s="1"/>
  <c r="E179" i="3" a="1"/>
  <c r="E179" i="3" s="1"/>
  <c r="F178" i="3" a="1"/>
  <c r="F178" i="3" s="1"/>
  <c r="E178" i="3" a="1"/>
  <c r="E178" i="3" s="1"/>
  <c r="F177" i="3" a="1"/>
  <c r="F177" i="3" s="1"/>
  <c r="E177" i="3" a="1"/>
  <c r="E177" i="3" s="1"/>
  <c r="F176" i="3" a="1"/>
  <c r="F176" i="3" s="1"/>
  <c r="E176" i="3" a="1"/>
  <c r="E176" i="3" s="1"/>
  <c r="F175" i="3" a="1"/>
  <c r="F175" i="3" s="1"/>
  <c r="E175" i="3" a="1"/>
  <c r="E175" i="3" s="1"/>
  <c r="F174" i="3" a="1"/>
  <c r="F174" i="3" s="1"/>
  <c r="E174" i="3" a="1"/>
  <c r="E174" i="3" s="1"/>
  <c r="F173" i="3" a="1"/>
  <c r="F173" i="3" s="1"/>
  <c r="E173" i="3" a="1"/>
  <c r="E173" i="3" s="1"/>
  <c r="F172" i="3" a="1"/>
  <c r="F172" i="3" s="1"/>
  <c r="E172" i="3" a="1"/>
  <c r="E172" i="3" s="1"/>
  <c r="F171" i="3" a="1"/>
  <c r="F171" i="3" s="1"/>
  <c r="E171" i="3" a="1"/>
  <c r="E171" i="3" s="1"/>
  <c r="F170" i="3" a="1"/>
  <c r="F170" i="3" s="1"/>
  <c r="E170" i="3" a="1"/>
  <c r="E170" i="3" s="1"/>
  <c r="F169" i="3" a="1"/>
  <c r="F169" i="3" s="1"/>
  <c r="E169" i="3" a="1"/>
  <c r="E169" i="3" s="1"/>
  <c r="F168" i="3" a="1"/>
  <c r="F168" i="3" s="1"/>
  <c r="E168" i="3" a="1"/>
  <c r="E168" i="3" s="1"/>
  <c r="F167" i="3" a="1"/>
  <c r="F167" i="3" s="1"/>
  <c r="E167" i="3" a="1"/>
  <c r="E167" i="3" s="1"/>
  <c r="F166" i="3" a="1"/>
  <c r="F166" i="3" s="1"/>
  <c r="E166" i="3" a="1"/>
  <c r="E166" i="3" s="1"/>
  <c r="F165" i="3" a="1"/>
  <c r="F165" i="3" s="1"/>
  <c r="E165" i="3" a="1"/>
  <c r="E165" i="3" s="1"/>
  <c r="F164" i="3" a="1"/>
  <c r="F164" i="3" s="1"/>
  <c r="E164" i="3" a="1"/>
  <c r="E164" i="3" s="1"/>
  <c r="F163" i="3" a="1"/>
  <c r="F163" i="3" s="1"/>
  <c r="E163" i="3" a="1"/>
  <c r="E163" i="3" s="1"/>
  <c r="F162" i="3" a="1"/>
  <c r="F162" i="3" s="1"/>
  <c r="E162" i="3" a="1"/>
  <c r="E162" i="3" s="1"/>
  <c r="F161" i="3" a="1"/>
  <c r="F161" i="3" s="1"/>
  <c r="E161" i="3" a="1"/>
  <c r="E161" i="3" s="1"/>
  <c r="F160" i="3" a="1"/>
  <c r="F160" i="3" s="1"/>
  <c r="E160" i="3" a="1"/>
  <c r="E160" i="3" s="1"/>
  <c r="F159" i="3" a="1"/>
  <c r="F159" i="3" s="1"/>
  <c r="E159" i="3" a="1"/>
  <c r="E159" i="3" s="1"/>
  <c r="F158" i="3" a="1"/>
  <c r="F158" i="3" s="1"/>
  <c r="E158" i="3" a="1"/>
  <c r="E158" i="3" s="1"/>
  <c r="F157" i="3" a="1"/>
  <c r="F157" i="3" s="1"/>
  <c r="E157" i="3" a="1"/>
  <c r="E157" i="3" s="1"/>
  <c r="F156" i="3" a="1"/>
  <c r="F156" i="3" s="1"/>
  <c r="E156" i="3" a="1"/>
  <c r="E156" i="3" s="1"/>
  <c r="F155" i="3" a="1"/>
  <c r="F155" i="3" s="1"/>
  <c r="E155" i="3" a="1"/>
  <c r="E155" i="3" s="1"/>
  <c r="F154" i="3" a="1"/>
  <c r="F154" i="3" s="1"/>
  <c r="E154" i="3" a="1"/>
  <c r="E154" i="3" s="1"/>
  <c r="F153" i="3" a="1"/>
  <c r="F153" i="3" s="1"/>
  <c r="E153" i="3" a="1"/>
  <c r="E153" i="3" s="1"/>
  <c r="F152" i="3" a="1"/>
  <c r="F152" i="3" s="1"/>
  <c r="E152" i="3" a="1"/>
  <c r="E152" i="3" s="1"/>
  <c r="F151" i="3" a="1"/>
  <c r="F151" i="3" s="1"/>
  <c r="E151" i="3" a="1"/>
  <c r="E151" i="3" s="1"/>
  <c r="F150" i="3" a="1"/>
  <c r="F150" i="3" s="1"/>
  <c r="E150" i="3" a="1"/>
  <c r="E150" i="3" s="1"/>
  <c r="F149" i="3" a="1"/>
  <c r="F149" i="3" s="1"/>
  <c r="E149" i="3" a="1"/>
  <c r="E149" i="3" s="1"/>
  <c r="F148" i="3" a="1"/>
  <c r="F148" i="3" s="1"/>
  <c r="E148" i="3" a="1"/>
  <c r="E148" i="3" s="1"/>
  <c r="F147" i="3" a="1"/>
  <c r="F147" i="3" s="1"/>
  <c r="E147" i="3" a="1"/>
  <c r="E147" i="3" s="1"/>
  <c r="F146" i="3" a="1"/>
  <c r="F146" i="3" s="1"/>
  <c r="E146" i="3" a="1"/>
  <c r="E146" i="3" s="1"/>
  <c r="F145" i="3" a="1"/>
  <c r="F145" i="3" s="1"/>
  <c r="E145" i="3" a="1"/>
  <c r="E145" i="3" s="1"/>
  <c r="F144" i="3" a="1"/>
  <c r="F144" i="3" s="1"/>
  <c r="E144" i="3" a="1"/>
  <c r="E144" i="3" s="1"/>
  <c r="F143" i="3" a="1"/>
  <c r="F143" i="3" s="1"/>
  <c r="E143" i="3" a="1"/>
  <c r="E143" i="3" s="1"/>
  <c r="F142" i="3" a="1"/>
  <c r="F142" i="3" s="1"/>
  <c r="E142" i="3" a="1"/>
  <c r="E142" i="3" s="1"/>
  <c r="F141" i="3" a="1"/>
  <c r="F141" i="3" s="1"/>
  <c r="E141" i="3" a="1"/>
  <c r="E141" i="3" s="1"/>
  <c r="F140" i="3" a="1"/>
  <c r="F140" i="3" s="1"/>
  <c r="E140" i="3" a="1"/>
  <c r="E140" i="3" s="1"/>
  <c r="F139" i="3" a="1"/>
  <c r="F139" i="3" s="1"/>
  <c r="E139" i="3" a="1"/>
  <c r="E139" i="3" s="1"/>
  <c r="F138" i="3" a="1"/>
  <c r="F138" i="3" s="1"/>
  <c r="E138" i="3" a="1"/>
  <c r="E138" i="3" s="1"/>
  <c r="F137" i="3" a="1"/>
  <c r="F137" i="3" s="1"/>
  <c r="E137" i="3" a="1"/>
  <c r="E137" i="3" s="1"/>
  <c r="F136" i="3" a="1"/>
  <c r="F136" i="3" s="1"/>
  <c r="E136" i="3" a="1"/>
  <c r="E136" i="3" s="1"/>
  <c r="F135" i="3" a="1"/>
  <c r="F135" i="3" s="1"/>
  <c r="E135" i="3" a="1"/>
  <c r="E135" i="3" s="1"/>
  <c r="F134" i="3" a="1"/>
  <c r="F134" i="3" s="1"/>
  <c r="E134" i="3" a="1"/>
  <c r="E134" i="3" s="1"/>
  <c r="F133" i="3" a="1"/>
  <c r="F133" i="3" s="1"/>
  <c r="E133" i="3" a="1"/>
  <c r="E133" i="3" s="1"/>
  <c r="F132" i="3" a="1"/>
  <c r="F132" i="3" s="1"/>
  <c r="E132" i="3" a="1"/>
  <c r="E132" i="3" s="1"/>
  <c r="F131" i="3" a="1"/>
  <c r="F131" i="3" s="1"/>
  <c r="E131" i="3" a="1"/>
  <c r="E131" i="3" s="1"/>
  <c r="F130" i="3" a="1"/>
  <c r="F130" i="3" s="1"/>
  <c r="E130" i="3" a="1"/>
  <c r="E130" i="3" s="1"/>
  <c r="F129" i="3" a="1"/>
  <c r="F129" i="3" s="1"/>
  <c r="E129" i="3" a="1"/>
  <c r="E129" i="3" s="1"/>
  <c r="F128" i="3" a="1"/>
  <c r="F128" i="3" s="1"/>
  <c r="E128" i="3" a="1"/>
  <c r="E128" i="3" s="1"/>
  <c r="F127" i="3" a="1"/>
  <c r="F127" i="3" s="1"/>
  <c r="E127" i="3" a="1"/>
  <c r="E127" i="3" s="1"/>
  <c r="F126" i="3" a="1"/>
  <c r="F126" i="3" s="1"/>
  <c r="E126" i="3" a="1"/>
  <c r="E126" i="3" s="1"/>
  <c r="F125" i="3" a="1"/>
  <c r="F125" i="3" s="1"/>
  <c r="E125" i="3" a="1"/>
  <c r="E125" i="3" s="1"/>
  <c r="F124" i="3" a="1"/>
  <c r="F124" i="3" s="1"/>
  <c r="E124" i="3" a="1"/>
  <c r="E124" i="3" s="1"/>
  <c r="F123" i="3" a="1"/>
  <c r="F123" i="3" s="1"/>
  <c r="E123" i="3" a="1"/>
  <c r="E123" i="3" s="1"/>
  <c r="F122" i="3" a="1"/>
  <c r="F122" i="3" s="1"/>
  <c r="E122" i="3" a="1"/>
  <c r="E122" i="3" s="1"/>
  <c r="F121" i="3" a="1"/>
  <c r="F121" i="3" s="1"/>
  <c r="E121" i="3" a="1"/>
  <c r="E121" i="3" s="1"/>
  <c r="F120" i="3" a="1"/>
  <c r="F120" i="3" s="1"/>
  <c r="E120" i="3" a="1"/>
  <c r="E120" i="3" s="1"/>
  <c r="F119" i="3" a="1"/>
  <c r="F119" i="3" s="1"/>
  <c r="E119" i="3" a="1"/>
  <c r="E119" i="3" s="1"/>
  <c r="F118" i="3" a="1"/>
  <c r="F118" i="3" s="1"/>
  <c r="E118" i="3" a="1"/>
  <c r="E118" i="3" s="1"/>
  <c r="F117" i="3" a="1"/>
  <c r="F117" i="3" s="1"/>
  <c r="E117" i="3" a="1"/>
  <c r="E117" i="3" s="1"/>
  <c r="F116" i="3" a="1"/>
  <c r="F116" i="3" s="1"/>
  <c r="E116" i="3" a="1"/>
  <c r="E116" i="3" s="1"/>
  <c r="F115" i="3" a="1"/>
  <c r="F115" i="3" s="1"/>
  <c r="E115" i="3" a="1"/>
  <c r="E115" i="3" s="1"/>
  <c r="F114" i="3" a="1"/>
  <c r="F114" i="3" s="1"/>
  <c r="E114" i="3" a="1"/>
  <c r="E114" i="3" s="1"/>
  <c r="F113" i="3" a="1"/>
  <c r="F113" i="3" s="1"/>
  <c r="E113" i="3" a="1"/>
  <c r="E113" i="3" s="1"/>
  <c r="F112" i="3" a="1"/>
  <c r="F112" i="3" s="1"/>
  <c r="E112" i="3" a="1"/>
  <c r="E112" i="3" s="1"/>
  <c r="F111" i="3" a="1"/>
  <c r="F111" i="3" s="1"/>
  <c r="E111" i="3" a="1"/>
  <c r="E111" i="3" s="1"/>
  <c r="F110" i="3" a="1"/>
  <c r="F110" i="3" s="1"/>
  <c r="E110" i="3" a="1"/>
  <c r="E110" i="3" s="1"/>
  <c r="F109" i="3" a="1"/>
  <c r="F109" i="3" s="1"/>
  <c r="E109" i="3" a="1"/>
  <c r="E109" i="3" s="1"/>
  <c r="F108" i="3" a="1"/>
  <c r="F108" i="3" s="1"/>
  <c r="E108" i="3" a="1"/>
  <c r="E108" i="3" s="1"/>
  <c r="F107" i="3" a="1"/>
  <c r="F107" i="3" s="1"/>
  <c r="E107" i="3" a="1"/>
  <c r="E107" i="3" s="1"/>
  <c r="F106" i="3" a="1"/>
  <c r="F106" i="3" s="1"/>
  <c r="E106" i="3" a="1"/>
  <c r="E106" i="3" s="1"/>
  <c r="F105" i="3" a="1"/>
  <c r="F105" i="3" s="1"/>
  <c r="E105" i="3" a="1"/>
  <c r="E105" i="3" s="1"/>
  <c r="F104" i="3" a="1"/>
  <c r="F104" i="3" s="1"/>
  <c r="E104" i="3" a="1"/>
  <c r="E104" i="3" s="1"/>
  <c r="F103" i="3" a="1"/>
  <c r="F103" i="3" s="1"/>
  <c r="E103" i="3" a="1"/>
  <c r="E103" i="3" s="1"/>
  <c r="F102" i="3" a="1"/>
  <c r="F102" i="3" s="1"/>
  <c r="E102" i="3" a="1"/>
  <c r="E102" i="3" s="1"/>
  <c r="F101" i="3" a="1"/>
  <c r="F101" i="3" s="1"/>
  <c r="E101" i="3" a="1"/>
  <c r="E101" i="3" s="1"/>
  <c r="F100" i="3" a="1"/>
  <c r="F100" i="3" s="1"/>
  <c r="E100" i="3" a="1"/>
  <c r="E100" i="3" s="1"/>
  <c r="F99" i="3" a="1"/>
  <c r="F99" i="3" s="1"/>
  <c r="E99" i="3" a="1"/>
  <c r="E99" i="3" s="1"/>
  <c r="F98" i="3" a="1"/>
  <c r="F98" i="3" s="1"/>
  <c r="E98" i="3" a="1"/>
  <c r="E98" i="3" s="1"/>
  <c r="F97" i="3" a="1"/>
  <c r="F97" i="3" s="1"/>
  <c r="E97" i="3" a="1"/>
  <c r="E97" i="3" s="1"/>
  <c r="F96" i="3" a="1"/>
  <c r="F96" i="3" s="1"/>
  <c r="E96" i="3" a="1"/>
  <c r="E96" i="3" s="1"/>
  <c r="F95" i="3" a="1"/>
  <c r="F95" i="3" s="1"/>
  <c r="E95" i="3" a="1"/>
  <c r="E95" i="3" s="1"/>
  <c r="F94" i="3" a="1"/>
  <c r="F94" i="3" s="1"/>
  <c r="E94" i="3" a="1"/>
  <c r="E94" i="3" s="1"/>
  <c r="F93" i="3" a="1"/>
  <c r="F93" i="3" s="1"/>
  <c r="E93" i="3" a="1"/>
  <c r="E93" i="3" s="1"/>
  <c r="F92" i="3" a="1"/>
  <c r="F92" i="3" s="1"/>
  <c r="E92" i="3" a="1"/>
  <c r="E92" i="3" s="1"/>
  <c r="F91" i="3" a="1"/>
  <c r="F91" i="3" s="1"/>
  <c r="E91" i="3" a="1"/>
  <c r="E91" i="3" s="1"/>
  <c r="F90" i="3" a="1"/>
  <c r="F90" i="3" s="1"/>
  <c r="E90" i="3" a="1"/>
  <c r="E90" i="3" s="1"/>
  <c r="F89" i="3" a="1"/>
  <c r="F89" i="3" s="1"/>
  <c r="E89" i="3" a="1"/>
  <c r="E89" i="3" s="1"/>
  <c r="F88" i="3" a="1"/>
  <c r="F88" i="3" s="1"/>
  <c r="E88" i="3" a="1"/>
  <c r="E88" i="3" s="1"/>
  <c r="F87" i="3" a="1"/>
  <c r="F87" i="3" s="1"/>
  <c r="E87" i="3" a="1"/>
  <c r="E87" i="3" s="1"/>
  <c r="F86" i="3" a="1"/>
  <c r="F86" i="3" s="1"/>
  <c r="E86" i="3" a="1"/>
  <c r="E86" i="3" s="1"/>
  <c r="F85" i="3" a="1"/>
  <c r="F85" i="3" s="1"/>
  <c r="E85" i="3" a="1"/>
  <c r="E85" i="3" s="1"/>
  <c r="F84" i="3" a="1"/>
  <c r="F84" i="3" s="1"/>
  <c r="E84" i="3" a="1"/>
  <c r="E84" i="3" s="1"/>
  <c r="F83" i="3" a="1"/>
  <c r="F83" i="3" s="1"/>
  <c r="E83" i="3" a="1"/>
  <c r="E83" i="3" s="1"/>
  <c r="F82" i="3" a="1"/>
  <c r="F82" i="3" s="1"/>
  <c r="E82" i="3" a="1"/>
  <c r="E82" i="3" s="1"/>
  <c r="F81" i="3" a="1"/>
  <c r="F81" i="3" s="1"/>
  <c r="E81" i="3" a="1"/>
  <c r="E81" i="3" s="1"/>
  <c r="F80" i="3" a="1"/>
  <c r="F80" i="3" s="1"/>
  <c r="E80" i="3" a="1"/>
  <c r="E80" i="3" s="1"/>
  <c r="F79" i="3" a="1"/>
  <c r="F79" i="3" s="1"/>
  <c r="E79" i="3" a="1"/>
  <c r="E79" i="3" s="1"/>
  <c r="F78" i="3" a="1"/>
  <c r="F78" i="3" s="1"/>
  <c r="E78" i="3" a="1"/>
  <c r="E78" i="3" s="1"/>
  <c r="F77" i="3" a="1"/>
  <c r="F77" i="3" s="1"/>
  <c r="E77" i="3" a="1"/>
  <c r="E77" i="3" s="1"/>
  <c r="F76" i="3" a="1"/>
  <c r="F76" i="3" s="1"/>
  <c r="E76" i="3" a="1"/>
  <c r="E76" i="3" s="1"/>
  <c r="F75" i="3" a="1"/>
  <c r="F75" i="3" s="1"/>
  <c r="E75" i="3" a="1"/>
  <c r="E75" i="3" s="1"/>
  <c r="F74" i="3" a="1"/>
  <c r="F74" i="3" s="1"/>
  <c r="E74" i="3" a="1"/>
  <c r="E74" i="3" s="1"/>
  <c r="F73" i="3" a="1"/>
  <c r="F73" i="3" s="1"/>
  <c r="E73" i="3" a="1"/>
  <c r="E73" i="3" s="1"/>
  <c r="F72" i="3" a="1"/>
  <c r="F72" i="3" s="1"/>
  <c r="E72" i="3" a="1"/>
  <c r="E72" i="3" s="1"/>
  <c r="F71" i="3" a="1"/>
  <c r="F71" i="3" s="1"/>
  <c r="E71" i="3" a="1"/>
  <c r="E71" i="3" s="1"/>
  <c r="F70" i="3" a="1"/>
  <c r="F70" i="3" s="1"/>
  <c r="E70" i="3" a="1"/>
  <c r="E70" i="3" s="1"/>
  <c r="F69" i="3" a="1"/>
  <c r="F69" i="3" s="1"/>
  <c r="E69" i="3" a="1"/>
  <c r="E69" i="3" s="1"/>
  <c r="F68" i="3" a="1"/>
  <c r="F68" i="3" s="1"/>
  <c r="E68" i="3" a="1"/>
  <c r="E68" i="3" s="1"/>
  <c r="F67" i="3" a="1"/>
  <c r="F67" i="3" s="1"/>
  <c r="E67" i="3" a="1"/>
  <c r="E67" i="3" s="1"/>
  <c r="F66" i="3" a="1"/>
  <c r="F66" i="3" s="1"/>
  <c r="E66" i="3" a="1"/>
  <c r="E66" i="3" s="1"/>
  <c r="F65" i="3" a="1"/>
  <c r="F65" i="3" s="1"/>
  <c r="E65" i="3" a="1"/>
  <c r="E65" i="3" s="1"/>
  <c r="F64" i="3" a="1"/>
  <c r="F64" i="3" s="1"/>
  <c r="E64" i="3" a="1"/>
  <c r="E64" i="3" s="1"/>
  <c r="F63" i="3" a="1"/>
  <c r="F63" i="3" s="1"/>
  <c r="E63" i="3" a="1"/>
  <c r="E63" i="3" s="1"/>
  <c r="F62" i="3" a="1"/>
  <c r="F62" i="3" s="1"/>
  <c r="E62" i="3" a="1"/>
  <c r="E62" i="3" s="1"/>
  <c r="F61" i="3" a="1"/>
  <c r="F61" i="3" s="1"/>
  <c r="E61" i="3" a="1"/>
  <c r="E61" i="3" s="1"/>
  <c r="F60" i="3" a="1"/>
  <c r="F60" i="3" s="1"/>
  <c r="E60" i="3" a="1"/>
  <c r="E60" i="3" s="1"/>
  <c r="F59" i="3" a="1"/>
  <c r="F59" i="3" s="1"/>
  <c r="E59" i="3" a="1"/>
  <c r="E59" i="3" s="1"/>
  <c r="F58" i="3" a="1"/>
  <c r="F58" i="3" s="1"/>
  <c r="E58" i="3" a="1"/>
  <c r="E58" i="3" s="1"/>
  <c r="F57" i="3" a="1"/>
  <c r="F57" i="3" s="1"/>
  <c r="E57" i="3" a="1"/>
  <c r="E57" i="3" s="1"/>
  <c r="F56" i="3" a="1"/>
  <c r="F56" i="3" s="1"/>
  <c r="E56" i="3" a="1"/>
  <c r="E56" i="3" s="1"/>
  <c r="F55" i="3" a="1"/>
  <c r="F55" i="3" s="1"/>
  <c r="E55" i="3" a="1"/>
  <c r="E55" i="3" s="1"/>
  <c r="F54" i="3" a="1"/>
  <c r="F54" i="3" s="1"/>
  <c r="E54" i="3" a="1"/>
  <c r="E54" i="3" s="1"/>
  <c r="F53" i="3" a="1"/>
  <c r="F53" i="3" s="1"/>
  <c r="E53" i="3" a="1"/>
  <c r="E53" i="3" s="1"/>
  <c r="F52" i="3" a="1"/>
  <c r="F52" i="3" s="1"/>
  <c r="E52" i="3" a="1"/>
  <c r="E52" i="3" s="1"/>
  <c r="F51" i="3" a="1"/>
  <c r="F51" i="3" s="1"/>
  <c r="E51" i="3" a="1"/>
  <c r="E51" i="3" s="1"/>
  <c r="F50" i="3" a="1"/>
  <c r="F50" i="3" s="1"/>
  <c r="E50" i="3" a="1"/>
  <c r="E50" i="3" s="1"/>
  <c r="F49" i="3" a="1"/>
  <c r="F49" i="3" s="1"/>
  <c r="E49" i="3" a="1"/>
  <c r="E49" i="3" s="1"/>
  <c r="F48" i="3" a="1"/>
  <c r="F48" i="3" s="1"/>
  <c r="E48" i="3" a="1"/>
  <c r="E48" i="3" s="1"/>
  <c r="F47" i="3" a="1"/>
  <c r="F47" i="3" s="1"/>
  <c r="E47" i="3" a="1"/>
  <c r="E47" i="3" s="1"/>
  <c r="F46" i="3" a="1"/>
  <c r="F46" i="3" s="1"/>
  <c r="E46" i="3" a="1"/>
  <c r="E46" i="3" s="1"/>
  <c r="F45" i="3" a="1"/>
  <c r="F45" i="3" s="1"/>
  <c r="E45" i="3" a="1"/>
  <c r="E45" i="3" s="1"/>
  <c r="F44" i="3" a="1"/>
  <c r="F44" i="3" s="1"/>
  <c r="E44" i="3" a="1"/>
  <c r="E44" i="3" s="1"/>
  <c r="F43" i="3" a="1"/>
  <c r="F43" i="3" s="1"/>
  <c r="E43" i="3" a="1"/>
  <c r="E43" i="3" s="1"/>
  <c r="F42" i="3" a="1"/>
  <c r="F42" i="3" s="1"/>
  <c r="E42" i="3" a="1"/>
  <c r="E42" i="3" s="1"/>
  <c r="F41" i="3" a="1"/>
  <c r="F41" i="3" s="1"/>
  <c r="E41" i="3" a="1"/>
  <c r="E41" i="3" s="1"/>
  <c r="F40" i="3" a="1"/>
  <c r="F40" i="3" s="1"/>
  <c r="E40" i="3" a="1"/>
  <c r="E40" i="3" s="1"/>
  <c r="F39" i="3" a="1"/>
  <c r="F39" i="3" s="1"/>
  <c r="E39" i="3" a="1"/>
  <c r="E39" i="3" s="1"/>
  <c r="F38" i="3" a="1"/>
  <c r="F38" i="3" s="1"/>
  <c r="E38" i="3" a="1"/>
  <c r="E38" i="3" s="1"/>
  <c r="F37" i="3" a="1"/>
  <c r="F37" i="3" s="1"/>
  <c r="E37" i="3" a="1"/>
  <c r="E37" i="3" s="1"/>
  <c r="F36" i="3" a="1"/>
  <c r="F36" i="3" s="1"/>
  <c r="E36" i="3" a="1"/>
  <c r="E36" i="3" s="1"/>
  <c r="F35" i="3" a="1"/>
  <c r="F35" i="3" s="1"/>
  <c r="E35" i="3" a="1"/>
  <c r="E35" i="3" s="1"/>
  <c r="F34" i="3" a="1"/>
  <c r="F34" i="3" s="1"/>
  <c r="E34" i="3" a="1"/>
  <c r="E34" i="3" s="1"/>
  <c r="F33" i="3" a="1"/>
  <c r="F33" i="3" s="1"/>
  <c r="E33" i="3" a="1"/>
  <c r="E33" i="3" s="1"/>
  <c r="F32" i="3" a="1"/>
  <c r="F32" i="3" s="1"/>
  <c r="E32" i="3" a="1"/>
  <c r="E32" i="3" s="1"/>
  <c r="F31" i="3" a="1"/>
  <c r="F31" i="3" s="1"/>
  <c r="E31" i="3" a="1"/>
  <c r="E31" i="3" s="1"/>
  <c r="F30" i="3" a="1"/>
  <c r="F30" i="3" s="1"/>
  <c r="E30" i="3" a="1"/>
  <c r="E30" i="3" s="1"/>
  <c r="F29" i="3" a="1"/>
  <c r="F29" i="3" s="1"/>
  <c r="E29" i="3" a="1"/>
  <c r="E29" i="3" s="1"/>
  <c r="F28" i="3" a="1"/>
  <c r="F28" i="3" s="1"/>
  <c r="E28" i="3" a="1"/>
  <c r="E28" i="3" s="1"/>
  <c r="F27" i="3" a="1"/>
  <c r="F27" i="3" s="1"/>
  <c r="E27" i="3" a="1"/>
  <c r="E27" i="3" s="1"/>
  <c r="F26" i="3" a="1"/>
  <c r="F26" i="3" s="1"/>
  <c r="E26" i="3" a="1"/>
  <c r="E26" i="3" s="1"/>
  <c r="F25" i="3" a="1"/>
  <c r="F25" i="3" s="1"/>
  <c r="E25" i="3" a="1"/>
  <c r="E25" i="3" s="1"/>
  <c r="F24" i="3" a="1"/>
  <c r="F24" i="3" s="1"/>
  <c r="E24" i="3" a="1"/>
  <c r="E24" i="3" s="1"/>
  <c r="F23" i="3" a="1"/>
  <c r="F23" i="3" s="1"/>
  <c r="E23" i="3" a="1"/>
  <c r="E23" i="3" s="1"/>
  <c r="F22" i="3" a="1"/>
  <c r="F22" i="3" s="1"/>
  <c r="E22" i="3" a="1"/>
  <c r="E22" i="3" s="1"/>
  <c r="F21" i="3" a="1"/>
  <c r="F21" i="3" s="1"/>
  <c r="E21" i="3" a="1"/>
  <c r="E21" i="3" s="1"/>
  <c r="F20" i="3" a="1"/>
  <c r="F20" i="3" s="1"/>
  <c r="E20" i="3" a="1"/>
  <c r="E20" i="3" s="1"/>
  <c r="F19" i="3" a="1"/>
  <c r="F19" i="3" s="1"/>
  <c r="E19" i="3" a="1"/>
  <c r="E19" i="3" s="1"/>
  <c r="F18" i="3" a="1"/>
  <c r="F18" i="3" s="1"/>
  <c r="E18" i="3" a="1"/>
  <c r="E18" i="3" s="1"/>
  <c r="F17" i="3" a="1"/>
  <c r="F17" i="3" s="1"/>
  <c r="E17" i="3" a="1"/>
  <c r="E17" i="3" s="1"/>
  <c r="F16" i="3" a="1"/>
  <c r="F16" i="3" s="1"/>
  <c r="E16" i="3" a="1"/>
  <c r="E16" i="3" s="1"/>
  <c r="F15" i="3" a="1"/>
  <c r="F15" i="3" s="1"/>
  <c r="E15" i="3" a="1"/>
  <c r="E15" i="3" s="1"/>
  <c r="F14" i="3" a="1"/>
  <c r="F14" i="3" s="1"/>
  <c r="E14" i="3" a="1"/>
  <c r="E14" i="3" s="1"/>
  <c r="F13" i="3" a="1"/>
  <c r="F13" i="3" s="1"/>
  <c r="E13" i="3" a="1"/>
  <c r="E13" i="3" s="1"/>
  <c r="F12" i="3" a="1"/>
  <c r="F12" i="3" s="1"/>
  <c r="E12" i="3" a="1"/>
  <c r="E12" i="3" s="1"/>
  <c r="F11" i="3" a="1"/>
  <c r="F11" i="3" s="1"/>
  <c r="E11" i="3" a="1"/>
  <c r="E11" i="3" s="1"/>
  <c r="F10" i="3" a="1"/>
  <c r="F10" i="3" s="1"/>
  <c r="E10" i="3" a="1"/>
  <c r="E10" i="3" s="1"/>
  <c r="F9" i="3" a="1"/>
  <c r="F9" i="3" s="1"/>
  <c r="E9" i="3" a="1"/>
  <c r="E9" i="3" s="1"/>
  <c r="F8" i="3" a="1"/>
  <c r="F8" i="3" s="1"/>
  <c r="E8" i="3" a="1"/>
  <c r="E8" i="3" s="1"/>
  <c r="F7" i="3" a="1"/>
  <c r="F7" i="3" s="1"/>
  <c r="E7" i="3" a="1"/>
  <c r="E7" i="3" s="1"/>
  <c r="F6" i="3" a="1"/>
  <c r="F6" i="3" s="1"/>
  <c r="E6" i="3" a="1"/>
  <c r="E6" i="3" s="1"/>
  <c r="F5" i="3" a="1"/>
  <c r="F5" i="3" s="1"/>
  <c r="E5" i="3" a="1"/>
  <c r="E5" i="3" s="1"/>
  <c r="F4" i="3" a="1"/>
  <c r="F4" i="3" s="1"/>
  <c r="E4" i="3" a="1"/>
  <c r="E4" i="3" s="1"/>
  <c r="F3" i="3" a="1"/>
  <c r="F3" i="3" s="1"/>
  <c r="E3" i="3" a="1"/>
  <c r="E3" i="3" s="1"/>
  <c r="F2" i="3" a="1"/>
  <c r="F2" i="3" s="1"/>
  <c r="E2" i="3" a="1"/>
  <c r="E2" i="3" s="1"/>
  <c r="D3205" i="1"/>
  <c r="C3205" i="1"/>
  <c r="B3205" i="1"/>
  <c r="A3205" i="1"/>
  <c r="D3204" i="1"/>
  <c r="C3204" i="1"/>
  <c r="B3204" i="1"/>
  <c r="A3204" i="1"/>
  <c r="D3203" i="1"/>
  <c r="C3203" i="1"/>
  <c r="B3203" i="1"/>
  <c r="A3203" i="1"/>
  <c r="D3202" i="1"/>
  <c r="C3202" i="1"/>
  <c r="B3202" i="1"/>
  <c r="A3202" i="1"/>
  <c r="D3201" i="1"/>
  <c r="C3201" i="1"/>
  <c r="B3201" i="1"/>
  <c r="A3201" i="1"/>
  <c r="D3200" i="1"/>
  <c r="C3200" i="1"/>
  <c r="B3200" i="1"/>
  <c r="A3200" i="1"/>
  <c r="D3199" i="1"/>
  <c r="C3199" i="1"/>
  <c r="B3199" i="1"/>
  <c r="A3199" i="1"/>
  <c r="D3198" i="1"/>
  <c r="C3198" i="1"/>
  <c r="B3198" i="1"/>
  <c r="A3198" i="1"/>
  <c r="D3197" i="1"/>
  <c r="C3197" i="1"/>
  <c r="B3197" i="1"/>
  <c r="A3197" i="1"/>
  <c r="D3196" i="1"/>
  <c r="C3196" i="1"/>
  <c r="B3196" i="1"/>
  <c r="A3196" i="1"/>
  <c r="D3195" i="1"/>
  <c r="C3195" i="1"/>
  <c r="B3195" i="1"/>
  <c r="A3195" i="1"/>
  <c r="D3194" i="1"/>
  <c r="C3194" i="1"/>
  <c r="B3194" i="1"/>
  <c r="A3194" i="1"/>
  <c r="D3193" i="1"/>
  <c r="C3193" i="1"/>
  <c r="B3193" i="1"/>
  <c r="A3193" i="1"/>
  <c r="D3192" i="1"/>
  <c r="C3192" i="1"/>
  <c r="B3192" i="1"/>
  <c r="A3192" i="1"/>
  <c r="D3191" i="1"/>
  <c r="C3191" i="1"/>
  <c r="B3191" i="1"/>
  <c r="A3191" i="1"/>
  <c r="D3190" i="1"/>
  <c r="C3190" i="1"/>
  <c r="B3190" i="1"/>
  <c r="A3190" i="1"/>
  <c r="D3189" i="1"/>
  <c r="C3189" i="1"/>
  <c r="B3189" i="1"/>
  <c r="A3189" i="1"/>
  <c r="D3188" i="1"/>
  <c r="C3188" i="1"/>
  <c r="B3188" i="1"/>
  <c r="A3188" i="1"/>
  <c r="D3187" i="1"/>
  <c r="C3187" i="1"/>
  <c r="B3187" i="1"/>
  <c r="A3187" i="1"/>
  <c r="D3186" i="1"/>
  <c r="C3186" i="1"/>
  <c r="B3186" i="1"/>
  <c r="A3186" i="1"/>
  <c r="D3185" i="1"/>
  <c r="C3185" i="1"/>
  <c r="B3185" i="1"/>
  <c r="A3185" i="1"/>
  <c r="D3184" i="1"/>
  <c r="C3184" i="1"/>
  <c r="B3184" i="1"/>
  <c r="A3184" i="1"/>
  <c r="D3183" i="1"/>
  <c r="C3183" i="1"/>
  <c r="B3183" i="1"/>
  <c r="A3183" i="1"/>
  <c r="D3182" i="1"/>
  <c r="C3182" i="1"/>
  <c r="B3182" i="1"/>
  <c r="A3182" i="1"/>
  <c r="D3181" i="1"/>
  <c r="C3181" i="1"/>
  <c r="B3181" i="1"/>
  <c r="A3181" i="1"/>
  <c r="D3180" i="1"/>
  <c r="C3180" i="1"/>
  <c r="B3180" i="1"/>
  <c r="A3180" i="1"/>
  <c r="D3179" i="1"/>
  <c r="C3179" i="1"/>
  <c r="B3179" i="1"/>
  <c r="A3179" i="1"/>
  <c r="D3178" i="1"/>
  <c r="C3178" i="1"/>
  <c r="B3178" i="1"/>
  <c r="A3178" i="1"/>
  <c r="D3177" i="1"/>
  <c r="C3177" i="1"/>
  <c r="B3177" i="1"/>
  <c r="A3177" i="1"/>
  <c r="D3176" i="1"/>
  <c r="C3176" i="1"/>
  <c r="B3176" i="1"/>
  <c r="A3176" i="1"/>
  <c r="D3175" i="1"/>
  <c r="C3175" i="1"/>
  <c r="B3175" i="1"/>
  <c r="A3175" i="1"/>
  <c r="D3174" i="1"/>
  <c r="C3174" i="1"/>
  <c r="B3174" i="1"/>
  <c r="A3174" i="1"/>
  <c r="D3173" i="1"/>
  <c r="C3173" i="1"/>
  <c r="B3173" i="1"/>
  <c r="A3173" i="1"/>
  <c r="D3172" i="1"/>
  <c r="C3172" i="1"/>
  <c r="B3172" i="1"/>
  <c r="A3172" i="1"/>
  <c r="D3171" i="1"/>
  <c r="C3171" i="1"/>
  <c r="B3171" i="1"/>
  <c r="A3171" i="1"/>
  <c r="D3170" i="1"/>
  <c r="C3170" i="1"/>
  <c r="B3170" i="1"/>
  <c r="A3170" i="1"/>
  <c r="D3169" i="1"/>
  <c r="C3169" i="1"/>
  <c r="B3169" i="1"/>
  <c r="A3169" i="1"/>
  <c r="D3168" i="1"/>
  <c r="C3168" i="1"/>
  <c r="B3168" i="1"/>
  <c r="A3168" i="1"/>
  <c r="D3167" i="1"/>
  <c r="C3167" i="1"/>
  <c r="B3167" i="1"/>
  <c r="A3167" i="1"/>
  <c r="D3166" i="1"/>
  <c r="C3166" i="1"/>
  <c r="B3166" i="1"/>
  <c r="A3166" i="1"/>
  <c r="D3165" i="1"/>
  <c r="C3165" i="1"/>
  <c r="B3165" i="1"/>
  <c r="A3165" i="1"/>
  <c r="D3164" i="1"/>
  <c r="C3164" i="1"/>
  <c r="B3164" i="1"/>
  <c r="A3164" i="1"/>
  <c r="D3163" i="1"/>
  <c r="C3163" i="1"/>
  <c r="B3163" i="1"/>
  <c r="A3163" i="1"/>
  <c r="D3162" i="1"/>
  <c r="C3162" i="1"/>
  <c r="B3162" i="1"/>
  <c r="A3162" i="1"/>
  <c r="D3161" i="1"/>
  <c r="C3161" i="1"/>
  <c r="B3161" i="1"/>
  <c r="A3161" i="1"/>
  <c r="D3160" i="1"/>
  <c r="C3160" i="1"/>
  <c r="B3160" i="1"/>
  <c r="A3160" i="1"/>
  <c r="D3159" i="1"/>
  <c r="C3159" i="1"/>
  <c r="B3159" i="1"/>
  <c r="A3159" i="1"/>
  <c r="D3158" i="1"/>
  <c r="C3158" i="1"/>
  <c r="B3158" i="1"/>
  <c r="A3158" i="1"/>
  <c r="D3157" i="1"/>
  <c r="C3157" i="1"/>
  <c r="B3157" i="1"/>
  <c r="A3157" i="1"/>
  <c r="D3156" i="1"/>
  <c r="C3156" i="1"/>
  <c r="B3156" i="1"/>
  <c r="A3156" i="1"/>
  <c r="D3155" i="1"/>
  <c r="C3155" i="1"/>
  <c r="B3155" i="1"/>
  <c r="A3155" i="1"/>
  <c r="D3154" i="1"/>
  <c r="C3154" i="1"/>
  <c r="B3154" i="1"/>
  <c r="A3154" i="1"/>
  <c r="D3153" i="1"/>
  <c r="C3153" i="1"/>
  <c r="B3153" i="1"/>
  <c r="A3153" i="1"/>
  <c r="D3152" i="1"/>
  <c r="C3152" i="1"/>
  <c r="B3152" i="1"/>
  <c r="A3152" i="1"/>
  <c r="D3151" i="1"/>
  <c r="C3151" i="1"/>
  <c r="B3151" i="1"/>
  <c r="A3151" i="1"/>
  <c r="D3150" i="1"/>
  <c r="C3150" i="1"/>
  <c r="B3150" i="1"/>
  <c r="A3150" i="1"/>
  <c r="D3149" i="1"/>
  <c r="C3149" i="1"/>
  <c r="B3149" i="1"/>
  <c r="A3149" i="1"/>
  <c r="D3148" i="1"/>
  <c r="C3148" i="1"/>
  <c r="B3148" i="1"/>
  <c r="A3148" i="1"/>
  <c r="D3147" i="1"/>
  <c r="C3147" i="1"/>
  <c r="B3147" i="1"/>
  <c r="A3147" i="1"/>
  <c r="D3146" i="1"/>
  <c r="C3146" i="1"/>
  <c r="B3146" i="1"/>
  <c r="A3146" i="1"/>
  <c r="D3145" i="1"/>
  <c r="C3145" i="1"/>
  <c r="B3145" i="1"/>
  <c r="A3145" i="1"/>
  <c r="D3144" i="1"/>
  <c r="C3144" i="1"/>
  <c r="B3144" i="1"/>
  <c r="A3144" i="1"/>
  <c r="D3143" i="1"/>
  <c r="C3143" i="1"/>
  <c r="B3143" i="1"/>
  <c r="A3143" i="1"/>
  <c r="D3142" i="1"/>
  <c r="C3142" i="1"/>
  <c r="B3142" i="1"/>
  <c r="A3142" i="1"/>
  <c r="D3141" i="1"/>
  <c r="C3141" i="1"/>
  <c r="B3141" i="1"/>
  <c r="A3141" i="1"/>
  <c r="D3140" i="1"/>
  <c r="C3140" i="1"/>
  <c r="B3140" i="1"/>
  <c r="A3140" i="1"/>
  <c r="D3139" i="1"/>
  <c r="C3139" i="1"/>
  <c r="B3139" i="1"/>
  <c r="A3139" i="1"/>
  <c r="D3138" i="1"/>
  <c r="C3138" i="1"/>
  <c r="B3138" i="1"/>
  <c r="A3138" i="1"/>
  <c r="D3137" i="1"/>
  <c r="C3137" i="1"/>
  <c r="B3137" i="1"/>
  <c r="A3137" i="1"/>
  <c r="D3136" i="1"/>
  <c r="C3136" i="1"/>
  <c r="B3136" i="1"/>
  <c r="A3136" i="1"/>
  <c r="D3135" i="1"/>
  <c r="C3135" i="1"/>
  <c r="B3135" i="1"/>
  <c r="A3135" i="1"/>
  <c r="D3134" i="1"/>
  <c r="C3134" i="1"/>
  <c r="B3134" i="1"/>
  <c r="A3134" i="1"/>
  <c r="D3133" i="1"/>
  <c r="C3133" i="1"/>
  <c r="B3133" i="1"/>
  <c r="A3133" i="1"/>
  <c r="D3132" i="1"/>
  <c r="C3132" i="1"/>
  <c r="B3132" i="1"/>
  <c r="A3132" i="1"/>
  <c r="D3131" i="1"/>
  <c r="C3131" i="1"/>
  <c r="B3131" i="1"/>
  <c r="A3131" i="1"/>
  <c r="D3130" i="1"/>
  <c r="C3130" i="1"/>
  <c r="B3130" i="1"/>
  <c r="A3130" i="1"/>
  <c r="D3129" i="1"/>
  <c r="C3129" i="1"/>
  <c r="B3129" i="1"/>
  <c r="A3129" i="1"/>
  <c r="D3128" i="1"/>
  <c r="C3128" i="1"/>
  <c r="B3128" i="1"/>
  <c r="A3128" i="1"/>
  <c r="D3127" i="1"/>
  <c r="C3127" i="1"/>
  <c r="B3127" i="1"/>
  <c r="A3127" i="1"/>
  <c r="D3126" i="1"/>
  <c r="C3126" i="1"/>
  <c r="B3126" i="1"/>
  <c r="A3126" i="1"/>
  <c r="D3125" i="1"/>
  <c r="C3125" i="1"/>
  <c r="B3125" i="1"/>
  <c r="A3125" i="1"/>
  <c r="D3124" i="1"/>
  <c r="C3124" i="1"/>
  <c r="B3124" i="1"/>
  <c r="A3124" i="1"/>
  <c r="D3123" i="1"/>
  <c r="C3123" i="1"/>
  <c r="B3123" i="1"/>
  <c r="A3123" i="1"/>
  <c r="D3122" i="1"/>
  <c r="C3122" i="1"/>
  <c r="B3122" i="1"/>
  <c r="A3122" i="1"/>
  <c r="D3121" i="1"/>
  <c r="C3121" i="1"/>
  <c r="B3121" i="1"/>
  <c r="A3121" i="1"/>
  <c r="D3120" i="1"/>
  <c r="C3120" i="1"/>
  <c r="B3120" i="1"/>
  <c r="A3120" i="1"/>
  <c r="D3119" i="1"/>
  <c r="C3119" i="1"/>
  <c r="B3119" i="1"/>
  <c r="A3119" i="1"/>
  <c r="D3118" i="1"/>
  <c r="C3118" i="1"/>
  <c r="B3118" i="1"/>
  <c r="A3118" i="1"/>
  <c r="D3117" i="1"/>
  <c r="C3117" i="1"/>
  <c r="B3117" i="1"/>
  <c r="A3117" i="1"/>
  <c r="D3116" i="1"/>
  <c r="C3116" i="1"/>
  <c r="B3116" i="1"/>
  <c r="A3116" i="1"/>
  <c r="D3115" i="1"/>
  <c r="C3115" i="1"/>
  <c r="B3115" i="1"/>
  <c r="A3115" i="1"/>
  <c r="D3114" i="1"/>
  <c r="C3114" i="1"/>
  <c r="B3114" i="1"/>
  <c r="A3114" i="1"/>
  <c r="D3113" i="1"/>
  <c r="C3113" i="1"/>
  <c r="B3113" i="1"/>
  <c r="A3113" i="1"/>
  <c r="D3112" i="1"/>
  <c r="C3112" i="1"/>
  <c r="B3112" i="1"/>
  <c r="A3112" i="1"/>
  <c r="D3111" i="1"/>
  <c r="C3111" i="1"/>
  <c r="B3111" i="1"/>
  <c r="A3111" i="1"/>
  <c r="D3110" i="1"/>
  <c r="C3110" i="1"/>
  <c r="B3110" i="1"/>
  <c r="A3110" i="1"/>
  <c r="D3109" i="1"/>
  <c r="C3109" i="1"/>
  <c r="B3109" i="1"/>
  <c r="A3109" i="1"/>
  <c r="D3108" i="1"/>
  <c r="C3108" i="1"/>
  <c r="B3108" i="1"/>
  <c r="A3108" i="1"/>
  <c r="D3107" i="1"/>
  <c r="C3107" i="1"/>
  <c r="B3107" i="1"/>
  <c r="A3107" i="1"/>
  <c r="D3106" i="1"/>
  <c r="C3106" i="1"/>
  <c r="B3106" i="1"/>
  <c r="A3106" i="1"/>
  <c r="D3105" i="1"/>
  <c r="C3105" i="1"/>
  <c r="B3105" i="1"/>
  <c r="A3105" i="1"/>
  <c r="D3104" i="1"/>
  <c r="C3104" i="1"/>
  <c r="B3104" i="1"/>
  <c r="A3104" i="1"/>
  <c r="D3103" i="1"/>
  <c r="C3103" i="1"/>
  <c r="B3103" i="1"/>
  <c r="A3103" i="1"/>
  <c r="D3102" i="1"/>
  <c r="C3102" i="1"/>
  <c r="B3102" i="1"/>
  <c r="A3102" i="1"/>
  <c r="D3101" i="1"/>
  <c r="C3101" i="1"/>
  <c r="B3101" i="1"/>
  <c r="A3101" i="1"/>
  <c r="D3100" i="1"/>
  <c r="C3100" i="1"/>
  <c r="B3100" i="1"/>
  <c r="A3100" i="1"/>
  <c r="D3099" i="1"/>
  <c r="C3099" i="1"/>
  <c r="B3099" i="1"/>
  <c r="A3099" i="1"/>
  <c r="D3098" i="1"/>
  <c r="C3098" i="1"/>
  <c r="B3098" i="1"/>
  <c r="A3098" i="1"/>
  <c r="D3097" i="1"/>
  <c r="C3097" i="1"/>
  <c r="B3097" i="1"/>
  <c r="A3097" i="1"/>
  <c r="D3096" i="1"/>
  <c r="C3096" i="1"/>
  <c r="B3096" i="1"/>
  <c r="A3096" i="1"/>
  <c r="D3095" i="1"/>
  <c r="C3095" i="1"/>
  <c r="B3095" i="1"/>
  <c r="A3095" i="1"/>
  <c r="D3094" i="1"/>
  <c r="C3094" i="1"/>
  <c r="B3094" i="1"/>
  <c r="A3094" i="1"/>
  <c r="D3093" i="1"/>
  <c r="C3093" i="1"/>
  <c r="B3093" i="1"/>
  <c r="A3093" i="1"/>
  <c r="D3092" i="1"/>
  <c r="C3092" i="1"/>
  <c r="B3092" i="1"/>
  <c r="A3092" i="1"/>
  <c r="D3091" i="1"/>
  <c r="C3091" i="1"/>
  <c r="B3091" i="1"/>
  <c r="A3091" i="1"/>
  <c r="D3090" i="1"/>
  <c r="C3090" i="1"/>
  <c r="B3090" i="1"/>
  <c r="A3090" i="1"/>
  <c r="D3089" i="1"/>
  <c r="C3089" i="1"/>
  <c r="B3089" i="1"/>
  <c r="A3089" i="1"/>
  <c r="D3088" i="1"/>
  <c r="C3088" i="1"/>
  <c r="B3088" i="1"/>
  <c r="A3088" i="1"/>
  <c r="D3087" i="1"/>
  <c r="C3087" i="1"/>
  <c r="B3087" i="1"/>
  <c r="A3087" i="1"/>
  <c r="D3086" i="1"/>
  <c r="C3086" i="1"/>
  <c r="B3086" i="1"/>
  <c r="A3086" i="1"/>
  <c r="D3085" i="1"/>
  <c r="C3085" i="1"/>
  <c r="B3085" i="1"/>
  <c r="A3085" i="1"/>
  <c r="D3084" i="1"/>
  <c r="C3084" i="1"/>
  <c r="B3084" i="1"/>
  <c r="A3084" i="1"/>
  <c r="D3083" i="1"/>
  <c r="C3083" i="1"/>
  <c r="B3083" i="1"/>
  <c r="A3083" i="1"/>
  <c r="D3082" i="1"/>
  <c r="C3082" i="1"/>
  <c r="B3082" i="1"/>
  <c r="A3082" i="1"/>
  <c r="D3081" i="1"/>
  <c r="C3081" i="1"/>
  <c r="B3081" i="1"/>
  <c r="A3081" i="1"/>
  <c r="D3080" i="1"/>
  <c r="C3080" i="1"/>
  <c r="B3080" i="1"/>
  <c r="A3080" i="1"/>
  <c r="D3079" i="1"/>
  <c r="C3079" i="1"/>
  <c r="B3079" i="1"/>
  <c r="A3079" i="1"/>
  <c r="D3078" i="1"/>
  <c r="C3078" i="1"/>
  <c r="B3078" i="1"/>
  <c r="A3078" i="1"/>
  <c r="D3077" i="1"/>
  <c r="C3077" i="1"/>
  <c r="B3077" i="1"/>
  <c r="A3077" i="1"/>
  <c r="D3076" i="1"/>
  <c r="C3076" i="1"/>
  <c r="B3076" i="1"/>
  <c r="A3076" i="1"/>
  <c r="D3075" i="1"/>
  <c r="C3075" i="1"/>
  <c r="B3075" i="1"/>
  <c r="A3075" i="1"/>
  <c r="D3074" i="1"/>
  <c r="C3074" i="1"/>
  <c r="B3074" i="1"/>
  <c r="A3074" i="1"/>
  <c r="D3073" i="1"/>
  <c r="C3073" i="1"/>
  <c r="B3073" i="1"/>
  <c r="A3073" i="1"/>
  <c r="D3072" i="1"/>
  <c r="C3072" i="1"/>
  <c r="B3072" i="1"/>
  <c r="A3072" i="1"/>
  <c r="D3071" i="1"/>
  <c r="C3071" i="1"/>
  <c r="B3071" i="1"/>
  <c r="A3071" i="1"/>
  <c r="D3070" i="1"/>
  <c r="C3070" i="1"/>
  <c r="B3070" i="1"/>
  <c r="A3070" i="1"/>
  <c r="D3069" i="1"/>
  <c r="C3069" i="1"/>
  <c r="B3069" i="1"/>
  <c r="A3069" i="1"/>
  <c r="D3068" i="1"/>
  <c r="C3068" i="1"/>
  <c r="B3068" i="1"/>
  <c r="A3068" i="1"/>
  <c r="D3067" i="1"/>
  <c r="C3067" i="1"/>
  <c r="B3067" i="1"/>
  <c r="A3067" i="1"/>
  <c r="D3066" i="1"/>
  <c r="C3066" i="1"/>
  <c r="B3066" i="1"/>
  <c r="A3066" i="1"/>
  <c r="D3065" i="1"/>
  <c r="C3065" i="1"/>
  <c r="B3065" i="1"/>
  <c r="A3065" i="1"/>
  <c r="D3064" i="1"/>
  <c r="C3064" i="1"/>
  <c r="B3064" i="1"/>
  <c r="A3064" i="1"/>
  <c r="D3063" i="1"/>
  <c r="C3063" i="1"/>
  <c r="B3063" i="1"/>
  <c r="A3063" i="1"/>
  <c r="D3062" i="1"/>
  <c r="C3062" i="1"/>
  <c r="B3062" i="1"/>
  <c r="A3062" i="1"/>
  <c r="D3061" i="1"/>
  <c r="C3061" i="1"/>
  <c r="B3061" i="1"/>
  <c r="A3061" i="1"/>
  <c r="D3060" i="1"/>
  <c r="C3060" i="1"/>
  <c r="B3060" i="1"/>
  <c r="A3060" i="1"/>
  <c r="D3059" i="1"/>
  <c r="C3059" i="1"/>
  <c r="B3059" i="1"/>
  <c r="A3059" i="1"/>
  <c r="D3058" i="1"/>
  <c r="C3058" i="1"/>
  <c r="B3058" i="1"/>
  <c r="A3058" i="1"/>
  <c r="D3057" i="1"/>
  <c r="C3057" i="1"/>
  <c r="B3057" i="1"/>
  <c r="A3057" i="1"/>
  <c r="D3056" i="1"/>
  <c r="C3056" i="1"/>
  <c r="B3056" i="1"/>
  <c r="A3056" i="1"/>
  <c r="D3055" i="1"/>
  <c r="C3055" i="1"/>
  <c r="B3055" i="1"/>
  <c r="A3055" i="1"/>
  <c r="D3054" i="1"/>
  <c r="C3054" i="1"/>
  <c r="B3054" i="1"/>
  <c r="A3054" i="1"/>
  <c r="D3053" i="1"/>
  <c r="C3053" i="1"/>
  <c r="B3053" i="1"/>
  <c r="A3053" i="1"/>
  <c r="D3052" i="1"/>
  <c r="C3052" i="1"/>
  <c r="B3052" i="1"/>
  <c r="A3052" i="1"/>
  <c r="D3051" i="1"/>
  <c r="C3051" i="1"/>
  <c r="B3051" i="1"/>
  <c r="A3051" i="1"/>
  <c r="D3050" i="1"/>
  <c r="C3050" i="1"/>
  <c r="B3050" i="1"/>
  <c r="A3050" i="1"/>
  <c r="D3049" i="1"/>
  <c r="C3049" i="1"/>
  <c r="B3049" i="1"/>
  <c r="A3049" i="1"/>
  <c r="D3048" i="1"/>
  <c r="C3048" i="1"/>
  <c r="B3048" i="1"/>
  <c r="A3048" i="1"/>
  <c r="D3047" i="1"/>
  <c r="C3047" i="1"/>
  <c r="B3047" i="1"/>
  <c r="A3047" i="1"/>
  <c r="D3046" i="1"/>
  <c r="C3046" i="1"/>
  <c r="B3046" i="1"/>
  <c r="A3046" i="1"/>
  <c r="D3045" i="1"/>
  <c r="C3045" i="1"/>
  <c r="B3045" i="1"/>
  <c r="A3045" i="1"/>
  <c r="D3044" i="1"/>
  <c r="C3044" i="1"/>
  <c r="B3044" i="1"/>
  <c r="A3044" i="1"/>
  <c r="D3043" i="1"/>
  <c r="C3043" i="1"/>
  <c r="B3043" i="1"/>
  <c r="A3043" i="1"/>
  <c r="D3042" i="1"/>
  <c r="C3042" i="1"/>
  <c r="B3042" i="1"/>
  <c r="A3042" i="1"/>
  <c r="D3041" i="1"/>
  <c r="C3041" i="1"/>
  <c r="B3041" i="1"/>
  <c r="A3041" i="1"/>
  <c r="D3040" i="1"/>
  <c r="C3040" i="1"/>
  <c r="B3040" i="1"/>
  <c r="A3040" i="1"/>
  <c r="D3039" i="1"/>
  <c r="C3039" i="1"/>
  <c r="B3039" i="1"/>
  <c r="A3039" i="1"/>
  <c r="D3038" i="1"/>
  <c r="C3038" i="1"/>
  <c r="B3038" i="1"/>
  <c r="A3038" i="1"/>
  <c r="D3037" i="1"/>
  <c r="C3037" i="1"/>
  <c r="B3037" i="1"/>
  <c r="A3037" i="1"/>
  <c r="D3036" i="1"/>
  <c r="C3036" i="1"/>
  <c r="B3036" i="1"/>
  <c r="A3036" i="1"/>
  <c r="D3035" i="1"/>
  <c r="C3035" i="1"/>
  <c r="B3035" i="1"/>
  <c r="A3035" i="1"/>
  <c r="D3034" i="1"/>
  <c r="C3034" i="1"/>
  <c r="B3034" i="1"/>
  <c r="A3034" i="1"/>
  <c r="D3033" i="1"/>
  <c r="C3033" i="1"/>
  <c r="B3033" i="1"/>
  <c r="A3033" i="1"/>
  <c r="D3032" i="1"/>
  <c r="C3032" i="1"/>
  <c r="B3032" i="1"/>
  <c r="A3032" i="1"/>
  <c r="D3031" i="1"/>
  <c r="C3031" i="1"/>
  <c r="B3031" i="1"/>
  <c r="A3031" i="1"/>
  <c r="D3030" i="1"/>
  <c r="C3030" i="1"/>
  <c r="B3030" i="1"/>
  <c r="A3030" i="1"/>
  <c r="D3029" i="1"/>
  <c r="C3029" i="1"/>
  <c r="B3029" i="1"/>
  <c r="A3029" i="1"/>
  <c r="D3028" i="1"/>
  <c r="C3028" i="1"/>
  <c r="B3028" i="1"/>
  <c r="A3028" i="1"/>
  <c r="D3027" i="1"/>
  <c r="C3027" i="1"/>
  <c r="B3027" i="1"/>
  <c r="A3027" i="1"/>
  <c r="D3026" i="1"/>
  <c r="C3026" i="1"/>
  <c r="B3026" i="1"/>
  <c r="A3026" i="1"/>
  <c r="D3025" i="1"/>
  <c r="C3025" i="1"/>
  <c r="B3025" i="1"/>
  <c r="A3025" i="1"/>
  <c r="D3024" i="1"/>
  <c r="C3024" i="1"/>
  <c r="B3024" i="1"/>
  <c r="A3024" i="1"/>
  <c r="D3023" i="1"/>
  <c r="C3023" i="1"/>
  <c r="B3023" i="1"/>
  <c r="A3023" i="1"/>
  <c r="D3022" i="1"/>
  <c r="C3022" i="1"/>
  <c r="B3022" i="1"/>
  <c r="A3022" i="1"/>
  <c r="D3021" i="1"/>
  <c r="C3021" i="1"/>
  <c r="B3021" i="1"/>
  <c r="A3021" i="1"/>
  <c r="D3020" i="1"/>
  <c r="C3020" i="1"/>
  <c r="B3020" i="1"/>
  <c r="A3020" i="1"/>
  <c r="D3019" i="1"/>
  <c r="C3019" i="1"/>
  <c r="B3019" i="1"/>
  <c r="A3019" i="1"/>
  <c r="D3018" i="1"/>
  <c r="C3018" i="1"/>
  <c r="B3018" i="1"/>
  <c r="A3018" i="1"/>
  <c r="D3017" i="1"/>
  <c r="C3017" i="1"/>
  <c r="B3017" i="1"/>
  <c r="A3017" i="1"/>
  <c r="D3016" i="1"/>
  <c r="C3016" i="1"/>
  <c r="B3016" i="1"/>
  <c r="A3016" i="1"/>
  <c r="D3015" i="1"/>
  <c r="C3015" i="1"/>
  <c r="B3015" i="1"/>
  <c r="A3015" i="1"/>
  <c r="D3014" i="1"/>
  <c r="C3014" i="1"/>
  <c r="B3014" i="1"/>
  <c r="A3014" i="1"/>
  <c r="D3013" i="1"/>
  <c r="C3013" i="1"/>
  <c r="B3013" i="1"/>
  <c r="A3013" i="1"/>
  <c r="D3012" i="1"/>
  <c r="C3012" i="1"/>
  <c r="B3012" i="1"/>
  <c r="A3012" i="1"/>
  <c r="D3011" i="1"/>
  <c r="C3011" i="1"/>
  <c r="B3011" i="1"/>
  <c r="A3011" i="1"/>
  <c r="D3010" i="1"/>
  <c r="C3010" i="1"/>
  <c r="B3010" i="1"/>
  <c r="A3010" i="1"/>
  <c r="D3009" i="1"/>
  <c r="C3009" i="1"/>
  <c r="B3009" i="1"/>
  <c r="A3009" i="1"/>
  <c r="D3008" i="1"/>
  <c r="C3008" i="1"/>
  <c r="B3008" i="1"/>
  <c r="A3008" i="1"/>
  <c r="D3007" i="1"/>
  <c r="C3007" i="1"/>
  <c r="B3007" i="1"/>
  <c r="A3007" i="1"/>
  <c r="D3006" i="1"/>
  <c r="C3006" i="1"/>
  <c r="B3006" i="1"/>
  <c r="A3006" i="1"/>
  <c r="D3005" i="1"/>
  <c r="C3005" i="1"/>
  <c r="B3005" i="1"/>
  <c r="A3005" i="1"/>
  <c r="D3004" i="1"/>
  <c r="C3004" i="1"/>
  <c r="B3004" i="1"/>
  <c r="A3004" i="1"/>
  <c r="D3003" i="1"/>
  <c r="C3003" i="1"/>
  <c r="B3003" i="1"/>
  <c r="A3003" i="1"/>
  <c r="D3002" i="1"/>
  <c r="C3002" i="1"/>
  <c r="B3002" i="1"/>
  <c r="A3002" i="1"/>
  <c r="D3001" i="1"/>
  <c r="C3001" i="1"/>
  <c r="B3001" i="1"/>
  <c r="A3001" i="1"/>
  <c r="D3000" i="1"/>
  <c r="C3000" i="1"/>
  <c r="B3000" i="1"/>
  <c r="A3000" i="1"/>
  <c r="D2999" i="1"/>
  <c r="C2999" i="1"/>
  <c r="B2999" i="1"/>
  <c r="A2999" i="1"/>
  <c r="D2998" i="1"/>
  <c r="C2998" i="1"/>
  <c r="B2998" i="1"/>
  <c r="A2998" i="1"/>
  <c r="D2997" i="1"/>
  <c r="C2997" i="1"/>
  <c r="B2997" i="1"/>
  <c r="A2997" i="1"/>
  <c r="D2996" i="1"/>
  <c r="C2996" i="1"/>
  <c r="B2996" i="1"/>
  <c r="A2996" i="1"/>
  <c r="D2995" i="1"/>
  <c r="C2995" i="1"/>
  <c r="B2995" i="1"/>
  <c r="A2995" i="1"/>
  <c r="D2994" i="1"/>
  <c r="C2994" i="1"/>
  <c r="B2994" i="1"/>
  <c r="A2994" i="1"/>
  <c r="D2993" i="1"/>
  <c r="C2993" i="1"/>
  <c r="B2993" i="1"/>
  <c r="A2993" i="1"/>
  <c r="D2992" i="1"/>
  <c r="C2992" i="1"/>
  <c r="B2992" i="1"/>
  <c r="A2992" i="1"/>
  <c r="D2991" i="1"/>
  <c r="C2991" i="1"/>
  <c r="B2991" i="1"/>
  <c r="A2991" i="1"/>
  <c r="D2990" i="1"/>
  <c r="C2990" i="1"/>
  <c r="B2990" i="1"/>
  <c r="A2990" i="1"/>
  <c r="D2989" i="1"/>
  <c r="C2989" i="1"/>
  <c r="B2989" i="1"/>
  <c r="A2989" i="1"/>
  <c r="D2988" i="1"/>
  <c r="C2988" i="1"/>
  <c r="B2988" i="1"/>
  <c r="A2988" i="1"/>
  <c r="D2987" i="1"/>
  <c r="C2987" i="1"/>
  <c r="B2987" i="1"/>
  <c r="A2987" i="1"/>
  <c r="D2986" i="1"/>
  <c r="C2986" i="1"/>
  <c r="B2986" i="1"/>
  <c r="A2986" i="1"/>
  <c r="D2985" i="1"/>
  <c r="C2985" i="1"/>
  <c r="B2985" i="1"/>
  <c r="A2985" i="1"/>
  <c r="D2984" i="1"/>
  <c r="C2984" i="1"/>
  <c r="B2984" i="1"/>
  <c r="A2984" i="1"/>
  <c r="D2983" i="1"/>
  <c r="C2983" i="1"/>
  <c r="B2983" i="1"/>
  <c r="A2983" i="1"/>
  <c r="D2982" i="1"/>
  <c r="C2982" i="1"/>
  <c r="B2982" i="1"/>
  <c r="A2982" i="1"/>
  <c r="D2981" i="1"/>
  <c r="C2981" i="1"/>
  <c r="B2981" i="1"/>
  <c r="A2981" i="1"/>
  <c r="D2980" i="1"/>
  <c r="C2980" i="1"/>
  <c r="B2980" i="1"/>
  <c r="A2980" i="1"/>
  <c r="D2979" i="1"/>
  <c r="C2979" i="1"/>
  <c r="B2979" i="1"/>
  <c r="A2979" i="1"/>
  <c r="D2978" i="1"/>
  <c r="C2978" i="1"/>
  <c r="B2978" i="1"/>
  <c r="A2978" i="1"/>
  <c r="D2977" i="1"/>
  <c r="C2977" i="1"/>
  <c r="B2977" i="1"/>
  <c r="A2977" i="1"/>
  <c r="D2976" i="1"/>
  <c r="C2976" i="1"/>
  <c r="B2976" i="1"/>
  <c r="A2976" i="1"/>
  <c r="D2975" i="1"/>
  <c r="C2975" i="1"/>
  <c r="B2975" i="1"/>
  <c r="A2975" i="1"/>
  <c r="D2974" i="1"/>
  <c r="C2974" i="1"/>
  <c r="B2974" i="1"/>
  <c r="A2974" i="1"/>
  <c r="D2973" i="1"/>
  <c r="C2973" i="1"/>
  <c r="B2973" i="1"/>
  <c r="A2973" i="1"/>
  <c r="D2972" i="1"/>
  <c r="C2972" i="1"/>
  <c r="B2972" i="1"/>
  <c r="A2972" i="1"/>
  <c r="D2971" i="1"/>
  <c r="C2971" i="1"/>
  <c r="B2971" i="1"/>
  <c r="A2971" i="1"/>
  <c r="D2970" i="1"/>
  <c r="C2970" i="1"/>
  <c r="B2970" i="1"/>
  <c r="A2970" i="1"/>
  <c r="D2969" i="1"/>
  <c r="C2969" i="1"/>
  <c r="B2969" i="1"/>
  <c r="A2969" i="1"/>
  <c r="D2968" i="1"/>
  <c r="C2968" i="1"/>
  <c r="B2968" i="1"/>
  <c r="A2968" i="1"/>
  <c r="D2967" i="1"/>
  <c r="C2967" i="1"/>
  <c r="B2967" i="1"/>
  <c r="A2967" i="1"/>
  <c r="D2966" i="1"/>
  <c r="C2966" i="1"/>
  <c r="B2966" i="1"/>
  <c r="A2966" i="1"/>
  <c r="D2965" i="1"/>
  <c r="C2965" i="1"/>
  <c r="B2965" i="1"/>
  <c r="A2965" i="1"/>
  <c r="D2964" i="1"/>
  <c r="C2964" i="1"/>
  <c r="B2964" i="1"/>
  <c r="A2964" i="1"/>
  <c r="D2963" i="1"/>
  <c r="C2963" i="1"/>
  <c r="B2963" i="1"/>
  <c r="A2963" i="1"/>
  <c r="D2962" i="1"/>
  <c r="C2962" i="1"/>
  <c r="B2962" i="1"/>
  <c r="A2962" i="1"/>
  <c r="D2961" i="1"/>
  <c r="C2961" i="1"/>
  <c r="B2961" i="1"/>
  <c r="A2961" i="1"/>
  <c r="D2960" i="1"/>
  <c r="C2960" i="1"/>
  <c r="B2960" i="1"/>
  <c r="A2960" i="1"/>
  <c r="D2959" i="1"/>
  <c r="C2959" i="1"/>
  <c r="B2959" i="1"/>
  <c r="A2959" i="1"/>
  <c r="D2958" i="1"/>
  <c r="C2958" i="1"/>
  <c r="B2958" i="1"/>
  <c r="A2958" i="1"/>
  <c r="D2957" i="1"/>
  <c r="C2957" i="1"/>
  <c r="B2957" i="1"/>
  <c r="A2957" i="1"/>
  <c r="D2956" i="1"/>
  <c r="C2956" i="1"/>
  <c r="B2956" i="1"/>
  <c r="A2956" i="1"/>
  <c r="D2955" i="1"/>
  <c r="C2955" i="1"/>
  <c r="B2955" i="1"/>
  <c r="A2955" i="1"/>
  <c r="D2954" i="1"/>
  <c r="C2954" i="1"/>
  <c r="B2954" i="1"/>
  <c r="A2954" i="1"/>
  <c r="D2953" i="1"/>
  <c r="C2953" i="1"/>
  <c r="B2953" i="1"/>
  <c r="A2953" i="1"/>
  <c r="D2952" i="1"/>
  <c r="C2952" i="1"/>
  <c r="B2952" i="1"/>
  <c r="A2952" i="1"/>
  <c r="D2951" i="1"/>
  <c r="C2951" i="1"/>
  <c r="B2951" i="1"/>
  <c r="A2951" i="1"/>
  <c r="D2950" i="1"/>
  <c r="C2950" i="1"/>
  <c r="B2950" i="1"/>
  <c r="A2950" i="1"/>
  <c r="D2949" i="1"/>
  <c r="C2949" i="1"/>
  <c r="B2949" i="1"/>
  <c r="A2949" i="1"/>
  <c r="D2948" i="1"/>
  <c r="C2948" i="1"/>
  <c r="B2948" i="1"/>
  <c r="A2948" i="1"/>
  <c r="D2947" i="1"/>
  <c r="C2947" i="1"/>
  <c r="B2947" i="1"/>
  <c r="A2947" i="1"/>
  <c r="D2946" i="1"/>
  <c r="C2946" i="1"/>
  <c r="B2946" i="1"/>
  <c r="A2946" i="1"/>
  <c r="D2945" i="1"/>
  <c r="C2945" i="1"/>
  <c r="B2945" i="1"/>
  <c r="A2945" i="1"/>
  <c r="D2944" i="1"/>
  <c r="C2944" i="1"/>
  <c r="B2944" i="1"/>
  <c r="A2944" i="1"/>
  <c r="D2943" i="1"/>
  <c r="C2943" i="1"/>
  <c r="B2943" i="1"/>
  <c r="A2943" i="1"/>
  <c r="D2942" i="1"/>
  <c r="C2942" i="1"/>
  <c r="B2942" i="1"/>
  <c r="A2942" i="1"/>
  <c r="D2941" i="1"/>
  <c r="C2941" i="1"/>
  <c r="B2941" i="1"/>
  <c r="A2941" i="1"/>
  <c r="D2940" i="1"/>
  <c r="C2940" i="1"/>
  <c r="B2940" i="1"/>
  <c r="A2940" i="1"/>
  <c r="D2939" i="1"/>
  <c r="C2939" i="1"/>
  <c r="B2939" i="1"/>
  <c r="A2939" i="1"/>
  <c r="D2938" i="1"/>
  <c r="C2938" i="1"/>
  <c r="B2938" i="1"/>
  <c r="A2938" i="1"/>
  <c r="D2937" i="1"/>
  <c r="C2937" i="1"/>
  <c r="B2937" i="1"/>
  <c r="A2937" i="1"/>
  <c r="D2936" i="1"/>
  <c r="C2936" i="1"/>
  <c r="B2936" i="1"/>
  <c r="A2936" i="1"/>
  <c r="D2935" i="1"/>
  <c r="C2935" i="1"/>
  <c r="B2935" i="1"/>
  <c r="A2935" i="1"/>
  <c r="D2934" i="1"/>
  <c r="C2934" i="1"/>
  <c r="B2934" i="1"/>
  <c r="A2934" i="1"/>
  <c r="D2933" i="1"/>
  <c r="C2933" i="1"/>
  <c r="B2933" i="1"/>
  <c r="A2933" i="1"/>
  <c r="D2932" i="1"/>
  <c r="C2932" i="1"/>
  <c r="B2932" i="1"/>
  <c r="A2932" i="1"/>
  <c r="D2931" i="1"/>
  <c r="C2931" i="1"/>
  <c r="B2931" i="1"/>
  <c r="A2931" i="1"/>
  <c r="D2930" i="1"/>
  <c r="C2930" i="1"/>
  <c r="B2930" i="1"/>
  <c r="A2930" i="1"/>
  <c r="D2929" i="1"/>
  <c r="C2929" i="1"/>
  <c r="B2929" i="1"/>
  <c r="A2929" i="1"/>
  <c r="D2928" i="1"/>
  <c r="C2928" i="1"/>
  <c r="B2928" i="1"/>
  <c r="A2928" i="1"/>
  <c r="D2927" i="1"/>
  <c r="C2927" i="1"/>
  <c r="B2927" i="1"/>
  <c r="A2927" i="1"/>
  <c r="D2926" i="1"/>
  <c r="C2926" i="1"/>
  <c r="B2926" i="1"/>
  <c r="A2926" i="1"/>
  <c r="D2925" i="1"/>
  <c r="C2925" i="1"/>
  <c r="B2925" i="1"/>
  <c r="A2925" i="1"/>
  <c r="D2924" i="1"/>
  <c r="C2924" i="1"/>
  <c r="B2924" i="1"/>
  <c r="A2924" i="1"/>
  <c r="D2923" i="1"/>
  <c r="C2923" i="1"/>
  <c r="B2923" i="1"/>
  <c r="A2923" i="1"/>
  <c r="D2922" i="1"/>
  <c r="C2922" i="1"/>
  <c r="B2922" i="1"/>
  <c r="A2922" i="1"/>
  <c r="D2921" i="1"/>
  <c r="C2921" i="1"/>
  <c r="B2921" i="1"/>
  <c r="A2921" i="1"/>
  <c r="D2920" i="1"/>
  <c r="C2920" i="1"/>
  <c r="B2920" i="1"/>
  <c r="A2920" i="1"/>
  <c r="D2919" i="1"/>
  <c r="C2919" i="1"/>
  <c r="B2919" i="1"/>
  <c r="A2919" i="1"/>
  <c r="D2918" i="1"/>
  <c r="C2918" i="1"/>
  <c r="B2918" i="1"/>
  <c r="A2918" i="1"/>
  <c r="D2917" i="1"/>
  <c r="C2917" i="1"/>
  <c r="B2917" i="1"/>
  <c r="A2917" i="1"/>
  <c r="D2916" i="1"/>
  <c r="C2916" i="1"/>
  <c r="B2916" i="1"/>
  <c r="A2916" i="1"/>
  <c r="D2915" i="1"/>
  <c r="C2915" i="1"/>
  <c r="B2915" i="1"/>
  <c r="A2915" i="1"/>
  <c r="D2914" i="1"/>
  <c r="C2914" i="1"/>
  <c r="B2914" i="1"/>
  <c r="A2914" i="1"/>
  <c r="D2913" i="1"/>
  <c r="C2913" i="1"/>
  <c r="B2913" i="1"/>
  <c r="A2913" i="1"/>
  <c r="D2912" i="1"/>
  <c r="C2912" i="1"/>
  <c r="B2912" i="1"/>
  <c r="A2912" i="1"/>
  <c r="D2911" i="1"/>
  <c r="C2911" i="1"/>
  <c r="B2911" i="1"/>
  <c r="A2911" i="1"/>
  <c r="D2910" i="1"/>
  <c r="C2910" i="1"/>
  <c r="B2910" i="1"/>
  <c r="A2910" i="1"/>
  <c r="D2909" i="1"/>
  <c r="C2909" i="1"/>
  <c r="B2909" i="1"/>
  <c r="A2909" i="1"/>
  <c r="D2908" i="1"/>
  <c r="C2908" i="1"/>
  <c r="B2908" i="1"/>
  <c r="A2908" i="1"/>
  <c r="D2907" i="1"/>
  <c r="C2907" i="1"/>
  <c r="B2907" i="1"/>
  <c r="A2907" i="1"/>
  <c r="D2906" i="1"/>
  <c r="C2906" i="1"/>
  <c r="B2906" i="1"/>
  <c r="A2906" i="1"/>
  <c r="D2905" i="1"/>
  <c r="C2905" i="1"/>
  <c r="A2905" i="1"/>
  <c r="D2904" i="1"/>
  <c r="C2904" i="1"/>
  <c r="B2904" i="1"/>
  <c r="A2904" i="1"/>
  <c r="D2903" i="1"/>
  <c r="C2903" i="1"/>
  <c r="B2903" i="1"/>
  <c r="A2903" i="1"/>
  <c r="D2902" i="1"/>
  <c r="C2902" i="1"/>
  <c r="B2902" i="1"/>
  <c r="A2902" i="1"/>
  <c r="D2901" i="1"/>
  <c r="C2901" i="1"/>
  <c r="B2901" i="1"/>
  <c r="A2901" i="1"/>
  <c r="D2900" i="1"/>
  <c r="C2900" i="1"/>
  <c r="B2900" i="1"/>
  <c r="A2900" i="1"/>
  <c r="D2899" i="1"/>
  <c r="C2899" i="1"/>
  <c r="B2899" i="1"/>
  <c r="A2899" i="1"/>
  <c r="D2898" i="1"/>
  <c r="C2898" i="1"/>
  <c r="B2898" i="1"/>
  <c r="A2898" i="1"/>
  <c r="D2897" i="1"/>
  <c r="C2897" i="1"/>
  <c r="B2897" i="1"/>
  <c r="A2897" i="1"/>
  <c r="D2896" i="1"/>
  <c r="C2896" i="1"/>
  <c r="B2896" i="1"/>
  <c r="A2896" i="1"/>
  <c r="D2895" i="1"/>
  <c r="C2895" i="1"/>
  <c r="B2895" i="1"/>
  <c r="A2895" i="1"/>
  <c r="D2894" i="1"/>
  <c r="C2894" i="1"/>
  <c r="B2894" i="1"/>
  <c r="A2894" i="1"/>
  <c r="D2893" i="1"/>
  <c r="C2893" i="1"/>
  <c r="B2893" i="1"/>
  <c r="A2893" i="1"/>
  <c r="D2892" i="1"/>
  <c r="C2892" i="1"/>
  <c r="B2892" i="1"/>
  <c r="A2892" i="1"/>
  <c r="D2891" i="1"/>
  <c r="C2891" i="1"/>
  <c r="B2891" i="1"/>
  <c r="A2891" i="1"/>
  <c r="D2890" i="1"/>
  <c r="C2890" i="1"/>
  <c r="B2890" i="1"/>
  <c r="A2890" i="1"/>
  <c r="D2889" i="1"/>
  <c r="C2889" i="1"/>
  <c r="B2889" i="1"/>
  <c r="A2889" i="1"/>
  <c r="D2888" i="1"/>
  <c r="C2888" i="1"/>
  <c r="B2888" i="1"/>
  <c r="A2888" i="1"/>
  <c r="D2887" i="1"/>
  <c r="C2887" i="1"/>
  <c r="B2887" i="1"/>
  <c r="A2887" i="1"/>
  <c r="D2886" i="1"/>
  <c r="C2886" i="1"/>
  <c r="B2886" i="1"/>
  <c r="A2886" i="1"/>
  <c r="D2885" i="1"/>
  <c r="C2885" i="1"/>
  <c r="B2885" i="1"/>
  <c r="A2885" i="1"/>
  <c r="D2884" i="1"/>
  <c r="C2884" i="1"/>
  <c r="B2884" i="1"/>
  <c r="A2884" i="1"/>
  <c r="D2883" i="1"/>
  <c r="C2883" i="1"/>
  <c r="B2883" i="1"/>
  <c r="A2883" i="1"/>
  <c r="D2882" i="1"/>
  <c r="B2882" i="1"/>
  <c r="A2882" i="1"/>
  <c r="D2881" i="1"/>
  <c r="B2881" i="1"/>
  <c r="A2881" i="1"/>
  <c r="D2880" i="1"/>
  <c r="B2880" i="1"/>
  <c r="A2880" i="1"/>
  <c r="D2879" i="1"/>
  <c r="B2879" i="1"/>
  <c r="A2879" i="1"/>
  <c r="D2878" i="1"/>
  <c r="C2878" i="1"/>
  <c r="B2878" i="1"/>
  <c r="A2878" i="1"/>
  <c r="D2877" i="1"/>
  <c r="C2877" i="1"/>
  <c r="B2877" i="1"/>
  <c r="A2877" i="1"/>
  <c r="D2876" i="1"/>
  <c r="C2876" i="1"/>
  <c r="B2876" i="1"/>
  <c r="A2876" i="1"/>
  <c r="D2875" i="1"/>
  <c r="C2875" i="1"/>
  <c r="B2875" i="1"/>
  <c r="A2875" i="1"/>
  <c r="D2874" i="1"/>
  <c r="C2874" i="1"/>
  <c r="B2874" i="1"/>
  <c r="A2874" i="1"/>
  <c r="D2873" i="1"/>
  <c r="C2873" i="1"/>
  <c r="B2873" i="1"/>
  <c r="A2873" i="1"/>
  <c r="D2872" i="1"/>
  <c r="B2872" i="1"/>
  <c r="A2872" i="1"/>
  <c r="D2871" i="1"/>
  <c r="B2871" i="1"/>
  <c r="A2871" i="1"/>
  <c r="D2870" i="1"/>
  <c r="B2870" i="1"/>
  <c r="A2870" i="1"/>
  <c r="D2869" i="1"/>
  <c r="B2869" i="1"/>
  <c r="A2869" i="1"/>
  <c r="D2868" i="1"/>
  <c r="B2868" i="1"/>
  <c r="A2868" i="1"/>
  <c r="D2867" i="1"/>
  <c r="B2867" i="1"/>
  <c r="A2867" i="1"/>
  <c r="D2866" i="1"/>
  <c r="B2866" i="1"/>
  <c r="A2866" i="1"/>
  <c r="D2865" i="1"/>
  <c r="B2865" i="1"/>
  <c r="A2865" i="1"/>
  <c r="D2864" i="1"/>
  <c r="B2864" i="1"/>
  <c r="A2864" i="1"/>
  <c r="D2863" i="1"/>
  <c r="B2863" i="1"/>
  <c r="A2863" i="1"/>
  <c r="D2862" i="1"/>
  <c r="B2862" i="1"/>
  <c r="A2862" i="1"/>
  <c r="D2861" i="1"/>
  <c r="B2861" i="1"/>
  <c r="A2861" i="1"/>
  <c r="D2860" i="1"/>
  <c r="B2860" i="1"/>
  <c r="A2860" i="1"/>
  <c r="D2859" i="1"/>
  <c r="B2859" i="1"/>
  <c r="A2859" i="1"/>
  <c r="D2858" i="1"/>
  <c r="B2858" i="1"/>
  <c r="A2858" i="1"/>
  <c r="D2857" i="1"/>
  <c r="B2857" i="1"/>
  <c r="A2857" i="1"/>
  <c r="D2856" i="1"/>
  <c r="B2856" i="1"/>
  <c r="A2856" i="1"/>
  <c r="D2855" i="1"/>
  <c r="B2855" i="1"/>
  <c r="A2855" i="1"/>
  <c r="D2854" i="1"/>
  <c r="B2854" i="1"/>
  <c r="A2854" i="1"/>
  <c r="D2853" i="1"/>
  <c r="B2853" i="1"/>
  <c r="A2853" i="1"/>
  <c r="D2852" i="1"/>
  <c r="B2852" i="1"/>
  <c r="A2852" i="1"/>
  <c r="D2851" i="1"/>
  <c r="C2851" i="1"/>
  <c r="B2851" i="1"/>
  <c r="A2851" i="1"/>
  <c r="D2850" i="1"/>
  <c r="C2850" i="1"/>
  <c r="B2850" i="1"/>
  <c r="A2850" i="1"/>
  <c r="D2849" i="1"/>
  <c r="C2849" i="1"/>
  <c r="B2849" i="1"/>
  <c r="A2849" i="1"/>
  <c r="D2848" i="1"/>
  <c r="C2848" i="1"/>
  <c r="B2848" i="1"/>
  <c r="A2848" i="1"/>
  <c r="D2847" i="1"/>
  <c r="C2847" i="1"/>
  <c r="B2847" i="1"/>
  <c r="A2847" i="1"/>
  <c r="D2846" i="1"/>
  <c r="C2846" i="1"/>
  <c r="B2846" i="1"/>
  <c r="A2846" i="1"/>
  <c r="D2845" i="1"/>
  <c r="C2845" i="1"/>
  <c r="B2845" i="1"/>
  <c r="A2845" i="1"/>
  <c r="D2844" i="1"/>
  <c r="C2844" i="1"/>
  <c r="B2844" i="1"/>
  <c r="A2844" i="1"/>
  <c r="D2843" i="1"/>
  <c r="C2843" i="1"/>
  <c r="B2843" i="1"/>
  <c r="A2843" i="1"/>
  <c r="D2842" i="1"/>
  <c r="C2842" i="1"/>
  <c r="B2842" i="1"/>
  <c r="A2842" i="1"/>
  <c r="D2841" i="1"/>
  <c r="C2841" i="1"/>
  <c r="B2841" i="1"/>
  <c r="A2841" i="1"/>
  <c r="D2840" i="1"/>
  <c r="C2840" i="1"/>
  <c r="B2840" i="1"/>
  <c r="A2840" i="1"/>
  <c r="D2839" i="1"/>
  <c r="C2839" i="1"/>
  <c r="B2839" i="1"/>
  <c r="A2839" i="1"/>
  <c r="D2838" i="1"/>
  <c r="C2838" i="1"/>
  <c r="B2838" i="1"/>
  <c r="A2838" i="1"/>
  <c r="D2837" i="1"/>
  <c r="C2837" i="1"/>
  <c r="B2837" i="1"/>
  <c r="A2837" i="1"/>
  <c r="D2836" i="1"/>
  <c r="C2836" i="1"/>
  <c r="B2836" i="1"/>
  <c r="A2836" i="1"/>
  <c r="D2835" i="1"/>
  <c r="C2835" i="1"/>
  <c r="B2835" i="1"/>
  <c r="A2835" i="1"/>
  <c r="D2834" i="1"/>
  <c r="C2834" i="1"/>
  <c r="B2834" i="1"/>
  <c r="A2834" i="1"/>
  <c r="D2833" i="1"/>
  <c r="C2833" i="1"/>
  <c r="B2833" i="1"/>
  <c r="A2833" i="1"/>
  <c r="D2832" i="1"/>
  <c r="C2832" i="1"/>
  <c r="B2832" i="1"/>
  <c r="A2832" i="1"/>
  <c r="D2831" i="1"/>
  <c r="C2831" i="1"/>
  <c r="B2831" i="1"/>
  <c r="A2831" i="1"/>
  <c r="D2830" i="1"/>
  <c r="C2830" i="1"/>
  <c r="B2830" i="1"/>
  <c r="A2830" i="1"/>
  <c r="D2829" i="1"/>
  <c r="C2829" i="1"/>
  <c r="B2829" i="1"/>
  <c r="A2829" i="1"/>
  <c r="D2828" i="1"/>
  <c r="C2828" i="1"/>
  <c r="B2828" i="1"/>
  <c r="A2828" i="1"/>
  <c r="D2827" i="1"/>
  <c r="C2827" i="1"/>
  <c r="B2827" i="1"/>
  <c r="A2827" i="1"/>
  <c r="D2826" i="1"/>
  <c r="C2826" i="1"/>
  <c r="B2826" i="1"/>
  <c r="A2826" i="1"/>
  <c r="D2825" i="1"/>
  <c r="C2825" i="1"/>
  <c r="B2825" i="1"/>
  <c r="A2825" i="1"/>
  <c r="D2824" i="1"/>
  <c r="C2824" i="1"/>
  <c r="B2824" i="1"/>
  <c r="A2824" i="1"/>
  <c r="D2823" i="1"/>
  <c r="C2823" i="1"/>
  <c r="B2823" i="1"/>
  <c r="A2823" i="1"/>
  <c r="D2822" i="1"/>
  <c r="C2822" i="1"/>
  <c r="B2822" i="1"/>
  <c r="A2822" i="1"/>
  <c r="D2821" i="1"/>
  <c r="C2821" i="1"/>
  <c r="B2821" i="1"/>
  <c r="A2821" i="1"/>
  <c r="D2820" i="1"/>
  <c r="C2820" i="1"/>
  <c r="B2820" i="1"/>
  <c r="A2820" i="1"/>
  <c r="D2819" i="1"/>
  <c r="C2819" i="1"/>
  <c r="B2819" i="1"/>
  <c r="A2819" i="1"/>
  <c r="D2818" i="1"/>
  <c r="C2818" i="1"/>
  <c r="B2818" i="1"/>
  <c r="A2818" i="1"/>
  <c r="D2817" i="1"/>
  <c r="C2817" i="1"/>
  <c r="B2817" i="1"/>
  <c r="A2817" i="1"/>
  <c r="D2816" i="1"/>
  <c r="C2816" i="1"/>
  <c r="B2816" i="1"/>
  <c r="A2816" i="1"/>
  <c r="D2815" i="1"/>
  <c r="C2815" i="1"/>
  <c r="B2815" i="1"/>
  <c r="A2815" i="1"/>
  <c r="D2814" i="1"/>
  <c r="C2814" i="1"/>
  <c r="B2814" i="1"/>
  <c r="A2814" i="1"/>
  <c r="D2813" i="1"/>
  <c r="C2813" i="1"/>
  <c r="B2813" i="1"/>
  <c r="A2813" i="1"/>
  <c r="D2812" i="1"/>
  <c r="C2812" i="1"/>
  <c r="B2812" i="1"/>
  <c r="A2812" i="1"/>
  <c r="D2811" i="1"/>
  <c r="C2811" i="1"/>
  <c r="B2811" i="1"/>
  <c r="A2811" i="1"/>
  <c r="D2810" i="1"/>
  <c r="C2810" i="1"/>
  <c r="B2810" i="1"/>
  <c r="A2810" i="1"/>
  <c r="D2809" i="1"/>
  <c r="C2809" i="1"/>
  <c r="B2809" i="1"/>
  <c r="A2809" i="1"/>
  <c r="D2808" i="1"/>
  <c r="C2808" i="1"/>
  <c r="B2808" i="1"/>
  <c r="A2808" i="1"/>
  <c r="D2807" i="1"/>
  <c r="C2807" i="1"/>
  <c r="B2807" i="1"/>
  <c r="A2807" i="1"/>
  <c r="D2806" i="1"/>
  <c r="C2806" i="1"/>
  <c r="B2806" i="1"/>
  <c r="A2806" i="1"/>
  <c r="D2805" i="1"/>
  <c r="C2805" i="1"/>
  <c r="B2805" i="1"/>
  <c r="A2805" i="1"/>
  <c r="D2804" i="1"/>
  <c r="C2804" i="1"/>
  <c r="B2804" i="1"/>
  <c r="A2804" i="1"/>
  <c r="D2803" i="1"/>
  <c r="C2803" i="1"/>
  <c r="B2803" i="1"/>
  <c r="A2803" i="1"/>
  <c r="D2802" i="1"/>
  <c r="C2802" i="1"/>
  <c r="B2802" i="1"/>
  <c r="A2802" i="1"/>
  <c r="D2801" i="1"/>
  <c r="C2801" i="1"/>
  <c r="B2801" i="1"/>
  <c r="A2801" i="1"/>
  <c r="D2800" i="1"/>
  <c r="C2800" i="1"/>
  <c r="B2800" i="1"/>
  <c r="A2800" i="1"/>
  <c r="D2799" i="1"/>
  <c r="C2799" i="1"/>
  <c r="B2799" i="1"/>
  <c r="A2799" i="1"/>
  <c r="D2798" i="1"/>
  <c r="C2798" i="1"/>
  <c r="B2798" i="1"/>
  <c r="A2798" i="1"/>
  <c r="D2797" i="1"/>
  <c r="C2797" i="1"/>
  <c r="B2797" i="1"/>
  <c r="A2797" i="1"/>
  <c r="D2796" i="1"/>
  <c r="C2796" i="1"/>
  <c r="B2796" i="1"/>
  <c r="A2796" i="1"/>
  <c r="D2795" i="1"/>
  <c r="C2795" i="1"/>
  <c r="B2795" i="1"/>
  <c r="A2795" i="1"/>
  <c r="D2794" i="1"/>
  <c r="C2794" i="1"/>
  <c r="B2794" i="1"/>
  <c r="A2794" i="1"/>
  <c r="D2793" i="1"/>
  <c r="C2793" i="1"/>
  <c r="B2793" i="1"/>
  <c r="A2793" i="1"/>
  <c r="D2792" i="1"/>
  <c r="C2792" i="1"/>
  <c r="B2792" i="1"/>
  <c r="A2792" i="1"/>
  <c r="D2791" i="1"/>
  <c r="C2791" i="1"/>
  <c r="B2791" i="1"/>
  <c r="A2791" i="1"/>
  <c r="D2790" i="1"/>
  <c r="C2790" i="1"/>
  <c r="B2790" i="1"/>
  <c r="A2790" i="1"/>
  <c r="D2789" i="1"/>
  <c r="C2789" i="1"/>
  <c r="B2789" i="1"/>
  <c r="A2789" i="1"/>
  <c r="D2788" i="1"/>
  <c r="C2788" i="1"/>
  <c r="B2788" i="1"/>
  <c r="A2788" i="1"/>
  <c r="D2787" i="1"/>
  <c r="C2787" i="1"/>
  <c r="B2787" i="1"/>
  <c r="A2787" i="1"/>
  <c r="D2786" i="1"/>
  <c r="C2786" i="1"/>
  <c r="B2786" i="1"/>
  <c r="A2786" i="1"/>
  <c r="D2785" i="1"/>
  <c r="C2785" i="1"/>
  <c r="B2785" i="1"/>
  <c r="A2785" i="1"/>
  <c r="D2784" i="1"/>
  <c r="C2784" i="1"/>
  <c r="B2784" i="1"/>
  <c r="A2784" i="1"/>
  <c r="D2783" i="1"/>
  <c r="C2783" i="1"/>
  <c r="B2783" i="1"/>
  <c r="A2783" i="1"/>
  <c r="D2782" i="1"/>
  <c r="C2782" i="1"/>
  <c r="B2782" i="1"/>
  <c r="A2782" i="1"/>
  <c r="D2781" i="1"/>
  <c r="C2781" i="1"/>
  <c r="B2781" i="1"/>
  <c r="A2781" i="1"/>
  <c r="D2780" i="1"/>
  <c r="C2780" i="1"/>
  <c r="B2780" i="1"/>
  <c r="A2780" i="1"/>
  <c r="D2779" i="1"/>
  <c r="C2779" i="1"/>
  <c r="B2779" i="1"/>
  <c r="A2779" i="1"/>
  <c r="D2778" i="1"/>
  <c r="C2778" i="1"/>
  <c r="B2778" i="1"/>
  <c r="A2778" i="1"/>
  <c r="D2777" i="1"/>
  <c r="C2777" i="1"/>
  <c r="B2777" i="1"/>
  <c r="A2777" i="1"/>
  <c r="D2776" i="1"/>
  <c r="C2776" i="1"/>
  <c r="B2776" i="1"/>
  <c r="A2776" i="1"/>
  <c r="D2775" i="1"/>
  <c r="C2775" i="1"/>
  <c r="B2775" i="1"/>
  <c r="A2775" i="1"/>
  <c r="D2774" i="1"/>
  <c r="C2774" i="1"/>
  <c r="B2774" i="1"/>
  <c r="A2774" i="1"/>
  <c r="D2773" i="1"/>
  <c r="C2773" i="1"/>
  <c r="B2773" i="1"/>
  <c r="A2773" i="1"/>
  <c r="D2772" i="1"/>
  <c r="B2772" i="1"/>
  <c r="A2772" i="1"/>
  <c r="D2771" i="1"/>
  <c r="B2771" i="1"/>
  <c r="A2771" i="1"/>
  <c r="D2770" i="1"/>
  <c r="C2770" i="1"/>
  <c r="B2770" i="1"/>
  <c r="A2770" i="1"/>
  <c r="D2769" i="1"/>
  <c r="B2769" i="1"/>
  <c r="A2769" i="1"/>
  <c r="D2768" i="1"/>
  <c r="C2768" i="1"/>
  <c r="B2768" i="1"/>
  <c r="A2768" i="1"/>
  <c r="D2767" i="1"/>
  <c r="C2767" i="1"/>
  <c r="B2767" i="1"/>
  <c r="A2767" i="1"/>
  <c r="D2766" i="1"/>
  <c r="C2766" i="1"/>
  <c r="B2766" i="1"/>
  <c r="A2766" i="1"/>
  <c r="D2765" i="1"/>
  <c r="C2765" i="1"/>
  <c r="B2765" i="1"/>
  <c r="A2765" i="1"/>
  <c r="D2764" i="1"/>
  <c r="C2764" i="1"/>
  <c r="B2764" i="1"/>
  <c r="A2764" i="1"/>
  <c r="D2763" i="1"/>
  <c r="C2763" i="1"/>
  <c r="B2763" i="1"/>
  <c r="A2763" i="1"/>
  <c r="D2762" i="1"/>
  <c r="C2762" i="1"/>
  <c r="B2762" i="1"/>
  <c r="A2762" i="1"/>
  <c r="D2761" i="1"/>
  <c r="C2761" i="1"/>
  <c r="B2761" i="1"/>
  <c r="A2761" i="1"/>
  <c r="D2760" i="1"/>
  <c r="C2760" i="1"/>
  <c r="B2760" i="1"/>
  <c r="A2760" i="1"/>
  <c r="D2759" i="1"/>
  <c r="C2759" i="1"/>
  <c r="B2759" i="1"/>
  <c r="A2759" i="1"/>
  <c r="D2758" i="1"/>
  <c r="C2758" i="1"/>
  <c r="B2758" i="1"/>
  <c r="A2758" i="1"/>
  <c r="D2757" i="1"/>
  <c r="C2757" i="1"/>
  <c r="B2757" i="1"/>
  <c r="A2757" i="1"/>
  <c r="D2756" i="1"/>
  <c r="C2756" i="1"/>
  <c r="B2756" i="1"/>
  <c r="A2756" i="1"/>
  <c r="D2755" i="1"/>
  <c r="C2755" i="1"/>
  <c r="B2755" i="1"/>
  <c r="A2755" i="1"/>
  <c r="D2754" i="1"/>
  <c r="C2754" i="1"/>
  <c r="B2754" i="1"/>
  <c r="A2754" i="1"/>
  <c r="D2753" i="1"/>
  <c r="C2753" i="1"/>
  <c r="B2753" i="1"/>
  <c r="A2753" i="1"/>
  <c r="D2752" i="1"/>
  <c r="C2752" i="1"/>
  <c r="B2752" i="1"/>
  <c r="A2752" i="1"/>
  <c r="D2751" i="1"/>
  <c r="C2751" i="1"/>
  <c r="B2751" i="1"/>
  <c r="A2751" i="1"/>
  <c r="D2750" i="1"/>
  <c r="C2750" i="1"/>
  <c r="B2750" i="1"/>
  <c r="A2750" i="1"/>
  <c r="D2749" i="1"/>
  <c r="C2749" i="1"/>
  <c r="B2749" i="1"/>
  <c r="A2749" i="1"/>
  <c r="D2748" i="1"/>
  <c r="C2748" i="1"/>
  <c r="B2748" i="1"/>
  <c r="A2748" i="1"/>
  <c r="D2747" i="1"/>
  <c r="C2747" i="1"/>
  <c r="B2747" i="1"/>
  <c r="A2747" i="1"/>
  <c r="D2746" i="1"/>
  <c r="C2746" i="1"/>
  <c r="B2746" i="1"/>
  <c r="A2746" i="1"/>
  <c r="D2745" i="1"/>
  <c r="C2745" i="1"/>
  <c r="B2745" i="1"/>
  <c r="A2745" i="1"/>
  <c r="D2744" i="1"/>
  <c r="C2744" i="1"/>
  <c r="B2744" i="1"/>
  <c r="A2744" i="1"/>
  <c r="D2743" i="1"/>
  <c r="C2743" i="1"/>
  <c r="B2743" i="1"/>
  <c r="A2743" i="1"/>
  <c r="D2742" i="1"/>
  <c r="C2742" i="1"/>
  <c r="B2742" i="1"/>
  <c r="A2742" i="1"/>
  <c r="D2741" i="1"/>
  <c r="C2741" i="1"/>
  <c r="B2741" i="1"/>
  <c r="A2741" i="1"/>
  <c r="D2740" i="1"/>
  <c r="C2740" i="1"/>
  <c r="B2740" i="1"/>
  <c r="A2740" i="1"/>
  <c r="D2739" i="1"/>
  <c r="C2739" i="1"/>
  <c r="B2739" i="1"/>
  <c r="A2739" i="1"/>
  <c r="D2738" i="1"/>
  <c r="C2738" i="1"/>
  <c r="B2738" i="1"/>
  <c r="A2738" i="1"/>
  <c r="D2737" i="1"/>
  <c r="C2737" i="1"/>
  <c r="B2737" i="1"/>
  <c r="A2737" i="1"/>
  <c r="D2736" i="1"/>
  <c r="C2736" i="1"/>
  <c r="B2736" i="1"/>
  <c r="A2736" i="1"/>
  <c r="D2735" i="1"/>
  <c r="C2735" i="1"/>
  <c r="B2735" i="1"/>
  <c r="A2735" i="1"/>
  <c r="D2734" i="1"/>
  <c r="C2734" i="1"/>
  <c r="B2734" i="1"/>
  <c r="A2734" i="1"/>
  <c r="D2733" i="1"/>
  <c r="C2733" i="1"/>
  <c r="B2733" i="1"/>
  <c r="A2733" i="1"/>
  <c r="D2732" i="1"/>
  <c r="C2732" i="1"/>
  <c r="B2732" i="1"/>
  <c r="A2732" i="1"/>
  <c r="D2731" i="1"/>
  <c r="C2731" i="1"/>
  <c r="B2731" i="1"/>
  <c r="A2731" i="1"/>
  <c r="D2730" i="1"/>
  <c r="C2730" i="1"/>
  <c r="B2730" i="1"/>
  <c r="A2730" i="1"/>
  <c r="D2729" i="1"/>
  <c r="C2729" i="1"/>
  <c r="B2729" i="1"/>
  <c r="A2729" i="1"/>
  <c r="D2728" i="1"/>
  <c r="C2728" i="1"/>
  <c r="B2728" i="1"/>
  <c r="A2728" i="1"/>
  <c r="D2727" i="1"/>
  <c r="C2727" i="1"/>
  <c r="B2727" i="1"/>
  <c r="A2727" i="1"/>
  <c r="D2726" i="1"/>
  <c r="C2726" i="1"/>
  <c r="B2726" i="1"/>
  <c r="A2726" i="1"/>
  <c r="D2725" i="1"/>
  <c r="C2725" i="1"/>
  <c r="B2725" i="1"/>
  <c r="A2725" i="1"/>
  <c r="D2724" i="1"/>
  <c r="C2724" i="1"/>
  <c r="B2724" i="1"/>
  <c r="A2724" i="1"/>
  <c r="D2723" i="1"/>
  <c r="C2723" i="1"/>
  <c r="B2723" i="1"/>
  <c r="A2723" i="1"/>
  <c r="D2722" i="1"/>
  <c r="C2722" i="1"/>
  <c r="B2722" i="1"/>
  <c r="A2722" i="1"/>
  <c r="D2721" i="1"/>
  <c r="C2721" i="1"/>
  <c r="B2721" i="1"/>
  <c r="A2721" i="1"/>
  <c r="D2720" i="1"/>
  <c r="C2720" i="1"/>
  <c r="B2720" i="1"/>
  <c r="A2720" i="1"/>
  <c r="D2719" i="1"/>
  <c r="C2719" i="1"/>
  <c r="B2719" i="1"/>
  <c r="A2719" i="1"/>
  <c r="D2718" i="1"/>
  <c r="C2718" i="1"/>
  <c r="B2718" i="1"/>
  <c r="A2718" i="1"/>
  <c r="D2717" i="1"/>
  <c r="B2717" i="1"/>
  <c r="A2717" i="1"/>
  <c r="D2716" i="1"/>
  <c r="B2716" i="1"/>
  <c r="A2716" i="1"/>
  <c r="D2715" i="1"/>
  <c r="C2715" i="1"/>
  <c r="B2715" i="1"/>
  <c r="A2715" i="1"/>
  <c r="D2714" i="1"/>
  <c r="C2714" i="1"/>
  <c r="B2714" i="1"/>
  <c r="A2714" i="1"/>
  <c r="D2713" i="1"/>
  <c r="C2713" i="1"/>
  <c r="B2713" i="1"/>
  <c r="A2713" i="1"/>
  <c r="D2712" i="1"/>
  <c r="C2712" i="1"/>
  <c r="B2712" i="1"/>
  <c r="A2712" i="1"/>
  <c r="D2711" i="1"/>
  <c r="C2711" i="1"/>
  <c r="B2711" i="1"/>
  <c r="A2711" i="1"/>
  <c r="D2710" i="1"/>
  <c r="C2710" i="1"/>
  <c r="B2710" i="1"/>
  <c r="A2710" i="1"/>
  <c r="D2709" i="1"/>
  <c r="C2709" i="1"/>
  <c r="B2709" i="1"/>
  <c r="A2709" i="1"/>
  <c r="D2708" i="1"/>
  <c r="C2708" i="1"/>
  <c r="B2708" i="1"/>
  <c r="A2708" i="1"/>
  <c r="D2707" i="1"/>
  <c r="C2707" i="1"/>
  <c r="B2707" i="1"/>
  <c r="A2707" i="1"/>
  <c r="D2706" i="1"/>
  <c r="C2706" i="1"/>
  <c r="B2706" i="1"/>
  <c r="A2706" i="1"/>
  <c r="D2705" i="1"/>
  <c r="C2705" i="1"/>
  <c r="B2705" i="1"/>
  <c r="A2705" i="1"/>
  <c r="D2704" i="1"/>
  <c r="C2704" i="1"/>
  <c r="B2704" i="1"/>
  <c r="A2704" i="1"/>
  <c r="D2703" i="1"/>
  <c r="C2703" i="1"/>
  <c r="B2703" i="1"/>
  <c r="A2703" i="1"/>
  <c r="D2702" i="1"/>
  <c r="C2702" i="1"/>
  <c r="B2702" i="1"/>
  <c r="A2702" i="1"/>
  <c r="D2701" i="1"/>
  <c r="C2701" i="1"/>
  <c r="B2701" i="1"/>
  <c r="A2701" i="1"/>
  <c r="D2700" i="1"/>
  <c r="C2700" i="1"/>
  <c r="B2700" i="1"/>
  <c r="A2700" i="1"/>
  <c r="D2699" i="1"/>
  <c r="C2699" i="1"/>
  <c r="B2699" i="1"/>
  <c r="A2699" i="1"/>
  <c r="D2698" i="1"/>
  <c r="C2698" i="1"/>
  <c r="B2698" i="1"/>
  <c r="A2698" i="1"/>
  <c r="D2697" i="1"/>
  <c r="C2697" i="1"/>
  <c r="B2697" i="1"/>
  <c r="A2697" i="1"/>
  <c r="D2696" i="1"/>
  <c r="C2696" i="1"/>
  <c r="B2696" i="1"/>
  <c r="A2696" i="1"/>
  <c r="D2695" i="1"/>
  <c r="C2695" i="1"/>
  <c r="B2695" i="1"/>
  <c r="A2695" i="1"/>
  <c r="D2694" i="1"/>
  <c r="C2694" i="1"/>
  <c r="B2694" i="1"/>
  <c r="A2694" i="1"/>
  <c r="D2693" i="1"/>
  <c r="C2693" i="1"/>
  <c r="B2693" i="1"/>
  <c r="A2693" i="1"/>
  <c r="D2692" i="1"/>
  <c r="C2692" i="1"/>
  <c r="B2692" i="1"/>
  <c r="A2692" i="1"/>
  <c r="D2691" i="1"/>
  <c r="C2691" i="1"/>
  <c r="B2691" i="1"/>
  <c r="A2691" i="1"/>
  <c r="D2690" i="1"/>
  <c r="C2690" i="1"/>
  <c r="B2690" i="1"/>
  <c r="A2690" i="1"/>
  <c r="D2689" i="1"/>
  <c r="C2689" i="1"/>
  <c r="B2689" i="1"/>
  <c r="A2689" i="1"/>
  <c r="D2688" i="1"/>
  <c r="C2688" i="1"/>
  <c r="B2688" i="1"/>
  <c r="A2688" i="1"/>
  <c r="D2687" i="1"/>
  <c r="C2687" i="1"/>
  <c r="B2687" i="1"/>
  <c r="A2687" i="1"/>
  <c r="D2686" i="1"/>
  <c r="C2686" i="1"/>
  <c r="B2686" i="1"/>
  <c r="A2686" i="1"/>
  <c r="D2685" i="1"/>
  <c r="C2685" i="1"/>
  <c r="B2685" i="1"/>
  <c r="A2685" i="1"/>
  <c r="D2684" i="1"/>
  <c r="C2684" i="1"/>
  <c r="B2684" i="1"/>
  <c r="A2684" i="1"/>
  <c r="D2683" i="1"/>
  <c r="C2683" i="1"/>
  <c r="B2683" i="1"/>
  <c r="A2683" i="1"/>
  <c r="D2682" i="1"/>
  <c r="C2682" i="1"/>
  <c r="B2682" i="1"/>
  <c r="A2682" i="1"/>
  <c r="D2681" i="1"/>
  <c r="C2681" i="1"/>
  <c r="B2681" i="1"/>
  <c r="A2681" i="1"/>
  <c r="D2680" i="1"/>
  <c r="C2680" i="1"/>
  <c r="B2680" i="1"/>
  <c r="A2680" i="1"/>
  <c r="D2679" i="1"/>
  <c r="C2679" i="1"/>
  <c r="B2679" i="1"/>
  <c r="A2679" i="1"/>
  <c r="D2678" i="1"/>
  <c r="C2678" i="1"/>
  <c r="B2678" i="1"/>
  <c r="A2678" i="1"/>
  <c r="D2677" i="1"/>
  <c r="C2677" i="1"/>
  <c r="B2677" i="1"/>
  <c r="A2677" i="1"/>
  <c r="D2676" i="1"/>
  <c r="C2676" i="1"/>
  <c r="B2676" i="1"/>
  <c r="A2676" i="1"/>
  <c r="D2675" i="1"/>
  <c r="C2675" i="1"/>
  <c r="B2675" i="1"/>
  <c r="A2675" i="1"/>
  <c r="D2674" i="1"/>
  <c r="C2674" i="1"/>
  <c r="B2674" i="1"/>
  <c r="A2674" i="1"/>
  <c r="D2673" i="1"/>
  <c r="C2673" i="1"/>
  <c r="B2673" i="1"/>
  <c r="A2673" i="1"/>
  <c r="D2672" i="1"/>
  <c r="C2672" i="1"/>
  <c r="B2672" i="1"/>
  <c r="A2672" i="1"/>
  <c r="D2671" i="1"/>
  <c r="C2671" i="1"/>
  <c r="B2671" i="1"/>
  <c r="A2671" i="1"/>
  <c r="D2670" i="1"/>
  <c r="C2670" i="1"/>
  <c r="B2670" i="1"/>
  <c r="A2670" i="1"/>
  <c r="D2669" i="1"/>
  <c r="C2669" i="1"/>
  <c r="B2669" i="1"/>
  <c r="A2669" i="1"/>
  <c r="D2668" i="1"/>
  <c r="C2668" i="1"/>
  <c r="B2668" i="1"/>
  <c r="A2668" i="1"/>
  <c r="D2667" i="1"/>
  <c r="C2667" i="1"/>
  <c r="B2667" i="1"/>
  <c r="A2667" i="1"/>
  <c r="D2666" i="1"/>
  <c r="C2666" i="1"/>
  <c r="B2666" i="1"/>
  <c r="A2666" i="1"/>
  <c r="D2665" i="1"/>
  <c r="C2665" i="1"/>
  <c r="B2665" i="1"/>
  <c r="A2665" i="1"/>
  <c r="D2664" i="1"/>
  <c r="C2664" i="1"/>
  <c r="B2664" i="1"/>
  <c r="A2664" i="1"/>
  <c r="D2663" i="1"/>
  <c r="C2663" i="1"/>
  <c r="B2663" i="1"/>
  <c r="A2663" i="1"/>
  <c r="D2662" i="1"/>
  <c r="C2662" i="1"/>
  <c r="B2662" i="1"/>
  <c r="A2662" i="1"/>
  <c r="D2661" i="1"/>
  <c r="C2661" i="1"/>
  <c r="B2661" i="1"/>
  <c r="A2661" i="1"/>
  <c r="D2660" i="1"/>
  <c r="C2660" i="1"/>
  <c r="B2660" i="1"/>
  <c r="A2660" i="1"/>
  <c r="D2659" i="1"/>
  <c r="C2659" i="1"/>
  <c r="B2659" i="1"/>
  <c r="A2659" i="1"/>
  <c r="D2658" i="1"/>
  <c r="C2658" i="1"/>
  <c r="B2658" i="1"/>
  <c r="A2658" i="1"/>
  <c r="D2657" i="1"/>
  <c r="C2657" i="1"/>
  <c r="B2657" i="1"/>
  <c r="A2657" i="1"/>
  <c r="D2656" i="1"/>
  <c r="C2656" i="1"/>
  <c r="B2656" i="1"/>
  <c r="A2656" i="1"/>
  <c r="D2655" i="1"/>
  <c r="C2655" i="1"/>
  <c r="B2655" i="1"/>
  <c r="A2655" i="1"/>
  <c r="D2654" i="1"/>
  <c r="C2654" i="1"/>
  <c r="B2654" i="1"/>
  <c r="A2654" i="1"/>
  <c r="D2653" i="1"/>
  <c r="C2653" i="1"/>
  <c r="B2653" i="1"/>
  <c r="A2653" i="1"/>
  <c r="D2652" i="1"/>
  <c r="C2652" i="1"/>
  <c r="B2652" i="1"/>
  <c r="A2652" i="1"/>
  <c r="D2651" i="1"/>
  <c r="C2651" i="1"/>
  <c r="B2651" i="1"/>
  <c r="A2651" i="1"/>
  <c r="D2650" i="1"/>
  <c r="C2650" i="1"/>
  <c r="B2650" i="1"/>
  <c r="A2650" i="1"/>
  <c r="D2649" i="1"/>
  <c r="C2649" i="1"/>
  <c r="B2649" i="1"/>
  <c r="A2649" i="1"/>
  <c r="D2648" i="1"/>
  <c r="C2648" i="1"/>
  <c r="B2648" i="1"/>
  <c r="A2648" i="1"/>
  <c r="D2647" i="1"/>
  <c r="C2647" i="1"/>
  <c r="B2647" i="1"/>
  <c r="A2647" i="1"/>
  <c r="D2646" i="1"/>
  <c r="C2646" i="1"/>
  <c r="B2646" i="1"/>
  <c r="A2646" i="1"/>
  <c r="D2645" i="1"/>
  <c r="C2645" i="1"/>
  <c r="B2645" i="1"/>
  <c r="A2645" i="1"/>
  <c r="D2644" i="1"/>
  <c r="C2644" i="1"/>
  <c r="B2644" i="1"/>
  <c r="A2644" i="1"/>
  <c r="D2643" i="1"/>
  <c r="C2643" i="1"/>
  <c r="B2643" i="1"/>
  <c r="A2643" i="1"/>
  <c r="D2642" i="1"/>
  <c r="C2642" i="1"/>
  <c r="B2642" i="1"/>
  <c r="A2642" i="1"/>
  <c r="D2641" i="1"/>
  <c r="C2641" i="1"/>
  <c r="B2641" i="1"/>
  <c r="A2641" i="1"/>
  <c r="D2640" i="1"/>
  <c r="C2640" i="1"/>
  <c r="B2640" i="1"/>
  <c r="A2640" i="1"/>
  <c r="D2639" i="1"/>
  <c r="C2639" i="1"/>
  <c r="B2639" i="1"/>
  <c r="A2639" i="1"/>
  <c r="D2638" i="1"/>
  <c r="C2638" i="1"/>
  <c r="B2638" i="1"/>
  <c r="A2638" i="1"/>
  <c r="D2637" i="1"/>
  <c r="C2637" i="1"/>
  <c r="B2637" i="1"/>
  <c r="A2637" i="1"/>
  <c r="D2636" i="1"/>
  <c r="C2636" i="1"/>
  <c r="B2636" i="1"/>
  <c r="A2636" i="1"/>
  <c r="D2635" i="1"/>
  <c r="C2635" i="1"/>
  <c r="B2635" i="1"/>
  <c r="A2635" i="1"/>
  <c r="D2634" i="1"/>
  <c r="C2634" i="1"/>
  <c r="B2634" i="1"/>
  <c r="A2634" i="1"/>
  <c r="D2633" i="1"/>
  <c r="C2633" i="1"/>
  <c r="B2633" i="1"/>
  <c r="A2633" i="1"/>
  <c r="D2632" i="1"/>
  <c r="B2632" i="1"/>
  <c r="A2632" i="1"/>
  <c r="D2631" i="1"/>
  <c r="B2631" i="1"/>
  <c r="A2631" i="1"/>
  <c r="D2630" i="1"/>
  <c r="B2630" i="1"/>
  <c r="A2630" i="1"/>
  <c r="D2629" i="1"/>
  <c r="B2629" i="1"/>
  <c r="A2629" i="1"/>
  <c r="D2628" i="1"/>
  <c r="B2628" i="1"/>
  <c r="A2628" i="1"/>
  <c r="D2627" i="1"/>
  <c r="B2627" i="1"/>
  <c r="A2627" i="1"/>
  <c r="D2626" i="1"/>
  <c r="B2626" i="1"/>
  <c r="A2626" i="1"/>
  <c r="D2625" i="1"/>
  <c r="B2625" i="1"/>
  <c r="A2625" i="1"/>
  <c r="D2624" i="1"/>
  <c r="C2624" i="1"/>
  <c r="B2624" i="1"/>
  <c r="A2624" i="1"/>
  <c r="D2623" i="1"/>
  <c r="C2623" i="1"/>
  <c r="B2623" i="1"/>
  <c r="A2623" i="1"/>
  <c r="D2622" i="1"/>
  <c r="C2622" i="1"/>
  <c r="B2622" i="1"/>
  <c r="A2622" i="1"/>
  <c r="D2621" i="1"/>
  <c r="C2621" i="1"/>
  <c r="B2621" i="1"/>
  <c r="A2621" i="1"/>
  <c r="D2620" i="1"/>
  <c r="C2620" i="1"/>
  <c r="B2620" i="1"/>
  <c r="A2620" i="1"/>
  <c r="D2619" i="1"/>
  <c r="C2619" i="1"/>
  <c r="B2619" i="1"/>
  <c r="A2619" i="1"/>
  <c r="D2618" i="1"/>
  <c r="C2618" i="1"/>
  <c r="B2618" i="1"/>
  <c r="A2618" i="1"/>
  <c r="D2617" i="1"/>
  <c r="C2617" i="1"/>
  <c r="B2617" i="1"/>
  <c r="A2617" i="1"/>
  <c r="D2616" i="1"/>
  <c r="C2616" i="1"/>
  <c r="B2616" i="1"/>
  <c r="A2616" i="1"/>
  <c r="D2615" i="1"/>
  <c r="C2615" i="1"/>
  <c r="B2615" i="1"/>
  <c r="A2615" i="1"/>
  <c r="D2614" i="1"/>
  <c r="C2614" i="1"/>
  <c r="B2614" i="1"/>
  <c r="A2614" i="1"/>
  <c r="D2613" i="1"/>
  <c r="C2613" i="1"/>
  <c r="B2613" i="1"/>
  <c r="A2613" i="1"/>
  <c r="D2612" i="1"/>
  <c r="C2612" i="1"/>
  <c r="B2612" i="1"/>
  <c r="A2612" i="1"/>
  <c r="D2611" i="1"/>
  <c r="C2611" i="1"/>
  <c r="B2611" i="1"/>
  <c r="A2611" i="1"/>
  <c r="D2610" i="1"/>
  <c r="C2610" i="1"/>
  <c r="B2610" i="1"/>
  <c r="A2610" i="1"/>
  <c r="D2609" i="1"/>
  <c r="C2609" i="1"/>
  <c r="B2609" i="1"/>
  <c r="A2609" i="1"/>
  <c r="D2608" i="1"/>
  <c r="C2608" i="1"/>
  <c r="B2608" i="1"/>
  <c r="A2608" i="1"/>
  <c r="D2607" i="1"/>
  <c r="C2607" i="1"/>
  <c r="B2607" i="1"/>
  <c r="A2607" i="1"/>
  <c r="D2606" i="1"/>
  <c r="C2606" i="1"/>
  <c r="B2606" i="1"/>
  <c r="A2606" i="1"/>
  <c r="D2605" i="1"/>
  <c r="C2605" i="1"/>
  <c r="B2605" i="1"/>
  <c r="A2605" i="1"/>
  <c r="D2604" i="1"/>
  <c r="C2604" i="1"/>
  <c r="B2604" i="1"/>
  <c r="A2604" i="1"/>
  <c r="D2603" i="1"/>
  <c r="C2603" i="1"/>
  <c r="B2603" i="1"/>
  <c r="A2603" i="1"/>
  <c r="D2602" i="1"/>
  <c r="C2602" i="1"/>
  <c r="B2602" i="1"/>
  <c r="A2602" i="1"/>
  <c r="D2601" i="1"/>
  <c r="C2601" i="1"/>
  <c r="B2601" i="1"/>
  <c r="A2601" i="1"/>
  <c r="D2600" i="1"/>
  <c r="C2600" i="1"/>
  <c r="B2600" i="1"/>
  <c r="A2600" i="1"/>
  <c r="D2599" i="1"/>
  <c r="C2599" i="1"/>
  <c r="B2599" i="1"/>
  <c r="A2599" i="1"/>
  <c r="D2598" i="1"/>
  <c r="C2598" i="1"/>
  <c r="B2598" i="1"/>
  <c r="A2598" i="1"/>
  <c r="D2597" i="1"/>
  <c r="C2597" i="1"/>
  <c r="B2597" i="1"/>
  <c r="A2597" i="1"/>
  <c r="D2596" i="1"/>
  <c r="C2596" i="1"/>
  <c r="B2596" i="1"/>
  <c r="A2596" i="1"/>
  <c r="D2595" i="1"/>
  <c r="C2595" i="1"/>
  <c r="B2595" i="1"/>
  <c r="A2595" i="1"/>
  <c r="D2594" i="1"/>
  <c r="C2594" i="1"/>
  <c r="B2594" i="1"/>
  <c r="A2594" i="1"/>
  <c r="D2593" i="1"/>
  <c r="C2593" i="1"/>
  <c r="B2593" i="1"/>
  <c r="A2593" i="1"/>
  <c r="D2592" i="1"/>
  <c r="C2592" i="1"/>
  <c r="B2592" i="1"/>
  <c r="A2592" i="1"/>
  <c r="D2591" i="1"/>
  <c r="C2591" i="1"/>
  <c r="B2591" i="1"/>
  <c r="A2591" i="1"/>
  <c r="D2590" i="1"/>
  <c r="C2590" i="1"/>
  <c r="B2590" i="1"/>
  <c r="A2590" i="1"/>
  <c r="D2589" i="1"/>
  <c r="C2589" i="1"/>
  <c r="B2589" i="1"/>
  <c r="A2589" i="1"/>
  <c r="D2588" i="1"/>
  <c r="C2588" i="1"/>
  <c r="B2588" i="1"/>
  <c r="A2588" i="1"/>
  <c r="D2587" i="1"/>
  <c r="C2587" i="1"/>
  <c r="B2587" i="1"/>
  <c r="A2587" i="1"/>
  <c r="D2586" i="1"/>
  <c r="C2586" i="1"/>
  <c r="B2586" i="1"/>
  <c r="A2586" i="1"/>
  <c r="D2585" i="1"/>
  <c r="C2585" i="1"/>
  <c r="B2585" i="1"/>
  <c r="A2585" i="1"/>
  <c r="D2584" i="1"/>
  <c r="C2584" i="1"/>
  <c r="B2584" i="1"/>
  <c r="A2584" i="1"/>
  <c r="D2583" i="1"/>
  <c r="C2583" i="1"/>
  <c r="B2583" i="1"/>
  <c r="A2583" i="1"/>
  <c r="D2582" i="1"/>
  <c r="C2582" i="1"/>
  <c r="B2582" i="1"/>
  <c r="A2582" i="1"/>
  <c r="D2581" i="1"/>
  <c r="C2581" i="1"/>
  <c r="B2581" i="1"/>
  <c r="A2581" i="1"/>
  <c r="D2580" i="1"/>
  <c r="C2580" i="1"/>
  <c r="B2580" i="1"/>
  <c r="A2580" i="1"/>
  <c r="D2579" i="1"/>
  <c r="C2579" i="1"/>
  <c r="B2579" i="1"/>
  <c r="A2579" i="1"/>
  <c r="D2578" i="1"/>
  <c r="C2578" i="1"/>
  <c r="B2578" i="1"/>
  <c r="A2578" i="1"/>
  <c r="D2577" i="1"/>
  <c r="C2577" i="1"/>
  <c r="B2577" i="1"/>
  <c r="A2577" i="1"/>
  <c r="D2576" i="1"/>
  <c r="C2576" i="1"/>
  <c r="B2576" i="1"/>
  <c r="A2576" i="1"/>
  <c r="D2575" i="1"/>
  <c r="C2575" i="1"/>
  <c r="B2575" i="1"/>
  <c r="A2575" i="1"/>
  <c r="D2574" i="1"/>
  <c r="C2574" i="1"/>
  <c r="B2574" i="1"/>
  <c r="A2574" i="1"/>
  <c r="D2573" i="1"/>
  <c r="C2573" i="1"/>
  <c r="B2573" i="1"/>
  <c r="A2573" i="1"/>
  <c r="D2572" i="1"/>
  <c r="C2572" i="1"/>
  <c r="B2572" i="1"/>
  <c r="A2572" i="1"/>
  <c r="D2571" i="1"/>
  <c r="C2571" i="1"/>
  <c r="B2571" i="1"/>
  <c r="A2571" i="1"/>
  <c r="D2570" i="1"/>
  <c r="C2570" i="1"/>
  <c r="B2570" i="1"/>
  <c r="A2570" i="1"/>
  <c r="D2569" i="1"/>
  <c r="C2569" i="1"/>
  <c r="B2569" i="1"/>
  <c r="A2569" i="1"/>
  <c r="D2568" i="1"/>
  <c r="C2568" i="1"/>
  <c r="B2568" i="1"/>
  <c r="A2568" i="1"/>
  <c r="D2567" i="1"/>
  <c r="C2567" i="1"/>
  <c r="B2567" i="1"/>
  <c r="A2567" i="1"/>
  <c r="D2566" i="1"/>
  <c r="C2566" i="1"/>
  <c r="B2566" i="1"/>
  <c r="A2566" i="1"/>
  <c r="D2565" i="1"/>
  <c r="C2565" i="1"/>
  <c r="B2565" i="1"/>
  <c r="A2565" i="1"/>
  <c r="D2564" i="1"/>
  <c r="C2564" i="1"/>
  <c r="B2564" i="1"/>
  <c r="A2564" i="1"/>
  <c r="D2563" i="1"/>
  <c r="C2563" i="1"/>
  <c r="B2563" i="1"/>
  <c r="A2563" i="1"/>
  <c r="D2562" i="1"/>
  <c r="C2562" i="1"/>
  <c r="B2562" i="1"/>
  <c r="A2562" i="1"/>
  <c r="D2561" i="1"/>
  <c r="C2561" i="1"/>
  <c r="B2561" i="1"/>
  <c r="A2561" i="1"/>
  <c r="D2560" i="1"/>
  <c r="C2560" i="1"/>
  <c r="B2560" i="1"/>
  <c r="A2560" i="1"/>
  <c r="D2559" i="1"/>
  <c r="C2559" i="1"/>
  <c r="B2559" i="1"/>
  <c r="A2559" i="1"/>
  <c r="D2558" i="1"/>
  <c r="C2558" i="1"/>
  <c r="B2558" i="1"/>
  <c r="A2558" i="1"/>
  <c r="D2557" i="1"/>
  <c r="C2557" i="1"/>
  <c r="B2557" i="1"/>
  <c r="A2557" i="1"/>
  <c r="D2556" i="1"/>
  <c r="C2556" i="1"/>
  <c r="B2556" i="1"/>
  <c r="A2556" i="1"/>
  <c r="D2555" i="1"/>
  <c r="C2555" i="1"/>
  <c r="B2555" i="1"/>
  <c r="A2555" i="1"/>
  <c r="D2554" i="1"/>
  <c r="C2554" i="1"/>
  <c r="B2554" i="1"/>
  <c r="A2554" i="1"/>
  <c r="D2553" i="1"/>
  <c r="C2553" i="1"/>
  <c r="B2553" i="1"/>
  <c r="A2553" i="1"/>
  <c r="D2552" i="1"/>
  <c r="C2552" i="1"/>
  <c r="B2552" i="1"/>
  <c r="A2552" i="1"/>
  <c r="D2551" i="1"/>
  <c r="C2551" i="1"/>
  <c r="B2551" i="1"/>
  <c r="A2551" i="1"/>
  <c r="D2550" i="1"/>
  <c r="C2550" i="1"/>
  <c r="B2550" i="1"/>
  <c r="A2550" i="1"/>
  <c r="D2549" i="1"/>
  <c r="C2549" i="1"/>
  <c r="B2549" i="1"/>
  <c r="A2549" i="1"/>
  <c r="D2548" i="1"/>
  <c r="C2548" i="1"/>
  <c r="B2548" i="1"/>
  <c r="A2548" i="1"/>
  <c r="D2547" i="1"/>
  <c r="C2547" i="1"/>
  <c r="B2547" i="1"/>
  <c r="A2547" i="1"/>
  <c r="D2546" i="1"/>
  <c r="C2546" i="1"/>
  <c r="B2546" i="1"/>
  <c r="A2546" i="1"/>
  <c r="D2545" i="1"/>
  <c r="C2545" i="1"/>
  <c r="B2545" i="1"/>
  <c r="A2545" i="1"/>
  <c r="D2544" i="1"/>
  <c r="C2544" i="1"/>
  <c r="B2544" i="1"/>
  <c r="A2544" i="1"/>
  <c r="D2543" i="1"/>
  <c r="C2543" i="1"/>
  <c r="B2543" i="1"/>
  <c r="A2543" i="1"/>
  <c r="D2542" i="1"/>
  <c r="C2542" i="1"/>
  <c r="B2542" i="1"/>
  <c r="A2542" i="1"/>
  <c r="D2541" i="1"/>
  <c r="C2541" i="1"/>
  <c r="B2541" i="1"/>
  <c r="A2541" i="1"/>
  <c r="D2540" i="1"/>
  <c r="C2540" i="1"/>
  <c r="B2540" i="1"/>
  <c r="A2540" i="1"/>
  <c r="D2539" i="1"/>
  <c r="C2539" i="1"/>
  <c r="B2539" i="1"/>
  <c r="A2539" i="1"/>
  <c r="D2538" i="1"/>
  <c r="C2538" i="1"/>
  <c r="B2538" i="1"/>
  <c r="A2538" i="1"/>
  <c r="D2537" i="1"/>
  <c r="C2537" i="1"/>
  <c r="B2537" i="1"/>
  <c r="A2537" i="1"/>
  <c r="D2536" i="1"/>
  <c r="C2536" i="1"/>
  <c r="B2536" i="1"/>
  <c r="A2536" i="1"/>
  <c r="D2535" i="1"/>
  <c r="C2535" i="1"/>
  <c r="B2535" i="1"/>
  <c r="A2535" i="1"/>
  <c r="D2534" i="1"/>
  <c r="C2534" i="1"/>
  <c r="B2534" i="1"/>
  <c r="A2534" i="1"/>
  <c r="D2533" i="1"/>
  <c r="C2533" i="1"/>
  <c r="B2533" i="1"/>
  <c r="A2533" i="1"/>
  <c r="D2532" i="1"/>
  <c r="C2532" i="1"/>
  <c r="B2532" i="1"/>
  <c r="A2532" i="1"/>
  <c r="D2531" i="1"/>
  <c r="C2531" i="1"/>
  <c r="B2531" i="1"/>
  <c r="A2531" i="1"/>
  <c r="D2530" i="1"/>
  <c r="C2530" i="1"/>
  <c r="B2530" i="1"/>
  <c r="A2530" i="1"/>
  <c r="D2529" i="1"/>
  <c r="C2529" i="1"/>
  <c r="B2529" i="1"/>
  <c r="A2529" i="1"/>
  <c r="D2528" i="1"/>
  <c r="C2528" i="1"/>
  <c r="B2528" i="1"/>
  <c r="A2528" i="1"/>
  <c r="D2527" i="1"/>
  <c r="C2527" i="1"/>
  <c r="B2527" i="1"/>
  <c r="A2527" i="1"/>
  <c r="D2526" i="1"/>
  <c r="C2526" i="1"/>
  <c r="B2526" i="1"/>
  <c r="A2526" i="1"/>
  <c r="D2525" i="1"/>
  <c r="C2525" i="1"/>
  <c r="B2525" i="1"/>
  <c r="A2525" i="1"/>
  <c r="D2524" i="1"/>
  <c r="C2524" i="1"/>
  <c r="B2524" i="1"/>
  <c r="A2524" i="1"/>
  <c r="D2523" i="1"/>
  <c r="C2523" i="1"/>
  <c r="B2523" i="1"/>
  <c r="A2523" i="1"/>
  <c r="D2522" i="1"/>
  <c r="C2522" i="1"/>
  <c r="B2522" i="1"/>
  <c r="A2522" i="1"/>
  <c r="D2521" i="1"/>
  <c r="C2521" i="1"/>
  <c r="B2521" i="1"/>
  <c r="A2521" i="1"/>
  <c r="D2520" i="1"/>
  <c r="C2520" i="1"/>
  <c r="B2520" i="1"/>
  <c r="A2520" i="1"/>
  <c r="D2519" i="1"/>
  <c r="C2519" i="1"/>
  <c r="B2519" i="1"/>
  <c r="A2519" i="1"/>
  <c r="D2518" i="1"/>
  <c r="C2518" i="1"/>
  <c r="B2518" i="1"/>
  <c r="A2518" i="1"/>
  <c r="D2517" i="1"/>
  <c r="C2517" i="1"/>
  <c r="B2517" i="1"/>
  <c r="A2517" i="1"/>
  <c r="D2516" i="1"/>
  <c r="C2516" i="1"/>
  <c r="B2516" i="1"/>
  <c r="A2516" i="1"/>
  <c r="D2515" i="1"/>
  <c r="C2515" i="1"/>
  <c r="B2515" i="1"/>
  <c r="A2515" i="1"/>
  <c r="D2514" i="1"/>
  <c r="C2514" i="1"/>
  <c r="B2514" i="1"/>
  <c r="A2514" i="1"/>
  <c r="D2513" i="1"/>
  <c r="C2513" i="1"/>
  <c r="B2513" i="1"/>
  <c r="A2513" i="1"/>
  <c r="D2512" i="1"/>
  <c r="C2512" i="1"/>
  <c r="B2512" i="1"/>
  <c r="A2512" i="1"/>
  <c r="D2511" i="1"/>
  <c r="C2511" i="1"/>
  <c r="B2511" i="1"/>
  <c r="A2511" i="1"/>
  <c r="D2510" i="1"/>
  <c r="C2510" i="1"/>
  <c r="B2510" i="1"/>
  <c r="A2510" i="1"/>
  <c r="D2509" i="1"/>
  <c r="C2509" i="1"/>
  <c r="B2509" i="1"/>
  <c r="A2509" i="1"/>
  <c r="D2508" i="1"/>
  <c r="C2508" i="1"/>
  <c r="B2508" i="1"/>
  <c r="A2508" i="1"/>
  <c r="D2507" i="1"/>
  <c r="C2507" i="1"/>
  <c r="B2507" i="1"/>
  <c r="A2507" i="1"/>
  <c r="D2506" i="1"/>
  <c r="C2506" i="1"/>
  <c r="B2506" i="1"/>
  <c r="A2506" i="1"/>
  <c r="D2505" i="1"/>
  <c r="C2505" i="1"/>
  <c r="B2505" i="1"/>
  <c r="A2505" i="1"/>
  <c r="D2504" i="1"/>
  <c r="C2504" i="1"/>
  <c r="B2504" i="1"/>
  <c r="A2504" i="1"/>
  <c r="D2503" i="1"/>
  <c r="C2503" i="1"/>
  <c r="B2503" i="1"/>
  <c r="A2503" i="1"/>
  <c r="D2502" i="1"/>
  <c r="C2502" i="1"/>
  <c r="B2502" i="1"/>
  <c r="A2502" i="1"/>
  <c r="D2501" i="1"/>
  <c r="C2501" i="1"/>
  <c r="B2501" i="1"/>
  <c r="A2501" i="1"/>
  <c r="D2500" i="1"/>
  <c r="C2500" i="1"/>
  <c r="B2500" i="1"/>
  <c r="A2500" i="1"/>
  <c r="D2499" i="1"/>
  <c r="C2499" i="1"/>
  <c r="B2499" i="1"/>
  <c r="A2499" i="1"/>
  <c r="D2498" i="1"/>
  <c r="C2498" i="1"/>
  <c r="B2498" i="1"/>
  <c r="A2498" i="1"/>
  <c r="D2497" i="1"/>
  <c r="C2497" i="1"/>
  <c r="B2497" i="1"/>
  <c r="A2497" i="1"/>
  <c r="D2496" i="1"/>
  <c r="C2496" i="1"/>
  <c r="B2496" i="1"/>
  <c r="A2496" i="1"/>
  <c r="D2495" i="1"/>
  <c r="C2495" i="1"/>
  <c r="B2495" i="1"/>
  <c r="A2495" i="1"/>
  <c r="D2494" i="1"/>
  <c r="C2494" i="1"/>
  <c r="B2494" i="1"/>
  <c r="A2494" i="1"/>
  <c r="D2493" i="1"/>
  <c r="C2493" i="1"/>
  <c r="B2493" i="1"/>
  <c r="A2493" i="1"/>
  <c r="D2492" i="1"/>
  <c r="C2492" i="1"/>
  <c r="B2492" i="1"/>
  <c r="A2492" i="1"/>
  <c r="D2491" i="1"/>
  <c r="C2491" i="1"/>
  <c r="B2491" i="1"/>
  <c r="A2491" i="1"/>
  <c r="D2490" i="1"/>
  <c r="C2490" i="1"/>
  <c r="B2490" i="1"/>
  <c r="A2490" i="1"/>
  <c r="D2489" i="1"/>
  <c r="C2489" i="1"/>
  <c r="B2489" i="1"/>
  <c r="A2489" i="1"/>
  <c r="D2488" i="1"/>
  <c r="C2488" i="1"/>
  <c r="B2488" i="1"/>
  <c r="A2488" i="1"/>
  <c r="D2487" i="1"/>
  <c r="C2487" i="1"/>
  <c r="B2487" i="1"/>
  <c r="A2487" i="1"/>
  <c r="D2486" i="1"/>
  <c r="C2486" i="1"/>
  <c r="B2486" i="1"/>
  <c r="A2486" i="1"/>
  <c r="D2485" i="1"/>
  <c r="B2485" i="1"/>
  <c r="A2485" i="1"/>
  <c r="D2484" i="1"/>
  <c r="B2484" i="1"/>
  <c r="A2484" i="1"/>
  <c r="D2483" i="1"/>
  <c r="B2483" i="1"/>
  <c r="A2483" i="1"/>
  <c r="D2482" i="1"/>
  <c r="B2482" i="1"/>
  <c r="A2482" i="1"/>
  <c r="D2481" i="1"/>
  <c r="C2481" i="1"/>
  <c r="B2481" i="1"/>
  <c r="A2481" i="1"/>
  <c r="D2480" i="1"/>
  <c r="C2480" i="1"/>
  <c r="B2480" i="1"/>
  <c r="A2480" i="1"/>
  <c r="D2479" i="1"/>
  <c r="C2479" i="1"/>
  <c r="B2479" i="1"/>
  <c r="A2479" i="1"/>
  <c r="D2478" i="1"/>
  <c r="C2478" i="1"/>
  <c r="B2478" i="1"/>
  <c r="A2478" i="1"/>
  <c r="D2477" i="1"/>
  <c r="C2477" i="1"/>
  <c r="B2477" i="1"/>
  <c r="A2477" i="1"/>
  <c r="D2476" i="1"/>
  <c r="C2476" i="1"/>
  <c r="B2476" i="1"/>
  <c r="A2476" i="1"/>
  <c r="D2475" i="1"/>
  <c r="C2475" i="1"/>
  <c r="B2475" i="1"/>
  <c r="A2475" i="1"/>
  <c r="D2474" i="1"/>
  <c r="C2474" i="1"/>
  <c r="B2474" i="1"/>
  <c r="A2474" i="1"/>
  <c r="D2473" i="1"/>
  <c r="C2473" i="1"/>
  <c r="B2473" i="1"/>
  <c r="A2473" i="1"/>
  <c r="D2472" i="1"/>
  <c r="C2472" i="1"/>
  <c r="B2472" i="1"/>
  <c r="A2472" i="1"/>
  <c r="D2471" i="1"/>
  <c r="C2471" i="1"/>
  <c r="B2471" i="1"/>
  <c r="A2471" i="1"/>
  <c r="D2470" i="1"/>
  <c r="C2470" i="1"/>
  <c r="B2470" i="1"/>
  <c r="A2470" i="1"/>
  <c r="D2469" i="1"/>
  <c r="C2469" i="1"/>
  <c r="B2469" i="1"/>
  <c r="A2469" i="1"/>
  <c r="D2468" i="1"/>
  <c r="C2468" i="1"/>
  <c r="B2468" i="1"/>
  <c r="A2468" i="1"/>
  <c r="D2467" i="1"/>
  <c r="C2467" i="1"/>
  <c r="B2467" i="1"/>
  <c r="A2467" i="1"/>
  <c r="D2466" i="1"/>
  <c r="C2466" i="1"/>
  <c r="B2466" i="1"/>
  <c r="A2466" i="1"/>
  <c r="D2465" i="1"/>
  <c r="C2465" i="1"/>
  <c r="B2465" i="1"/>
  <c r="A2465" i="1"/>
  <c r="D2464" i="1"/>
  <c r="C2464" i="1"/>
  <c r="B2464" i="1"/>
  <c r="A2464" i="1"/>
  <c r="D2463" i="1"/>
  <c r="C2463" i="1"/>
  <c r="B2463" i="1"/>
  <c r="A2463" i="1"/>
  <c r="D2462" i="1"/>
  <c r="C2462" i="1"/>
  <c r="B2462" i="1"/>
  <c r="A2462" i="1"/>
  <c r="D2461" i="1"/>
  <c r="C2461" i="1"/>
  <c r="B2461" i="1"/>
  <c r="A2461" i="1"/>
  <c r="D2460" i="1"/>
  <c r="C2460" i="1"/>
  <c r="B2460" i="1"/>
  <c r="A2460" i="1"/>
  <c r="D2459" i="1"/>
  <c r="B2459" i="1"/>
  <c r="A2459" i="1"/>
  <c r="D2458" i="1"/>
  <c r="B2458" i="1"/>
  <c r="A2458" i="1"/>
  <c r="D2457" i="1"/>
  <c r="C2457" i="1"/>
  <c r="B2457" i="1"/>
  <c r="A2457" i="1"/>
  <c r="D2456" i="1"/>
  <c r="C2456" i="1"/>
  <c r="B2456" i="1"/>
  <c r="A2456" i="1"/>
  <c r="D2455" i="1"/>
  <c r="C2455" i="1"/>
  <c r="B2455" i="1"/>
  <c r="A2455" i="1"/>
  <c r="D2454" i="1"/>
  <c r="C2454" i="1"/>
  <c r="B2454" i="1"/>
  <c r="A2454" i="1"/>
  <c r="D2453" i="1"/>
  <c r="C2453" i="1"/>
  <c r="B2453" i="1"/>
  <c r="A2453" i="1"/>
  <c r="D2452" i="1"/>
  <c r="C2452" i="1"/>
  <c r="B2452" i="1"/>
  <c r="A2452" i="1"/>
  <c r="D2451" i="1"/>
  <c r="C2451" i="1"/>
  <c r="B2451" i="1"/>
  <c r="A2451" i="1"/>
  <c r="D2450" i="1"/>
  <c r="C2450" i="1"/>
  <c r="B2450" i="1"/>
  <c r="A2450" i="1"/>
  <c r="D2449" i="1"/>
  <c r="C2449" i="1"/>
  <c r="B2449" i="1"/>
  <c r="A2449" i="1"/>
  <c r="D2448" i="1"/>
  <c r="C2448" i="1"/>
  <c r="B2448" i="1"/>
  <c r="A2448" i="1"/>
  <c r="D2447" i="1"/>
  <c r="C2447" i="1"/>
  <c r="B2447" i="1"/>
  <c r="A2447" i="1"/>
  <c r="D2446" i="1"/>
  <c r="C2446" i="1"/>
  <c r="B2446" i="1"/>
  <c r="A2446" i="1"/>
  <c r="D2445" i="1"/>
  <c r="C2445" i="1"/>
  <c r="B2445" i="1"/>
  <c r="A2445" i="1"/>
  <c r="D2444" i="1"/>
  <c r="C2444" i="1"/>
  <c r="B2444" i="1"/>
  <c r="A2444" i="1"/>
  <c r="D2443" i="1"/>
  <c r="C2443" i="1"/>
  <c r="B2443" i="1"/>
  <c r="A2443" i="1"/>
  <c r="D2442" i="1"/>
  <c r="C2442" i="1"/>
  <c r="B2442" i="1"/>
  <c r="A2442" i="1"/>
  <c r="D2441" i="1"/>
  <c r="C2441" i="1"/>
  <c r="B2441" i="1"/>
  <c r="A2441" i="1"/>
  <c r="D2440" i="1"/>
  <c r="C2440" i="1"/>
  <c r="B2440" i="1"/>
  <c r="A2440" i="1"/>
  <c r="D2439" i="1"/>
  <c r="C2439" i="1"/>
  <c r="B2439" i="1"/>
  <c r="A2439" i="1"/>
  <c r="D2438" i="1"/>
  <c r="C2438" i="1"/>
  <c r="B2438" i="1"/>
  <c r="A2438" i="1"/>
  <c r="D2437" i="1"/>
  <c r="C2437" i="1"/>
  <c r="B2437" i="1"/>
  <c r="A2437" i="1"/>
  <c r="D2436" i="1"/>
  <c r="C2436" i="1"/>
  <c r="B2436" i="1"/>
  <c r="A2436" i="1"/>
  <c r="D2435" i="1"/>
  <c r="C2435" i="1"/>
  <c r="B2435" i="1"/>
  <c r="A2435" i="1"/>
  <c r="D2434" i="1"/>
  <c r="C2434" i="1"/>
  <c r="B2434" i="1"/>
  <c r="A2434" i="1"/>
  <c r="D2433" i="1"/>
  <c r="C2433" i="1"/>
  <c r="B2433" i="1"/>
  <c r="A2433" i="1"/>
  <c r="D2432" i="1"/>
  <c r="C2432" i="1"/>
  <c r="B2432" i="1"/>
  <c r="A2432" i="1"/>
  <c r="D2431" i="1"/>
  <c r="C2431" i="1"/>
  <c r="B2431" i="1"/>
  <c r="A2431" i="1"/>
  <c r="D2430" i="1"/>
  <c r="C2430" i="1"/>
  <c r="B2430" i="1"/>
  <c r="A2430" i="1"/>
  <c r="D2429" i="1"/>
  <c r="C2429" i="1"/>
  <c r="B2429" i="1"/>
  <c r="A2429" i="1"/>
  <c r="D2428" i="1"/>
  <c r="C2428" i="1"/>
  <c r="B2428" i="1"/>
  <c r="A2428" i="1"/>
  <c r="D2427" i="1"/>
  <c r="C2427" i="1"/>
  <c r="B2427" i="1"/>
  <c r="A2427" i="1"/>
  <c r="D2426" i="1"/>
  <c r="C2426" i="1"/>
  <c r="B2426" i="1"/>
  <c r="A2426" i="1"/>
  <c r="D2425" i="1"/>
  <c r="C2425" i="1"/>
  <c r="B2425" i="1"/>
  <c r="A2425" i="1"/>
  <c r="D2424" i="1"/>
  <c r="C2424" i="1"/>
  <c r="B2424" i="1"/>
  <c r="A2424" i="1"/>
  <c r="D2423" i="1"/>
  <c r="C2423" i="1"/>
  <c r="B2423" i="1"/>
  <c r="A2423" i="1"/>
  <c r="D2422" i="1"/>
  <c r="C2422" i="1"/>
  <c r="B2422" i="1"/>
  <c r="A2422" i="1"/>
  <c r="D2421" i="1"/>
  <c r="C2421" i="1"/>
  <c r="B2421" i="1"/>
  <c r="A2421" i="1"/>
  <c r="D2420" i="1"/>
  <c r="C2420" i="1"/>
  <c r="B2420" i="1"/>
  <c r="A2420" i="1"/>
  <c r="D2419" i="1"/>
  <c r="C2419" i="1"/>
  <c r="B2419" i="1"/>
  <c r="A2419" i="1"/>
  <c r="D2418" i="1"/>
  <c r="C2418" i="1"/>
  <c r="B2418" i="1"/>
  <c r="A2418" i="1"/>
  <c r="D2417" i="1"/>
  <c r="C2417" i="1"/>
  <c r="B2417" i="1"/>
  <c r="A2417" i="1"/>
  <c r="D2416" i="1"/>
  <c r="C2416" i="1"/>
  <c r="B2416" i="1"/>
  <c r="A2416" i="1"/>
  <c r="D2415" i="1"/>
  <c r="C2415" i="1"/>
  <c r="B2415" i="1"/>
  <c r="A2415" i="1"/>
  <c r="D2414" i="1"/>
  <c r="C2414" i="1"/>
  <c r="B2414" i="1"/>
  <c r="A2414" i="1"/>
  <c r="D2413" i="1"/>
  <c r="C2413" i="1"/>
  <c r="B2413" i="1"/>
  <c r="A2413" i="1"/>
  <c r="D2412" i="1"/>
  <c r="C2412" i="1"/>
  <c r="B2412" i="1"/>
  <c r="A2412" i="1"/>
  <c r="D2411" i="1"/>
  <c r="C2411" i="1"/>
  <c r="B2411" i="1"/>
  <c r="A2411" i="1"/>
  <c r="D2410" i="1"/>
  <c r="C2410" i="1"/>
  <c r="B2410" i="1"/>
  <c r="A2410" i="1"/>
  <c r="D2409" i="1"/>
  <c r="C2409" i="1"/>
  <c r="B2409" i="1"/>
  <c r="A2409" i="1"/>
  <c r="D2408" i="1"/>
  <c r="C2408" i="1"/>
  <c r="B2408" i="1"/>
  <c r="A2408" i="1"/>
  <c r="D2407" i="1"/>
  <c r="C2407" i="1"/>
  <c r="B2407" i="1"/>
  <c r="A2407" i="1"/>
  <c r="D2406" i="1"/>
  <c r="C2406" i="1"/>
  <c r="B2406" i="1"/>
  <c r="A2406" i="1"/>
  <c r="D2405" i="1"/>
  <c r="C2405" i="1"/>
  <c r="B2405" i="1"/>
  <c r="A2405" i="1"/>
  <c r="D2404" i="1"/>
  <c r="C2404" i="1"/>
  <c r="B2404" i="1"/>
  <c r="A2404" i="1"/>
  <c r="D2403" i="1"/>
  <c r="C2403" i="1"/>
  <c r="B2403" i="1"/>
  <c r="A2403" i="1"/>
  <c r="D2402" i="1"/>
  <c r="C2402" i="1"/>
  <c r="B2402" i="1"/>
  <c r="A2402" i="1"/>
  <c r="D2401" i="1"/>
  <c r="C2401" i="1"/>
  <c r="B2401" i="1"/>
  <c r="A2401" i="1"/>
  <c r="D2400" i="1"/>
  <c r="C2400" i="1"/>
  <c r="B2400" i="1"/>
  <c r="A2400" i="1"/>
  <c r="D2399" i="1"/>
  <c r="C2399" i="1"/>
  <c r="B2399" i="1"/>
  <c r="A2399" i="1"/>
  <c r="D2398" i="1"/>
  <c r="C2398" i="1"/>
  <c r="B2398" i="1"/>
  <c r="A2398" i="1"/>
  <c r="D2397" i="1"/>
  <c r="C2397" i="1"/>
  <c r="B2397" i="1"/>
  <c r="A2397" i="1"/>
  <c r="D2396" i="1"/>
  <c r="C2396" i="1"/>
  <c r="B2396" i="1"/>
  <c r="A2396" i="1"/>
  <c r="D2395" i="1"/>
  <c r="C2395" i="1"/>
  <c r="B2395" i="1"/>
  <c r="A2395" i="1"/>
  <c r="D2394" i="1"/>
  <c r="C2394" i="1"/>
  <c r="B2394" i="1"/>
  <c r="A2394" i="1"/>
  <c r="D2393" i="1"/>
  <c r="C2393" i="1"/>
  <c r="B2393" i="1"/>
  <c r="A2393" i="1"/>
  <c r="D2392" i="1"/>
  <c r="C2392" i="1"/>
  <c r="B2392" i="1"/>
  <c r="A2392" i="1"/>
  <c r="D2391" i="1"/>
  <c r="C2391" i="1"/>
  <c r="B2391" i="1"/>
  <c r="A2391" i="1"/>
  <c r="D2390" i="1"/>
  <c r="C2390" i="1"/>
  <c r="B2390" i="1"/>
  <c r="A2390" i="1"/>
  <c r="D2389" i="1"/>
  <c r="C2389" i="1"/>
  <c r="B2389" i="1"/>
  <c r="A2389" i="1"/>
  <c r="D2388" i="1"/>
  <c r="C2388" i="1"/>
  <c r="B2388" i="1"/>
  <c r="A2388" i="1"/>
  <c r="D2387" i="1"/>
  <c r="C2387" i="1"/>
  <c r="B2387" i="1"/>
  <c r="A2387" i="1"/>
  <c r="D2386" i="1"/>
  <c r="C2386" i="1"/>
  <c r="B2386" i="1"/>
  <c r="A2386" i="1"/>
  <c r="D2385" i="1"/>
  <c r="C2385" i="1"/>
  <c r="B2385" i="1"/>
  <c r="A2385" i="1"/>
  <c r="D2384" i="1"/>
  <c r="C2384" i="1"/>
  <c r="B2384" i="1"/>
  <c r="A2384" i="1"/>
  <c r="D2383" i="1"/>
  <c r="C2383" i="1"/>
  <c r="B2383" i="1"/>
  <c r="A2383" i="1"/>
  <c r="D2382" i="1"/>
  <c r="C2382" i="1"/>
  <c r="B2382" i="1"/>
  <c r="A2382" i="1"/>
  <c r="D2381" i="1"/>
  <c r="C2381" i="1"/>
  <c r="B2381" i="1"/>
  <c r="A2381" i="1"/>
  <c r="D2380" i="1"/>
  <c r="C2380" i="1"/>
  <c r="B2380" i="1"/>
  <c r="A2380" i="1"/>
  <c r="D2379" i="1"/>
  <c r="C2379" i="1"/>
  <c r="B2379" i="1"/>
  <c r="A2379" i="1"/>
  <c r="D2378" i="1"/>
  <c r="C2378" i="1"/>
  <c r="B2378" i="1"/>
  <c r="A2378" i="1"/>
  <c r="D2377" i="1"/>
  <c r="C2377" i="1"/>
  <c r="B2377" i="1"/>
  <c r="A2377" i="1"/>
  <c r="D2376" i="1"/>
  <c r="C2376" i="1"/>
  <c r="B2376" i="1"/>
  <c r="A2376" i="1"/>
  <c r="D2375" i="1"/>
  <c r="C2375" i="1"/>
  <c r="B2375" i="1"/>
  <c r="A2375" i="1"/>
  <c r="D2374" i="1"/>
  <c r="C2374" i="1"/>
  <c r="B2374" i="1"/>
  <c r="A2374" i="1"/>
  <c r="D2373" i="1"/>
  <c r="C2373" i="1"/>
  <c r="B2373" i="1"/>
  <c r="A2373" i="1"/>
  <c r="D2372" i="1"/>
  <c r="C2372" i="1"/>
  <c r="A2372" i="1"/>
  <c r="D2371" i="1"/>
  <c r="C2371" i="1"/>
  <c r="B2371" i="1"/>
  <c r="A2371" i="1"/>
  <c r="D2370" i="1"/>
  <c r="C2370" i="1"/>
  <c r="A2370" i="1"/>
  <c r="D2369" i="1"/>
  <c r="C2369" i="1"/>
  <c r="B2369" i="1"/>
  <c r="A2369" i="1"/>
  <c r="D2368" i="1"/>
  <c r="C2368" i="1"/>
  <c r="B2368" i="1"/>
  <c r="A2368" i="1"/>
  <c r="D2367" i="1"/>
  <c r="C2367" i="1"/>
  <c r="B2367" i="1"/>
  <c r="A2367" i="1"/>
  <c r="D2366" i="1"/>
  <c r="C2366" i="1"/>
  <c r="B2366" i="1"/>
  <c r="A2366" i="1"/>
  <c r="D2365" i="1"/>
  <c r="C2365" i="1"/>
  <c r="B2365" i="1"/>
  <c r="A2365" i="1"/>
  <c r="D2364" i="1"/>
  <c r="C2364" i="1"/>
  <c r="B2364" i="1"/>
  <c r="A2364" i="1"/>
  <c r="D2363" i="1"/>
  <c r="C2363" i="1"/>
  <c r="B2363" i="1"/>
  <c r="A2363" i="1"/>
  <c r="D2362" i="1"/>
  <c r="C2362" i="1"/>
  <c r="B2362" i="1"/>
  <c r="A2362" i="1"/>
  <c r="D2361" i="1"/>
  <c r="C2361" i="1"/>
  <c r="B2361" i="1"/>
  <c r="A2361" i="1"/>
  <c r="D2360" i="1"/>
  <c r="C2360" i="1"/>
  <c r="B2360" i="1"/>
  <c r="A2360" i="1"/>
  <c r="D2359" i="1"/>
  <c r="C2359" i="1"/>
  <c r="B2359" i="1"/>
  <c r="A2359" i="1"/>
  <c r="D2358" i="1"/>
  <c r="C2358" i="1"/>
  <c r="B2358" i="1"/>
  <c r="A2358" i="1"/>
  <c r="D2357" i="1"/>
  <c r="A2357" i="1"/>
  <c r="D2356" i="1"/>
  <c r="C2356" i="1"/>
  <c r="B2356" i="1"/>
  <c r="A2356" i="1"/>
  <c r="D2355" i="1"/>
  <c r="C2355" i="1"/>
  <c r="B2355" i="1"/>
  <c r="A2355" i="1"/>
  <c r="D2354" i="1"/>
  <c r="C2354" i="1"/>
  <c r="B2354" i="1"/>
  <c r="A2354" i="1"/>
  <c r="D2353" i="1"/>
  <c r="C2353" i="1"/>
  <c r="B2353" i="1"/>
  <c r="A2353" i="1"/>
  <c r="D2352" i="1"/>
  <c r="C2352" i="1"/>
  <c r="B2352" i="1"/>
  <c r="A2352" i="1"/>
  <c r="D2351" i="1"/>
  <c r="C2351" i="1"/>
  <c r="B2351" i="1"/>
  <c r="A2351" i="1"/>
  <c r="D2350" i="1"/>
  <c r="C2350" i="1"/>
  <c r="B2350" i="1"/>
  <c r="A2350" i="1"/>
  <c r="D2349" i="1"/>
  <c r="C2349" i="1"/>
  <c r="B2349" i="1"/>
  <c r="A2349" i="1"/>
  <c r="D2348" i="1"/>
  <c r="C2348" i="1"/>
  <c r="B2348" i="1"/>
  <c r="A2348" i="1"/>
  <c r="D2347" i="1"/>
  <c r="C2347" i="1"/>
  <c r="B2347" i="1"/>
  <c r="A2347" i="1"/>
  <c r="D2346" i="1"/>
  <c r="C2346" i="1"/>
  <c r="B2346" i="1"/>
  <c r="A2346" i="1"/>
  <c r="D2345" i="1"/>
  <c r="C2345" i="1"/>
  <c r="B2345" i="1"/>
  <c r="A2345" i="1"/>
  <c r="D2344" i="1"/>
  <c r="C2344" i="1"/>
  <c r="B2344" i="1"/>
  <c r="A2344" i="1"/>
  <c r="D2343" i="1"/>
  <c r="C2343" i="1"/>
  <c r="B2343" i="1"/>
  <c r="A2343" i="1"/>
  <c r="D2342" i="1"/>
  <c r="C2342" i="1"/>
  <c r="B2342" i="1"/>
  <c r="A2342" i="1"/>
  <c r="D2341" i="1"/>
  <c r="C2341" i="1"/>
  <c r="B2341" i="1"/>
  <c r="A2341" i="1"/>
  <c r="D2340" i="1"/>
  <c r="C2340" i="1"/>
  <c r="B2340" i="1"/>
  <c r="A2340" i="1"/>
  <c r="D2339" i="1"/>
  <c r="C2339" i="1"/>
  <c r="B2339" i="1"/>
  <c r="A2339" i="1"/>
  <c r="D2338" i="1"/>
  <c r="C2338" i="1"/>
  <c r="B2338" i="1"/>
  <c r="A2338" i="1"/>
  <c r="D2337" i="1"/>
  <c r="C2337" i="1"/>
  <c r="B2337" i="1"/>
  <c r="A2337" i="1"/>
  <c r="D2336" i="1"/>
  <c r="C2336" i="1"/>
  <c r="B2336" i="1"/>
  <c r="A2336" i="1"/>
  <c r="D2335" i="1"/>
  <c r="C2335" i="1"/>
  <c r="B2335" i="1"/>
  <c r="A2335" i="1"/>
  <c r="D2334" i="1"/>
  <c r="C2334" i="1"/>
  <c r="B2334" i="1"/>
  <c r="A2334" i="1"/>
  <c r="D2333" i="1"/>
  <c r="C2333" i="1"/>
  <c r="B2333" i="1"/>
  <c r="A2333" i="1"/>
  <c r="D2332" i="1"/>
  <c r="C2332" i="1"/>
  <c r="B2332" i="1"/>
  <c r="A2332" i="1"/>
  <c r="D2331" i="1"/>
  <c r="C2331" i="1"/>
  <c r="B2331" i="1"/>
  <c r="A2331" i="1"/>
  <c r="D2330" i="1"/>
  <c r="C2330" i="1"/>
  <c r="B2330" i="1"/>
  <c r="A2330" i="1"/>
  <c r="D2329" i="1"/>
  <c r="C2329" i="1"/>
  <c r="B2329" i="1"/>
  <c r="A2329" i="1"/>
  <c r="D2328" i="1"/>
  <c r="C2328" i="1"/>
  <c r="B2328" i="1"/>
  <c r="A2328" i="1"/>
  <c r="D2327" i="1"/>
  <c r="C2327" i="1"/>
  <c r="B2327" i="1"/>
  <c r="A2327" i="1"/>
  <c r="D2326" i="1"/>
  <c r="C2326" i="1"/>
  <c r="B2326" i="1"/>
  <c r="A2326" i="1"/>
  <c r="D2325" i="1"/>
  <c r="C2325" i="1"/>
  <c r="B2325" i="1"/>
  <c r="A2325" i="1"/>
  <c r="D2324" i="1"/>
  <c r="C2324" i="1"/>
  <c r="B2324" i="1"/>
  <c r="A2324" i="1"/>
  <c r="D2323" i="1"/>
  <c r="C2323" i="1"/>
  <c r="B2323" i="1"/>
  <c r="A2323" i="1"/>
  <c r="D2322" i="1"/>
  <c r="C2322" i="1"/>
  <c r="B2322" i="1"/>
  <c r="A2322" i="1"/>
  <c r="D2321" i="1"/>
  <c r="C2321" i="1"/>
  <c r="B2321" i="1"/>
  <c r="A2321" i="1"/>
  <c r="D2320" i="1"/>
  <c r="C2320" i="1"/>
  <c r="B2320" i="1"/>
  <c r="A2320" i="1"/>
  <c r="D2319" i="1"/>
  <c r="C2319" i="1"/>
  <c r="B2319" i="1"/>
  <c r="A2319" i="1"/>
  <c r="D2318" i="1"/>
  <c r="C2318" i="1"/>
  <c r="B2318" i="1"/>
  <c r="A2318" i="1"/>
  <c r="D2317" i="1"/>
  <c r="C2317" i="1"/>
  <c r="B2317" i="1"/>
  <c r="A2317" i="1"/>
  <c r="D2316" i="1"/>
  <c r="C2316" i="1"/>
  <c r="B2316" i="1"/>
  <c r="A2316" i="1"/>
  <c r="D2315" i="1"/>
  <c r="C2315" i="1"/>
  <c r="B2315" i="1"/>
  <c r="A2315" i="1"/>
  <c r="D2314" i="1"/>
  <c r="C2314" i="1"/>
  <c r="B2314" i="1"/>
  <c r="A2314" i="1"/>
  <c r="D2313" i="1"/>
  <c r="C2313" i="1"/>
  <c r="B2313" i="1"/>
  <c r="A2313" i="1"/>
  <c r="D2312" i="1"/>
  <c r="C2312" i="1"/>
  <c r="B2312" i="1"/>
  <c r="A2312" i="1"/>
  <c r="D2311" i="1"/>
  <c r="C2311" i="1"/>
  <c r="B2311" i="1"/>
  <c r="A2311" i="1"/>
  <c r="D2310" i="1"/>
  <c r="C2310" i="1"/>
  <c r="B2310" i="1"/>
  <c r="A2310" i="1"/>
  <c r="D2309" i="1"/>
  <c r="C2309" i="1"/>
  <c r="B2309" i="1"/>
  <c r="A2309" i="1"/>
  <c r="D2308" i="1"/>
  <c r="C2308" i="1"/>
  <c r="B2308" i="1"/>
  <c r="A2308" i="1"/>
  <c r="D2307" i="1"/>
  <c r="C2307" i="1"/>
  <c r="B2307" i="1"/>
  <c r="A2307" i="1"/>
  <c r="D2306" i="1"/>
  <c r="C2306" i="1"/>
  <c r="B2306" i="1"/>
  <c r="A2306" i="1"/>
  <c r="D2305" i="1"/>
  <c r="C2305" i="1"/>
  <c r="B2305" i="1"/>
  <c r="A2305" i="1"/>
  <c r="D2304" i="1"/>
  <c r="C2304" i="1"/>
  <c r="B2304" i="1"/>
  <c r="A2304" i="1"/>
  <c r="D2303" i="1"/>
  <c r="C2303" i="1"/>
  <c r="B2303" i="1"/>
  <c r="A2303" i="1"/>
  <c r="D2302" i="1"/>
  <c r="C2302" i="1"/>
  <c r="B2302" i="1"/>
  <c r="A2302" i="1"/>
  <c r="D2301" i="1"/>
  <c r="C2301" i="1"/>
  <c r="B2301" i="1"/>
  <c r="A2301" i="1"/>
  <c r="D2300" i="1"/>
  <c r="C2300" i="1"/>
  <c r="B2300" i="1"/>
  <c r="A2300" i="1"/>
  <c r="D2299" i="1"/>
  <c r="C2299" i="1"/>
  <c r="B2299" i="1"/>
  <c r="A2299" i="1"/>
  <c r="D2298" i="1"/>
  <c r="C2298" i="1"/>
  <c r="B2298" i="1"/>
  <c r="A2298" i="1"/>
  <c r="D2297" i="1"/>
  <c r="C2297" i="1"/>
  <c r="B2297" i="1"/>
  <c r="A2297" i="1"/>
  <c r="D2296" i="1"/>
  <c r="C2296" i="1"/>
  <c r="B2296" i="1"/>
  <c r="A2296" i="1"/>
  <c r="D2295" i="1"/>
  <c r="C2295" i="1"/>
  <c r="B2295" i="1"/>
  <c r="A2295" i="1"/>
  <c r="D2294" i="1"/>
  <c r="C2294" i="1"/>
  <c r="B2294" i="1"/>
  <c r="A2294" i="1"/>
  <c r="D2293" i="1"/>
  <c r="C2293" i="1"/>
  <c r="B2293" i="1"/>
  <c r="A2293" i="1"/>
  <c r="D2292" i="1"/>
  <c r="C2292" i="1"/>
  <c r="B2292" i="1"/>
  <c r="A2292" i="1"/>
  <c r="D2291" i="1"/>
  <c r="C2291" i="1"/>
  <c r="B2291" i="1"/>
  <c r="A2291" i="1"/>
  <c r="D2290" i="1"/>
  <c r="C2290" i="1"/>
  <c r="B2290" i="1"/>
  <c r="A2290" i="1"/>
  <c r="D2289" i="1"/>
  <c r="C2289" i="1"/>
  <c r="B2289" i="1"/>
  <c r="A2289" i="1"/>
  <c r="D2288" i="1"/>
  <c r="C2288" i="1"/>
  <c r="B2288" i="1"/>
  <c r="A2288" i="1"/>
  <c r="D2287" i="1"/>
  <c r="C2287" i="1"/>
  <c r="B2287" i="1"/>
  <c r="A2287" i="1"/>
  <c r="D2286" i="1"/>
  <c r="C2286" i="1"/>
  <c r="B2286" i="1"/>
  <c r="A2286" i="1"/>
  <c r="D2285" i="1"/>
  <c r="C2285" i="1"/>
  <c r="B2285" i="1"/>
  <c r="A2285" i="1"/>
  <c r="D2284" i="1"/>
  <c r="C2284" i="1"/>
  <c r="B2284" i="1"/>
  <c r="A2284" i="1"/>
  <c r="D2283" i="1"/>
  <c r="C2283" i="1"/>
  <c r="B2283" i="1"/>
  <c r="A2283" i="1"/>
  <c r="D2282" i="1"/>
  <c r="C2282" i="1"/>
  <c r="B2282" i="1"/>
  <c r="A2282" i="1"/>
  <c r="D2281" i="1"/>
  <c r="B2281" i="1"/>
  <c r="A2281" i="1"/>
  <c r="D2280" i="1"/>
  <c r="B2280" i="1"/>
  <c r="A2280" i="1"/>
  <c r="D2279" i="1"/>
  <c r="C2279" i="1"/>
  <c r="B2279" i="1"/>
  <c r="A2279" i="1"/>
  <c r="D2278" i="1"/>
  <c r="B2278" i="1"/>
  <c r="A2278" i="1"/>
  <c r="D2277" i="1"/>
  <c r="C2277" i="1"/>
  <c r="B2277" i="1"/>
  <c r="A2277" i="1"/>
  <c r="D2276" i="1"/>
  <c r="B2276" i="1"/>
  <c r="A2276" i="1"/>
  <c r="D2275" i="1"/>
  <c r="B2275" i="1"/>
  <c r="A2275" i="1"/>
  <c r="D2274" i="1"/>
  <c r="B2274" i="1"/>
  <c r="A2274" i="1"/>
  <c r="D2273" i="1"/>
  <c r="B2273" i="1"/>
  <c r="A2273" i="1"/>
  <c r="D2272" i="1"/>
  <c r="C2272" i="1"/>
  <c r="B2272" i="1"/>
  <c r="A2272" i="1"/>
  <c r="D2271" i="1"/>
  <c r="B2271" i="1"/>
  <c r="A2271" i="1"/>
  <c r="D2270" i="1"/>
  <c r="C2270" i="1"/>
  <c r="B2270" i="1"/>
  <c r="A2270" i="1"/>
  <c r="D2269" i="1"/>
  <c r="C2269" i="1"/>
  <c r="B2269" i="1"/>
  <c r="A2269" i="1"/>
  <c r="D2268" i="1"/>
  <c r="C2268" i="1"/>
  <c r="B2268" i="1"/>
  <c r="A2268" i="1"/>
  <c r="D2267" i="1"/>
  <c r="C2267" i="1"/>
  <c r="B2267" i="1"/>
  <c r="A2267" i="1"/>
  <c r="D2266" i="1"/>
  <c r="B2266" i="1"/>
  <c r="A2266" i="1"/>
  <c r="D2265" i="1"/>
  <c r="B2265" i="1"/>
  <c r="A2265" i="1"/>
  <c r="D2264" i="1"/>
  <c r="B2264" i="1"/>
  <c r="A2264" i="1"/>
  <c r="D2263" i="1"/>
  <c r="B2263" i="1"/>
  <c r="A2263" i="1"/>
  <c r="D2262" i="1"/>
  <c r="B2262" i="1"/>
  <c r="A2262" i="1"/>
  <c r="D2261" i="1"/>
  <c r="B2261" i="1"/>
  <c r="A2261" i="1"/>
  <c r="D2260" i="1"/>
  <c r="B2260" i="1"/>
  <c r="A2260" i="1"/>
  <c r="D2259" i="1"/>
  <c r="B2259" i="1"/>
  <c r="A2259" i="1"/>
  <c r="D2258" i="1"/>
  <c r="B2258" i="1"/>
  <c r="A2258" i="1"/>
  <c r="D2257" i="1"/>
  <c r="B2257" i="1"/>
  <c r="A2257" i="1"/>
  <c r="D2256" i="1"/>
  <c r="B2256" i="1"/>
  <c r="A2256" i="1"/>
  <c r="D2255" i="1"/>
  <c r="B2255" i="1"/>
  <c r="A2255" i="1"/>
  <c r="D2254" i="1"/>
  <c r="B2254" i="1"/>
  <c r="A2254" i="1"/>
  <c r="D2253" i="1"/>
  <c r="B2253" i="1"/>
  <c r="A2253" i="1"/>
  <c r="D2252" i="1"/>
  <c r="B2252" i="1"/>
  <c r="A2252" i="1"/>
  <c r="D2251" i="1"/>
  <c r="B2251" i="1"/>
  <c r="A2251" i="1"/>
  <c r="D2250" i="1"/>
  <c r="B2250" i="1"/>
  <c r="A2250" i="1"/>
  <c r="D2249" i="1"/>
  <c r="B2249" i="1"/>
  <c r="A2249" i="1"/>
  <c r="D2248" i="1"/>
  <c r="B2248" i="1"/>
  <c r="A2248" i="1"/>
  <c r="D2247" i="1"/>
  <c r="B2247" i="1"/>
  <c r="A2247" i="1"/>
  <c r="D2246" i="1"/>
  <c r="B2246" i="1"/>
  <c r="A2246" i="1"/>
  <c r="D2245" i="1"/>
  <c r="B2245" i="1"/>
  <c r="A2245" i="1"/>
  <c r="D2244" i="1"/>
  <c r="B2244" i="1"/>
  <c r="A2244" i="1"/>
  <c r="D2243" i="1"/>
  <c r="B2243" i="1"/>
  <c r="A2243" i="1"/>
  <c r="D2242" i="1"/>
  <c r="B2242" i="1"/>
  <c r="A2242" i="1"/>
  <c r="D2241" i="1"/>
  <c r="B2241" i="1"/>
  <c r="A2241" i="1"/>
  <c r="D2240" i="1"/>
  <c r="B2240" i="1"/>
  <c r="A2240" i="1"/>
  <c r="D2239" i="1"/>
  <c r="B2239" i="1"/>
  <c r="A2239" i="1"/>
  <c r="D2238" i="1"/>
  <c r="B2238" i="1"/>
  <c r="A2238" i="1"/>
  <c r="D2237" i="1"/>
  <c r="B2237" i="1"/>
  <c r="A2237" i="1"/>
  <c r="D2236" i="1"/>
  <c r="B2236" i="1"/>
  <c r="A2236" i="1"/>
  <c r="D2235" i="1"/>
  <c r="B2235" i="1"/>
  <c r="A2235" i="1"/>
  <c r="D2234" i="1"/>
  <c r="B2234" i="1"/>
  <c r="A2234" i="1"/>
  <c r="D2233" i="1"/>
  <c r="B2233" i="1"/>
  <c r="A2233" i="1"/>
  <c r="D2232" i="1"/>
  <c r="B2232" i="1"/>
  <c r="A2232" i="1"/>
  <c r="D2231" i="1"/>
  <c r="B2231" i="1"/>
  <c r="A2231" i="1"/>
  <c r="D2230" i="1"/>
  <c r="B2230" i="1"/>
  <c r="A2230" i="1"/>
  <c r="D2229" i="1"/>
  <c r="B2229" i="1"/>
  <c r="A2229" i="1"/>
  <c r="D2228" i="1"/>
  <c r="B2228" i="1"/>
  <c r="A2228" i="1"/>
  <c r="D2227" i="1"/>
  <c r="B2227" i="1"/>
  <c r="A2227" i="1"/>
  <c r="D2226" i="1"/>
  <c r="B2226" i="1"/>
  <c r="A2226" i="1"/>
  <c r="D2225" i="1"/>
  <c r="C2225" i="1"/>
  <c r="B2225" i="1"/>
  <c r="A2225" i="1"/>
  <c r="D2224" i="1"/>
  <c r="C2224" i="1"/>
  <c r="B2224" i="1"/>
  <c r="A2224" i="1"/>
  <c r="D2223" i="1"/>
  <c r="C2223" i="1"/>
  <c r="B2223" i="1"/>
  <c r="A2223" i="1"/>
  <c r="D2222" i="1"/>
  <c r="C2222" i="1"/>
  <c r="B2222" i="1"/>
  <c r="A2222" i="1"/>
  <c r="D2221" i="1"/>
  <c r="C2221" i="1"/>
  <c r="B2221" i="1"/>
  <c r="A2221" i="1"/>
  <c r="D2220" i="1"/>
  <c r="C2220" i="1"/>
  <c r="B2220" i="1"/>
  <c r="A2220" i="1"/>
  <c r="D2219" i="1"/>
  <c r="C2219" i="1"/>
  <c r="B2219" i="1"/>
  <c r="A2219" i="1"/>
  <c r="D2218" i="1"/>
  <c r="C2218" i="1"/>
  <c r="B2218" i="1"/>
  <c r="A2218" i="1"/>
  <c r="D2217" i="1"/>
  <c r="B2217" i="1"/>
  <c r="A2217" i="1"/>
  <c r="D2216" i="1"/>
  <c r="B2216" i="1"/>
  <c r="A2216" i="1"/>
  <c r="D2215" i="1"/>
  <c r="C2215" i="1"/>
  <c r="B2215" i="1"/>
  <c r="A2215" i="1"/>
  <c r="D2214" i="1"/>
  <c r="B2214" i="1"/>
  <c r="A2214" i="1"/>
  <c r="D2213" i="1"/>
  <c r="B2213" i="1"/>
  <c r="A2213" i="1"/>
  <c r="D2212" i="1"/>
  <c r="B2212" i="1"/>
  <c r="A2212" i="1"/>
  <c r="D2211" i="1"/>
  <c r="B2211" i="1"/>
  <c r="A2211" i="1"/>
  <c r="D2210" i="1"/>
  <c r="B2210" i="1"/>
  <c r="A2210" i="1"/>
  <c r="D2209" i="1"/>
  <c r="B2209" i="1"/>
  <c r="A2209" i="1"/>
  <c r="D2208" i="1"/>
  <c r="C2208" i="1"/>
  <c r="B2208" i="1"/>
  <c r="A2208" i="1"/>
  <c r="D2207" i="1"/>
  <c r="C2207" i="1"/>
  <c r="B2207" i="1"/>
  <c r="A2207" i="1"/>
  <c r="D2206" i="1"/>
  <c r="C2206" i="1"/>
  <c r="B2206" i="1"/>
  <c r="A2206" i="1"/>
  <c r="D2205" i="1"/>
  <c r="B2205" i="1"/>
  <c r="A2205" i="1"/>
  <c r="D2204" i="1"/>
  <c r="B2204" i="1"/>
  <c r="A2204" i="1"/>
  <c r="D2203" i="1"/>
  <c r="B2203" i="1"/>
  <c r="A2203" i="1"/>
  <c r="D2202" i="1"/>
  <c r="B2202" i="1"/>
  <c r="A2202" i="1"/>
  <c r="D2201" i="1"/>
  <c r="B2201" i="1"/>
  <c r="A2201" i="1"/>
  <c r="D2200" i="1"/>
  <c r="B2200" i="1"/>
  <c r="A2200" i="1"/>
  <c r="D2199" i="1"/>
  <c r="B2199" i="1"/>
  <c r="A2199" i="1"/>
  <c r="D2198" i="1"/>
  <c r="B2198" i="1"/>
  <c r="A2198" i="1"/>
  <c r="D2197" i="1"/>
  <c r="B2197" i="1"/>
  <c r="A2197" i="1"/>
  <c r="D2196" i="1"/>
  <c r="B2196" i="1"/>
  <c r="A2196" i="1"/>
  <c r="D2195" i="1"/>
  <c r="B2195" i="1"/>
  <c r="A2195" i="1"/>
  <c r="D2194" i="1"/>
  <c r="B2194" i="1"/>
  <c r="A2194" i="1"/>
  <c r="D2193" i="1"/>
  <c r="B2193" i="1"/>
  <c r="A2193" i="1"/>
  <c r="D2192" i="1"/>
  <c r="B2192" i="1"/>
  <c r="A2192" i="1"/>
  <c r="D2191" i="1"/>
  <c r="B2191" i="1"/>
  <c r="A2191" i="1"/>
  <c r="D2190" i="1"/>
  <c r="C2190" i="1"/>
  <c r="B2190" i="1"/>
  <c r="A2190" i="1"/>
  <c r="D2189" i="1"/>
  <c r="C2189" i="1"/>
  <c r="B2189" i="1"/>
  <c r="A2189" i="1"/>
  <c r="D2188" i="1"/>
  <c r="C2188" i="1"/>
  <c r="B2188" i="1"/>
  <c r="A2188" i="1"/>
  <c r="D2187" i="1"/>
  <c r="C2187" i="1"/>
  <c r="B2187" i="1"/>
  <c r="A2187" i="1"/>
  <c r="D2186" i="1"/>
  <c r="C2186" i="1"/>
  <c r="B2186" i="1"/>
  <c r="A2186" i="1"/>
  <c r="D2185" i="1"/>
  <c r="C2185" i="1"/>
  <c r="B2185" i="1"/>
  <c r="A2185" i="1"/>
  <c r="D2184" i="1"/>
  <c r="C2184" i="1"/>
  <c r="B2184" i="1"/>
  <c r="A2184" i="1"/>
  <c r="D2183" i="1"/>
  <c r="C2183" i="1"/>
  <c r="B2183" i="1"/>
  <c r="A2183" i="1"/>
  <c r="D2182" i="1"/>
  <c r="C2182" i="1"/>
  <c r="B2182" i="1"/>
  <c r="A2182" i="1"/>
  <c r="D2181" i="1"/>
  <c r="C2181" i="1"/>
  <c r="B2181" i="1"/>
  <c r="A2181" i="1"/>
  <c r="D2180" i="1"/>
  <c r="C2180" i="1"/>
  <c r="B2180" i="1"/>
  <c r="A2180" i="1"/>
  <c r="D2179" i="1"/>
  <c r="C2179" i="1"/>
  <c r="B2179" i="1"/>
  <c r="A2179" i="1"/>
  <c r="D2178" i="1"/>
  <c r="C2178" i="1"/>
  <c r="B2178" i="1"/>
  <c r="A2178" i="1"/>
  <c r="D2177" i="1"/>
  <c r="C2177" i="1"/>
  <c r="B2177" i="1"/>
  <c r="A2177" i="1"/>
  <c r="D2176" i="1"/>
  <c r="B2176" i="1"/>
  <c r="A2176" i="1"/>
  <c r="D2175" i="1"/>
  <c r="B2175" i="1"/>
  <c r="A2175" i="1"/>
  <c r="D2174" i="1"/>
  <c r="B2174" i="1"/>
  <c r="A2174" i="1"/>
  <c r="D2173" i="1"/>
  <c r="B2173" i="1"/>
  <c r="A2173" i="1"/>
  <c r="D2172" i="1"/>
  <c r="B2172" i="1"/>
  <c r="A2172" i="1"/>
  <c r="D2171" i="1"/>
  <c r="B2171" i="1"/>
  <c r="A2171" i="1"/>
  <c r="D2170" i="1"/>
  <c r="B2170" i="1"/>
  <c r="A2170" i="1"/>
  <c r="D2169" i="1"/>
  <c r="B2169" i="1"/>
  <c r="A2169" i="1"/>
  <c r="D2168" i="1"/>
  <c r="B2168" i="1"/>
  <c r="A2168" i="1"/>
  <c r="D2167" i="1"/>
  <c r="B2167" i="1"/>
  <c r="A2167" i="1"/>
  <c r="D2166" i="1"/>
  <c r="B2166" i="1"/>
  <c r="A2166" i="1"/>
  <c r="D2165" i="1"/>
  <c r="B2165" i="1"/>
  <c r="A2165" i="1"/>
  <c r="D2164" i="1"/>
  <c r="B2164" i="1"/>
  <c r="A2164" i="1"/>
  <c r="D2163" i="1"/>
  <c r="B2163" i="1"/>
  <c r="A2163" i="1"/>
  <c r="D2162" i="1"/>
  <c r="B2162" i="1"/>
  <c r="A2162" i="1"/>
  <c r="D2161" i="1"/>
  <c r="B2161" i="1"/>
  <c r="A2161" i="1"/>
  <c r="D2160" i="1"/>
  <c r="B2160" i="1"/>
  <c r="A2160" i="1"/>
  <c r="D2159" i="1"/>
  <c r="B2159" i="1"/>
  <c r="A2159" i="1"/>
  <c r="D2158" i="1"/>
  <c r="B2158" i="1"/>
  <c r="A2158" i="1"/>
  <c r="D2157" i="1"/>
  <c r="B2157" i="1"/>
  <c r="A2157" i="1"/>
  <c r="D2156" i="1"/>
  <c r="B2156" i="1"/>
  <c r="A2156" i="1"/>
  <c r="D2155" i="1"/>
  <c r="B2155" i="1"/>
  <c r="A2155" i="1"/>
  <c r="D2154" i="1"/>
  <c r="B2154" i="1"/>
  <c r="A2154" i="1"/>
  <c r="D2153" i="1"/>
  <c r="B2153" i="1"/>
  <c r="A2153" i="1"/>
  <c r="D2152" i="1"/>
  <c r="B2152" i="1"/>
  <c r="A2152" i="1"/>
  <c r="D2151" i="1"/>
  <c r="B2151" i="1"/>
  <c r="A2151" i="1"/>
  <c r="D2150" i="1"/>
  <c r="B2150" i="1"/>
  <c r="A2150" i="1"/>
  <c r="D2149" i="1"/>
  <c r="B2149" i="1"/>
  <c r="A2149" i="1"/>
  <c r="D2148" i="1"/>
  <c r="B2148" i="1"/>
  <c r="A2148" i="1"/>
  <c r="D2147" i="1"/>
  <c r="B2147" i="1"/>
  <c r="A2147" i="1"/>
  <c r="D2146" i="1"/>
  <c r="B2146" i="1"/>
  <c r="A2146" i="1"/>
  <c r="D2145" i="1"/>
  <c r="B2145" i="1"/>
  <c r="A2145" i="1"/>
  <c r="D2144" i="1"/>
  <c r="B2144" i="1"/>
  <c r="A2144" i="1"/>
  <c r="D2143" i="1"/>
  <c r="B2143" i="1"/>
  <c r="A2143" i="1"/>
  <c r="D2142" i="1"/>
  <c r="B2142" i="1"/>
  <c r="A2142" i="1"/>
  <c r="D2141" i="1"/>
  <c r="B2141" i="1"/>
  <c r="A2141" i="1"/>
  <c r="D2140" i="1"/>
  <c r="B2140" i="1"/>
  <c r="A2140" i="1"/>
  <c r="D2139" i="1"/>
  <c r="B2139" i="1"/>
  <c r="A2139" i="1"/>
  <c r="D2138" i="1"/>
  <c r="B2138" i="1"/>
  <c r="A2138" i="1"/>
  <c r="D2137" i="1"/>
  <c r="B2137" i="1"/>
  <c r="A2137" i="1"/>
  <c r="D2136" i="1"/>
  <c r="B2136" i="1"/>
  <c r="A2136" i="1"/>
  <c r="D2135" i="1"/>
  <c r="B2135" i="1"/>
  <c r="A2135" i="1"/>
  <c r="D2134" i="1"/>
  <c r="B2134" i="1"/>
  <c r="A2134" i="1"/>
  <c r="D2133" i="1"/>
  <c r="B2133" i="1"/>
  <c r="A2133" i="1"/>
  <c r="D2132" i="1"/>
  <c r="B2132" i="1"/>
  <c r="A2132" i="1"/>
  <c r="D2131" i="1"/>
  <c r="B2131" i="1"/>
  <c r="A2131" i="1"/>
  <c r="D2130" i="1"/>
  <c r="B2130" i="1"/>
  <c r="A2130" i="1"/>
  <c r="D2129" i="1"/>
  <c r="B2129" i="1"/>
  <c r="A2129" i="1"/>
  <c r="D2128" i="1"/>
  <c r="B2128" i="1"/>
  <c r="A2128" i="1"/>
  <c r="D2127" i="1"/>
  <c r="B2127" i="1"/>
  <c r="A2127" i="1"/>
  <c r="D2126" i="1"/>
  <c r="B2126" i="1"/>
  <c r="A2126" i="1"/>
  <c r="D2125" i="1"/>
  <c r="B2125" i="1"/>
  <c r="A2125" i="1"/>
  <c r="D2124" i="1"/>
  <c r="B2124" i="1"/>
  <c r="A2124" i="1"/>
  <c r="D2123" i="1"/>
  <c r="B2123" i="1"/>
  <c r="A2123" i="1"/>
  <c r="D2122" i="1"/>
  <c r="B2122" i="1"/>
  <c r="A2122" i="1"/>
  <c r="D2121" i="1"/>
  <c r="B2121" i="1"/>
  <c r="A2121" i="1"/>
  <c r="D2120" i="1"/>
  <c r="B2120" i="1"/>
  <c r="A2120" i="1"/>
  <c r="D2119" i="1"/>
  <c r="B2119" i="1"/>
  <c r="A2119" i="1"/>
  <c r="D2118" i="1"/>
  <c r="B2118" i="1"/>
  <c r="A2118" i="1"/>
  <c r="D2117" i="1"/>
  <c r="B2117" i="1"/>
  <c r="A2117" i="1"/>
  <c r="D2116" i="1"/>
  <c r="B2116" i="1"/>
  <c r="A2116" i="1"/>
  <c r="D2115" i="1"/>
  <c r="B2115" i="1"/>
  <c r="A2115" i="1"/>
  <c r="D2114" i="1"/>
  <c r="B2114" i="1"/>
  <c r="A2114" i="1"/>
  <c r="D2113" i="1"/>
  <c r="B2113" i="1"/>
  <c r="A2113" i="1"/>
  <c r="D2112" i="1"/>
  <c r="B2112" i="1"/>
  <c r="A2112" i="1"/>
  <c r="D2111" i="1"/>
  <c r="B2111" i="1"/>
  <c r="A2111" i="1"/>
  <c r="D2110" i="1"/>
  <c r="B2110" i="1"/>
  <c r="A2110" i="1"/>
  <c r="D2109" i="1"/>
  <c r="B2109" i="1"/>
  <c r="A2109" i="1"/>
  <c r="D2108" i="1"/>
  <c r="B2108" i="1"/>
  <c r="A2108" i="1"/>
  <c r="D2107" i="1"/>
  <c r="B2107" i="1"/>
  <c r="A2107" i="1"/>
  <c r="D2106" i="1"/>
  <c r="B2106" i="1"/>
  <c r="A2106" i="1"/>
  <c r="D2105" i="1"/>
  <c r="B2105" i="1"/>
  <c r="A2105" i="1"/>
  <c r="D2104" i="1"/>
  <c r="B2104" i="1"/>
  <c r="A2104" i="1"/>
  <c r="D2103" i="1"/>
  <c r="B2103" i="1"/>
  <c r="A2103" i="1"/>
  <c r="D2102" i="1"/>
  <c r="C2102" i="1"/>
  <c r="B2102" i="1"/>
  <c r="A2102" i="1"/>
  <c r="D2101" i="1"/>
  <c r="C2101" i="1"/>
  <c r="B2101" i="1"/>
  <c r="A2101" i="1"/>
  <c r="D2100" i="1"/>
  <c r="C2100" i="1"/>
  <c r="B2100" i="1"/>
  <c r="A2100" i="1"/>
  <c r="D2099" i="1"/>
  <c r="C2099" i="1"/>
  <c r="B2099" i="1"/>
  <c r="A2099" i="1"/>
  <c r="D2098" i="1"/>
  <c r="C2098" i="1"/>
  <c r="B2098" i="1"/>
  <c r="A2098" i="1"/>
  <c r="D2097" i="1"/>
  <c r="C2097" i="1"/>
  <c r="B2097" i="1"/>
  <c r="A2097" i="1"/>
  <c r="D2096" i="1"/>
  <c r="C2096" i="1"/>
  <c r="B2096" i="1"/>
  <c r="A2096" i="1"/>
  <c r="D2095" i="1"/>
  <c r="C2095" i="1"/>
  <c r="B2095" i="1"/>
  <c r="A2095" i="1"/>
  <c r="D2094" i="1"/>
  <c r="B2094" i="1"/>
  <c r="A2094" i="1"/>
  <c r="D2093" i="1"/>
  <c r="B2093" i="1"/>
  <c r="A2093" i="1"/>
  <c r="D2092" i="1"/>
  <c r="C2092" i="1"/>
  <c r="B2092" i="1"/>
  <c r="A2092" i="1"/>
  <c r="D2091" i="1"/>
  <c r="B2091" i="1"/>
  <c r="A2091" i="1"/>
  <c r="D2090" i="1"/>
  <c r="C2090" i="1"/>
  <c r="B2090" i="1"/>
  <c r="A2090" i="1"/>
  <c r="D2089" i="1"/>
  <c r="C2089" i="1"/>
  <c r="B2089" i="1"/>
  <c r="A2089" i="1"/>
  <c r="D2088" i="1"/>
  <c r="C2088" i="1"/>
  <c r="B2088" i="1"/>
  <c r="A2088" i="1"/>
  <c r="D2087" i="1"/>
  <c r="C2087" i="1"/>
  <c r="B2087" i="1"/>
  <c r="A2087" i="1"/>
  <c r="D2086" i="1"/>
  <c r="C2086" i="1"/>
  <c r="B2086" i="1"/>
  <c r="A2086" i="1"/>
  <c r="D2085" i="1"/>
  <c r="C2085" i="1"/>
  <c r="B2085" i="1"/>
  <c r="A2085" i="1"/>
  <c r="D2084" i="1"/>
  <c r="C2084" i="1"/>
  <c r="B2084" i="1"/>
  <c r="A2084" i="1"/>
  <c r="D2083" i="1"/>
  <c r="C2083" i="1"/>
  <c r="B2083" i="1"/>
  <c r="A2083" i="1"/>
  <c r="D2082" i="1"/>
  <c r="C2082" i="1"/>
  <c r="B2082" i="1"/>
  <c r="A2082" i="1"/>
  <c r="D2081" i="1"/>
  <c r="C2081" i="1"/>
  <c r="B2081" i="1"/>
  <c r="A2081" i="1"/>
  <c r="D2080" i="1"/>
  <c r="C2080" i="1"/>
  <c r="B2080" i="1"/>
  <c r="A2080" i="1"/>
  <c r="D2079" i="1"/>
  <c r="C2079" i="1"/>
  <c r="B2079" i="1"/>
  <c r="A2079" i="1"/>
  <c r="D2078" i="1"/>
  <c r="C2078" i="1"/>
  <c r="B2078" i="1"/>
  <c r="A2078" i="1"/>
  <c r="D2077" i="1"/>
  <c r="C2077" i="1"/>
  <c r="B2077" i="1"/>
  <c r="A2077" i="1"/>
  <c r="D2076" i="1"/>
  <c r="C2076" i="1"/>
  <c r="B2076" i="1"/>
  <c r="A2076" i="1"/>
  <c r="D2075" i="1"/>
  <c r="C2075" i="1"/>
  <c r="B2075" i="1"/>
  <c r="A2075" i="1"/>
  <c r="D2074" i="1"/>
  <c r="C2074" i="1"/>
  <c r="B2074" i="1"/>
  <c r="A2074" i="1"/>
  <c r="D2073" i="1"/>
  <c r="C2073" i="1"/>
  <c r="B2073" i="1"/>
  <c r="A2073" i="1"/>
  <c r="D2072" i="1"/>
  <c r="C2072" i="1"/>
  <c r="A2072" i="1"/>
  <c r="D2071" i="1"/>
  <c r="C2071" i="1"/>
  <c r="B2071" i="1"/>
  <c r="A2071" i="1"/>
  <c r="D2070" i="1"/>
  <c r="C2070" i="1"/>
  <c r="B2070" i="1"/>
  <c r="A2070" i="1"/>
  <c r="D2069" i="1"/>
  <c r="C2069" i="1"/>
  <c r="B2069" i="1"/>
  <c r="A2069" i="1"/>
  <c r="D2068" i="1"/>
  <c r="C2068" i="1"/>
  <c r="B2068" i="1"/>
  <c r="A2068" i="1"/>
  <c r="D2067" i="1"/>
  <c r="C2067" i="1"/>
  <c r="B2067" i="1"/>
  <c r="A2067" i="1"/>
  <c r="D2066" i="1"/>
  <c r="C2066" i="1"/>
  <c r="B2066" i="1"/>
  <c r="A2066" i="1"/>
  <c r="D2065" i="1"/>
  <c r="C2065" i="1"/>
  <c r="B2065" i="1"/>
  <c r="A2065" i="1"/>
  <c r="D2064" i="1"/>
  <c r="C2064" i="1"/>
  <c r="B2064" i="1"/>
  <c r="A2064" i="1"/>
  <c r="D2063" i="1"/>
  <c r="C2063" i="1"/>
  <c r="B2063" i="1"/>
  <c r="A2063" i="1"/>
  <c r="D2062" i="1"/>
  <c r="C2062" i="1"/>
  <c r="B2062" i="1"/>
  <c r="A2062" i="1"/>
  <c r="D2061" i="1"/>
  <c r="C2061" i="1"/>
  <c r="B2061" i="1"/>
  <c r="A2061" i="1"/>
  <c r="D2060" i="1"/>
  <c r="C2060" i="1"/>
  <c r="B2060" i="1"/>
  <c r="A2060" i="1"/>
  <c r="D2059" i="1"/>
  <c r="C2059" i="1"/>
  <c r="B2059" i="1"/>
  <c r="A2059" i="1"/>
  <c r="D2058" i="1"/>
  <c r="C2058" i="1"/>
  <c r="B2058" i="1"/>
  <c r="A2058" i="1"/>
  <c r="D2057" i="1"/>
  <c r="C2057" i="1"/>
  <c r="B2057" i="1"/>
  <c r="A2057" i="1"/>
  <c r="D2056" i="1"/>
  <c r="C2056" i="1"/>
  <c r="B2056" i="1"/>
  <c r="A2056" i="1"/>
  <c r="D2055" i="1"/>
  <c r="C2055" i="1"/>
  <c r="B2055" i="1"/>
  <c r="A2055" i="1"/>
  <c r="D2054" i="1"/>
  <c r="C2054" i="1"/>
  <c r="B2054" i="1"/>
  <c r="A2054" i="1"/>
  <c r="D2053" i="1"/>
  <c r="C2053" i="1"/>
  <c r="B2053" i="1"/>
  <c r="A2053" i="1"/>
  <c r="D2052" i="1"/>
  <c r="C2052" i="1"/>
  <c r="B2052" i="1"/>
  <c r="A2052" i="1"/>
  <c r="D2051" i="1"/>
  <c r="C2051" i="1"/>
  <c r="B2051" i="1"/>
  <c r="A2051" i="1"/>
  <c r="D2050" i="1"/>
  <c r="C2050" i="1"/>
  <c r="B2050" i="1"/>
  <c r="A2050" i="1"/>
  <c r="D2049" i="1"/>
  <c r="C2049" i="1"/>
  <c r="B2049" i="1"/>
  <c r="A2049" i="1"/>
  <c r="D2048" i="1"/>
  <c r="C2048" i="1"/>
  <c r="B2048" i="1"/>
  <c r="A2048" i="1"/>
  <c r="D2047" i="1"/>
  <c r="C2047" i="1"/>
  <c r="B2047" i="1"/>
  <c r="A2047" i="1"/>
  <c r="D2046" i="1"/>
  <c r="C2046" i="1"/>
  <c r="B2046" i="1"/>
  <c r="A2046" i="1"/>
  <c r="D2045" i="1"/>
  <c r="C2045" i="1"/>
  <c r="B2045" i="1"/>
  <c r="A2045" i="1"/>
  <c r="D2044" i="1"/>
  <c r="C2044" i="1"/>
  <c r="B2044" i="1"/>
  <c r="A2044" i="1"/>
  <c r="D2043" i="1"/>
  <c r="C2043" i="1"/>
  <c r="B2043" i="1"/>
  <c r="A2043" i="1"/>
  <c r="D2042" i="1"/>
  <c r="C2042" i="1"/>
  <c r="B2042" i="1"/>
  <c r="A2042" i="1"/>
  <c r="D2041" i="1"/>
  <c r="C2041" i="1"/>
  <c r="B2041" i="1"/>
  <c r="A2041" i="1"/>
  <c r="D2040" i="1"/>
  <c r="C2040" i="1"/>
  <c r="B2040" i="1"/>
  <c r="A2040" i="1"/>
  <c r="D2039" i="1"/>
  <c r="C2039" i="1"/>
  <c r="B2039" i="1"/>
  <c r="A2039" i="1"/>
  <c r="D2038" i="1"/>
  <c r="C2038" i="1"/>
  <c r="B2038" i="1"/>
  <c r="A2038" i="1"/>
  <c r="D2037" i="1"/>
  <c r="C2037" i="1"/>
  <c r="B2037" i="1"/>
  <c r="A2037" i="1"/>
  <c r="D2036" i="1"/>
  <c r="C2036" i="1"/>
  <c r="B2036" i="1"/>
  <c r="A2036" i="1"/>
  <c r="D2035" i="1"/>
  <c r="C2035" i="1"/>
  <c r="B2035" i="1"/>
  <c r="A2035" i="1"/>
  <c r="D2034" i="1"/>
  <c r="C2034" i="1"/>
  <c r="B2034" i="1"/>
  <c r="A2034" i="1"/>
  <c r="D2033" i="1"/>
  <c r="C2033" i="1"/>
  <c r="B2033" i="1"/>
  <c r="A2033" i="1"/>
  <c r="D2032" i="1"/>
  <c r="C2032" i="1"/>
  <c r="B2032" i="1"/>
  <c r="A2032" i="1"/>
  <c r="D2031" i="1"/>
  <c r="C2031" i="1"/>
  <c r="B2031" i="1"/>
  <c r="A2031" i="1"/>
  <c r="D2030" i="1"/>
  <c r="C2030" i="1"/>
  <c r="B2030" i="1"/>
  <c r="A2030" i="1"/>
  <c r="D2029" i="1"/>
  <c r="C2029" i="1"/>
  <c r="B2029" i="1"/>
  <c r="A2029" i="1"/>
  <c r="D2028" i="1"/>
  <c r="C2028" i="1"/>
  <c r="B2028" i="1"/>
  <c r="A2028" i="1"/>
  <c r="D2027" i="1"/>
  <c r="C2027" i="1"/>
  <c r="B2027" i="1"/>
  <c r="A2027" i="1"/>
  <c r="D2026" i="1"/>
  <c r="C2026" i="1"/>
  <c r="B2026" i="1"/>
  <c r="A2026" i="1"/>
  <c r="D2025" i="1"/>
  <c r="C2025" i="1"/>
  <c r="B2025" i="1"/>
  <c r="A2025" i="1"/>
  <c r="D2024" i="1"/>
  <c r="C2024" i="1"/>
  <c r="B2024" i="1"/>
  <c r="A2024" i="1"/>
  <c r="D2023" i="1"/>
  <c r="C2023" i="1"/>
  <c r="B2023" i="1"/>
  <c r="A2023" i="1"/>
  <c r="D2022" i="1"/>
  <c r="C2022" i="1"/>
  <c r="B2022" i="1"/>
  <c r="A2022" i="1"/>
  <c r="D2021" i="1"/>
  <c r="C2021" i="1"/>
  <c r="B2021" i="1"/>
  <c r="A2021" i="1"/>
  <c r="D2020" i="1"/>
  <c r="C2020" i="1"/>
  <c r="B2020" i="1"/>
  <c r="A2020" i="1"/>
  <c r="D2019" i="1"/>
  <c r="C2019" i="1"/>
  <c r="B2019" i="1"/>
  <c r="A2019" i="1"/>
  <c r="D2018" i="1"/>
  <c r="C2018" i="1"/>
  <c r="B2018" i="1"/>
  <c r="A2018" i="1"/>
  <c r="D2017" i="1"/>
  <c r="C2017" i="1"/>
  <c r="B2017" i="1"/>
  <c r="A2017" i="1"/>
  <c r="D2016" i="1"/>
  <c r="C2016" i="1"/>
  <c r="B2016" i="1"/>
  <c r="A2016" i="1"/>
  <c r="D2015" i="1"/>
  <c r="C2015" i="1"/>
  <c r="B2015" i="1"/>
  <c r="A2015" i="1"/>
  <c r="D2014" i="1"/>
  <c r="C2014" i="1"/>
  <c r="B2014" i="1"/>
  <c r="A2014" i="1"/>
  <c r="D2013" i="1"/>
  <c r="C2013" i="1"/>
  <c r="B2013" i="1"/>
  <c r="A2013" i="1"/>
  <c r="D2012" i="1"/>
  <c r="C2012" i="1"/>
  <c r="B2012" i="1"/>
  <c r="A2012" i="1"/>
  <c r="D2011" i="1"/>
  <c r="C2011" i="1"/>
  <c r="B2011" i="1"/>
  <c r="A2011" i="1"/>
  <c r="D2010" i="1"/>
  <c r="C2010" i="1"/>
  <c r="B2010" i="1"/>
  <c r="A2010" i="1"/>
  <c r="D2009" i="1"/>
  <c r="C2009" i="1"/>
  <c r="B2009" i="1"/>
  <c r="A2009" i="1"/>
  <c r="D2008" i="1"/>
  <c r="C2008" i="1"/>
  <c r="B2008" i="1"/>
  <c r="A2008" i="1"/>
  <c r="D2007" i="1"/>
  <c r="C2007" i="1"/>
  <c r="B2007" i="1"/>
  <c r="A2007" i="1"/>
  <c r="D2006" i="1"/>
  <c r="C2006" i="1"/>
  <c r="B2006" i="1"/>
  <c r="A2006" i="1"/>
  <c r="D2005" i="1"/>
  <c r="C2005" i="1"/>
  <c r="B2005" i="1"/>
  <c r="A2005" i="1"/>
  <c r="D2004" i="1"/>
  <c r="C2004" i="1"/>
  <c r="B2004" i="1"/>
  <c r="A2004" i="1"/>
  <c r="D2003" i="1"/>
  <c r="C2003" i="1"/>
  <c r="B2003" i="1"/>
  <c r="A2003" i="1"/>
  <c r="D2002" i="1"/>
  <c r="C2002" i="1"/>
  <c r="B2002" i="1"/>
  <c r="A2002" i="1"/>
  <c r="D2001" i="1"/>
  <c r="C2001" i="1"/>
  <c r="B2001" i="1"/>
  <c r="A2001" i="1"/>
  <c r="D2000" i="1"/>
  <c r="C2000" i="1"/>
  <c r="B2000" i="1"/>
  <c r="A2000" i="1"/>
  <c r="D1999" i="1"/>
  <c r="C1999" i="1"/>
  <c r="B1999" i="1"/>
  <c r="A1999" i="1"/>
  <c r="D1998" i="1"/>
  <c r="C1998" i="1"/>
  <c r="B1998" i="1"/>
  <c r="A1998" i="1"/>
  <c r="D1997" i="1"/>
  <c r="C1997" i="1"/>
  <c r="B1997" i="1"/>
  <c r="A1997" i="1"/>
  <c r="D1996" i="1"/>
  <c r="C1996" i="1"/>
  <c r="B1996" i="1"/>
  <c r="A1996" i="1"/>
  <c r="D1995" i="1"/>
  <c r="C1995" i="1"/>
  <c r="B1995" i="1"/>
  <c r="A1995" i="1"/>
  <c r="D1994" i="1"/>
  <c r="C1994" i="1"/>
  <c r="B1994" i="1"/>
  <c r="A1994" i="1"/>
  <c r="D1993" i="1"/>
  <c r="C1993" i="1"/>
  <c r="B1993" i="1"/>
  <c r="A1993" i="1"/>
  <c r="D1992" i="1"/>
  <c r="C1992" i="1"/>
  <c r="B1992" i="1"/>
  <c r="A1992" i="1"/>
  <c r="D1991" i="1"/>
  <c r="C1991" i="1"/>
  <c r="B1991" i="1"/>
  <c r="A1991" i="1"/>
  <c r="D1990" i="1"/>
  <c r="C1990" i="1"/>
  <c r="B1990" i="1"/>
  <c r="A1990" i="1"/>
  <c r="D1989" i="1"/>
  <c r="C1989" i="1"/>
  <c r="B1989" i="1"/>
  <c r="A1989" i="1"/>
  <c r="D1988" i="1"/>
  <c r="C1988" i="1"/>
  <c r="B1988" i="1"/>
  <c r="A1988" i="1"/>
  <c r="D1987" i="1"/>
  <c r="C1987" i="1"/>
  <c r="B1987" i="1"/>
  <c r="A1987" i="1"/>
  <c r="D1986" i="1"/>
  <c r="C1986" i="1"/>
  <c r="A1986" i="1"/>
  <c r="D1985" i="1"/>
  <c r="C1985" i="1"/>
  <c r="B1985" i="1"/>
  <c r="A1985" i="1"/>
  <c r="D1984" i="1"/>
  <c r="C1984" i="1"/>
  <c r="A1984" i="1"/>
  <c r="D1983" i="1"/>
  <c r="C1983" i="1"/>
  <c r="B1983" i="1"/>
  <c r="A1983" i="1"/>
  <c r="D1982" i="1"/>
  <c r="C1982" i="1"/>
  <c r="B1982" i="1"/>
  <c r="A1982" i="1"/>
  <c r="D1981" i="1"/>
  <c r="C1981" i="1"/>
  <c r="B1981" i="1"/>
  <c r="A1981" i="1"/>
  <c r="D1980" i="1"/>
  <c r="C1980" i="1"/>
  <c r="B1980" i="1"/>
  <c r="A1980" i="1"/>
  <c r="D1979" i="1"/>
  <c r="C1979" i="1"/>
  <c r="B1979" i="1"/>
  <c r="A1979" i="1"/>
  <c r="D1978" i="1"/>
  <c r="C1978" i="1"/>
  <c r="B1978" i="1"/>
  <c r="A1978" i="1"/>
  <c r="D1977" i="1"/>
  <c r="C1977" i="1"/>
  <c r="B1977" i="1"/>
  <c r="A1977" i="1"/>
  <c r="D1976" i="1"/>
  <c r="C1976" i="1"/>
  <c r="B1976" i="1"/>
  <c r="A1976" i="1"/>
  <c r="D1975" i="1"/>
  <c r="C1975" i="1"/>
  <c r="B1975" i="1"/>
  <c r="A1975" i="1"/>
  <c r="D1974" i="1"/>
  <c r="C1974" i="1"/>
  <c r="B1974" i="1"/>
  <c r="A1974" i="1"/>
  <c r="D1973" i="1"/>
  <c r="C1973" i="1"/>
  <c r="B1973" i="1"/>
  <c r="A1973" i="1"/>
  <c r="D1972" i="1"/>
  <c r="C1972" i="1"/>
  <c r="B1972" i="1"/>
  <c r="A1972" i="1"/>
  <c r="D1971" i="1"/>
  <c r="C1971" i="1"/>
  <c r="B1971" i="1"/>
  <c r="A1971" i="1"/>
  <c r="D1970" i="1"/>
  <c r="C1970" i="1"/>
  <c r="B1970" i="1"/>
  <c r="A1970" i="1"/>
  <c r="D1969" i="1"/>
  <c r="C1969" i="1"/>
  <c r="B1969" i="1"/>
  <c r="A1969" i="1"/>
  <c r="D1968" i="1"/>
  <c r="C1968" i="1"/>
  <c r="B1968" i="1"/>
  <c r="A1968" i="1"/>
  <c r="D1967" i="1"/>
  <c r="C1967" i="1"/>
  <c r="B1967" i="1"/>
  <c r="A1967" i="1"/>
  <c r="D1966" i="1"/>
  <c r="C1966" i="1"/>
  <c r="B1966" i="1"/>
  <c r="A1966" i="1"/>
  <c r="D1965" i="1"/>
  <c r="C1965" i="1"/>
  <c r="B1965" i="1"/>
  <c r="A1965" i="1"/>
  <c r="D1964" i="1"/>
  <c r="C1964" i="1"/>
  <c r="B1964" i="1"/>
  <c r="A1964" i="1"/>
  <c r="D1963" i="1"/>
  <c r="C1963" i="1"/>
  <c r="B1963" i="1"/>
  <c r="A1963" i="1"/>
  <c r="D1962" i="1"/>
  <c r="C1962" i="1"/>
  <c r="B1962" i="1"/>
  <c r="A1962" i="1"/>
  <c r="D1961" i="1"/>
  <c r="C1961" i="1"/>
  <c r="B1961" i="1"/>
  <c r="A1961" i="1"/>
  <c r="D1960" i="1"/>
  <c r="C1960" i="1"/>
  <c r="B1960" i="1"/>
  <c r="A1960" i="1"/>
  <c r="D1959" i="1"/>
  <c r="C1959" i="1"/>
  <c r="B1959" i="1"/>
  <c r="A1959" i="1"/>
  <c r="D1958" i="1"/>
  <c r="C1958" i="1"/>
  <c r="B1958" i="1"/>
  <c r="A1958" i="1"/>
  <c r="D1957" i="1"/>
  <c r="C1957" i="1"/>
  <c r="B1957" i="1"/>
  <c r="A1957" i="1"/>
  <c r="D1956" i="1"/>
  <c r="C1956" i="1"/>
  <c r="B1956" i="1"/>
  <c r="A1956" i="1"/>
  <c r="D1955" i="1"/>
  <c r="C1955" i="1"/>
  <c r="B1955" i="1"/>
  <c r="A1955" i="1"/>
  <c r="D1954" i="1"/>
  <c r="C1954" i="1"/>
  <c r="B1954" i="1"/>
  <c r="A1954" i="1"/>
  <c r="D1953" i="1"/>
  <c r="C1953" i="1"/>
  <c r="B1953" i="1"/>
  <c r="A1953" i="1"/>
  <c r="D1952" i="1"/>
  <c r="C1952" i="1"/>
  <c r="A1952" i="1"/>
  <c r="D1951" i="1"/>
  <c r="C1951" i="1"/>
  <c r="B1951" i="1"/>
  <c r="A1951" i="1"/>
  <c r="D1950" i="1"/>
  <c r="C1950" i="1"/>
  <c r="B1950" i="1"/>
  <c r="A1950" i="1"/>
  <c r="D1949" i="1"/>
  <c r="C1949" i="1"/>
  <c r="B1949" i="1"/>
  <c r="A1949" i="1"/>
  <c r="D1948" i="1"/>
  <c r="C1948" i="1"/>
  <c r="B1948" i="1"/>
  <c r="A1948" i="1"/>
  <c r="D1947" i="1"/>
  <c r="C1947" i="1"/>
  <c r="B1947" i="1"/>
  <c r="A1947" i="1"/>
  <c r="D1946" i="1"/>
  <c r="C1946" i="1"/>
  <c r="B1946" i="1"/>
  <c r="A1946" i="1"/>
  <c r="D1945" i="1"/>
  <c r="C1945" i="1"/>
  <c r="B1945" i="1"/>
  <c r="A1945" i="1"/>
  <c r="D1944" i="1"/>
  <c r="C1944" i="1"/>
  <c r="B1944" i="1"/>
  <c r="A1944" i="1"/>
  <c r="D1943" i="1"/>
  <c r="C1943" i="1"/>
  <c r="B1943" i="1"/>
  <c r="A1943" i="1"/>
  <c r="D1942" i="1"/>
  <c r="C1942" i="1"/>
  <c r="B1942" i="1"/>
  <c r="A1942" i="1"/>
  <c r="D1941" i="1"/>
  <c r="C1941" i="1"/>
  <c r="B1941" i="1"/>
  <c r="A1941" i="1"/>
  <c r="D1940" i="1"/>
  <c r="C1940" i="1"/>
  <c r="B1940" i="1"/>
  <c r="A1940" i="1"/>
  <c r="D1939" i="1"/>
  <c r="C1939" i="1"/>
  <c r="B1939" i="1"/>
  <c r="A1939" i="1"/>
  <c r="D1938" i="1"/>
  <c r="C1938" i="1"/>
  <c r="B1938" i="1"/>
  <c r="A1938" i="1"/>
  <c r="D1937" i="1"/>
  <c r="C1937" i="1"/>
  <c r="B1937" i="1"/>
  <c r="A1937" i="1"/>
  <c r="D1936" i="1"/>
  <c r="C1936" i="1"/>
  <c r="B1936" i="1"/>
  <c r="A1936" i="1"/>
  <c r="D1935" i="1"/>
  <c r="C1935" i="1"/>
  <c r="B1935" i="1"/>
  <c r="A1935" i="1"/>
  <c r="D1934" i="1"/>
  <c r="C1934" i="1"/>
  <c r="B1934" i="1"/>
  <c r="A1934" i="1"/>
  <c r="D1933" i="1"/>
  <c r="C1933" i="1"/>
  <c r="B1933" i="1"/>
  <c r="A1933" i="1"/>
  <c r="D1932" i="1"/>
  <c r="C1932" i="1"/>
  <c r="B1932" i="1"/>
  <c r="A1932" i="1"/>
  <c r="D1931" i="1"/>
  <c r="C1931" i="1"/>
  <c r="B1931" i="1"/>
  <c r="A1931" i="1"/>
  <c r="D1930" i="1"/>
  <c r="C1930" i="1"/>
  <c r="B1930" i="1"/>
  <c r="A1930" i="1"/>
  <c r="D1929" i="1"/>
  <c r="C1929" i="1"/>
  <c r="B1929" i="1"/>
  <c r="A1929" i="1"/>
  <c r="D1928" i="1"/>
  <c r="C1928" i="1"/>
  <c r="B1928" i="1"/>
  <c r="A1928" i="1"/>
  <c r="D1927" i="1"/>
  <c r="C1927" i="1"/>
  <c r="B1927" i="1"/>
  <c r="A1927" i="1"/>
  <c r="D1926" i="1"/>
  <c r="C1926" i="1"/>
  <c r="B1926" i="1"/>
  <c r="A1926" i="1"/>
  <c r="D1925" i="1"/>
  <c r="C1925" i="1"/>
  <c r="B1925" i="1"/>
  <c r="A1925" i="1"/>
  <c r="D1924" i="1"/>
  <c r="C1924" i="1"/>
  <c r="B1924" i="1"/>
  <c r="A1924" i="1"/>
  <c r="D1923" i="1"/>
  <c r="C1923" i="1"/>
  <c r="B1923" i="1"/>
  <c r="A1923" i="1"/>
  <c r="D1922" i="1"/>
  <c r="C1922" i="1"/>
  <c r="B1922" i="1"/>
  <c r="A1922" i="1"/>
  <c r="D1921" i="1"/>
  <c r="C1921" i="1"/>
  <c r="B1921" i="1"/>
  <c r="A1921" i="1"/>
  <c r="D1920" i="1"/>
  <c r="C1920" i="1"/>
  <c r="B1920" i="1"/>
  <c r="A1920" i="1"/>
  <c r="D1919" i="1"/>
  <c r="C1919" i="1"/>
  <c r="B1919" i="1"/>
  <c r="A1919" i="1"/>
  <c r="D1918" i="1"/>
  <c r="C1918" i="1"/>
  <c r="B1918" i="1"/>
  <c r="A1918" i="1"/>
  <c r="D1917" i="1"/>
  <c r="C1917" i="1"/>
  <c r="B1917" i="1"/>
  <c r="A1917" i="1"/>
  <c r="D1916" i="1"/>
  <c r="C1916" i="1"/>
  <c r="B1916" i="1"/>
  <c r="A1916" i="1"/>
  <c r="D1915" i="1"/>
  <c r="C1915" i="1"/>
  <c r="B1915" i="1"/>
  <c r="A1915" i="1"/>
  <c r="D1914" i="1"/>
  <c r="C1914" i="1"/>
  <c r="B1914" i="1"/>
  <c r="A1914" i="1"/>
  <c r="D1913" i="1"/>
  <c r="C1913" i="1"/>
  <c r="B1913" i="1"/>
  <c r="A1913" i="1"/>
  <c r="D1912" i="1"/>
  <c r="B1912" i="1"/>
  <c r="A1912" i="1"/>
  <c r="D1911" i="1"/>
  <c r="C1911" i="1"/>
  <c r="B1911" i="1"/>
  <c r="A1911" i="1"/>
  <c r="D1910" i="1"/>
  <c r="C1910" i="1"/>
  <c r="B1910" i="1"/>
  <c r="A1910" i="1"/>
  <c r="D1909" i="1"/>
  <c r="C1909" i="1"/>
  <c r="B1909" i="1"/>
  <c r="A1909" i="1"/>
  <c r="D1908" i="1"/>
  <c r="C1908" i="1"/>
  <c r="B1908" i="1"/>
  <c r="A1908" i="1"/>
  <c r="D1907" i="1"/>
  <c r="C1907" i="1"/>
  <c r="B1907" i="1"/>
  <c r="A1907" i="1"/>
  <c r="D1906" i="1"/>
  <c r="C1906" i="1"/>
  <c r="A1906" i="1"/>
  <c r="D1905" i="1"/>
  <c r="C1905" i="1"/>
  <c r="B1905" i="1"/>
  <c r="A1905" i="1"/>
  <c r="D1904" i="1"/>
  <c r="C1904" i="1"/>
  <c r="A1904" i="1"/>
  <c r="D1903" i="1"/>
  <c r="C1903" i="1"/>
  <c r="B1903" i="1"/>
  <c r="A1903" i="1"/>
  <c r="D1902" i="1"/>
  <c r="C1902" i="1"/>
  <c r="A1902" i="1"/>
  <c r="D1901" i="1"/>
  <c r="C1901" i="1"/>
  <c r="B1901" i="1"/>
  <c r="A1901" i="1"/>
  <c r="D1900" i="1"/>
  <c r="C1900" i="1"/>
  <c r="B1900" i="1"/>
  <c r="A1900" i="1"/>
  <c r="D1899" i="1"/>
  <c r="C1899" i="1"/>
  <c r="B1899" i="1"/>
  <c r="A1899" i="1"/>
  <c r="D1898" i="1"/>
  <c r="C1898" i="1"/>
  <c r="B1898" i="1"/>
  <c r="A1898" i="1"/>
  <c r="D1897" i="1"/>
  <c r="C1897" i="1"/>
  <c r="B1897" i="1"/>
  <c r="A1897" i="1"/>
  <c r="D1896" i="1"/>
  <c r="C1896" i="1"/>
  <c r="B1896" i="1"/>
  <c r="A1896" i="1"/>
  <c r="D1895" i="1"/>
  <c r="C1895" i="1"/>
  <c r="B1895" i="1"/>
  <c r="A1895" i="1"/>
  <c r="D1894" i="1"/>
  <c r="C1894" i="1"/>
  <c r="A1894" i="1"/>
  <c r="D1893" i="1"/>
  <c r="C1893" i="1"/>
  <c r="B1893" i="1"/>
  <c r="A1893" i="1"/>
  <c r="D1892" i="1"/>
  <c r="C1892" i="1"/>
  <c r="B1892" i="1"/>
  <c r="A1892" i="1"/>
  <c r="D1891" i="1"/>
  <c r="C1891" i="1"/>
  <c r="B1891" i="1"/>
  <c r="A1891" i="1"/>
  <c r="D1890" i="1"/>
  <c r="C1890" i="1"/>
  <c r="B1890" i="1"/>
  <c r="A1890" i="1"/>
  <c r="D1889" i="1"/>
  <c r="C1889" i="1"/>
  <c r="A1889" i="1"/>
  <c r="D1888" i="1"/>
  <c r="C1888" i="1"/>
  <c r="B1888" i="1"/>
  <c r="A1888" i="1"/>
  <c r="D1887" i="1"/>
  <c r="C1887" i="1"/>
  <c r="B1887" i="1"/>
  <c r="A1887" i="1"/>
  <c r="D1886" i="1"/>
  <c r="C1886" i="1"/>
  <c r="B1886" i="1"/>
  <c r="A1886" i="1"/>
  <c r="D1885" i="1"/>
  <c r="B1885" i="1"/>
  <c r="A1885" i="1"/>
  <c r="D1884" i="1"/>
  <c r="C1884" i="1"/>
  <c r="B1884" i="1"/>
  <c r="A1884" i="1"/>
  <c r="D1883" i="1"/>
  <c r="C1883" i="1"/>
  <c r="B1883" i="1"/>
  <c r="A1883" i="1"/>
  <c r="D1882" i="1"/>
  <c r="C1882" i="1"/>
  <c r="B1882" i="1"/>
  <c r="A1882" i="1"/>
  <c r="D1881" i="1"/>
  <c r="C1881" i="1"/>
  <c r="B1881" i="1"/>
  <c r="A1881" i="1"/>
  <c r="D1880" i="1"/>
  <c r="C1880" i="1"/>
  <c r="B1880" i="1"/>
  <c r="A1880" i="1"/>
  <c r="D1879" i="1"/>
  <c r="C1879" i="1"/>
  <c r="B1879" i="1"/>
  <c r="A1879" i="1"/>
  <c r="D1878" i="1"/>
  <c r="C1878" i="1"/>
  <c r="B1878" i="1"/>
  <c r="A1878" i="1"/>
  <c r="D1877" i="1"/>
  <c r="C1877" i="1"/>
  <c r="B1877" i="1"/>
  <c r="A1877" i="1"/>
  <c r="D1876" i="1"/>
  <c r="C1876" i="1"/>
  <c r="B1876" i="1"/>
  <c r="A1876" i="1"/>
  <c r="D1875" i="1"/>
  <c r="C1875" i="1"/>
  <c r="B1875" i="1"/>
  <c r="A1875" i="1"/>
  <c r="D1874" i="1"/>
  <c r="C1874" i="1"/>
  <c r="B1874" i="1"/>
  <c r="A1874" i="1"/>
  <c r="D1873" i="1"/>
  <c r="C1873" i="1"/>
  <c r="B1873" i="1"/>
  <c r="A1873" i="1"/>
  <c r="D1872" i="1"/>
  <c r="C1872" i="1"/>
  <c r="B1872" i="1"/>
  <c r="A1872" i="1"/>
  <c r="D1871" i="1"/>
  <c r="A1871" i="1"/>
  <c r="D1870" i="1"/>
  <c r="C1870" i="1"/>
  <c r="B1870" i="1"/>
  <c r="A1870" i="1"/>
  <c r="D1869" i="1"/>
  <c r="C1869" i="1"/>
  <c r="B1869" i="1"/>
  <c r="A1869" i="1"/>
  <c r="D1868" i="1"/>
  <c r="C1868" i="1"/>
  <c r="A1868" i="1"/>
  <c r="D1867" i="1"/>
  <c r="C1867" i="1"/>
  <c r="B1867" i="1"/>
  <c r="A1867" i="1"/>
  <c r="D1866" i="1"/>
  <c r="C1866" i="1"/>
  <c r="B1866" i="1"/>
  <c r="A1866" i="1"/>
  <c r="D1865" i="1"/>
  <c r="C1865" i="1"/>
  <c r="B1865" i="1"/>
  <c r="A1865" i="1"/>
  <c r="D1864" i="1"/>
  <c r="C1864" i="1"/>
  <c r="B1864" i="1"/>
  <c r="A1864" i="1"/>
  <c r="D1863" i="1"/>
  <c r="C1863" i="1"/>
  <c r="B1863" i="1"/>
  <c r="A1863" i="1"/>
  <c r="D1862" i="1"/>
  <c r="C1862" i="1"/>
  <c r="B1862" i="1"/>
  <c r="A1862" i="1"/>
  <c r="D1861" i="1"/>
  <c r="C1861" i="1"/>
  <c r="B1861" i="1"/>
  <c r="A1861" i="1"/>
  <c r="D1860" i="1"/>
  <c r="C1860" i="1"/>
  <c r="B1860" i="1"/>
  <c r="A1860" i="1"/>
  <c r="D1859" i="1"/>
  <c r="C1859" i="1"/>
  <c r="B1859" i="1"/>
  <c r="A1859" i="1"/>
  <c r="D1858" i="1"/>
  <c r="C1858" i="1"/>
  <c r="B1858" i="1"/>
  <c r="A1858" i="1"/>
  <c r="D1857" i="1"/>
  <c r="C1857" i="1"/>
  <c r="B1857" i="1"/>
  <c r="A1857" i="1"/>
  <c r="D1856" i="1"/>
  <c r="C1856" i="1"/>
  <c r="B1856" i="1"/>
  <c r="A1856" i="1"/>
  <c r="D1855" i="1"/>
  <c r="C1855" i="1"/>
  <c r="B1855" i="1"/>
  <c r="A1855" i="1"/>
  <c r="D1854" i="1"/>
  <c r="C1854" i="1"/>
  <c r="B1854" i="1"/>
  <c r="A1854" i="1"/>
  <c r="D1853" i="1"/>
  <c r="C1853" i="1"/>
  <c r="B1853" i="1"/>
  <c r="A1853" i="1"/>
  <c r="D1852" i="1"/>
  <c r="C1852" i="1"/>
  <c r="B1852" i="1"/>
  <c r="A1852" i="1"/>
  <c r="D1851" i="1"/>
  <c r="C1851" i="1"/>
  <c r="B1851" i="1"/>
  <c r="A1851" i="1"/>
  <c r="D1850" i="1"/>
  <c r="C1850" i="1"/>
  <c r="B1850" i="1"/>
  <c r="A1850" i="1"/>
  <c r="D1849" i="1"/>
  <c r="C1849" i="1"/>
  <c r="B1849" i="1"/>
  <c r="A1849" i="1"/>
  <c r="D1848" i="1"/>
  <c r="C1848" i="1"/>
  <c r="A1848" i="1"/>
  <c r="D1847" i="1"/>
  <c r="C1847" i="1"/>
  <c r="A1847" i="1"/>
  <c r="D1846" i="1"/>
  <c r="C1846" i="1"/>
  <c r="A1846" i="1"/>
  <c r="D1845" i="1"/>
  <c r="C1845" i="1"/>
  <c r="B1845" i="1"/>
  <c r="A1845" i="1"/>
  <c r="D1844" i="1"/>
  <c r="C1844" i="1"/>
  <c r="B1844" i="1"/>
  <c r="A1844" i="1"/>
  <c r="D1843" i="1"/>
  <c r="C1843" i="1"/>
  <c r="A1843" i="1"/>
  <c r="D1842" i="1"/>
  <c r="C1842" i="1"/>
  <c r="B1842" i="1"/>
  <c r="A1842" i="1"/>
  <c r="D1841" i="1"/>
  <c r="C1841" i="1"/>
  <c r="B1841" i="1"/>
  <c r="A1841" i="1"/>
  <c r="D1840" i="1"/>
  <c r="C1840" i="1"/>
  <c r="B1840" i="1"/>
  <c r="A1840" i="1"/>
  <c r="D1839" i="1"/>
  <c r="C1839" i="1"/>
  <c r="B1839" i="1"/>
  <c r="A1839" i="1"/>
  <c r="D1838" i="1"/>
  <c r="C1838" i="1"/>
  <c r="B1838" i="1"/>
  <c r="A1838" i="1"/>
  <c r="D1837" i="1"/>
  <c r="C1837" i="1"/>
  <c r="B1837" i="1"/>
  <c r="A1837" i="1"/>
  <c r="D1836" i="1"/>
  <c r="C1836" i="1"/>
  <c r="B1836" i="1"/>
  <c r="A1836" i="1"/>
  <c r="D1835" i="1"/>
  <c r="C1835" i="1"/>
  <c r="A1835" i="1"/>
  <c r="D1834" i="1"/>
  <c r="C1834" i="1"/>
  <c r="B1834" i="1"/>
  <c r="A1834" i="1"/>
  <c r="D1833" i="1"/>
  <c r="C1833" i="1"/>
  <c r="B1833" i="1"/>
  <c r="A1833" i="1"/>
  <c r="D1832" i="1"/>
  <c r="C1832" i="1"/>
  <c r="B1832" i="1"/>
  <c r="A1832" i="1"/>
  <c r="D1831" i="1"/>
  <c r="C1831" i="1"/>
  <c r="B1831" i="1"/>
  <c r="A1831" i="1"/>
  <c r="D1830" i="1"/>
  <c r="C1830" i="1"/>
  <c r="B1830" i="1"/>
  <c r="A1830" i="1"/>
  <c r="D1829" i="1"/>
  <c r="C1829" i="1"/>
  <c r="B1829" i="1"/>
  <c r="A1829" i="1"/>
  <c r="D1828" i="1"/>
  <c r="C1828" i="1"/>
  <c r="B1828" i="1"/>
  <c r="A1828" i="1"/>
  <c r="D1827" i="1"/>
  <c r="C1827" i="1"/>
  <c r="B1827" i="1"/>
  <c r="A1827" i="1"/>
  <c r="D1826" i="1"/>
  <c r="C1826" i="1"/>
  <c r="B1826" i="1"/>
  <c r="A1826" i="1"/>
  <c r="D1825" i="1"/>
  <c r="C1825" i="1"/>
  <c r="B1825" i="1"/>
  <c r="A1825" i="1"/>
  <c r="D1824" i="1"/>
  <c r="C1824" i="1"/>
  <c r="B1824" i="1"/>
  <c r="A1824" i="1"/>
  <c r="D1823" i="1"/>
  <c r="C1823" i="1"/>
  <c r="B1823" i="1"/>
  <c r="A1823" i="1"/>
  <c r="D1822" i="1"/>
  <c r="C1822" i="1"/>
  <c r="B1822" i="1"/>
  <c r="A1822" i="1"/>
  <c r="D1821" i="1"/>
  <c r="C1821" i="1"/>
  <c r="B1821" i="1"/>
  <c r="A1821" i="1"/>
  <c r="D1820" i="1"/>
  <c r="C1820" i="1"/>
  <c r="B1820" i="1"/>
  <c r="A1820" i="1"/>
  <c r="D1819" i="1"/>
  <c r="C1819" i="1"/>
  <c r="B1819" i="1"/>
  <c r="A1819" i="1"/>
  <c r="D1818" i="1"/>
  <c r="C1818" i="1"/>
  <c r="B1818" i="1"/>
  <c r="A1818" i="1"/>
  <c r="D1817" i="1"/>
  <c r="C1817" i="1"/>
  <c r="B1817" i="1"/>
  <c r="A1817" i="1"/>
  <c r="D1816" i="1"/>
  <c r="C1816" i="1"/>
  <c r="B1816" i="1"/>
  <c r="A1816" i="1"/>
  <c r="D1815" i="1"/>
  <c r="C1815" i="1"/>
  <c r="B1815" i="1"/>
  <c r="A1815" i="1"/>
  <c r="D1814" i="1"/>
  <c r="C1814" i="1"/>
  <c r="B1814" i="1"/>
  <c r="A1814" i="1"/>
  <c r="D1813" i="1"/>
  <c r="C1813" i="1"/>
  <c r="B1813" i="1"/>
  <c r="A1813" i="1"/>
  <c r="D1812" i="1"/>
  <c r="C1812" i="1"/>
  <c r="B1812" i="1"/>
  <c r="A1812" i="1"/>
  <c r="D1811" i="1"/>
  <c r="C1811" i="1"/>
  <c r="B1811" i="1"/>
  <c r="A1811" i="1"/>
  <c r="D1810" i="1"/>
  <c r="C1810" i="1"/>
  <c r="A1810" i="1"/>
  <c r="D1809" i="1"/>
  <c r="C1809" i="1"/>
  <c r="B1809" i="1"/>
  <c r="A1809" i="1"/>
  <c r="D1808" i="1"/>
  <c r="C1808" i="1"/>
  <c r="B1808" i="1"/>
  <c r="A1808" i="1"/>
  <c r="D1807" i="1"/>
  <c r="C1807" i="1"/>
  <c r="B1807" i="1"/>
  <c r="A1807" i="1"/>
  <c r="D1806" i="1"/>
  <c r="C1806" i="1"/>
  <c r="B1806" i="1"/>
  <c r="A1806" i="1"/>
  <c r="D1805" i="1"/>
  <c r="A1805" i="1"/>
  <c r="D1804" i="1"/>
  <c r="C1804" i="1"/>
  <c r="B1804" i="1"/>
  <c r="A1804" i="1"/>
  <c r="D1803" i="1"/>
  <c r="C1803" i="1"/>
  <c r="B1803" i="1"/>
  <c r="A1803" i="1"/>
  <c r="D1802" i="1"/>
  <c r="C1802" i="1"/>
  <c r="B1802" i="1"/>
  <c r="A1802" i="1"/>
  <c r="D1801" i="1"/>
  <c r="C1801" i="1"/>
  <c r="B1801" i="1"/>
  <c r="A1801" i="1"/>
  <c r="D1800" i="1"/>
  <c r="C1800" i="1"/>
  <c r="B1800" i="1"/>
  <c r="A1800" i="1"/>
  <c r="D1799" i="1"/>
  <c r="C1799" i="1"/>
  <c r="B1799" i="1"/>
  <c r="A1799" i="1"/>
  <c r="D1798" i="1"/>
  <c r="C1798" i="1"/>
  <c r="B1798" i="1"/>
  <c r="A1798" i="1"/>
  <c r="D1797" i="1"/>
  <c r="C1797" i="1"/>
  <c r="B1797" i="1"/>
  <c r="A1797" i="1"/>
  <c r="D1796" i="1"/>
  <c r="C1796" i="1"/>
  <c r="B1796" i="1"/>
  <c r="A1796" i="1"/>
  <c r="D1795" i="1"/>
  <c r="C1795" i="1"/>
  <c r="A1795" i="1"/>
  <c r="D1794" i="1"/>
  <c r="C1794" i="1"/>
  <c r="A1794" i="1"/>
  <c r="D1793" i="1"/>
  <c r="C1793" i="1"/>
  <c r="B1793" i="1"/>
  <c r="A1793" i="1"/>
  <c r="D1792" i="1"/>
  <c r="C1792" i="1"/>
  <c r="B1792" i="1"/>
  <c r="A1792" i="1"/>
  <c r="D1791" i="1"/>
  <c r="C1791" i="1"/>
  <c r="B1791" i="1"/>
  <c r="A1791" i="1"/>
  <c r="D1790" i="1"/>
  <c r="C1790" i="1"/>
  <c r="A1790" i="1"/>
  <c r="D1789" i="1"/>
  <c r="C1789" i="1"/>
  <c r="A1789" i="1"/>
  <c r="D1788" i="1"/>
  <c r="C1788" i="1"/>
  <c r="B1788" i="1"/>
  <c r="A1788" i="1"/>
  <c r="D1787" i="1"/>
  <c r="C1787" i="1"/>
  <c r="B1787" i="1"/>
  <c r="A1787" i="1"/>
  <c r="D1786" i="1"/>
  <c r="C1786" i="1"/>
  <c r="A1786" i="1"/>
  <c r="D1785" i="1"/>
  <c r="C1785" i="1"/>
  <c r="B1785" i="1"/>
  <c r="A1785" i="1"/>
  <c r="D1784" i="1"/>
  <c r="C1784" i="1"/>
  <c r="B1784" i="1"/>
  <c r="A1784" i="1"/>
  <c r="D1783" i="1"/>
  <c r="C1783" i="1"/>
  <c r="B1783" i="1"/>
  <c r="A1783" i="1"/>
  <c r="D1782" i="1"/>
  <c r="C1782" i="1"/>
  <c r="B1782" i="1"/>
  <c r="A1782" i="1"/>
  <c r="D1781" i="1"/>
  <c r="C1781" i="1"/>
  <c r="B1781" i="1"/>
  <c r="A1781" i="1"/>
  <c r="D1780" i="1"/>
  <c r="C1780" i="1"/>
  <c r="B1780" i="1"/>
  <c r="A1780" i="1"/>
  <c r="D1779" i="1"/>
  <c r="C1779" i="1"/>
  <c r="B1779" i="1"/>
  <c r="A1779" i="1"/>
  <c r="D1778" i="1"/>
  <c r="C1778" i="1"/>
  <c r="B1778" i="1"/>
  <c r="A1778" i="1"/>
  <c r="D1777" i="1"/>
  <c r="C1777" i="1"/>
  <c r="B1777" i="1"/>
  <c r="A1777" i="1"/>
  <c r="D1776" i="1"/>
  <c r="C1776" i="1"/>
  <c r="B1776" i="1"/>
  <c r="A1776" i="1"/>
  <c r="D1775" i="1"/>
  <c r="C1775" i="1"/>
  <c r="B1775" i="1"/>
  <c r="A1775" i="1"/>
  <c r="D1774" i="1"/>
  <c r="C1774" i="1"/>
  <c r="A1774" i="1"/>
  <c r="D1773" i="1"/>
  <c r="C1773" i="1"/>
  <c r="B1773" i="1"/>
  <c r="A1773" i="1"/>
  <c r="D1772" i="1"/>
  <c r="C1772" i="1"/>
  <c r="B1772" i="1"/>
  <c r="A1772" i="1"/>
  <c r="D1771" i="1"/>
  <c r="C1771" i="1"/>
  <c r="B1771" i="1"/>
  <c r="A1771" i="1"/>
  <c r="D1770" i="1"/>
  <c r="C1770" i="1"/>
  <c r="B1770" i="1"/>
  <c r="A1770" i="1"/>
  <c r="D1769" i="1"/>
  <c r="C1769" i="1"/>
  <c r="B1769" i="1"/>
  <c r="A1769" i="1"/>
  <c r="D1768" i="1"/>
  <c r="C1768" i="1"/>
  <c r="B1768" i="1"/>
  <c r="A1768" i="1"/>
  <c r="D1767" i="1"/>
  <c r="C1767" i="1"/>
  <c r="A1767" i="1"/>
  <c r="D1766" i="1"/>
  <c r="C1766" i="1"/>
  <c r="B1766" i="1"/>
  <c r="A1766" i="1"/>
  <c r="D1765" i="1"/>
  <c r="C1765" i="1"/>
  <c r="B1765" i="1"/>
  <c r="A1765" i="1"/>
  <c r="D1764" i="1"/>
  <c r="C1764" i="1"/>
  <c r="B1764" i="1"/>
  <c r="A1764" i="1"/>
  <c r="D1763" i="1"/>
  <c r="C1763" i="1"/>
  <c r="B1763" i="1"/>
  <c r="A1763" i="1"/>
  <c r="D1762" i="1"/>
  <c r="C1762" i="1"/>
  <c r="B1762" i="1"/>
  <c r="A1762" i="1"/>
  <c r="D1761" i="1"/>
  <c r="C1761" i="1"/>
  <c r="B1761" i="1"/>
  <c r="A1761" i="1"/>
  <c r="D1760" i="1"/>
  <c r="C1760" i="1"/>
  <c r="B1760" i="1"/>
  <c r="A1760" i="1"/>
  <c r="D1759" i="1"/>
  <c r="C1759" i="1"/>
  <c r="B1759" i="1"/>
  <c r="A1759" i="1"/>
  <c r="D1758" i="1"/>
  <c r="C1758" i="1"/>
  <c r="B1758" i="1"/>
  <c r="A1758" i="1"/>
  <c r="D1757" i="1"/>
  <c r="C1757" i="1"/>
  <c r="B1757" i="1"/>
  <c r="A1757" i="1"/>
  <c r="D1756" i="1"/>
  <c r="C1756" i="1"/>
  <c r="B1756" i="1"/>
  <c r="A1756" i="1"/>
  <c r="D1755" i="1"/>
  <c r="C1755" i="1"/>
  <c r="B1755" i="1"/>
  <c r="A1755" i="1"/>
  <c r="D1754" i="1"/>
  <c r="C1754" i="1"/>
  <c r="B1754" i="1"/>
  <c r="A1754" i="1"/>
  <c r="D1753" i="1"/>
  <c r="C1753" i="1"/>
  <c r="B1753" i="1"/>
  <c r="A1753" i="1"/>
  <c r="D1752" i="1"/>
  <c r="C1752" i="1"/>
  <c r="B1752" i="1"/>
  <c r="A1752" i="1"/>
  <c r="D1751" i="1"/>
  <c r="C1751" i="1"/>
  <c r="B1751" i="1"/>
  <c r="A1751" i="1"/>
  <c r="D1750" i="1"/>
  <c r="C1750" i="1"/>
  <c r="B1750" i="1"/>
  <c r="A1750" i="1"/>
  <c r="D1749" i="1"/>
  <c r="C1749" i="1"/>
  <c r="B1749" i="1"/>
  <c r="A1749" i="1"/>
  <c r="D1748" i="1"/>
  <c r="C1748" i="1"/>
  <c r="B1748" i="1"/>
  <c r="A1748" i="1"/>
  <c r="D1747" i="1"/>
  <c r="C1747" i="1"/>
  <c r="B1747" i="1"/>
  <c r="A1747" i="1"/>
  <c r="D1746" i="1"/>
  <c r="C1746" i="1"/>
  <c r="B1746" i="1"/>
  <c r="A1746" i="1"/>
  <c r="D1745" i="1"/>
  <c r="C1745" i="1"/>
  <c r="B1745" i="1"/>
  <c r="A1745" i="1"/>
  <c r="D1744" i="1"/>
  <c r="C1744" i="1"/>
  <c r="B1744" i="1"/>
  <c r="A1744" i="1"/>
  <c r="D1743" i="1"/>
  <c r="C1743" i="1"/>
  <c r="B1743" i="1"/>
  <c r="A1743" i="1"/>
  <c r="D1742" i="1"/>
  <c r="C1742" i="1"/>
  <c r="B1742" i="1"/>
  <c r="A1742" i="1"/>
  <c r="D1741" i="1"/>
  <c r="C1741" i="1"/>
  <c r="B1741" i="1"/>
  <c r="A1741" i="1"/>
  <c r="D1740" i="1"/>
  <c r="C1740" i="1"/>
  <c r="B1740" i="1"/>
  <c r="A1740" i="1"/>
  <c r="D1739" i="1"/>
  <c r="C1739" i="1"/>
  <c r="B1739" i="1"/>
  <c r="A1739" i="1"/>
  <c r="D1738" i="1"/>
  <c r="C1738" i="1"/>
  <c r="A1738" i="1"/>
  <c r="D1737" i="1"/>
  <c r="C1737" i="1"/>
  <c r="B1737" i="1"/>
  <c r="A1737" i="1"/>
  <c r="D1736" i="1"/>
  <c r="C1736" i="1"/>
  <c r="B1736" i="1"/>
  <c r="A1736" i="1"/>
  <c r="D1735" i="1"/>
  <c r="A1735" i="1"/>
  <c r="D1734" i="1"/>
  <c r="C1734" i="1"/>
  <c r="A1734" i="1"/>
  <c r="D1733" i="1"/>
  <c r="C1733" i="1"/>
  <c r="B1733" i="1"/>
  <c r="A1733" i="1"/>
  <c r="D1732" i="1"/>
  <c r="C1732" i="1"/>
  <c r="B1732" i="1"/>
  <c r="A1732" i="1"/>
  <c r="D1731" i="1"/>
  <c r="C1731" i="1"/>
  <c r="A1731" i="1"/>
  <c r="D1730" i="1"/>
  <c r="C1730" i="1"/>
  <c r="B1730" i="1"/>
  <c r="A1730" i="1"/>
  <c r="D1729" i="1"/>
  <c r="C1729" i="1"/>
  <c r="B1729" i="1"/>
  <c r="A1729" i="1"/>
  <c r="D1728" i="1"/>
  <c r="C1728" i="1"/>
  <c r="B1728" i="1"/>
  <c r="A1728" i="1"/>
  <c r="D1727" i="1"/>
  <c r="C1727" i="1"/>
  <c r="B1727" i="1"/>
  <c r="A1727" i="1"/>
  <c r="D1726" i="1"/>
  <c r="C1726" i="1"/>
  <c r="B1726" i="1"/>
  <c r="A1726" i="1"/>
  <c r="D1725" i="1"/>
  <c r="C1725" i="1"/>
  <c r="B1725" i="1"/>
  <c r="A1725" i="1"/>
  <c r="D1724" i="1"/>
  <c r="C1724" i="1"/>
  <c r="B1724" i="1"/>
  <c r="A1724" i="1"/>
  <c r="D1723" i="1"/>
  <c r="C1723" i="1"/>
  <c r="B1723" i="1"/>
  <c r="A1723" i="1"/>
  <c r="D1722" i="1"/>
  <c r="C1722" i="1"/>
  <c r="B1722" i="1"/>
  <c r="A1722" i="1"/>
  <c r="D1721" i="1"/>
  <c r="C1721" i="1"/>
  <c r="B1721" i="1"/>
  <c r="A1721" i="1"/>
  <c r="D1720" i="1"/>
  <c r="C1720" i="1"/>
  <c r="B1720" i="1"/>
  <c r="A1720" i="1"/>
  <c r="D1719" i="1"/>
  <c r="C1719" i="1"/>
  <c r="B1719" i="1"/>
  <c r="A1719" i="1"/>
  <c r="D1718" i="1"/>
  <c r="C1718" i="1"/>
  <c r="A1718" i="1"/>
  <c r="D1717" i="1"/>
  <c r="C1717" i="1"/>
  <c r="B1717" i="1"/>
  <c r="A1717" i="1"/>
  <c r="D1716" i="1"/>
  <c r="C1716" i="1"/>
  <c r="A1716" i="1"/>
  <c r="D1715" i="1"/>
  <c r="C1715" i="1"/>
  <c r="B1715" i="1"/>
  <c r="A1715" i="1"/>
  <c r="D1714" i="1"/>
  <c r="C1714" i="1"/>
  <c r="B1714" i="1"/>
  <c r="A1714" i="1"/>
  <c r="D1713" i="1"/>
  <c r="C1713" i="1"/>
  <c r="B1713" i="1"/>
  <c r="A1713" i="1"/>
  <c r="D1712" i="1"/>
  <c r="C1712" i="1"/>
  <c r="B1712" i="1"/>
  <c r="A1712" i="1"/>
  <c r="D1711" i="1"/>
  <c r="C1711" i="1"/>
  <c r="B1711" i="1"/>
  <c r="A1711" i="1"/>
  <c r="D1710" i="1"/>
  <c r="C1710" i="1"/>
  <c r="B1710" i="1"/>
  <c r="A1710" i="1"/>
  <c r="D1709" i="1"/>
  <c r="C1709" i="1"/>
  <c r="B1709" i="1"/>
  <c r="A1709" i="1"/>
  <c r="D1708" i="1"/>
  <c r="C1708" i="1"/>
  <c r="B1708" i="1"/>
  <c r="A1708" i="1"/>
  <c r="D1707" i="1"/>
  <c r="C1707" i="1"/>
  <c r="B1707" i="1"/>
  <c r="A1707" i="1"/>
  <c r="D1706" i="1"/>
  <c r="C1706" i="1"/>
  <c r="B1706" i="1"/>
  <c r="A1706" i="1"/>
  <c r="D1705" i="1"/>
  <c r="C1705" i="1"/>
  <c r="B1705" i="1"/>
  <c r="A1705" i="1"/>
  <c r="D1704" i="1"/>
  <c r="C1704" i="1"/>
  <c r="B1704" i="1"/>
  <c r="A1704" i="1"/>
  <c r="D1703" i="1"/>
  <c r="C1703" i="1"/>
  <c r="B1703" i="1"/>
  <c r="A1703" i="1"/>
  <c r="D1702" i="1"/>
  <c r="C1702" i="1"/>
  <c r="B1702" i="1"/>
  <c r="A1702" i="1"/>
  <c r="D1701" i="1"/>
  <c r="C1701" i="1"/>
  <c r="B1701" i="1"/>
  <c r="A1701" i="1"/>
  <c r="D1700" i="1"/>
  <c r="C1700" i="1"/>
  <c r="B1700" i="1"/>
  <c r="A1700" i="1"/>
  <c r="D1699" i="1"/>
  <c r="C1699" i="1"/>
  <c r="B1699" i="1"/>
  <c r="A1699" i="1"/>
  <c r="D1698" i="1"/>
  <c r="C1698" i="1"/>
  <c r="B1698" i="1"/>
  <c r="A1698" i="1"/>
  <c r="D1697" i="1"/>
  <c r="C1697" i="1"/>
  <c r="B1697" i="1"/>
  <c r="A1697" i="1"/>
  <c r="D1696" i="1"/>
  <c r="C1696" i="1"/>
  <c r="B1696" i="1"/>
  <c r="A1696" i="1"/>
  <c r="D1695" i="1"/>
  <c r="C1695" i="1"/>
  <c r="B1695" i="1"/>
  <c r="A1695" i="1"/>
  <c r="D1694" i="1"/>
  <c r="C1694" i="1"/>
  <c r="B1694" i="1"/>
  <c r="A1694" i="1"/>
  <c r="D1693" i="1"/>
  <c r="C1693" i="1"/>
  <c r="B1693" i="1"/>
  <c r="A1693" i="1"/>
  <c r="D1692" i="1"/>
  <c r="C1692" i="1"/>
  <c r="B1692" i="1"/>
  <c r="A1692" i="1"/>
  <c r="D1691" i="1"/>
  <c r="C1691" i="1"/>
  <c r="A1691" i="1"/>
  <c r="D1690" i="1"/>
  <c r="C1690" i="1"/>
  <c r="A1690" i="1"/>
  <c r="D1689" i="1"/>
  <c r="C1689" i="1"/>
  <c r="B1689" i="1"/>
  <c r="A1689" i="1"/>
  <c r="D1688" i="1"/>
  <c r="C1688" i="1"/>
  <c r="B1688" i="1"/>
  <c r="A1688" i="1"/>
  <c r="D1687" i="1"/>
  <c r="C1687" i="1"/>
  <c r="B1687" i="1"/>
  <c r="A1687" i="1"/>
  <c r="D1686" i="1"/>
  <c r="C1686" i="1"/>
  <c r="B1686" i="1"/>
  <c r="A1686" i="1"/>
  <c r="D1685" i="1"/>
  <c r="C1685" i="1"/>
  <c r="B1685" i="1"/>
  <c r="A1685" i="1"/>
  <c r="D1684" i="1"/>
  <c r="C1684" i="1"/>
  <c r="B1684" i="1"/>
  <c r="A1684" i="1"/>
  <c r="D1683" i="1"/>
  <c r="C1683" i="1"/>
  <c r="B1683" i="1"/>
  <c r="A1683" i="1"/>
  <c r="D1682" i="1"/>
  <c r="C1682" i="1"/>
  <c r="B1682" i="1"/>
  <c r="A1682" i="1"/>
  <c r="D1681" i="1"/>
  <c r="C1681" i="1"/>
  <c r="B1681" i="1"/>
  <c r="A1681" i="1"/>
  <c r="D1680" i="1"/>
  <c r="C1680" i="1"/>
  <c r="B1680" i="1"/>
  <c r="A1680" i="1"/>
  <c r="D1679" i="1"/>
  <c r="C1679" i="1"/>
  <c r="A1679" i="1"/>
  <c r="D1678" i="1"/>
  <c r="C1678" i="1"/>
  <c r="B1678" i="1"/>
  <c r="A1678" i="1"/>
  <c r="D1677" i="1"/>
  <c r="C1677" i="1"/>
  <c r="B1677" i="1"/>
  <c r="A1677" i="1"/>
  <c r="D1676" i="1"/>
  <c r="C1676" i="1"/>
  <c r="B1676" i="1"/>
  <c r="A1676" i="1"/>
  <c r="D1675" i="1"/>
  <c r="C1675" i="1"/>
  <c r="A1675" i="1"/>
  <c r="D1674" i="1"/>
  <c r="C1674" i="1"/>
  <c r="B1674" i="1"/>
  <c r="A1674" i="1"/>
  <c r="D1673" i="1"/>
  <c r="C1673" i="1"/>
  <c r="A1673" i="1"/>
  <c r="D1672" i="1"/>
  <c r="C1672" i="1"/>
  <c r="B1672" i="1"/>
  <c r="A1672" i="1"/>
  <c r="D1671" i="1"/>
  <c r="C1671" i="1"/>
  <c r="B1671" i="1"/>
  <c r="A1671" i="1"/>
  <c r="D1670" i="1"/>
  <c r="C1670" i="1"/>
  <c r="B1670" i="1"/>
  <c r="A1670" i="1"/>
  <c r="D1669" i="1"/>
  <c r="C1669" i="1"/>
  <c r="B1669" i="1"/>
  <c r="A1669" i="1"/>
  <c r="D1668" i="1"/>
  <c r="C1668" i="1"/>
  <c r="B1668" i="1"/>
  <c r="A1668" i="1"/>
  <c r="D1667" i="1"/>
  <c r="C1667" i="1"/>
  <c r="A1667" i="1"/>
  <c r="D1666" i="1"/>
  <c r="C1666" i="1"/>
  <c r="A1666" i="1"/>
  <c r="D1665" i="1"/>
  <c r="C1665" i="1"/>
  <c r="B1665" i="1"/>
  <c r="A1665" i="1"/>
  <c r="D1664" i="1"/>
  <c r="C1664" i="1"/>
  <c r="B1664" i="1"/>
  <c r="A1664" i="1"/>
  <c r="D1663" i="1"/>
  <c r="C1663" i="1"/>
  <c r="B1663" i="1"/>
  <c r="A1663" i="1"/>
  <c r="D1662" i="1"/>
  <c r="C1662" i="1"/>
  <c r="B1662" i="1"/>
  <c r="A1662" i="1"/>
  <c r="D1661" i="1"/>
  <c r="C1661" i="1"/>
  <c r="B1661" i="1"/>
  <c r="A1661" i="1"/>
  <c r="D1660" i="1"/>
  <c r="C1660" i="1"/>
  <c r="B1660" i="1"/>
  <c r="A1660" i="1"/>
  <c r="D1659" i="1"/>
  <c r="C1659" i="1"/>
  <c r="B1659" i="1"/>
  <c r="A1659" i="1"/>
  <c r="D1658" i="1"/>
  <c r="C1658" i="1"/>
  <c r="B1658" i="1"/>
  <c r="A1658" i="1"/>
  <c r="D1657" i="1"/>
  <c r="C1657" i="1"/>
  <c r="A1657" i="1"/>
  <c r="D1656" i="1"/>
  <c r="C1656" i="1"/>
  <c r="B1656" i="1"/>
  <c r="A1656" i="1"/>
  <c r="D1655" i="1"/>
  <c r="C1655" i="1"/>
  <c r="B1655" i="1"/>
  <c r="A1655" i="1"/>
  <c r="D1654" i="1"/>
  <c r="C1654" i="1"/>
  <c r="B1654" i="1"/>
  <c r="A1654" i="1"/>
  <c r="D1653" i="1"/>
  <c r="C1653" i="1"/>
  <c r="B1653" i="1"/>
  <c r="A1653" i="1"/>
  <c r="D1652" i="1"/>
  <c r="C1652" i="1"/>
  <c r="B1652" i="1"/>
  <c r="A1652" i="1"/>
  <c r="D1651" i="1"/>
  <c r="C1651" i="1"/>
  <c r="B1651" i="1"/>
  <c r="A1651" i="1"/>
  <c r="D1650" i="1"/>
  <c r="C1650" i="1"/>
  <c r="B1650" i="1"/>
  <c r="A1650" i="1"/>
  <c r="D1649" i="1"/>
  <c r="C1649" i="1"/>
  <c r="B1649" i="1"/>
  <c r="A1649" i="1"/>
  <c r="D1648" i="1"/>
  <c r="C1648" i="1"/>
  <c r="B1648" i="1"/>
  <c r="A1648" i="1"/>
  <c r="D1647" i="1"/>
  <c r="C1647" i="1"/>
  <c r="B1647" i="1"/>
  <c r="A1647" i="1"/>
  <c r="D1646" i="1"/>
  <c r="C1646" i="1"/>
  <c r="B1646" i="1"/>
  <c r="A1646" i="1"/>
  <c r="D1645" i="1"/>
  <c r="C1645" i="1"/>
  <c r="B1645" i="1"/>
  <c r="A1645" i="1"/>
  <c r="D1644" i="1"/>
  <c r="C1644" i="1"/>
  <c r="B1644" i="1"/>
  <c r="A1644" i="1"/>
  <c r="D1643" i="1"/>
  <c r="C1643" i="1"/>
  <c r="B1643" i="1"/>
  <c r="A1643" i="1"/>
  <c r="D1642" i="1"/>
  <c r="C1642" i="1"/>
  <c r="B1642" i="1"/>
  <c r="A1642" i="1"/>
  <c r="D1641" i="1"/>
  <c r="C1641" i="1"/>
  <c r="B1641" i="1"/>
  <c r="A1641" i="1"/>
  <c r="D1640" i="1"/>
  <c r="C1640" i="1"/>
  <c r="B1640" i="1"/>
  <c r="A1640" i="1"/>
  <c r="D1639" i="1"/>
  <c r="C1639" i="1"/>
  <c r="B1639" i="1"/>
  <c r="A1639" i="1"/>
  <c r="D1638" i="1"/>
  <c r="C1638" i="1"/>
  <c r="A1638" i="1"/>
  <c r="D1637" i="1"/>
  <c r="A1637" i="1"/>
  <c r="D1636" i="1"/>
  <c r="C1636" i="1"/>
  <c r="B1636" i="1"/>
  <c r="A1636" i="1"/>
  <c r="D1635" i="1"/>
  <c r="C1635" i="1"/>
  <c r="B1635" i="1"/>
  <c r="A1635" i="1"/>
  <c r="D1634" i="1"/>
  <c r="C1634" i="1"/>
  <c r="B1634" i="1"/>
  <c r="A1634" i="1"/>
  <c r="D1633" i="1"/>
  <c r="C1633" i="1"/>
  <c r="B1633" i="1"/>
  <c r="A1633" i="1"/>
  <c r="D1632" i="1"/>
  <c r="C1632" i="1"/>
  <c r="B1632" i="1"/>
  <c r="A1632" i="1"/>
  <c r="D1631" i="1"/>
  <c r="C1631" i="1"/>
  <c r="A1631" i="1"/>
  <c r="D1630" i="1"/>
  <c r="C1630" i="1"/>
  <c r="A1630" i="1"/>
  <c r="D1629" i="1"/>
  <c r="C1629" i="1"/>
  <c r="A1629" i="1"/>
  <c r="D1628" i="1"/>
  <c r="C1628" i="1"/>
  <c r="B1628" i="1"/>
  <c r="A1628" i="1"/>
  <c r="D1627" i="1"/>
  <c r="C1627" i="1"/>
  <c r="B1627" i="1"/>
  <c r="A1627" i="1"/>
  <c r="D1626" i="1"/>
  <c r="C1626" i="1"/>
  <c r="B1626" i="1"/>
  <c r="A1626" i="1"/>
  <c r="D1625" i="1"/>
  <c r="C1625" i="1"/>
  <c r="B1625" i="1"/>
  <c r="A1625" i="1"/>
  <c r="D1624" i="1"/>
  <c r="C1624" i="1"/>
  <c r="A1624" i="1"/>
  <c r="D1623" i="1"/>
  <c r="C1623" i="1"/>
  <c r="B1623" i="1"/>
  <c r="A1623" i="1"/>
  <c r="D1622" i="1"/>
  <c r="C1622" i="1"/>
  <c r="A1622" i="1"/>
  <c r="D1621" i="1"/>
  <c r="C1621" i="1"/>
  <c r="B1621" i="1"/>
  <c r="A1621" i="1"/>
  <c r="D1620" i="1"/>
  <c r="C1620" i="1"/>
  <c r="B1620" i="1"/>
  <c r="A1620" i="1"/>
  <c r="D1619" i="1"/>
  <c r="C1619" i="1"/>
  <c r="B1619" i="1"/>
  <c r="A1619" i="1"/>
  <c r="D1618" i="1"/>
  <c r="C1618" i="1"/>
  <c r="B1618" i="1"/>
  <c r="A1618" i="1"/>
  <c r="D1617" i="1"/>
  <c r="C1617" i="1"/>
  <c r="B1617" i="1"/>
  <c r="A1617" i="1"/>
  <c r="D1616" i="1"/>
  <c r="C1616" i="1"/>
  <c r="B1616" i="1"/>
  <c r="A1616" i="1"/>
  <c r="D1615" i="1"/>
  <c r="C1615" i="1"/>
  <c r="B1615" i="1"/>
  <c r="A1615" i="1"/>
  <c r="D1614" i="1"/>
  <c r="C1614" i="1"/>
  <c r="B1614" i="1"/>
  <c r="A1614" i="1"/>
  <c r="D1613" i="1"/>
  <c r="C1613" i="1"/>
  <c r="B1613" i="1"/>
  <c r="A1613" i="1"/>
  <c r="D1612" i="1"/>
  <c r="C1612" i="1"/>
  <c r="B1612" i="1"/>
  <c r="A1612" i="1"/>
  <c r="D1611" i="1"/>
  <c r="C1611" i="1"/>
  <c r="B1611" i="1"/>
  <c r="A1611" i="1"/>
  <c r="D1610" i="1"/>
  <c r="C1610" i="1"/>
  <c r="B1610" i="1"/>
  <c r="A1610" i="1"/>
  <c r="D1609" i="1"/>
  <c r="C1609" i="1"/>
  <c r="B1609" i="1"/>
  <c r="A1609" i="1"/>
  <c r="D1608" i="1"/>
  <c r="C1608" i="1"/>
  <c r="B1608" i="1"/>
  <c r="A1608" i="1"/>
  <c r="D1607" i="1"/>
  <c r="C1607" i="1"/>
  <c r="B1607" i="1"/>
  <c r="A1607" i="1"/>
  <c r="D1606" i="1"/>
  <c r="C1606" i="1"/>
  <c r="B1606" i="1"/>
  <c r="A1606" i="1"/>
  <c r="D1605" i="1"/>
  <c r="C1605" i="1"/>
  <c r="B1605" i="1"/>
  <c r="A1605" i="1"/>
  <c r="D1604" i="1"/>
  <c r="C1604" i="1"/>
  <c r="B1604" i="1"/>
  <c r="A1604" i="1"/>
  <c r="D1603" i="1"/>
  <c r="C1603" i="1"/>
  <c r="B1603" i="1"/>
  <c r="A1603" i="1"/>
  <c r="D1602" i="1"/>
  <c r="C1602" i="1"/>
  <c r="B1602" i="1"/>
  <c r="A1602" i="1"/>
  <c r="D1601" i="1"/>
  <c r="C1601" i="1"/>
  <c r="B1601" i="1"/>
  <c r="A1601" i="1"/>
  <c r="D1600" i="1"/>
  <c r="C1600" i="1"/>
  <c r="B1600" i="1"/>
  <c r="A1600" i="1"/>
  <c r="D1599" i="1"/>
  <c r="C1599" i="1"/>
  <c r="B1599" i="1"/>
  <c r="A1599" i="1"/>
  <c r="D1598" i="1"/>
  <c r="C1598" i="1"/>
  <c r="A1598" i="1"/>
  <c r="D1597" i="1"/>
  <c r="C1597" i="1"/>
  <c r="B1597" i="1"/>
  <c r="A1597" i="1"/>
  <c r="D1596" i="1"/>
  <c r="C1596" i="1"/>
  <c r="B1596" i="1"/>
  <c r="A1596" i="1"/>
  <c r="D1595" i="1"/>
  <c r="C1595" i="1"/>
  <c r="B1595" i="1"/>
  <c r="A1595" i="1"/>
  <c r="D1594" i="1"/>
  <c r="C1594" i="1"/>
  <c r="B1594" i="1"/>
  <c r="A1594" i="1"/>
  <c r="D1593" i="1"/>
  <c r="C1593" i="1"/>
  <c r="A1593" i="1"/>
  <c r="D1592" i="1"/>
  <c r="C1592" i="1"/>
  <c r="B1592" i="1"/>
  <c r="A1592" i="1"/>
  <c r="D1591" i="1"/>
  <c r="C1591" i="1"/>
  <c r="A1591" i="1"/>
  <c r="D1590" i="1"/>
  <c r="C1590" i="1"/>
  <c r="A1590" i="1"/>
  <c r="D1589" i="1"/>
  <c r="C1589" i="1"/>
  <c r="B1589" i="1"/>
  <c r="A1589" i="1"/>
  <c r="D1588" i="1"/>
  <c r="C1588" i="1"/>
  <c r="B1588" i="1"/>
  <c r="A1588" i="1"/>
  <c r="D1587" i="1"/>
  <c r="C1587" i="1"/>
  <c r="B1587" i="1"/>
  <c r="A1587" i="1"/>
  <c r="D1586" i="1"/>
  <c r="C1586" i="1"/>
  <c r="B1586" i="1"/>
  <c r="A1586" i="1"/>
  <c r="D1585" i="1"/>
  <c r="C1585" i="1"/>
  <c r="B1585" i="1"/>
  <c r="A1585" i="1"/>
  <c r="D1584" i="1"/>
  <c r="C1584" i="1"/>
  <c r="B1584" i="1"/>
  <c r="A1584" i="1"/>
  <c r="D1583" i="1"/>
  <c r="C1583" i="1"/>
  <c r="B1583" i="1"/>
  <c r="A1583" i="1"/>
  <c r="D1582" i="1"/>
  <c r="C1582" i="1"/>
  <c r="B1582" i="1"/>
  <c r="A1582" i="1"/>
  <c r="D1581" i="1"/>
  <c r="C1581" i="1"/>
  <c r="B1581" i="1"/>
  <c r="A1581" i="1"/>
  <c r="D1580" i="1"/>
  <c r="C1580" i="1"/>
  <c r="B1580" i="1"/>
  <c r="A1580" i="1"/>
  <c r="D1579" i="1"/>
  <c r="C1579" i="1"/>
  <c r="B1579" i="1"/>
  <c r="A1579" i="1"/>
  <c r="D1578" i="1"/>
  <c r="C1578" i="1"/>
  <c r="B1578" i="1"/>
  <c r="A1578" i="1"/>
  <c r="D1577" i="1"/>
  <c r="C1577" i="1"/>
  <c r="B1577" i="1"/>
  <c r="A1577" i="1"/>
  <c r="D1576" i="1"/>
  <c r="C1576" i="1"/>
  <c r="B1576" i="1"/>
  <c r="A1576" i="1"/>
  <c r="D1575" i="1"/>
  <c r="C1575" i="1"/>
  <c r="B1575" i="1"/>
  <c r="A1575" i="1"/>
  <c r="D1574" i="1"/>
  <c r="C1574" i="1"/>
  <c r="B1574" i="1"/>
  <c r="A1574" i="1"/>
  <c r="D1573" i="1"/>
  <c r="C1573" i="1"/>
  <c r="B1573" i="1"/>
  <c r="A1573" i="1"/>
  <c r="D1572" i="1"/>
  <c r="C1572" i="1"/>
  <c r="B1572" i="1"/>
  <c r="A1572" i="1"/>
  <c r="D1571" i="1"/>
  <c r="C1571" i="1"/>
  <c r="A1571" i="1"/>
  <c r="D1570" i="1"/>
  <c r="C1570" i="1"/>
  <c r="B1570" i="1"/>
  <c r="A1570" i="1"/>
  <c r="D1569" i="1"/>
  <c r="C1569" i="1"/>
  <c r="B1569" i="1"/>
  <c r="A1569" i="1"/>
  <c r="D1568" i="1"/>
  <c r="C1568" i="1"/>
  <c r="A1568" i="1"/>
  <c r="D1567" i="1"/>
  <c r="C1567" i="1"/>
  <c r="B1567" i="1"/>
  <c r="A1567" i="1"/>
  <c r="D1566" i="1"/>
  <c r="C1566" i="1"/>
  <c r="B1566" i="1"/>
  <c r="A1566" i="1"/>
  <c r="D1565" i="1"/>
  <c r="C1565" i="1"/>
  <c r="B1565" i="1"/>
  <c r="A1565" i="1"/>
  <c r="D1564" i="1"/>
  <c r="C1564" i="1"/>
  <c r="B1564" i="1"/>
  <c r="A1564" i="1"/>
  <c r="D1563" i="1"/>
  <c r="C1563" i="1"/>
  <c r="B1563" i="1"/>
  <c r="A1563" i="1"/>
  <c r="D1562" i="1"/>
  <c r="C1562" i="1"/>
  <c r="B1562" i="1"/>
  <c r="A1562" i="1"/>
  <c r="D1561" i="1"/>
  <c r="C1561" i="1"/>
  <c r="B1561" i="1"/>
  <c r="A1561" i="1"/>
  <c r="D1560" i="1"/>
  <c r="C1560" i="1"/>
  <c r="B1560" i="1"/>
  <c r="A1560" i="1"/>
  <c r="D1559" i="1"/>
  <c r="C1559" i="1"/>
  <c r="B1559" i="1"/>
  <c r="A1559" i="1"/>
  <c r="D1558" i="1"/>
  <c r="C1558" i="1"/>
  <c r="B1558" i="1"/>
  <c r="A1558" i="1"/>
  <c r="D1557" i="1"/>
  <c r="C1557" i="1"/>
  <c r="B1557" i="1"/>
  <c r="A1557" i="1"/>
  <c r="D1556" i="1"/>
  <c r="C1556" i="1"/>
  <c r="B1556" i="1"/>
  <c r="A1556" i="1"/>
  <c r="D1555" i="1"/>
  <c r="C1555" i="1"/>
  <c r="B1555" i="1"/>
  <c r="A1555" i="1"/>
  <c r="D1554" i="1"/>
  <c r="C1554" i="1"/>
  <c r="A1554" i="1"/>
  <c r="D1553" i="1"/>
  <c r="C1553" i="1"/>
  <c r="B1553" i="1"/>
  <c r="A1553" i="1"/>
  <c r="D1552" i="1"/>
  <c r="C1552" i="1"/>
  <c r="B1552" i="1"/>
  <c r="A1552" i="1"/>
  <c r="D1551" i="1"/>
  <c r="C1551" i="1"/>
  <c r="B1551" i="1"/>
  <c r="A1551" i="1"/>
  <c r="D1550" i="1"/>
  <c r="C1550" i="1"/>
  <c r="B1550" i="1"/>
  <c r="A1550" i="1"/>
  <c r="D1549" i="1"/>
  <c r="C1549" i="1"/>
  <c r="B1549" i="1"/>
  <c r="A1549" i="1"/>
  <c r="D1548" i="1"/>
  <c r="C1548" i="1"/>
  <c r="B1548" i="1"/>
  <c r="A1548" i="1"/>
  <c r="D1547" i="1"/>
  <c r="C1547" i="1"/>
  <c r="B1547" i="1"/>
  <c r="A1547" i="1"/>
  <c r="D1546" i="1"/>
  <c r="C1546" i="1"/>
  <c r="B1546" i="1"/>
  <c r="A1546" i="1"/>
  <c r="D1545" i="1"/>
  <c r="C1545" i="1"/>
  <c r="B1545" i="1"/>
  <c r="A1545" i="1"/>
  <c r="D1544" i="1"/>
  <c r="C1544" i="1"/>
  <c r="B1544" i="1"/>
  <c r="A1544" i="1"/>
  <c r="D1543" i="1"/>
  <c r="C1543" i="1"/>
  <c r="B1543" i="1"/>
  <c r="A1543" i="1"/>
  <c r="D1542" i="1"/>
  <c r="C1542" i="1"/>
  <c r="B1542" i="1"/>
  <c r="A1542" i="1"/>
  <c r="D1541" i="1"/>
  <c r="C1541" i="1"/>
  <c r="A1541" i="1"/>
  <c r="D1540" i="1"/>
  <c r="C1540" i="1"/>
  <c r="B1540" i="1"/>
  <c r="A1540" i="1"/>
  <c r="D1539" i="1"/>
  <c r="C1539" i="1"/>
  <c r="B1539" i="1"/>
  <c r="A1539" i="1"/>
  <c r="D1538" i="1"/>
  <c r="C1538" i="1"/>
  <c r="B1538" i="1"/>
  <c r="A1538" i="1"/>
  <c r="D1537" i="1"/>
  <c r="C1537" i="1"/>
  <c r="A1537" i="1"/>
  <c r="D1536" i="1"/>
  <c r="C1536" i="1"/>
  <c r="B1536" i="1"/>
  <c r="A1536" i="1"/>
  <c r="D1535" i="1"/>
  <c r="C1535" i="1"/>
  <c r="B1535" i="1"/>
  <c r="A1535" i="1"/>
  <c r="D1534" i="1"/>
  <c r="C1534" i="1"/>
  <c r="B1534" i="1"/>
  <c r="A1534" i="1"/>
  <c r="D1533" i="1"/>
  <c r="C1533" i="1"/>
  <c r="B1533" i="1"/>
  <c r="A1533" i="1"/>
  <c r="D1532" i="1"/>
  <c r="C1532" i="1"/>
  <c r="B1532" i="1"/>
  <c r="A1532" i="1"/>
  <c r="D1531" i="1"/>
  <c r="C1531" i="1"/>
  <c r="B1531" i="1"/>
  <c r="A1531" i="1"/>
  <c r="D1530" i="1"/>
  <c r="C1530" i="1"/>
  <c r="B1530" i="1"/>
  <c r="A1530" i="1"/>
  <c r="D1529" i="1"/>
  <c r="C1529" i="1"/>
  <c r="B1529" i="1"/>
  <c r="A1529" i="1"/>
  <c r="D1528" i="1"/>
  <c r="C1528" i="1"/>
  <c r="B1528" i="1"/>
  <c r="A1528" i="1"/>
  <c r="D1527" i="1"/>
  <c r="C1527" i="1"/>
  <c r="B1527" i="1"/>
  <c r="A1527" i="1"/>
  <c r="D1526" i="1"/>
  <c r="C1526" i="1"/>
  <c r="B1526" i="1"/>
  <c r="A1526" i="1"/>
  <c r="D1525" i="1"/>
  <c r="C1525" i="1"/>
  <c r="B1525" i="1"/>
  <c r="A1525" i="1"/>
  <c r="D1524" i="1"/>
  <c r="C1524" i="1"/>
  <c r="B1524" i="1"/>
  <c r="A1524" i="1"/>
  <c r="D1523" i="1"/>
  <c r="C1523" i="1"/>
  <c r="B1523" i="1"/>
  <c r="A1523" i="1"/>
  <c r="D1522" i="1"/>
  <c r="C1522" i="1"/>
  <c r="B1522" i="1"/>
  <c r="A1522" i="1"/>
  <c r="D1521" i="1"/>
  <c r="C1521" i="1"/>
  <c r="B1521" i="1"/>
  <c r="A1521" i="1"/>
  <c r="D1520" i="1"/>
  <c r="C1520" i="1"/>
  <c r="B1520" i="1"/>
  <c r="A1520" i="1"/>
  <c r="D1519" i="1"/>
  <c r="C1519" i="1"/>
  <c r="B1519" i="1"/>
  <c r="A1519" i="1"/>
  <c r="D1518" i="1"/>
  <c r="C1518" i="1"/>
  <c r="A1518" i="1"/>
  <c r="D1517" i="1"/>
  <c r="C1517" i="1"/>
  <c r="B1517" i="1"/>
  <c r="A1517" i="1"/>
  <c r="D1516" i="1"/>
  <c r="C1516" i="1"/>
  <c r="B1516" i="1"/>
  <c r="A1516" i="1"/>
  <c r="D1515" i="1"/>
  <c r="C1515" i="1"/>
  <c r="B1515" i="1"/>
  <c r="A1515" i="1"/>
  <c r="D1514" i="1"/>
  <c r="C1514" i="1"/>
  <c r="B1514" i="1"/>
  <c r="A1514" i="1"/>
  <c r="D1513" i="1"/>
  <c r="C1513" i="1"/>
  <c r="B1513" i="1"/>
  <c r="A1513" i="1"/>
  <c r="D1512" i="1"/>
  <c r="C1512" i="1"/>
  <c r="B1512" i="1"/>
  <c r="A1512" i="1"/>
  <c r="D1511" i="1"/>
  <c r="C1511" i="1"/>
  <c r="A1511" i="1"/>
  <c r="D1510" i="1"/>
  <c r="C1510" i="1"/>
  <c r="A1510" i="1"/>
  <c r="D1509" i="1"/>
  <c r="C1509" i="1"/>
  <c r="B1509" i="1"/>
  <c r="A1509" i="1"/>
  <c r="D1508" i="1"/>
  <c r="C1508" i="1"/>
  <c r="A1508" i="1"/>
  <c r="D1507" i="1"/>
  <c r="C1507" i="1"/>
  <c r="B1507" i="1"/>
  <c r="A1507" i="1"/>
  <c r="D1506" i="1"/>
  <c r="C1506" i="1"/>
  <c r="B1506" i="1"/>
  <c r="A1506" i="1"/>
  <c r="D1505" i="1"/>
  <c r="C1505" i="1"/>
  <c r="B1505" i="1"/>
  <c r="A1505" i="1"/>
  <c r="D1504" i="1"/>
  <c r="C1504" i="1"/>
  <c r="B1504" i="1"/>
  <c r="A1504" i="1"/>
  <c r="D1503" i="1"/>
  <c r="C1503" i="1"/>
  <c r="B1503" i="1"/>
  <c r="A1503" i="1"/>
  <c r="D1502" i="1"/>
  <c r="C1502" i="1"/>
  <c r="B1502" i="1"/>
  <c r="A1502" i="1"/>
  <c r="D1501" i="1"/>
  <c r="C1501" i="1"/>
  <c r="B1501" i="1"/>
  <c r="A1501" i="1"/>
  <c r="D1500" i="1"/>
  <c r="C1500" i="1"/>
  <c r="B1500" i="1"/>
  <c r="A1500" i="1"/>
  <c r="D1499" i="1"/>
  <c r="C1499" i="1"/>
  <c r="B1499" i="1"/>
  <c r="A1499" i="1"/>
  <c r="D1498" i="1"/>
  <c r="C1498" i="1"/>
  <c r="B1498" i="1"/>
  <c r="A1498" i="1"/>
  <c r="D1497" i="1"/>
  <c r="C1497" i="1"/>
  <c r="A1497" i="1"/>
  <c r="D1496" i="1"/>
  <c r="C1496" i="1"/>
  <c r="B1496" i="1"/>
  <c r="A1496" i="1"/>
  <c r="D1495" i="1"/>
  <c r="C1495" i="1"/>
  <c r="B1495" i="1"/>
  <c r="A1495" i="1"/>
  <c r="D1494" i="1"/>
  <c r="C1494" i="1"/>
  <c r="B1494" i="1"/>
  <c r="A1494" i="1"/>
  <c r="D1493" i="1"/>
  <c r="C1493" i="1"/>
  <c r="B1493" i="1"/>
  <c r="A1493" i="1"/>
  <c r="D1492" i="1"/>
  <c r="C1492" i="1"/>
  <c r="B1492" i="1"/>
  <c r="A1492" i="1"/>
  <c r="D1491" i="1"/>
  <c r="C1491" i="1"/>
  <c r="B1491" i="1"/>
  <c r="A1491" i="1"/>
  <c r="D1490" i="1"/>
  <c r="C1490" i="1"/>
  <c r="B1490" i="1"/>
  <c r="A1490" i="1"/>
  <c r="D1489" i="1"/>
  <c r="C1489" i="1"/>
  <c r="A1489" i="1"/>
  <c r="D1488" i="1"/>
  <c r="C1488" i="1"/>
  <c r="B1488" i="1"/>
  <c r="A1488" i="1"/>
  <c r="D1487" i="1"/>
  <c r="C1487" i="1"/>
  <c r="A1487" i="1"/>
  <c r="D1486" i="1"/>
  <c r="C1486" i="1"/>
  <c r="B1486" i="1"/>
  <c r="A1486" i="1"/>
  <c r="D1485" i="1"/>
  <c r="C1485" i="1"/>
  <c r="B1485" i="1"/>
  <c r="A1485" i="1"/>
  <c r="D1484" i="1"/>
  <c r="C1484" i="1"/>
  <c r="A1484" i="1"/>
  <c r="D1483" i="1"/>
  <c r="C1483" i="1"/>
  <c r="B1483" i="1"/>
  <c r="A1483" i="1"/>
  <c r="D1482" i="1"/>
  <c r="C1482" i="1"/>
  <c r="B1482" i="1"/>
  <c r="A1482" i="1"/>
  <c r="D1481" i="1"/>
  <c r="C1481" i="1"/>
  <c r="A1481" i="1"/>
  <c r="D1480" i="1"/>
  <c r="C1480" i="1"/>
  <c r="A1480" i="1"/>
  <c r="D1479" i="1"/>
  <c r="C1479" i="1"/>
  <c r="B1479" i="1"/>
  <c r="A1479" i="1"/>
  <c r="D1478" i="1"/>
  <c r="C1478" i="1"/>
  <c r="B1478" i="1"/>
  <c r="A1478" i="1"/>
  <c r="D1477" i="1"/>
  <c r="C1477" i="1"/>
  <c r="A1477" i="1"/>
  <c r="D1476" i="1"/>
  <c r="C1476" i="1"/>
  <c r="B1476" i="1"/>
  <c r="A1476" i="1"/>
  <c r="D1475" i="1"/>
  <c r="C1475" i="1"/>
  <c r="A1475" i="1"/>
  <c r="D1474" i="1"/>
  <c r="C1474" i="1"/>
  <c r="B1474" i="1"/>
  <c r="A1474" i="1"/>
  <c r="D1473" i="1"/>
  <c r="C1473" i="1"/>
  <c r="B1473" i="1"/>
  <c r="A1473" i="1"/>
  <c r="D1472" i="1"/>
  <c r="C1472" i="1"/>
  <c r="B1472" i="1"/>
  <c r="A1472" i="1"/>
  <c r="D1471" i="1"/>
  <c r="C1471" i="1"/>
  <c r="B1471" i="1"/>
  <c r="A1471" i="1"/>
  <c r="D1470" i="1"/>
  <c r="C1470" i="1"/>
  <c r="B1470" i="1"/>
  <c r="A1470" i="1"/>
  <c r="D1469" i="1"/>
  <c r="C1469" i="1"/>
  <c r="B1469" i="1"/>
  <c r="A1469" i="1"/>
  <c r="D1468" i="1"/>
  <c r="C1468" i="1"/>
  <c r="B1468" i="1"/>
  <c r="A1468" i="1"/>
  <c r="D1467" i="1"/>
  <c r="C1467" i="1"/>
  <c r="B1467" i="1"/>
  <c r="A1467" i="1"/>
  <c r="D1466" i="1"/>
  <c r="C1466" i="1"/>
  <c r="B1466" i="1"/>
  <c r="A1466" i="1"/>
  <c r="D1465" i="1"/>
  <c r="C1465" i="1"/>
  <c r="B1465" i="1"/>
  <c r="A1465" i="1"/>
  <c r="D1464" i="1"/>
  <c r="C1464" i="1"/>
  <c r="B1464" i="1"/>
  <c r="A1464" i="1"/>
  <c r="D1463" i="1"/>
  <c r="C1463" i="1"/>
  <c r="B1463" i="1"/>
  <c r="A1463" i="1"/>
  <c r="D1462" i="1"/>
  <c r="C1462" i="1"/>
  <c r="B1462" i="1"/>
  <c r="A1462" i="1"/>
  <c r="D1461" i="1"/>
  <c r="C1461" i="1"/>
  <c r="B1461" i="1"/>
  <c r="A1461" i="1"/>
  <c r="D1460" i="1"/>
  <c r="C1460" i="1"/>
  <c r="B1460" i="1"/>
  <c r="A1460" i="1"/>
  <c r="D1459" i="1"/>
  <c r="C1459" i="1"/>
  <c r="B1459" i="1"/>
  <c r="A1459" i="1"/>
  <c r="D1458" i="1"/>
  <c r="C1458" i="1"/>
  <c r="B1458" i="1"/>
  <c r="A1458" i="1"/>
  <c r="D1457" i="1"/>
  <c r="C1457" i="1"/>
  <c r="B1457" i="1"/>
  <c r="A1457" i="1"/>
  <c r="D1456" i="1"/>
  <c r="C1456" i="1"/>
  <c r="B1456" i="1"/>
  <c r="A1456" i="1"/>
  <c r="D1455" i="1"/>
  <c r="C1455" i="1"/>
  <c r="B1455" i="1"/>
  <c r="A1455" i="1"/>
  <c r="D1454" i="1"/>
  <c r="C1454" i="1"/>
  <c r="A1454" i="1"/>
  <c r="D1453" i="1"/>
  <c r="C1453" i="1"/>
  <c r="B1453" i="1"/>
  <c r="A1453" i="1"/>
  <c r="D1452" i="1"/>
  <c r="C1452" i="1"/>
  <c r="A1452" i="1"/>
  <c r="D1451" i="1"/>
  <c r="C1451" i="1"/>
  <c r="B1451" i="1"/>
  <c r="A1451" i="1"/>
  <c r="D1450" i="1"/>
  <c r="C1450" i="1"/>
  <c r="B1450" i="1"/>
  <c r="A1450" i="1"/>
  <c r="D1449" i="1"/>
  <c r="C1449" i="1"/>
  <c r="A1449" i="1"/>
  <c r="D1448" i="1"/>
  <c r="C1448" i="1"/>
  <c r="B1448" i="1"/>
  <c r="A1448" i="1"/>
  <c r="D1447" i="1"/>
  <c r="C1447" i="1"/>
  <c r="B1447" i="1"/>
  <c r="A1447" i="1"/>
  <c r="D1446" i="1"/>
  <c r="C1446" i="1"/>
  <c r="B1446" i="1"/>
  <c r="A1446" i="1"/>
  <c r="D1445" i="1"/>
  <c r="C1445" i="1"/>
  <c r="B1445" i="1"/>
  <c r="A1445" i="1"/>
  <c r="D1444" i="1"/>
  <c r="C1444" i="1"/>
  <c r="B1444" i="1"/>
  <c r="A1444" i="1"/>
  <c r="D1443" i="1"/>
  <c r="C1443" i="1"/>
  <c r="B1443" i="1"/>
  <c r="A1443" i="1"/>
  <c r="D1442" i="1"/>
  <c r="C1442" i="1"/>
  <c r="B1442" i="1"/>
  <c r="A1442" i="1"/>
  <c r="D1441" i="1"/>
  <c r="C1441" i="1"/>
  <c r="B1441" i="1"/>
  <c r="A1441" i="1"/>
  <c r="D1440" i="1"/>
  <c r="C1440" i="1"/>
  <c r="B1440" i="1"/>
  <c r="A1440" i="1"/>
  <c r="D1439" i="1"/>
  <c r="C1439" i="1"/>
  <c r="B1439" i="1"/>
  <c r="A1439" i="1"/>
  <c r="D1438" i="1"/>
  <c r="C1438" i="1"/>
  <c r="B1438" i="1"/>
  <c r="A1438" i="1"/>
  <c r="D1437" i="1"/>
  <c r="C1437" i="1"/>
  <c r="B1437" i="1"/>
  <c r="A1437" i="1"/>
  <c r="D1436" i="1"/>
  <c r="C1436" i="1"/>
  <c r="B1436" i="1"/>
  <c r="A1436" i="1"/>
  <c r="D1435" i="1"/>
  <c r="C1435" i="1"/>
  <c r="B1435" i="1"/>
  <c r="A1435" i="1"/>
  <c r="D1434" i="1"/>
  <c r="C1434" i="1"/>
  <c r="B1434" i="1"/>
  <c r="A1434" i="1"/>
  <c r="D1433" i="1"/>
  <c r="C1433" i="1"/>
  <c r="B1433" i="1"/>
  <c r="A1433" i="1"/>
  <c r="D1432" i="1"/>
  <c r="C1432" i="1"/>
  <c r="B1432" i="1"/>
  <c r="A1432" i="1"/>
  <c r="D1431" i="1"/>
  <c r="C1431" i="1"/>
  <c r="A1431" i="1"/>
  <c r="D1430" i="1"/>
  <c r="C1430" i="1"/>
  <c r="A1430" i="1"/>
  <c r="D1429" i="1"/>
  <c r="C1429" i="1"/>
  <c r="B1429" i="1"/>
  <c r="A1429" i="1"/>
  <c r="D1428" i="1"/>
  <c r="C1428" i="1"/>
  <c r="B1428" i="1"/>
  <c r="A1428" i="1"/>
  <c r="D1427" i="1"/>
  <c r="C1427" i="1"/>
  <c r="A1427" i="1"/>
  <c r="D1426" i="1"/>
  <c r="C1426" i="1"/>
  <c r="B1426" i="1"/>
  <c r="A1426" i="1"/>
  <c r="D1425" i="1"/>
  <c r="C1425" i="1"/>
  <c r="A1425" i="1"/>
  <c r="D1424" i="1"/>
  <c r="C1424" i="1"/>
  <c r="B1424" i="1"/>
  <c r="A1424" i="1"/>
  <c r="D1423" i="1"/>
  <c r="C1423" i="1"/>
  <c r="B1423" i="1"/>
  <c r="A1423" i="1"/>
  <c r="D1422" i="1"/>
  <c r="C1422" i="1"/>
  <c r="A1422" i="1"/>
  <c r="D1421" i="1"/>
  <c r="C1421" i="1"/>
  <c r="A1421" i="1"/>
  <c r="D1420" i="1"/>
  <c r="C1420" i="1"/>
  <c r="B1420" i="1"/>
  <c r="A1420" i="1"/>
  <c r="D1419" i="1"/>
  <c r="C1419" i="1"/>
  <c r="B1419" i="1"/>
  <c r="A1419" i="1"/>
  <c r="D1418" i="1"/>
  <c r="C1418" i="1"/>
  <c r="B1418" i="1"/>
  <c r="A1418" i="1"/>
  <c r="D1417" i="1"/>
  <c r="C1417" i="1"/>
  <c r="B1417" i="1"/>
  <c r="A1417" i="1"/>
  <c r="D1416" i="1"/>
  <c r="C1416" i="1"/>
  <c r="B1416" i="1"/>
  <c r="A1416" i="1"/>
  <c r="D1415" i="1"/>
  <c r="C1415" i="1"/>
  <c r="B1415" i="1"/>
  <c r="A1415" i="1"/>
  <c r="D1414" i="1"/>
  <c r="C1414" i="1"/>
  <c r="B1414" i="1"/>
  <c r="A1414" i="1"/>
  <c r="D1413" i="1"/>
  <c r="C1413" i="1"/>
  <c r="B1413" i="1"/>
  <c r="A1413" i="1"/>
  <c r="D1412" i="1"/>
  <c r="C1412" i="1"/>
  <c r="B1412" i="1"/>
  <c r="A1412" i="1"/>
  <c r="D1411" i="1"/>
  <c r="C1411" i="1"/>
  <c r="A1411" i="1"/>
  <c r="D1410" i="1"/>
  <c r="C1410" i="1"/>
  <c r="A1410" i="1"/>
  <c r="D1409" i="1"/>
  <c r="C1409" i="1"/>
  <c r="B1409" i="1"/>
  <c r="A1409" i="1"/>
  <c r="D1408" i="1"/>
  <c r="C1408" i="1"/>
  <c r="B1408" i="1"/>
  <c r="A1408" i="1"/>
  <c r="D1407" i="1"/>
  <c r="C1407" i="1"/>
  <c r="B1407" i="1"/>
  <c r="A1407" i="1"/>
  <c r="D1406" i="1"/>
  <c r="C1406" i="1"/>
  <c r="B1406" i="1"/>
  <c r="A1406" i="1"/>
  <c r="D1405" i="1"/>
  <c r="C1405" i="1"/>
  <c r="B1405" i="1"/>
  <c r="A1405" i="1"/>
  <c r="D1404" i="1"/>
  <c r="C1404" i="1"/>
  <c r="A1404" i="1"/>
  <c r="D1403" i="1"/>
  <c r="C1403" i="1"/>
  <c r="B1403" i="1"/>
  <c r="A1403" i="1"/>
  <c r="D1402" i="1"/>
  <c r="C1402" i="1"/>
  <c r="B1402" i="1"/>
  <c r="A1402" i="1"/>
  <c r="D1401" i="1"/>
  <c r="C1401" i="1"/>
  <c r="B1401" i="1"/>
  <c r="A1401" i="1"/>
  <c r="D1400" i="1"/>
  <c r="C1400" i="1"/>
  <c r="B1400" i="1"/>
  <c r="A1400" i="1"/>
  <c r="D1399" i="1"/>
  <c r="C1399" i="1"/>
  <c r="B1399" i="1"/>
  <c r="A1399" i="1"/>
  <c r="D1398" i="1"/>
  <c r="C1398" i="1"/>
  <c r="B1398" i="1"/>
  <c r="A1398" i="1"/>
  <c r="D1397" i="1"/>
  <c r="C1397" i="1"/>
  <c r="B1397" i="1"/>
  <c r="A1397" i="1"/>
  <c r="D1396" i="1"/>
  <c r="C1396" i="1"/>
  <c r="B1396" i="1"/>
  <c r="A1396" i="1"/>
  <c r="D1395" i="1"/>
  <c r="C1395" i="1"/>
  <c r="B1395" i="1"/>
  <c r="A1395" i="1"/>
  <c r="D1394" i="1"/>
  <c r="C1394" i="1"/>
  <c r="B1394" i="1"/>
  <c r="A1394" i="1"/>
  <c r="D1393" i="1"/>
  <c r="C1393" i="1"/>
  <c r="B1393" i="1"/>
  <c r="A1393" i="1"/>
  <c r="D1392" i="1"/>
  <c r="C1392" i="1"/>
  <c r="B1392" i="1"/>
  <c r="A1392" i="1"/>
  <c r="D1391" i="1"/>
  <c r="C1391" i="1"/>
  <c r="B1391" i="1"/>
  <c r="A1391" i="1"/>
  <c r="D1390" i="1"/>
  <c r="C1390" i="1"/>
  <c r="B1390" i="1"/>
  <c r="A1390" i="1"/>
  <c r="D1389" i="1"/>
  <c r="C1389" i="1"/>
  <c r="B1389" i="1"/>
  <c r="A1389" i="1"/>
  <c r="D1388" i="1"/>
  <c r="C1388" i="1"/>
  <c r="A1388" i="1"/>
  <c r="D1387" i="1"/>
  <c r="C1387" i="1"/>
  <c r="B1387" i="1"/>
  <c r="A1387" i="1"/>
  <c r="D1386" i="1"/>
  <c r="C1386" i="1"/>
  <c r="B1386" i="1"/>
  <c r="A1386" i="1"/>
  <c r="D1385" i="1"/>
  <c r="C1385" i="1"/>
  <c r="B1385" i="1"/>
  <c r="A1385" i="1"/>
  <c r="D1384" i="1"/>
  <c r="C1384" i="1"/>
  <c r="B1384" i="1"/>
  <c r="A1384" i="1"/>
  <c r="D1383" i="1"/>
  <c r="C1383" i="1"/>
  <c r="B1383" i="1"/>
  <c r="A1383" i="1"/>
  <c r="D1382" i="1"/>
  <c r="C1382" i="1"/>
  <c r="B1382" i="1"/>
  <c r="A1382" i="1"/>
  <c r="D1381" i="1"/>
  <c r="C1381" i="1"/>
  <c r="B1381" i="1"/>
  <c r="A1381" i="1"/>
  <c r="D1380" i="1"/>
  <c r="C1380" i="1"/>
  <c r="B1380" i="1"/>
  <c r="A1380" i="1"/>
  <c r="D1379" i="1"/>
  <c r="C1379" i="1"/>
  <c r="A1379" i="1"/>
  <c r="D1378" i="1"/>
  <c r="C1378" i="1"/>
  <c r="A1378" i="1"/>
  <c r="D1377" i="1"/>
  <c r="C1377" i="1"/>
  <c r="B1377" i="1"/>
  <c r="A1377" i="1"/>
  <c r="D1376" i="1"/>
  <c r="C1376" i="1"/>
  <c r="B1376" i="1"/>
  <c r="A1376" i="1"/>
  <c r="D1375" i="1"/>
  <c r="C1375" i="1"/>
  <c r="A1375" i="1"/>
  <c r="D1374" i="1"/>
  <c r="C1374" i="1"/>
  <c r="B1374" i="1"/>
  <c r="A1374" i="1"/>
  <c r="D1373" i="1"/>
  <c r="C1373" i="1"/>
  <c r="B1373" i="1"/>
  <c r="A1373" i="1"/>
  <c r="D1372" i="1"/>
  <c r="C1372" i="1"/>
  <c r="B1372" i="1"/>
  <c r="A1372" i="1"/>
  <c r="D1371" i="1"/>
  <c r="C1371" i="1"/>
  <c r="B1371" i="1"/>
  <c r="A1371" i="1"/>
  <c r="D1370" i="1"/>
  <c r="C1370" i="1"/>
  <c r="B1370" i="1"/>
  <c r="A1370" i="1"/>
  <c r="D1369" i="1"/>
  <c r="C1369" i="1"/>
  <c r="B1369" i="1"/>
  <c r="A1369" i="1"/>
  <c r="D1368" i="1"/>
  <c r="C1368" i="1"/>
  <c r="B1368" i="1"/>
  <c r="A1368" i="1"/>
  <c r="D1367" i="1"/>
  <c r="C1367" i="1"/>
  <c r="B1367" i="1"/>
  <c r="A1367" i="1"/>
  <c r="D1366" i="1"/>
  <c r="C1366" i="1"/>
  <c r="B1366" i="1"/>
  <c r="A1366" i="1"/>
  <c r="D1365" i="1"/>
  <c r="C1365" i="1"/>
  <c r="B1365" i="1"/>
  <c r="A1365" i="1"/>
  <c r="D1364" i="1"/>
  <c r="C1364" i="1"/>
  <c r="B1364" i="1"/>
  <c r="A1364" i="1"/>
  <c r="D1363" i="1"/>
  <c r="C1363" i="1"/>
  <c r="B1363" i="1"/>
  <c r="A1363" i="1"/>
  <c r="D1362" i="1"/>
  <c r="C1362" i="1"/>
  <c r="B1362" i="1"/>
  <c r="A1362" i="1"/>
  <c r="D1361" i="1"/>
  <c r="C1361" i="1"/>
  <c r="B1361" i="1"/>
  <c r="A1361" i="1"/>
  <c r="D1360" i="1"/>
  <c r="C1360" i="1"/>
  <c r="B1360" i="1"/>
  <c r="A1360" i="1"/>
  <c r="D1359" i="1"/>
  <c r="C1359" i="1"/>
  <c r="B1359" i="1"/>
  <c r="A1359" i="1"/>
  <c r="D1358" i="1"/>
  <c r="C1358" i="1"/>
  <c r="B1358" i="1"/>
  <c r="A1358" i="1"/>
  <c r="D1357" i="1"/>
  <c r="C1357" i="1"/>
  <c r="B1357" i="1"/>
  <c r="A1357" i="1"/>
  <c r="D1356" i="1"/>
  <c r="C1356" i="1"/>
  <c r="B1356" i="1"/>
  <c r="A1356" i="1"/>
  <c r="D1355" i="1"/>
  <c r="C1355" i="1"/>
  <c r="B1355" i="1"/>
  <c r="A1355" i="1"/>
  <c r="D1354" i="1"/>
  <c r="C1354" i="1"/>
  <c r="B1354" i="1"/>
  <c r="A1354" i="1"/>
  <c r="D1353" i="1"/>
  <c r="C1353" i="1"/>
  <c r="B1353" i="1"/>
  <c r="A1353" i="1"/>
  <c r="D1352" i="1"/>
  <c r="C1352" i="1"/>
  <c r="B1352" i="1"/>
  <c r="A1352" i="1"/>
  <c r="D1351" i="1"/>
  <c r="C1351" i="1"/>
  <c r="B1351" i="1"/>
  <c r="A1351" i="1"/>
  <c r="D1350" i="1"/>
  <c r="C1350" i="1"/>
  <c r="B1350" i="1"/>
  <c r="A1350" i="1"/>
  <c r="D1349" i="1"/>
  <c r="C1349" i="1"/>
  <c r="B1349" i="1"/>
  <c r="A1349" i="1"/>
  <c r="D1348" i="1"/>
  <c r="C1348" i="1"/>
  <c r="B1348" i="1"/>
  <c r="A1348" i="1"/>
  <c r="D1347" i="1"/>
  <c r="C1347" i="1"/>
  <c r="B1347" i="1"/>
  <c r="A1347" i="1"/>
  <c r="D1346" i="1"/>
  <c r="C1346" i="1"/>
  <c r="B1346" i="1"/>
  <c r="A1346" i="1"/>
  <c r="D1345" i="1"/>
  <c r="C1345" i="1"/>
  <c r="B1345" i="1"/>
  <c r="A1345" i="1"/>
  <c r="D1344" i="1"/>
  <c r="C1344" i="1"/>
  <c r="A1344" i="1"/>
  <c r="D1343" i="1"/>
  <c r="C1343" i="1"/>
  <c r="A1343" i="1"/>
  <c r="D1342" i="1"/>
  <c r="C1342" i="1"/>
  <c r="B1342" i="1"/>
  <c r="A1342" i="1"/>
  <c r="D1341" i="1"/>
  <c r="C1341" i="1"/>
  <c r="A1341" i="1"/>
  <c r="D1340" i="1"/>
  <c r="C1340" i="1"/>
  <c r="B1340" i="1"/>
  <c r="A1340" i="1"/>
  <c r="D1339" i="1"/>
  <c r="C1339" i="1"/>
  <c r="B1339" i="1"/>
  <c r="A1339" i="1"/>
  <c r="D1338" i="1"/>
  <c r="C1338" i="1"/>
  <c r="B1338" i="1"/>
  <c r="A1338" i="1"/>
  <c r="D1337" i="1"/>
  <c r="C1337" i="1"/>
  <c r="B1337" i="1"/>
  <c r="A1337" i="1"/>
  <c r="D1336" i="1"/>
  <c r="C1336" i="1"/>
  <c r="B1336" i="1"/>
  <c r="A1336" i="1"/>
  <c r="D1335" i="1"/>
  <c r="C1335" i="1"/>
  <c r="B1335" i="1"/>
  <c r="A1335" i="1"/>
  <c r="D1334" i="1"/>
  <c r="C1334" i="1"/>
  <c r="B1334" i="1"/>
  <c r="A1334" i="1"/>
  <c r="D1333" i="1"/>
  <c r="C1333" i="1"/>
  <c r="B1333" i="1"/>
  <c r="A1333" i="1"/>
  <c r="D1332" i="1"/>
  <c r="C1332" i="1"/>
  <c r="B1332" i="1"/>
  <c r="A1332" i="1"/>
  <c r="D1331" i="1"/>
  <c r="C1331" i="1"/>
  <c r="A1331" i="1"/>
  <c r="D1330" i="1"/>
  <c r="C1330" i="1"/>
  <c r="B1330" i="1"/>
  <c r="A1330" i="1"/>
  <c r="D1329" i="1"/>
  <c r="C1329" i="1"/>
  <c r="B1329" i="1"/>
  <c r="A1329" i="1"/>
  <c r="D1328" i="1"/>
  <c r="C1328" i="1"/>
  <c r="B1328" i="1"/>
  <c r="A1328" i="1"/>
  <c r="D1327" i="1"/>
  <c r="C1327" i="1"/>
  <c r="A1327" i="1"/>
  <c r="D1326" i="1"/>
  <c r="C1326" i="1"/>
  <c r="B1326" i="1"/>
  <c r="A1326" i="1"/>
  <c r="D1325" i="1"/>
  <c r="C1325" i="1"/>
  <c r="B1325" i="1"/>
  <c r="A1325" i="1"/>
  <c r="D1324" i="1"/>
  <c r="C1324" i="1"/>
  <c r="B1324" i="1"/>
  <c r="A1324" i="1"/>
  <c r="D1323" i="1"/>
  <c r="C1323" i="1"/>
  <c r="B1323" i="1"/>
  <c r="A1323" i="1"/>
  <c r="D1322" i="1"/>
  <c r="C1322" i="1"/>
  <c r="B1322" i="1"/>
  <c r="A1322" i="1"/>
  <c r="D1321" i="1"/>
  <c r="C1321" i="1"/>
  <c r="B1321" i="1"/>
  <c r="A1321" i="1"/>
  <c r="D1320" i="1"/>
  <c r="C1320" i="1"/>
  <c r="B1320" i="1"/>
  <c r="A1320" i="1"/>
  <c r="D1319" i="1"/>
  <c r="C1319" i="1"/>
  <c r="B1319" i="1"/>
  <c r="A1319" i="1"/>
  <c r="D1318" i="1"/>
  <c r="C1318" i="1"/>
  <c r="B1318" i="1"/>
  <c r="A1318" i="1"/>
  <c r="D1317" i="1"/>
  <c r="C1317" i="1"/>
  <c r="B1317" i="1"/>
  <c r="A1317" i="1"/>
  <c r="D1316" i="1"/>
  <c r="C1316" i="1"/>
  <c r="B1316" i="1"/>
  <c r="A1316" i="1"/>
  <c r="D1315" i="1"/>
  <c r="C1315" i="1"/>
  <c r="B1315" i="1"/>
  <c r="A1315" i="1"/>
  <c r="D1314" i="1"/>
  <c r="C1314" i="1"/>
  <c r="B1314" i="1"/>
  <c r="A1314" i="1"/>
  <c r="D1313" i="1"/>
  <c r="C1313" i="1"/>
  <c r="B1313" i="1"/>
  <c r="A1313" i="1"/>
  <c r="D1312" i="1"/>
  <c r="C1312" i="1"/>
  <c r="B1312" i="1"/>
  <c r="A1312" i="1"/>
  <c r="D1311" i="1"/>
  <c r="C1311" i="1"/>
  <c r="B1311" i="1"/>
  <c r="A1311" i="1"/>
  <c r="D1310" i="1"/>
  <c r="C1310" i="1"/>
  <c r="B1310" i="1"/>
  <c r="A1310" i="1"/>
  <c r="D1309" i="1"/>
  <c r="C1309" i="1"/>
  <c r="B1309" i="1"/>
  <c r="A1309" i="1"/>
  <c r="D1308" i="1"/>
  <c r="C1308" i="1"/>
  <c r="B1308" i="1"/>
  <c r="A1308" i="1"/>
  <c r="D1307" i="1"/>
  <c r="C1307" i="1"/>
  <c r="B1307" i="1"/>
  <c r="A1307" i="1"/>
  <c r="D1306" i="1"/>
  <c r="C1306" i="1"/>
  <c r="B1306" i="1"/>
  <c r="A1306" i="1"/>
  <c r="D1305" i="1"/>
  <c r="C1305" i="1"/>
  <c r="B1305" i="1"/>
  <c r="A1305" i="1"/>
  <c r="D1304" i="1"/>
  <c r="C1304" i="1"/>
  <c r="B1304" i="1"/>
  <c r="A1304" i="1"/>
  <c r="D1303" i="1"/>
  <c r="C1303" i="1"/>
  <c r="B1303" i="1"/>
  <c r="A1303" i="1"/>
  <c r="D1302" i="1"/>
  <c r="C1302" i="1"/>
  <c r="B1302" i="1"/>
  <c r="A1302" i="1"/>
  <c r="D1301" i="1"/>
  <c r="C1301" i="1"/>
  <c r="B1301" i="1"/>
  <c r="A1301" i="1"/>
  <c r="D1300" i="1"/>
  <c r="C1300" i="1"/>
  <c r="B1300" i="1"/>
  <c r="A1300" i="1"/>
  <c r="D1299" i="1"/>
  <c r="C1299" i="1"/>
  <c r="B1299" i="1"/>
  <c r="A1299" i="1"/>
  <c r="D1298" i="1"/>
  <c r="C1298" i="1"/>
  <c r="B1298" i="1"/>
  <c r="A1298" i="1"/>
  <c r="D1297" i="1"/>
  <c r="C1297" i="1"/>
  <c r="B1297" i="1"/>
  <c r="A1297" i="1"/>
  <c r="D1296" i="1"/>
  <c r="C1296" i="1"/>
  <c r="B1296" i="1"/>
  <c r="A1296" i="1"/>
  <c r="D1295" i="1"/>
  <c r="C1295" i="1"/>
  <c r="B1295" i="1"/>
  <c r="A1295" i="1"/>
  <c r="D1294" i="1"/>
  <c r="C1294" i="1"/>
  <c r="A1294" i="1"/>
  <c r="D1293" i="1"/>
  <c r="C1293" i="1"/>
  <c r="A1293" i="1"/>
  <c r="D1292" i="1"/>
  <c r="C1292" i="1"/>
  <c r="A1292" i="1"/>
  <c r="D1291" i="1"/>
  <c r="C1291" i="1"/>
  <c r="B1291" i="1"/>
  <c r="A1291" i="1"/>
  <c r="D1290" i="1"/>
  <c r="C1290" i="1"/>
  <c r="A1290" i="1"/>
  <c r="D1289" i="1"/>
  <c r="C1289" i="1"/>
  <c r="A1289" i="1"/>
  <c r="D1288" i="1"/>
  <c r="C1288" i="1"/>
  <c r="B1288" i="1"/>
  <c r="A1288" i="1"/>
  <c r="D1287" i="1"/>
  <c r="C1287" i="1"/>
  <c r="B1287" i="1"/>
  <c r="A1287" i="1"/>
  <c r="D1286" i="1"/>
  <c r="C1286" i="1"/>
  <c r="B1286" i="1"/>
  <c r="A1286" i="1"/>
  <c r="D1285" i="1"/>
  <c r="C1285" i="1"/>
  <c r="B1285" i="1"/>
  <c r="A1285" i="1"/>
  <c r="D1284" i="1"/>
  <c r="C1284" i="1"/>
  <c r="B1284" i="1"/>
  <c r="A1284" i="1"/>
  <c r="D1283" i="1"/>
  <c r="C1283" i="1"/>
  <c r="B1283" i="1"/>
  <c r="A1283" i="1"/>
  <c r="D1282" i="1"/>
  <c r="C1282" i="1"/>
  <c r="B1282" i="1"/>
  <c r="A1282" i="1"/>
  <c r="D1281" i="1"/>
  <c r="C1281" i="1"/>
  <c r="B1281" i="1"/>
  <c r="A1281" i="1"/>
  <c r="D1280" i="1"/>
  <c r="C1280" i="1"/>
  <c r="B1280" i="1"/>
  <c r="A1280" i="1"/>
  <c r="D1279" i="1"/>
  <c r="C1279" i="1"/>
  <c r="B1279" i="1"/>
  <c r="A1279" i="1"/>
  <c r="D1278" i="1"/>
  <c r="C1278" i="1"/>
  <c r="B1278" i="1"/>
  <c r="A1278" i="1"/>
  <c r="D1277" i="1"/>
  <c r="C1277" i="1"/>
  <c r="B1277" i="1"/>
  <c r="A1277" i="1"/>
  <c r="D1276" i="1"/>
  <c r="C1276" i="1"/>
  <c r="B1276" i="1"/>
  <c r="A1276" i="1"/>
  <c r="D1275" i="1"/>
  <c r="C1275" i="1"/>
  <c r="B1275" i="1"/>
  <c r="A1275" i="1"/>
  <c r="D1274" i="1"/>
  <c r="C1274" i="1"/>
  <c r="B1274" i="1"/>
  <c r="A1274" i="1"/>
  <c r="D1273" i="1"/>
  <c r="C1273" i="1"/>
  <c r="B1273" i="1"/>
  <c r="A1273" i="1"/>
  <c r="D1272" i="1"/>
  <c r="C1272" i="1"/>
  <c r="B1272" i="1"/>
  <c r="A1272" i="1"/>
  <c r="D1271" i="1"/>
  <c r="C1271" i="1"/>
  <c r="B1271" i="1"/>
  <c r="A1271" i="1"/>
  <c r="D1270" i="1"/>
  <c r="C1270" i="1"/>
  <c r="B1270" i="1"/>
  <c r="A1270" i="1"/>
  <c r="D1269" i="1"/>
  <c r="C1269" i="1"/>
  <c r="B1269" i="1"/>
  <c r="A1269" i="1"/>
  <c r="D1268" i="1"/>
  <c r="C1268" i="1"/>
  <c r="B1268" i="1"/>
  <c r="A1268" i="1"/>
  <c r="D1267" i="1"/>
  <c r="C1267" i="1"/>
  <c r="B1267" i="1"/>
  <c r="A1267" i="1"/>
  <c r="D1266" i="1"/>
  <c r="C1266" i="1"/>
  <c r="B1266" i="1"/>
  <c r="A1266" i="1"/>
  <c r="D1265" i="1"/>
  <c r="C1265" i="1"/>
  <c r="B1265" i="1"/>
  <c r="A1265" i="1"/>
  <c r="D1264" i="1"/>
  <c r="C1264" i="1"/>
  <c r="B1264" i="1"/>
  <c r="A1264" i="1"/>
  <c r="D1263" i="1"/>
  <c r="C1263" i="1"/>
  <c r="B1263" i="1"/>
  <c r="A1263" i="1"/>
  <c r="D1262" i="1"/>
  <c r="C1262" i="1"/>
  <c r="B1262" i="1"/>
  <c r="A1262" i="1"/>
  <c r="D1261" i="1"/>
  <c r="C1261" i="1"/>
  <c r="B1261" i="1"/>
  <c r="A1261" i="1"/>
  <c r="D1260" i="1"/>
  <c r="C1260" i="1"/>
  <c r="B1260" i="1"/>
  <c r="A1260" i="1"/>
  <c r="D1259" i="1"/>
  <c r="C1259" i="1"/>
  <c r="B1259" i="1"/>
  <c r="A1259" i="1"/>
  <c r="D1258" i="1"/>
  <c r="C1258" i="1"/>
  <c r="B1258" i="1"/>
  <c r="A1258" i="1"/>
  <c r="D1257" i="1"/>
  <c r="C1257" i="1"/>
  <c r="B1257" i="1"/>
  <c r="A1257" i="1"/>
  <c r="D1256" i="1"/>
  <c r="C1256" i="1"/>
  <c r="B1256" i="1"/>
  <c r="A1256" i="1"/>
  <c r="D1255" i="1"/>
  <c r="C1255" i="1"/>
  <c r="B1255" i="1"/>
  <c r="A1255" i="1"/>
  <c r="D1254" i="1"/>
  <c r="C1254" i="1"/>
  <c r="B1254" i="1"/>
  <c r="A1254" i="1"/>
  <c r="D1253" i="1"/>
  <c r="C1253" i="1"/>
  <c r="B1253" i="1"/>
  <c r="A1253" i="1"/>
  <c r="D1252" i="1"/>
  <c r="C1252" i="1"/>
  <c r="B1252" i="1"/>
  <c r="A1252" i="1"/>
  <c r="D1251" i="1"/>
  <c r="C1251" i="1"/>
  <c r="B1251" i="1"/>
  <c r="A1251" i="1"/>
  <c r="D1250" i="1"/>
  <c r="C1250" i="1"/>
  <c r="B1250" i="1"/>
  <c r="A1250" i="1"/>
  <c r="D1249" i="1"/>
  <c r="C1249" i="1"/>
  <c r="B1249" i="1"/>
  <c r="A1249" i="1"/>
  <c r="D1248" i="1"/>
  <c r="C1248" i="1"/>
  <c r="B1248" i="1"/>
  <c r="A1248" i="1"/>
  <c r="D1247" i="1"/>
  <c r="C1247" i="1"/>
  <c r="B1247" i="1"/>
  <c r="A1247" i="1"/>
  <c r="D1246" i="1"/>
  <c r="C1246" i="1"/>
  <c r="B1246" i="1"/>
  <c r="A1246" i="1"/>
  <c r="D1245" i="1"/>
  <c r="C1245" i="1"/>
  <c r="B1245" i="1"/>
  <c r="A1245" i="1"/>
  <c r="D1244" i="1"/>
  <c r="C1244" i="1"/>
  <c r="B1244" i="1"/>
  <c r="A1244" i="1"/>
  <c r="D1243" i="1"/>
  <c r="C1243" i="1"/>
  <c r="B1243" i="1"/>
  <c r="A1243" i="1"/>
  <c r="D1242" i="1"/>
  <c r="C1242" i="1"/>
  <c r="B1242" i="1"/>
  <c r="A1242" i="1"/>
  <c r="D1241" i="1"/>
  <c r="C1241" i="1"/>
  <c r="B1241" i="1"/>
  <c r="A1241" i="1"/>
  <c r="D1240" i="1"/>
  <c r="B1240" i="1"/>
  <c r="A1240" i="1"/>
  <c r="D1239" i="1"/>
  <c r="C1239" i="1"/>
  <c r="A1239" i="1"/>
  <c r="D1238" i="1"/>
  <c r="C1238" i="1"/>
  <c r="A1238" i="1"/>
  <c r="D1237" i="1"/>
  <c r="C1237" i="1"/>
  <c r="A1237" i="1"/>
  <c r="D1236" i="1"/>
  <c r="C1236" i="1"/>
  <c r="A1236" i="1"/>
  <c r="D1235" i="1"/>
  <c r="C1235" i="1"/>
  <c r="A1235" i="1"/>
  <c r="D1234" i="1"/>
  <c r="C1234" i="1"/>
  <c r="B1234" i="1"/>
  <c r="A1234" i="1"/>
  <c r="D1233" i="1"/>
  <c r="C1233" i="1"/>
  <c r="B1233" i="1"/>
  <c r="A1233" i="1"/>
  <c r="D1232" i="1"/>
  <c r="C1232" i="1"/>
  <c r="B1232" i="1"/>
  <c r="A1232" i="1"/>
  <c r="D1231" i="1"/>
  <c r="C1231" i="1"/>
  <c r="B1231" i="1"/>
  <c r="A1231" i="1"/>
  <c r="D1230" i="1"/>
  <c r="C1230" i="1"/>
  <c r="B1230" i="1"/>
  <c r="A1230" i="1"/>
  <c r="D1229" i="1"/>
  <c r="C1229" i="1"/>
  <c r="B1229" i="1"/>
  <c r="A1229" i="1"/>
  <c r="D1228" i="1"/>
  <c r="C1228" i="1"/>
  <c r="B1228" i="1"/>
  <c r="A1228" i="1"/>
  <c r="D1227" i="1"/>
  <c r="C1227" i="1"/>
  <c r="B1227" i="1"/>
  <c r="A1227" i="1"/>
  <c r="D1226" i="1"/>
  <c r="C1226" i="1"/>
  <c r="B1226" i="1"/>
  <c r="A1226" i="1"/>
  <c r="D1225" i="1"/>
  <c r="C1225" i="1"/>
  <c r="B1225" i="1"/>
  <c r="A1225" i="1"/>
  <c r="D1224" i="1"/>
  <c r="C1224" i="1"/>
  <c r="B1224" i="1"/>
  <c r="A1224" i="1"/>
  <c r="D1223" i="1"/>
  <c r="C1223" i="1"/>
  <c r="B1223" i="1"/>
  <c r="A1223" i="1"/>
  <c r="D1222" i="1"/>
  <c r="C1222" i="1"/>
  <c r="B1222" i="1"/>
  <c r="A1222" i="1"/>
  <c r="D1221" i="1"/>
  <c r="C1221" i="1"/>
  <c r="B1221" i="1"/>
  <c r="A1221" i="1"/>
  <c r="D1220" i="1"/>
  <c r="A1220" i="1"/>
  <c r="D1219" i="1"/>
  <c r="C1219" i="1"/>
  <c r="B1219" i="1"/>
  <c r="A1219" i="1"/>
  <c r="D1218" i="1"/>
  <c r="C1218" i="1"/>
  <c r="B1218" i="1"/>
  <c r="A1218" i="1"/>
  <c r="D1217" i="1"/>
  <c r="C1217" i="1"/>
  <c r="B1217" i="1"/>
  <c r="A1217" i="1"/>
  <c r="D1216" i="1"/>
  <c r="C1216" i="1"/>
  <c r="B1216" i="1"/>
  <c r="A1216" i="1"/>
  <c r="D1215" i="1"/>
  <c r="C1215" i="1"/>
  <c r="B1215" i="1"/>
  <c r="A1215" i="1"/>
  <c r="D1214" i="1"/>
  <c r="C1214" i="1"/>
  <c r="B1214" i="1"/>
  <c r="A1214" i="1"/>
  <c r="D1213" i="1"/>
  <c r="C1213" i="1"/>
  <c r="B1213" i="1"/>
  <c r="A1213" i="1"/>
  <c r="D1212" i="1"/>
  <c r="C1212" i="1"/>
  <c r="B1212" i="1"/>
  <c r="A1212" i="1"/>
  <c r="D1211" i="1"/>
  <c r="C1211" i="1"/>
  <c r="B1211" i="1"/>
  <c r="A1211" i="1"/>
  <c r="D1210" i="1"/>
  <c r="C1210" i="1"/>
  <c r="B1210" i="1"/>
  <c r="A1210" i="1"/>
  <c r="D1209" i="1"/>
  <c r="C1209" i="1"/>
  <c r="B1209" i="1"/>
  <c r="A1209" i="1"/>
  <c r="D1208" i="1"/>
  <c r="C1208" i="1"/>
  <c r="B1208" i="1"/>
  <c r="A1208" i="1"/>
  <c r="D1207" i="1"/>
  <c r="C1207" i="1"/>
  <c r="A1207" i="1"/>
  <c r="D1206" i="1"/>
  <c r="C1206" i="1"/>
  <c r="A1206" i="1"/>
  <c r="D1205" i="1"/>
  <c r="C1205" i="1"/>
  <c r="A1205" i="1"/>
  <c r="D1204" i="1"/>
  <c r="C1204" i="1"/>
  <c r="A1204" i="1"/>
  <c r="D1203" i="1"/>
  <c r="C1203" i="1"/>
  <c r="A1203" i="1"/>
  <c r="D1202" i="1"/>
  <c r="C1202" i="1"/>
  <c r="A1202" i="1"/>
  <c r="D1201" i="1"/>
  <c r="C1201" i="1"/>
  <c r="B1201" i="1"/>
  <c r="A1201" i="1"/>
  <c r="D1200" i="1"/>
  <c r="C1200" i="1"/>
  <c r="B1200" i="1"/>
  <c r="A1200" i="1"/>
  <c r="D1199" i="1"/>
  <c r="C1199" i="1"/>
  <c r="B1199" i="1"/>
  <c r="A1199" i="1"/>
  <c r="D1198" i="1"/>
  <c r="C1198" i="1"/>
  <c r="B1198" i="1"/>
  <c r="A1198" i="1"/>
  <c r="D1197" i="1"/>
  <c r="C1197" i="1"/>
  <c r="B1197" i="1"/>
  <c r="A1197" i="1"/>
  <c r="D1196" i="1"/>
  <c r="C1196" i="1"/>
  <c r="B1196" i="1"/>
  <c r="A1196" i="1"/>
  <c r="D1195" i="1"/>
  <c r="C1195" i="1"/>
  <c r="B1195" i="1"/>
  <c r="A1195" i="1"/>
  <c r="D1194" i="1"/>
  <c r="B1194" i="1"/>
  <c r="A1194" i="1"/>
  <c r="D1193" i="1"/>
  <c r="C1193" i="1"/>
  <c r="B1193" i="1"/>
  <c r="A1193" i="1"/>
  <c r="D1192" i="1"/>
  <c r="C1192" i="1"/>
  <c r="B1192" i="1"/>
  <c r="A1192" i="1"/>
  <c r="D1191" i="1"/>
  <c r="C1191" i="1"/>
  <c r="B1191" i="1"/>
  <c r="A1191" i="1"/>
  <c r="D1190" i="1"/>
  <c r="A1190" i="1"/>
  <c r="D1189" i="1"/>
  <c r="A1189" i="1"/>
  <c r="D1188" i="1"/>
  <c r="A1188" i="1"/>
  <c r="D1187" i="1"/>
  <c r="A1187" i="1"/>
  <c r="D1186" i="1"/>
  <c r="C1186" i="1"/>
  <c r="B1186" i="1"/>
  <c r="A1186" i="1"/>
  <c r="D1185" i="1"/>
  <c r="C1185" i="1"/>
  <c r="B1185" i="1"/>
  <c r="A1185" i="1"/>
  <c r="D1184" i="1"/>
  <c r="C1184" i="1"/>
  <c r="B1184" i="1"/>
  <c r="A1184" i="1"/>
  <c r="D1183" i="1"/>
  <c r="C1183" i="1"/>
  <c r="B1183" i="1"/>
  <c r="A1183" i="1"/>
  <c r="D1182" i="1"/>
  <c r="C1182" i="1"/>
  <c r="B1182" i="1"/>
  <c r="A1182" i="1"/>
  <c r="D1181" i="1"/>
  <c r="C1181" i="1"/>
  <c r="B1181" i="1"/>
  <c r="A1181" i="1"/>
  <c r="D1180" i="1"/>
  <c r="C1180" i="1"/>
  <c r="B1180" i="1"/>
  <c r="A1180" i="1"/>
  <c r="D1179" i="1"/>
  <c r="C1179" i="1"/>
  <c r="B1179" i="1"/>
  <c r="A1179" i="1"/>
  <c r="D1178" i="1"/>
  <c r="C1178" i="1"/>
  <c r="B1178" i="1"/>
  <c r="A1178" i="1"/>
  <c r="D1177" i="1"/>
  <c r="C1177" i="1"/>
  <c r="B1177" i="1"/>
  <c r="A1177" i="1"/>
  <c r="D1176" i="1"/>
  <c r="C1176" i="1"/>
  <c r="B1176" i="1"/>
  <c r="A1176" i="1"/>
  <c r="D1175" i="1"/>
  <c r="C1175" i="1"/>
  <c r="B1175" i="1"/>
  <c r="A1175" i="1"/>
  <c r="D1174" i="1"/>
  <c r="C1174" i="1"/>
  <c r="B1174" i="1"/>
  <c r="A1174" i="1"/>
  <c r="D1173" i="1"/>
  <c r="C1173" i="1"/>
  <c r="B1173" i="1"/>
  <c r="A1173" i="1"/>
  <c r="D1172" i="1"/>
  <c r="C1172" i="1"/>
  <c r="B1172" i="1"/>
  <c r="A1172" i="1"/>
  <c r="D1171" i="1"/>
  <c r="C1171" i="1"/>
  <c r="B1171" i="1"/>
  <c r="A1171" i="1"/>
  <c r="D1170" i="1"/>
  <c r="C1170" i="1"/>
  <c r="B1170" i="1"/>
  <c r="A1170" i="1"/>
  <c r="D1169" i="1"/>
  <c r="C1169" i="1"/>
  <c r="B1169" i="1"/>
  <c r="A1169" i="1"/>
  <c r="D1168" i="1"/>
  <c r="C1168" i="1"/>
  <c r="B1168" i="1"/>
  <c r="A1168" i="1"/>
  <c r="D1167" i="1"/>
  <c r="C1167" i="1"/>
  <c r="B1167" i="1"/>
  <c r="A1167" i="1"/>
  <c r="D1166" i="1"/>
  <c r="C1166" i="1"/>
  <c r="B1166" i="1"/>
  <c r="A1166" i="1"/>
  <c r="D1165" i="1"/>
  <c r="C1165" i="1"/>
  <c r="B1165" i="1"/>
  <c r="A1165" i="1"/>
  <c r="D1164" i="1"/>
  <c r="C1164" i="1"/>
  <c r="B1164" i="1"/>
  <c r="A1164" i="1"/>
  <c r="D1163" i="1"/>
  <c r="C1163" i="1"/>
  <c r="B1163" i="1"/>
  <c r="A1163" i="1"/>
  <c r="D1162" i="1"/>
  <c r="C1162" i="1"/>
  <c r="B1162" i="1"/>
  <c r="A1162" i="1"/>
  <c r="D1161" i="1"/>
  <c r="C1161" i="1"/>
  <c r="B1161" i="1"/>
  <c r="A1161" i="1"/>
  <c r="D1160" i="1"/>
  <c r="C1160" i="1"/>
  <c r="B1160" i="1"/>
  <c r="A1160" i="1"/>
  <c r="D1159" i="1"/>
  <c r="C1159" i="1"/>
  <c r="B1159" i="1"/>
  <c r="A1159" i="1"/>
  <c r="D1158" i="1"/>
  <c r="C1158" i="1"/>
  <c r="B1158" i="1"/>
  <c r="A1158" i="1"/>
  <c r="D1157" i="1"/>
  <c r="C1157" i="1"/>
  <c r="B1157" i="1"/>
  <c r="A1157" i="1"/>
  <c r="D1156" i="1"/>
  <c r="C1156" i="1"/>
  <c r="B1156" i="1"/>
  <c r="A1156" i="1"/>
  <c r="D1155" i="1"/>
  <c r="C1155" i="1"/>
  <c r="B1155" i="1"/>
  <c r="A1155" i="1"/>
  <c r="D1154" i="1"/>
  <c r="C1154" i="1"/>
  <c r="B1154" i="1"/>
  <c r="A1154" i="1"/>
  <c r="D1153" i="1"/>
  <c r="C1153" i="1"/>
  <c r="B1153" i="1"/>
  <c r="A1153" i="1"/>
  <c r="D1152" i="1"/>
  <c r="C1152" i="1"/>
  <c r="B1152" i="1"/>
  <c r="A1152" i="1"/>
  <c r="D1151" i="1"/>
  <c r="C1151" i="1"/>
  <c r="B1151" i="1"/>
  <c r="A1151" i="1"/>
  <c r="D1150" i="1"/>
  <c r="C1150" i="1"/>
  <c r="B1150" i="1"/>
  <c r="A1150" i="1"/>
  <c r="D1149" i="1"/>
  <c r="C1149" i="1"/>
  <c r="B1149" i="1"/>
  <c r="A1149" i="1"/>
  <c r="D1148" i="1"/>
  <c r="C1148" i="1"/>
  <c r="B1148" i="1"/>
  <c r="A1148" i="1"/>
  <c r="D1147" i="1"/>
  <c r="C1147" i="1"/>
  <c r="A1147" i="1"/>
  <c r="D1146" i="1"/>
  <c r="C1146" i="1"/>
  <c r="B1146" i="1"/>
  <c r="A1146" i="1"/>
  <c r="D1145" i="1"/>
  <c r="C1145" i="1"/>
  <c r="A1145" i="1"/>
  <c r="D1144" i="1"/>
  <c r="C1144" i="1"/>
  <c r="B1144" i="1"/>
  <c r="A1144" i="1"/>
  <c r="D1143" i="1"/>
  <c r="C1143" i="1"/>
  <c r="B1143" i="1"/>
  <c r="A1143" i="1"/>
  <c r="D1142" i="1"/>
  <c r="C1142" i="1"/>
  <c r="B1142" i="1"/>
  <c r="A1142" i="1"/>
  <c r="D1141" i="1"/>
  <c r="C1141" i="1"/>
  <c r="B1141" i="1"/>
  <c r="A1141" i="1"/>
  <c r="D1140" i="1"/>
  <c r="C1140" i="1"/>
  <c r="B1140" i="1"/>
  <c r="A1140" i="1"/>
  <c r="D1139" i="1"/>
  <c r="C1139" i="1"/>
  <c r="B1139" i="1"/>
  <c r="A1139" i="1"/>
  <c r="D1138" i="1"/>
  <c r="C1138" i="1"/>
  <c r="B1138" i="1"/>
  <c r="A1138" i="1"/>
  <c r="D1137" i="1"/>
  <c r="C1137" i="1"/>
  <c r="B1137" i="1"/>
  <c r="A1137" i="1"/>
  <c r="D1136" i="1"/>
  <c r="C1136" i="1"/>
  <c r="B1136" i="1"/>
  <c r="A1136" i="1"/>
  <c r="D1135" i="1"/>
  <c r="C1135" i="1"/>
  <c r="B1135" i="1"/>
  <c r="A1135" i="1"/>
  <c r="D1134" i="1"/>
  <c r="C1134" i="1"/>
  <c r="B1134" i="1"/>
  <c r="A1134" i="1"/>
  <c r="D1133" i="1"/>
  <c r="C1133" i="1"/>
  <c r="B1133" i="1"/>
  <c r="A1133" i="1"/>
  <c r="D1132" i="1"/>
  <c r="C1132" i="1"/>
  <c r="B1132" i="1"/>
  <c r="A1132" i="1"/>
  <c r="D1131" i="1"/>
  <c r="C1131" i="1"/>
  <c r="B1131" i="1"/>
  <c r="A1131" i="1"/>
  <c r="D1130" i="1"/>
  <c r="C1130" i="1"/>
  <c r="B1130" i="1"/>
  <c r="A1130" i="1"/>
  <c r="D1129" i="1"/>
  <c r="C1129" i="1"/>
  <c r="B1129" i="1"/>
  <c r="A1129" i="1"/>
  <c r="D1128" i="1"/>
  <c r="C1128" i="1"/>
  <c r="B1128" i="1"/>
  <c r="A1128" i="1"/>
  <c r="D1127" i="1"/>
  <c r="C1127" i="1"/>
  <c r="B1127" i="1"/>
  <c r="A1127" i="1"/>
  <c r="D1126" i="1"/>
  <c r="C1126" i="1"/>
  <c r="B1126" i="1"/>
  <c r="A1126" i="1"/>
  <c r="D1125" i="1"/>
  <c r="C1125" i="1"/>
  <c r="B1125" i="1"/>
  <c r="A1125" i="1"/>
  <c r="D1124" i="1"/>
  <c r="C1124" i="1"/>
  <c r="B1124" i="1"/>
  <c r="A1124" i="1"/>
  <c r="D1123" i="1"/>
  <c r="C1123" i="1"/>
  <c r="B1123" i="1"/>
  <c r="A1123" i="1"/>
  <c r="D1122" i="1"/>
  <c r="C1122" i="1"/>
  <c r="B1122" i="1"/>
  <c r="A1122" i="1"/>
  <c r="D1121" i="1"/>
  <c r="C1121" i="1"/>
  <c r="B1121" i="1"/>
  <c r="A1121" i="1"/>
  <c r="D1120" i="1"/>
  <c r="C1120" i="1"/>
  <c r="B1120" i="1"/>
  <c r="A1120" i="1"/>
  <c r="D1119" i="1"/>
  <c r="C1119" i="1"/>
  <c r="B1119" i="1"/>
  <c r="A1119" i="1"/>
  <c r="D1118" i="1"/>
  <c r="C1118" i="1"/>
  <c r="B1118" i="1"/>
  <c r="A1118" i="1"/>
  <c r="D1117" i="1"/>
  <c r="C1117" i="1"/>
  <c r="B1117" i="1"/>
  <c r="A1117" i="1"/>
  <c r="D1116" i="1"/>
  <c r="C1116" i="1"/>
  <c r="B1116" i="1"/>
  <c r="A1116" i="1"/>
  <c r="D1115" i="1"/>
  <c r="C1115" i="1"/>
  <c r="B1115" i="1"/>
  <c r="A1115" i="1"/>
  <c r="D1114" i="1"/>
  <c r="C1114" i="1"/>
  <c r="B1114" i="1"/>
  <c r="A1114" i="1"/>
  <c r="D1113" i="1"/>
  <c r="C1113" i="1"/>
  <c r="B1113" i="1"/>
  <c r="A1113" i="1"/>
  <c r="D1112" i="1"/>
  <c r="C1112" i="1"/>
  <c r="B1112" i="1"/>
  <c r="A1112" i="1"/>
  <c r="D1111" i="1"/>
  <c r="C1111" i="1"/>
  <c r="B1111" i="1"/>
  <c r="A1111" i="1"/>
  <c r="D1110" i="1"/>
  <c r="C1110" i="1"/>
  <c r="B1110" i="1"/>
  <c r="A1110" i="1"/>
  <c r="D1109" i="1"/>
  <c r="C1109" i="1"/>
  <c r="B1109" i="1"/>
  <c r="A1109" i="1"/>
  <c r="D1108" i="1"/>
  <c r="C1108" i="1"/>
  <c r="B1108" i="1"/>
  <c r="A1108" i="1"/>
  <c r="D1107" i="1"/>
  <c r="C1107" i="1"/>
  <c r="B1107" i="1"/>
  <c r="A1107" i="1"/>
  <c r="D1106" i="1"/>
  <c r="C1106" i="1"/>
  <c r="B1106" i="1"/>
  <c r="A1106" i="1"/>
  <c r="D1105" i="1"/>
  <c r="C1105" i="1"/>
  <c r="B1105" i="1"/>
  <c r="A1105" i="1"/>
  <c r="D1104" i="1"/>
  <c r="C1104" i="1"/>
  <c r="B1104" i="1"/>
  <c r="A1104" i="1"/>
  <c r="D1103" i="1"/>
  <c r="C1103" i="1"/>
  <c r="B1103" i="1"/>
  <c r="A1103" i="1"/>
  <c r="D1102" i="1"/>
  <c r="C1102" i="1"/>
  <c r="B1102" i="1"/>
  <c r="A1102" i="1"/>
  <c r="D1101" i="1"/>
  <c r="C1101" i="1"/>
  <c r="B1101" i="1"/>
  <c r="A1101" i="1"/>
  <c r="D1100" i="1"/>
  <c r="C1100" i="1"/>
  <c r="B1100" i="1"/>
  <c r="A1100" i="1"/>
  <c r="D1099" i="1"/>
  <c r="C1099" i="1"/>
  <c r="B1099" i="1"/>
  <c r="A1099" i="1"/>
  <c r="D1098" i="1"/>
  <c r="C1098" i="1"/>
  <c r="B1098" i="1"/>
  <c r="A1098" i="1"/>
  <c r="D1097" i="1"/>
  <c r="C1097" i="1"/>
  <c r="B1097" i="1"/>
  <c r="A1097" i="1"/>
  <c r="D1096" i="1"/>
  <c r="C1096" i="1"/>
  <c r="B1096" i="1"/>
  <c r="A1096" i="1"/>
  <c r="D1095" i="1"/>
  <c r="C1095" i="1"/>
  <c r="B1095" i="1"/>
  <c r="A1095" i="1"/>
  <c r="D1094" i="1"/>
  <c r="C1094" i="1"/>
  <c r="B1094" i="1"/>
  <c r="A1094" i="1"/>
  <c r="D1093" i="1"/>
  <c r="C1093" i="1"/>
  <c r="B1093" i="1"/>
  <c r="A1093" i="1"/>
  <c r="D1092" i="1"/>
  <c r="C1092" i="1"/>
  <c r="B1092" i="1"/>
  <c r="A1092" i="1"/>
  <c r="D1091" i="1"/>
  <c r="C1091" i="1"/>
  <c r="B1091" i="1"/>
  <c r="A1091" i="1"/>
  <c r="D1090" i="1"/>
  <c r="C1090" i="1"/>
  <c r="B1090" i="1"/>
  <c r="A1090" i="1"/>
  <c r="D1089" i="1"/>
  <c r="C1089" i="1"/>
  <c r="B1089" i="1"/>
  <c r="A1089" i="1"/>
  <c r="D1088" i="1"/>
  <c r="C1088" i="1"/>
  <c r="B1088" i="1"/>
  <c r="A1088" i="1"/>
  <c r="D1087" i="1"/>
  <c r="C1087" i="1"/>
  <c r="B1087" i="1"/>
  <c r="A1087" i="1"/>
  <c r="D1086" i="1"/>
  <c r="C1086" i="1"/>
  <c r="B1086" i="1"/>
  <c r="A1086" i="1"/>
  <c r="D1085" i="1"/>
  <c r="C1085" i="1"/>
  <c r="B1085" i="1"/>
  <c r="A1085" i="1"/>
  <c r="D1084" i="1"/>
  <c r="C1084" i="1"/>
  <c r="B1084" i="1"/>
  <c r="A1084" i="1"/>
  <c r="D1083" i="1"/>
  <c r="C1083" i="1"/>
  <c r="B1083" i="1"/>
  <c r="A1083" i="1"/>
  <c r="D1082" i="1"/>
  <c r="C1082" i="1"/>
  <c r="B1082" i="1"/>
  <c r="A1082" i="1"/>
  <c r="D1081" i="1"/>
  <c r="C1081" i="1"/>
  <c r="B1081" i="1"/>
  <c r="A1081" i="1"/>
  <c r="D1080" i="1"/>
  <c r="C1080" i="1"/>
  <c r="B1080" i="1"/>
  <c r="A1080" i="1"/>
  <c r="D1079" i="1"/>
  <c r="C1079" i="1"/>
  <c r="B1079" i="1"/>
  <c r="A1079" i="1"/>
  <c r="D1078" i="1"/>
  <c r="C1078" i="1"/>
  <c r="B1078" i="1"/>
  <c r="A1078" i="1"/>
  <c r="D1077" i="1"/>
  <c r="C1077" i="1"/>
  <c r="B1077" i="1"/>
  <c r="A1077" i="1"/>
  <c r="D1076" i="1"/>
  <c r="C1076" i="1"/>
  <c r="B1076" i="1"/>
  <c r="A1076" i="1"/>
  <c r="D1075" i="1"/>
  <c r="C1075" i="1"/>
  <c r="B1075" i="1"/>
  <c r="A1075" i="1"/>
  <c r="D1074" i="1"/>
  <c r="C1074" i="1"/>
  <c r="B1074" i="1"/>
  <c r="A1074" i="1"/>
  <c r="D1073" i="1"/>
  <c r="C1073" i="1"/>
  <c r="B1073" i="1"/>
  <c r="A1073" i="1"/>
  <c r="D1072" i="1"/>
  <c r="C1072" i="1"/>
  <c r="B1072" i="1"/>
  <c r="A1072" i="1"/>
  <c r="D1071" i="1"/>
  <c r="C1071" i="1"/>
  <c r="B1071" i="1"/>
  <c r="A1071" i="1"/>
  <c r="D1070" i="1"/>
  <c r="C1070" i="1"/>
  <c r="B1070" i="1"/>
  <c r="A1070" i="1"/>
  <c r="D1069" i="1"/>
  <c r="C1069" i="1"/>
  <c r="B1069" i="1"/>
  <c r="A1069" i="1"/>
  <c r="D1068" i="1"/>
  <c r="C1068" i="1"/>
  <c r="B1068" i="1"/>
  <c r="A1068" i="1"/>
  <c r="D1067" i="1"/>
  <c r="C1067" i="1"/>
  <c r="B1067" i="1"/>
  <c r="A1067" i="1"/>
  <c r="D1066" i="1"/>
  <c r="C1066" i="1"/>
  <c r="B1066" i="1"/>
  <c r="A1066" i="1"/>
  <c r="D1065" i="1"/>
  <c r="C1065" i="1"/>
  <c r="B1065" i="1"/>
  <c r="A1065" i="1"/>
  <c r="D1064" i="1"/>
  <c r="C1064" i="1"/>
  <c r="B1064" i="1"/>
  <c r="A1064" i="1"/>
  <c r="D1063" i="1"/>
  <c r="C1063" i="1"/>
  <c r="B1063" i="1"/>
  <c r="A1063" i="1"/>
  <c r="D1062" i="1"/>
  <c r="C1062" i="1"/>
  <c r="B1062" i="1"/>
  <c r="A1062" i="1"/>
  <c r="D1061" i="1"/>
  <c r="C1061" i="1"/>
  <c r="B1061" i="1"/>
  <c r="A1061" i="1"/>
  <c r="D1060" i="1"/>
  <c r="C1060" i="1"/>
  <c r="B1060" i="1"/>
  <c r="A1060" i="1"/>
  <c r="D1059" i="1"/>
  <c r="C1059" i="1"/>
  <c r="B1059" i="1"/>
  <c r="A1059" i="1"/>
  <c r="D1058" i="1"/>
  <c r="C1058" i="1"/>
  <c r="B1058" i="1"/>
  <c r="A1058" i="1"/>
  <c r="D1057" i="1"/>
  <c r="C1057" i="1"/>
  <c r="B1057" i="1"/>
  <c r="A1057" i="1"/>
  <c r="D1056" i="1"/>
  <c r="C1056" i="1"/>
  <c r="B1056" i="1"/>
  <c r="A1056" i="1"/>
  <c r="D1055" i="1"/>
  <c r="C1055" i="1"/>
  <c r="B1055" i="1"/>
  <c r="A1055" i="1"/>
  <c r="D1054" i="1"/>
  <c r="C1054" i="1"/>
  <c r="B1054" i="1"/>
  <c r="A1054" i="1"/>
  <c r="D1053" i="1"/>
  <c r="C1053" i="1"/>
  <c r="B1053" i="1"/>
  <c r="A1053" i="1"/>
  <c r="D1052" i="1"/>
  <c r="C1052" i="1"/>
  <c r="B1052" i="1"/>
  <c r="A1052" i="1"/>
  <c r="D1051" i="1"/>
  <c r="C1051" i="1"/>
  <c r="B1051" i="1"/>
  <c r="A1051" i="1"/>
  <c r="D1050" i="1"/>
  <c r="C1050" i="1"/>
  <c r="B1050" i="1"/>
  <c r="A1050" i="1"/>
  <c r="D1049" i="1"/>
  <c r="C1049" i="1"/>
  <c r="A1049" i="1"/>
  <c r="D1048" i="1"/>
  <c r="C1048" i="1"/>
  <c r="A1048" i="1"/>
  <c r="D1047" i="1"/>
  <c r="C1047" i="1"/>
  <c r="A1047" i="1"/>
  <c r="D1046" i="1"/>
  <c r="C1046" i="1"/>
  <c r="A1046" i="1"/>
  <c r="D1045" i="1"/>
  <c r="C1045" i="1"/>
  <c r="B1045" i="1"/>
  <c r="A1045" i="1"/>
  <c r="D1044" i="1"/>
  <c r="C1044" i="1"/>
  <c r="B1044" i="1"/>
  <c r="A1044" i="1"/>
  <c r="D1043" i="1"/>
  <c r="C1043" i="1"/>
  <c r="B1043" i="1"/>
  <c r="A1043" i="1"/>
  <c r="D1042" i="1"/>
  <c r="C1042" i="1"/>
  <c r="B1042" i="1"/>
  <c r="A1042" i="1"/>
  <c r="D1041" i="1"/>
  <c r="C1041" i="1"/>
  <c r="B1041" i="1"/>
  <c r="A1041" i="1"/>
  <c r="D1040" i="1"/>
  <c r="C1040" i="1"/>
  <c r="B1040" i="1"/>
  <c r="A1040" i="1"/>
  <c r="D1039" i="1"/>
  <c r="C1039" i="1"/>
  <c r="B1039" i="1"/>
  <c r="A1039" i="1"/>
  <c r="D1038" i="1"/>
  <c r="C1038" i="1"/>
  <c r="B1038" i="1"/>
  <c r="A1038" i="1"/>
  <c r="D1037" i="1"/>
  <c r="C1037" i="1"/>
  <c r="B1037" i="1"/>
  <c r="A1037" i="1"/>
  <c r="D1036" i="1"/>
  <c r="C1036" i="1"/>
  <c r="B1036" i="1"/>
  <c r="A1036" i="1"/>
  <c r="D1035" i="1"/>
  <c r="C1035" i="1"/>
  <c r="B1035" i="1"/>
  <c r="A1035" i="1"/>
  <c r="D1034" i="1"/>
  <c r="C1034" i="1"/>
  <c r="B1034" i="1"/>
  <c r="A1034" i="1"/>
  <c r="D1033" i="1"/>
  <c r="C1033" i="1"/>
  <c r="B1033" i="1"/>
  <c r="A1033" i="1"/>
  <c r="D1032" i="1"/>
  <c r="C1032" i="1"/>
  <c r="B1032" i="1"/>
  <c r="A1032" i="1"/>
  <c r="D1031" i="1"/>
  <c r="C1031" i="1"/>
  <c r="B1031" i="1"/>
  <c r="A1031" i="1"/>
  <c r="D1030" i="1"/>
  <c r="C1030" i="1"/>
  <c r="B1030" i="1"/>
  <c r="A1030" i="1"/>
  <c r="D1029" i="1"/>
  <c r="C1029" i="1"/>
  <c r="B1029" i="1"/>
  <c r="A1029" i="1"/>
  <c r="D1028" i="1"/>
  <c r="C1028" i="1"/>
  <c r="B1028" i="1"/>
  <c r="A1028" i="1"/>
  <c r="D1027" i="1"/>
  <c r="C1027" i="1"/>
  <c r="B1027" i="1"/>
  <c r="A1027" i="1"/>
  <c r="D1026" i="1"/>
  <c r="C1026" i="1"/>
  <c r="B1026" i="1"/>
  <c r="A1026" i="1"/>
  <c r="D1025" i="1"/>
  <c r="C1025" i="1"/>
  <c r="B1025" i="1"/>
  <c r="A1025" i="1"/>
  <c r="D1024" i="1"/>
  <c r="C1024" i="1"/>
  <c r="B1024" i="1"/>
  <c r="A1024" i="1"/>
  <c r="D1023" i="1"/>
  <c r="C1023" i="1"/>
  <c r="B1023" i="1"/>
  <c r="A1023" i="1"/>
  <c r="D1022" i="1"/>
  <c r="C1022" i="1"/>
  <c r="B1022" i="1"/>
  <c r="A1022" i="1"/>
  <c r="D1021" i="1"/>
  <c r="C1021" i="1"/>
  <c r="B1021" i="1"/>
  <c r="A1021" i="1"/>
  <c r="D1020" i="1"/>
  <c r="C1020" i="1"/>
  <c r="B1020" i="1"/>
  <c r="A1020" i="1"/>
  <c r="D1019" i="1"/>
  <c r="C1019" i="1"/>
  <c r="B1019" i="1"/>
  <c r="A1019" i="1"/>
  <c r="D1018" i="1"/>
  <c r="C1018" i="1"/>
  <c r="B1018" i="1"/>
  <c r="A1018" i="1"/>
  <c r="D1017" i="1"/>
  <c r="C1017" i="1"/>
  <c r="B1017" i="1"/>
  <c r="A1017" i="1"/>
  <c r="D1016" i="1"/>
  <c r="C1016" i="1"/>
  <c r="B1016" i="1"/>
  <c r="A1016" i="1"/>
  <c r="D1015" i="1"/>
  <c r="C1015" i="1"/>
  <c r="B1015" i="1"/>
  <c r="A1015" i="1"/>
  <c r="D1014" i="1"/>
  <c r="C1014" i="1"/>
  <c r="B1014" i="1"/>
  <c r="A1014" i="1"/>
  <c r="D1013" i="1"/>
  <c r="C1013" i="1"/>
  <c r="B1013" i="1"/>
  <c r="A1013" i="1"/>
  <c r="D1012" i="1"/>
  <c r="C1012" i="1"/>
  <c r="B1012" i="1"/>
  <c r="A1012" i="1"/>
  <c r="D1011" i="1"/>
  <c r="C1011" i="1"/>
  <c r="B1011" i="1"/>
  <c r="A1011" i="1"/>
  <c r="D1010" i="1"/>
  <c r="C1010" i="1"/>
  <c r="B1010" i="1"/>
  <c r="A1010" i="1"/>
  <c r="D1009" i="1"/>
  <c r="C1009" i="1"/>
  <c r="B1009" i="1"/>
  <c r="A1009" i="1"/>
  <c r="D1008" i="1"/>
  <c r="C1008" i="1"/>
  <c r="B1008" i="1"/>
  <c r="A1008" i="1"/>
  <c r="D1007" i="1"/>
  <c r="C1007" i="1"/>
  <c r="B1007" i="1"/>
  <c r="A1007" i="1"/>
  <c r="D1006" i="1"/>
  <c r="C1006" i="1"/>
  <c r="B1006" i="1"/>
  <c r="A1006" i="1"/>
  <c r="D1005" i="1"/>
  <c r="C1005" i="1"/>
  <c r="B1005" i="1"/>
  <c r="A1005" i="1"/>
  <c r="D1004" i="1"/>
  <c r="C1004" i="1"/>
  <c r="B1004" i="1"/>
  <c r="A1004" i="1"/>
  <c r="D1003" i="1"/>
  <c r="C1003" i="1"/>
  <c r="B1003" i="1"/>
  <c r="A1003" i="1"/>
  <c r="D1002" i="1"/>
  <c r="C1002" i="1"/>
  <c r="B1002" i="1"/>
  <c r="A1002" i="1"/>
  <c r="D1001" i="1"/>
  <c r="C1001" i="1"/>
  <c r="B1001" i="1"/>
  <c r="A1001" i="1"/>
  <c r="D1000" i="1"/>
  <c r="C1000" i="1"/>
  <c r="B1000" i="1"/>
  <c r="A1000" i="1"/>
  <c r="D999" i="1"/>
  <c r="C999" i="1"/>
  <c r="B999" i="1"/>
  <c r="A999" i="1"/>
  <c r="D998" i="1"/>
  <c r="C998" i="1"/>
  <c r="B998" i="1"/>
  <c r="A998" i="1"/>
  <c r="D997" i="1"/>
  <c r="C997" i="1"/>
  <c r="B997" i="1"/>
  <c r="A997" i="1"/>
  <c r="D996" i="1"/>
  <c r="C996" i="1"/>
  <c r="B996" i="1"/>
  <c r="A996" i="1"/>
  <c r="D995" i="1"/>
  <c r="C995" i="1"/>
  <c r="B995" i="1"/>
  <c r="A995" i="1"/>
  <c r="D994" i="1"/>
  <c r="C994" i="1"/>
  <c r="B994" i="1"/>
  <c r="A994" i="1"/>
  <c r="D993" i="1"/>
  <c r="C993" i="1"/>
  <c r="B993" i="1"/>
  <c r="A993" i="1"/>
  <c r="D992" i="1"/>
  <c r="C992" i="1"/>
  <c r="B992" i="1"/>
  <c r="A992" i="1"/>
  <c r="D991" i="1"/>
  <c r="C991" i="1"/>
  <c r="B991" i="1"/>
  <c r="A991" i="1"/>
  <c r="D990" i="1"/>
  <c r="C990" i="1"/>
  <c r="B990" i="1"/>
  <c r="A990" i="1"/>
  <c r="D989" i="1"/>
  <c r="C989" i="1"/>
  <c r="B989" i="1"/>
  <c r="A989" i="1"/>
  <c r="D988" i="1"/>
  <c r="C988" i="1"/>
  <c r="B988" i="1"/>
  <c r="A988" i="1"/>
  <c r="D987" i="1"/>
  <c r="C987" i="1"/>
  <c r="B987" i="1"/>
  <c r="A987" i="1"/>
  <c r="D986" i="1"/>
  <c r="C986" i="1"/>
  <c r="B986" i="1"/>
  <c r="A986" i="1"/>
  <c r="D985" i="1"/>
  <c r="C985" i="1"/>
  <c r="B985" i="1"/>
  <c r="A985" i="1"/>
  <c r="D984" i="1"/>
  <c r="C984" i="1"/>
  <c r="B984" i="1"/>
  <c r="A984" i="1"/>
  <c r="D983" i="1"/>
  <c r="C983" i="1"/>
  <c r="B983" i="1"/>
  <c r="A983" i="1"/>
  <c r="D982" i="1"/>
  <c r="C982" i="1"/>
  <c r="B982" i="1"/>
  <c r="A982" i="1"/>
  <c r="D981" i="1"/>
  <c r="C981" i="1"/>
  <c r="B981" i="1"/>
  <c r="A981" i="1"/>
  <c r="D980" i="1"/>
  <c r="C980" i="1"/>
  <c r="B980" i="1"/>
  <c r="A980" i="1"/>
  <c r="D979" i="1"/>
  <c r="C979" i="1"/>
  <c r="A979" i="1"/>
  <c r="D978" i="1"/>
  <c r="C978" i="1"/>
  <c r="B978" i="1"/>
  <c r="A978" i="1"/>
  <c r="D977" i="1"/>
  <c r="C977" i="1"/>
  <c r="B977" i="1"/>
  <c r="A977" i="1"/>
  <c r="D976" i="1"/>
  <c r="C976" i="1"/>
  <c r="A976" i="1"/>
  <c r="D975" i="1"/>
  <c r="C975" i="1"/>
  <c r="B975" i="1"/>
  <c r="A975" i="1"/>
  <c r="D974" i="1"/>
  <c r="C974" i="1"/>
  <c r="B974" i="1"/>
  <c r="A974" i="1"/>
  <c r="D973" i="1"/>
  <c r="C973" i="1"/>
  <c r="A973" i="1"/>
  <c r="D972" i="1"/>
  <c r="C972" i="1"/>
  <c r="B972" i="1"/>
  <c r="A972" i="1"/>
  <c r="D971" i="1"/>
  <c r="C971" i="1"/>
  <c r="B971" i="1"/>
  <c r="A971" i="1"/>
  <c r="D970" i="1"/>
  <c r="C970" i="1"/>
  <c r="A970" i="1"/>
  <c r="D969" i="1"/>
  <c r="C969" i="1"/>
  <c r="B969" i="1"/>
  <c r="A969" i="1"/>
  <c r="D968" i="1"/>
  <c r="C968" i="1"/>
  <c r="B968" i="1"/>
  <c r="A968" i="1"/>
  <c r="D967" i="1"/>
  <c r="C967" i="1"/>
  <c r="B967" i="1"/>
  <c r="A967" i="1"/>
  <c r="D966" i="1"/>
  <c r="C966" i="1"/>
  <c r="B966" i="1"/>
  <c r="A966" i="1"/>
  <c r="D965" i="1"/>
  <c r="C965" i="1"/>
  <c r="B965" i="1"/>
  <c r="A965" i="1"/>
  <c r="D964" i="1"/>
  <c r="C964" i="1"/>
  <c r="B964" i="1"/>
  <c r="A964" i="1"/>
  <c r="D963" i="1"/>
  <c r="C963" i="1"/>
  <c r="B963" i="1"/>
  <c r="A963" i="1"/>
  <c r="D962" i="1"/>
  <c r="C962" i="1"/>
  <c r="B962" i="1"/>
  <c r="A962" i="1"/>
  <c r="D961" i="1"/>
  <c r="C961" i="1"/>
  <c r="B961" i="1"/>
  <c r="A961" i="1"/>
  <c r="D960" i="1"/>
  <c r="C960" i="1"/>
  <c r="B960" i="1"/>
  <c r="A960" i="1"/>
  <c r="D959" i="1"/>
  <c r="C959" i="1"/>
  <c r="B959" i="1"/>
  <c r="A959" i="1"/>
  <c r="D958" i="1"/>
  <c r="C958" i="1"/>
  <c r="B958" i="1"/>
  <c r="A958" i="1"/>
  <c r="D957" i="1"/>
  <c r="C957" i="1"/>
  <c r="B957" i="1"/>
  <c r="A957" i="1"/>
  <c r="D956" i="1"/>
  <c r="C956" i="1"/>
  <c r="B956" i="1"/>
  <c r="A956" i="1"/>
  <c r="D955" i="1"/>
  <c r="C955" i="1"/>
  <c r="B955" i="1"/>
  <c r="A955" i="1"/>
  <c r="D954" i="1"/>
  <c r="C954" i="1"/>
  <c r="B954" i="1"/>
  <c r="A954" i="1"/>
  <c r="D953" i="1"/>
  <c r="C953" i="1"/>
  <c r="B953" i="1"/>
  <c r="A953" i="1"/>
  <c r="D952" i="1"/>
  <c r="C952" i="1"/>
  <c r="B952" i="1"/>
  <c r="A952" i="1"/>
  <c r="D951" i="1"/>
  <c r="C951" i="1"/>
  <c r="B951" i="1"/>
  <c r="A951" i="1"/>
  <c r="D950" i="1"/>
  <c r="C950" i="1"/>
  <c r="B950" i="1"/>
  <c r="A950" i="1"/>
  <c r="D949" i="1"/>
  <c r="C949" i="1"/>
  <c r="B949" i="1"/>
  <c r="A949" i="1"/>
  <c r="D948" i="1"/>
  <c r="C948" i="1"/>
  <c r="B948" i="1"/>
  <c r="A948" i="1"/>
  <c r="D947" i="1"/>
  <c r="C947" i="1"/>
  <c r="B947" i="1"/>
  <c r="A947" i="1"/>
  <c r="D946" i="1"/>
  <c r="C946" i="1"/>
  <c r="B946" i="1"/>
  <c r="A946" i="1"/>
  <c r="D945" i="1"/>
  <c r="B945" i="1"/>
  <c r="A945" i="1"/>
  <c r="D944" i="1"/>
  <c r="B944" i="1"/>
  <c r="A944" i="1"/>
  <c r="D943" i="1"/>
  <c r="C943" i="1"/>
  <c r="B943" i="1"/>
  <c r="A943" i="1"/>
  <c r="D942" i="1"/>
  <c r="C942" i="1"/>
  <c r="B942" i="1"/>
  <c r="A942" i="1"/>
  <c r="D941" i="1"/>
  <c r="C941" i="1"/>
  <c r="B941" i="1"/>
  <c r="A941" i="1"/>
  <c r="D940" i="1"/>
  <c r="C940" i="1"/>
  <c r="B940" i="1"/>
  <c r="A940" i="1"/>
  <c r="D939" i="1"/>
  <c r="C939" i="1"/>
  <c r="B939" i="1"/>
  <c r="A939" i="1"/>
  <c r="D938" i="1"/>
  <c r="C938" i="1"/>
  <c r="B938" i="1"/>
  <c r="A938" i="1"/>
  <c r="D937" i="1"/>
  <c r="C937" i="1"/>
  <c r="B937" i="1"/>
  <c r="A937" i="1"/>
  <c r="D936" i="1"/>
  <c r="C936" i="1"/>
  <c r="B936" i="1"/>
  <c r="A936" i="1"/>
  <c r="D935" i="1"/>
  <c r="C935" i="1"/>
  <c r="B935" i="1"/>
  <c r="A935" i="1"/>
  <c r="D934" i="1"/>
  <c r="C934" i="1"/>
  <c r="B934" i="1"/>
  <c r="A934" i="1"/>
  <c r="D933" i="1"/>
  <c r="C933" i="1"/>
  <c r="B933" i="1"/>
  <c r="A933" i="1"/>
  <c r="D932" i="1"/>
  <c r="C932" i="1"/>
  <c r="B932" i="1"/>
  <c r="A932" i="1"/>
  <c r="D931" i="1"/>
  <c r="C931" i="1"/>
  <c r="B931" i="1"/>
  <c r="A931" i="1"/>
  <c r="D930" i="1"/>
  <c r="C930" i="1"/>
  <c r="B930" i="1"/>
  <c r="A930" i="1"/>
  <c r="D929" i="1"/>
  <c r="C929" i="1"/>
  <c r="B929" i="1"/>
  <c r="A929" i="1"/>
  <c r="D928" i="1"/>
  <c r="C928" i="1"/>
  <c r="B928" i="1"/>
  <c r="A928" i="1"/>
  <c r="D927" i="1"/>
  <c r="C927" i="1"/>
  <c r="B927" i="1"/>
  <c r="A927" i="1"/>
  <c r="D926" i="1"/>
  <c r="C926" i="1"/>
  <c r="B926" i="1"/>
  <c r="A926" i="1"/>
  <c r="D925" i="1"/>
  <c r="C925" i="1"/>
  <c r="B925" i="1"/>
  <c r="A925" i="1"/>
  <c r="D924" i="1"/>
  <c r="C924" i="1"/>
  <c r="B924" i="1"/>
  <c r="A924" i="1"/>
  <c r="D923" i="1"/>
  <c r="C923" i="1"/>
  <c r="B923" i="1"/>
  <c r="A923" i="1"/>
  <c r="D922" i="1"/>
  <c r="C922" i="1"/>
  <c r="B922" i="1"/>
  <c r="A922" i="1"/>
  <c r="D921" i="1"/>
  <c r="C921" i="1"/>
  <c r="B921" i="1"/>
  <c r="A921" i="1"/>
  <c r="D920" i="1"/>
  <c r="C920" i="1"/>
  <c r="B920" i="1"/>
  <c r="A920" i="1"/>
  <c r="D919" i="1"/>
  <c r="C919" i="1"/>
  <c r="B919" i="1"/>
  <c r="A919" i="1"/>
  <c r="D918" i="1"/>
  <c r="C918" i="1"/>
  <c r="B918" i="1"/>
  <c r="A918" i="1"/>
  <c r="D917" i="1"/>
  <c r="C917" i="1"/>
  <c r="B917" i="1"/>
  <c r="A917" i="1"/>
  <c r="D916" i="1"/>
  <c r="C916" i="1"/>
  <c r="B916" i="1"/>
  <c r="A916" i="1"/>
  <c r="D915" i="1"/>
  <c r="C915" i="1"/>
  <c r="B915" i="1"/>
  <c r="A915" i="1"/>
  <c r="D914" i="1"/>
  <c r="C914" i="1"/>
  <c r="B914" i="1"/>
  <c r="A914" i="1"/>
  <c r="D913" i="1"/>
  <c r="C913" i="1"/>
  <c r="B913" i="1"/>
  <c r="A913" i="1"/>
  <c r="D912" i="1"/>
  <c r="C912" i="1"/>
  <c r="B912" i="1"/>
  <c r="A912" i="1"/>
  <c r="D911" i="1"/>
  <c r="C911" i="1"/>
  <c r="B911" i="1"/>
  <c r="A911" i="1"/>
  <c r="D910" i="1"/>
  <c r="C910" i="1"/>
  <c r="B910" i="1"/>
  <c r="A910" i="1"/>
  <c r="D909" i="1"/>
  <c r="C909" i="1"/>
  <c r="B909" i="1"/>
  <c r="A909" i="1"/>
  <c r="D908" i="1"/>
  <c r="C908" i="1"/>
  <c r="B908" i="1"/>
  <c r="A908" i="1"/>
  <c r="D907" i="1"/>
  <c r="C907" i="1"/>
  <c r="B907" i="1"/>
  <c r="A907" i="1"/>
  <c r="D906" i="1"/>
  <c r="C906" i="1"/>
  <c r="B906" i="1"/>
  <c r="A906" i="1"/>
  <c r="D905" i="1"/>
  <c r="C905" i="1"/>
  <c r="B905" i="1"/>
  <c r="A905" i="1"/>
  <c r="D904" i="1"/>
  <c r="C904" i="1"/>
  <c r="B904" i="1"/>
  <c r="A904" i="1"/>
  <c r="D903" i="1"/>
  <c r="C903" i="1"/>
  <c r="B903" i="1"/>
  <c r="A903" i="1"/>
  <c r="D902" i="1"/>
  <c r="C902" i="1"/>
  <c r="B902" i="1"/>
  <c r="A902" i="1"/>
  <c r="D901" i="1"/>
  <c r="C901" i="1"/>
  <c r="B901" i="1"/>
  <c r="A901" i="1"/>
  <c r="D900" i="1"/>
  <c r="C900" i="1"/>
  <c r="B900" i="1"/>
  <c r="A900" i="1"/>
  <c r="D899" i="1"/>
  <c r="C899" i="1"/>
  <c r="B899" i="1"/>
  <c r="A899" i="1"/>
  <c r="D898" i="1"/>
  <c r="C898" i="1"/>
  <c r="B898" i="1"/>
  <c r="A898" i="1"/>
  <c r="D897" i="1"/>
  <c r="C897" i="1"/>
  <c r="B897" i="1"/>
  <c r="A897" i="1"/>
  <c r="D896" i="1"/>
  <c r="C896" i="1"/>
  <c r="B896" i="1"/>
  <c r="A896" i="1"/>
  <c r="D895" i="1"/>
  <c r="B895" i="1"/>
  <c r="A895" i="1"/>
  <c r="D894" i="1"/>
  <c r="C894" i="1"/>
  <c r="B894" i="1"/>
  <c r="A894" i="1"/>
  <c r="D893" i="1"/>
  <c r="C893" i="1"/>
  <c r="B893" i="1"/>
  <c r="A893" i="1"/>
  <c r="D892" i="1"/>
  <c r="C892" i="1"/>
  <c r="B892" i="1"/>
  <c r="A892" i="1"/>
  <c r="D891" i="1"/>
  <c r="C891" i="1"/>
  <c r="B891" i="1"/>
  <c r="A891" i="1"/>
  <c r="D890" i="1"/>
  <c r="C890" i="1"/>
  <c r="B890" i="1"/>
  <c r="A890" i="1"/>
  <c r="D889" i="1"/>
  <c r="C889" i="1"/>
  <c r="B889" i="1"/>
  <c r="A889" i="1"/>
  <c r="D888" i="1"/>
  <c r="C888" i="1"/>
  <c r="B888" i="1"/>
  <c r="A888" i="1"/>
  <c r="D887" i="1"/>
  <c r="C887" i="1"/>
  <c r="B887" i="1"/>
  <c r="A887" i="1"/>
  <c r="D886" i="1"/>
  <c r="C886" i="1"/>
  <c r="B886" i="1"/>
  <c r="A886" i="1"/>
  <c r="D885" i="1"/>
  <c r="C885" i="1"/>
  <c r="B885" i="1"/>
  <c r="A885" i="1"/>
  <c r="D884" i="1"/>
  <c r="C884" i="1"/>
  <c r="B884" i="1"/>
  <c r="A884" i="1"/>
  <c r="D883" i="1"/>
  <c r="C883" i="1"/>
  <c r="B883" i="1"/>
  <c r="A883" i="1"/>
  <c r="D882" i="1"/>
  <c r="C882" i="1"/>
  <c r="B882" i="1"/>
  <c r="A882" i="1"/>
  <c r="D881" i="1"/>
  <c r="C881" i="1"/>
  <c r="B881" i="1"/>
  <c r="A881" i="1"/>
  <c r="D880" i="1"/>
  <c r="C880" i="1"/>
  <c r="B880" i="1"/>
  <c r="A880" i="1"/>
  <c r="D879" i="1"/>
  <c r="C879" i="1"/>
  <c r="B879" i="1"/>
  <c r="A879" i="1"/>
  <c r="D878" i="1"/>
  <c r="C878" i="1"/>
  <c r="B878" i="1"/>
  <c r="A878" i="1"/>
  <c r="D877" i="1"/>
  <c r="C877" i="1"/>
  <c r="B877" i="1"/>
  <c r="A877" i="1"/>
  <c r="D876" i="1"/>
  <c r="C876" i="1"/>
  <c r="B876" i="1"/>
  <c r="A876" i="1"/>
  <c r="D875" i="1"/>
  <c r="C875" i="1"/>
  <c r="B875" i="1"/>
  <c r="A875" i="1"/>
  <c r="D874" i="1"/>
  <c r="C874" i="1"/>
  <c r="B874" i="1"/>
  <c r="A874" i="1"/>
  <c r="D873" i="1"/>
  <c r="C873" i="1"/>
  <c r="B873" i="1"/>
  <c r="A873" i="1"/>
  <c r="D872" i="1"/>
  <c r="C872" i="1"/>
  <c r="B872" i="1"/>
  <c r="A872" i="1"/>
  <c r="D871" i="1"/>
  <c r="C871" i="1"/>
  <c r="A871" i="1"/>
  <c r="D870" i="1"/>
  <c r="C870" i="1"/>
  <c r="A870" i="1"/>
  <c r="D869" i="1"/>
  <c r="C869" i="1"/>
  <c r="A869" i="1"/>
  <c r="D868" i="1"/>
  <c r="C868" i="1"/>
  <c r="B868" i="1"/>
  <c r="A868" i="1"/>
  <c r="D867" i="1"/>
  <c r="C867" i="1"/>
  <c r="B867" i="1"/>
  <c r="A867" i="1"/>
  <c r="D866" i="1"/>
  <c r="C866" i="1"/>
  <c r="B866" i="1"/>
  <c r="A866" i="1"/>
  <c r="D865" i="1"/>
  <c r="C865" i="1"/>
  <c r="B865" i="1"/>
  <c r="A865" i="1"/>
  <c r="D864" i="1"/>
  <c r="C864" i="1"/>
  <c r="B864" i="1"/>
  <c r="A864" i="1"/>
  <c r="D863" i="1"/>
  <c r="C863" i="1"/>
  <c r="B863" i="1"/>
  <c r="A863" i="1"/>
  <c r="D862" i="1"/>
  <c r="C862" i="1"/>
  <c r="B862" i="1"/>
  <c r="A862" i="1"/>
  <c r="D861" i="1"/>
  <c r="C861" i="1"/>
  <c r="B861" i="1"/>
  <c r="A861" i="1"/>
  <c r="D860" i="1"/>
  <c r="C860" i="1"/>
  <c r="B860" i="1"/>
  <c r="A860" i="1"/>
  <c r="D859" i="1"/>
  <c r="C859" i="1"/>
  <c r="B859" i="1"/>
  <c r="A859" i="1"/>
  <c r="D858" i="1"/>
  <c r="C858" i="1"/>
  <c r="B858" i="1"/>
  <c r="A858" i="1"/>
  <c r="D857" i="1"/>
  <c r="C857" i="1"/>
  <c r="B857" i="1"/>
  <c r="A857" i="1"/>
  <c r="D856" i="1"/>
  <c r="C856" i="1"/>
  <c r="B856" i="1"/>
  <c r="A856" i="1"/>
  <c r="D855" i="1"/>
  <c r="C855" i="1"/>
  <c r="B855" i="1"/>
  <c r="A855" i="1"/>
  <c r="D854" i="1"/>
  <c r="C854" i="1"/>
  <c r="B854" i="1"/>
  <c r="A854" i="1"/>
  <c r="D853" i="1"/>
  <c r="C853" i="1"/>
  <c r="B853" i="1"/>
  <c r="A853" i="1"/>
  <c r="D852" i="1"/>
  <c r="C852" i="1"/>
  <c r="B852" i="1"/>
  <c r="A852" i="1"/>
  <c r="D851" i="1"/>
  <c r="C851" i="1"/>
  <c r="B851" i="1"/>
  <c r="A851" i="1"/>
  <c r="D850" i="1"/>
  <c r="C850" i="1"/>
  <c r="B850" i="1"/>
  <c r="A850" i="1"/>
  <c r="D849" i="1"/>
  <c r="C849" i="1"/>
  <c r="B849" i="1"/>
  <c r="A849" i="1"/>
  <c r="D848" i="1"/>
  <c r="C848" i="1"/>
  <c r="B848" i="1"/>
  <c r="A848" i="1"/>
  <c r="D847" i="1"/>
  <c r="C847" i="1"/>
  <c r="B847" i="1"/>
  <c r="A847" i="1"/>
  <c r="D846" i="1"/>
  <c r="C846" i="1"/>
  <c r="B846" i="1"/>
  <c r="A846" i="1"/>
  <c r="D845" i="1"/>
  <c r="C845" i="1"/>
  <c r="B845" i="1"/>
  <c r="A845" i="1"/>
  <c r="D844" i="1"/>
  <c r="C844" i="1"/>
  <c r="B844" i="1"/>
  <c r="A844" i="1"/>
  <c r="D843" i="1"/>
  <c r="C843" i="1"/>
  <c r="B843" i="1"/>
  <c r="A843" i="1"/>
  <c r="D842" i="1"/>
  <c r="C842" i="1"/>
  <c r="B842" i="1"/>
  <c r="A842" i="1"/>
  <c r="D841" i="1"/>
  <c r="C841" i="1"/>
  <c r="B841" i="1"/>
  <c r="A841" i="1"/>
  <c r="D840" i="1"/>
  <c r="C840" i="1"/>
  <c r="B840" i="1"/>
  <c r="A840" i="1"/>
  <c r="D839" i="1"/>
  <c r="C839" i="1"/>
  <c r="B839" i="1"/>
  <c r="A839" i="1"/>
  <c r="D838" i="1"/>
  <c r="C838" i="1"/>
  <c r="B838" i="1"/>
  <c r="A838" i="1"/>
  <c r="D837" i="1"/>
  <c r="C837" i="1"/>
  <c r="B837" i="1"/>
  <c r="A837" i="1"/>
  <c r="D836" i="1"/>
  <c r="C836" i="1"/>
  <c r="B836" i="1"/>
  <c r="A836" i="1"/>
  <c r="D835" i="1"/>
  <c r="C835" i="1"/>
  <c r="B835" i="1"/>
  <c r="A835" i="1"/>
  <c r="D834" i="1"/>
  <c r="C834" i="1"/>
  <c r="B834" i="1"/>
  <c r="A834" i="1"/>
  <c r="D833" i="1"/>
  <c r="C833" i="1"/>
  <c r="B833" i="1"/>
  <c r="A833" i="1"/>
  <c r="D832" i="1"/>
  <c r="C832" i="1"/>
  <c r="B832" i="1"/>
  <c r="A832" i="1"/>
  <c r="D831" i="1"/>
  <c r="C831" i="1"/>
  <c r="B831" i="1"/>
  <c r="A831" i="1"/>
  <c r="D830" i="1"/>
  <c r="C830" i="1"/>
  <c r="B830" i="1"/>
  <c r="A830" i="1"/>
  <c r="D829" i="1"/>
  <c r="C829" i="1"/>
  <c r="B829" i="1"/>
  <c r="A829" i="1"/>
  <c r="D828" i="1"/>
  <c r="C828" i="1"/>
  <c r="B828" i="1"/>
  <c r="A828" i="1"/>
  <c r="D827" i="1"/>
  <c r="C827" i="1"/>
  <c r="B827" i="1"/>
  <c r="A827" i="1"/>
  <c r="D826" i="1"/>
  <c r="C826" i="1"/>
  <c r="B826" i="1"/>
  <c r="A826" i="1"/>
  <c r="D825" i="1"/>
  <c r="C825" i="1"/>
  <c r="B825" i="1"/>
  <c r="A825" i="1"/>
  <c r="D824" i="1"/>
  <c r="C824" i="1"/>
  <c r="B824" i="1"/>
  <c r="A824" i="1"/>
  <c r="D823" i="1"/>
  <c r="C823" i="1"/>
  <c r="B823" i="1"/>
  <c r="A823" i="1"/>
  <c r="D822" i="1"/>
  <c r="C822" i="1"/>
  <c r="B822" i="1"/>
  <c r="A822" i="1"/>
  <c r="D821" i="1"/>
  <c r="C821" i="1"/>
  <c r="B821" i="1"/>
  <c r="A821" i="1"/>
  <c r="D820" i="1"/>
  <c r="C820" i="1"/>
  <c r="B820" i="1"/>
  <c r="A820" i="1"/>
  <c r="D819" i="1"/>
  <c r="C819" i="1"/>
  <c r="B819" i="1"/>
  <c r="A819" i="1"/>
  <c r="D818" i="1"/>
  <c r="C818" i="1"/>
  <c r="B818" i="1"/>
  <c r="A818" i="1"/>
  <c r="D817" i="1"/>
  <c r="C817" i="1"/>
  <c r="B817" i="1"/>
  <c r="A817" i="1"/>
  <c r="D816" i="1"/>
  <c r="C816" i="1"/>
  <c r="B816" i="1"/>
  <c r="A816" i="1"/>
  <c r="D815" i="1"/>
  <c r="C815" i="1"/>
  <c r="B815" i="1"/>
  <c r="A815" i="1"/>
  <c r="D814" i="1"/>
  <c r="C814" i="1"/>
  <c r="A814" i="1"/>
  <c r="D813" i="1"/>
  <c r="C813" i="1"/>
  <c r="A813" i="1"/>
  <c r="D812" i="1"/>
  <c r="C812" i="1"/>
  <c r="A812" i="1"/>
  <c r="D811" i="1"/>
  <c r="C811" i="1"/>
  <c r="B811" i="1"/>
  <c r="A811" i="1"/>
  <c r="D810" i="1"/>
  <c r="C810" i="1"/>
  <c r="A810" i="1"/>
  <c r="D809" i="1"/>
  <c r="C809" i="1"/>
  <c r="B809" i="1"/>
  <c r="A809" i="1"/>
  <c r="D808" i="1"/>
  <c r="C808" i="1"/>
  <c r="B808" i="1"/>
  <c r="A808" i="1"/>
  <c r="D807" i="1"/>
  <c r="C807" i="1"/>
  <c r="B807" i="1"/>
  <c r="A807" i="1"/>
  <c r="D806" i="1"/>
  <c r="C806" i="1"/>
  <c r="B806" i="1"/>
  <c r="A806" i="1"/>
  <c r="D805" i="1"/>
  <c r="C805" i="1"/>
  <c r="B805" i="1"/>
  <c r="A805" i="1"/>
  <c r="D804" i="1"/>
  <c r="C804" i="1"/>
  <c r="B804" i="1"/>
  <c r="A804" i="1"/>
  <c r="D803" i="1"/>
  <c r="C803" i="1"/>
  <c r="B803" i="1"/>
  <c r="A803" i="1"/>
  <c r="D802" i="1"/>
  <c r="C802" i="1"/>
  <c r="B802" i="1"/>
  <c r="A802" i="1"/>
  <c r="D801" i="1"/>
  <c r="C801" i="1"/>
  <c r="B801" i="1"/>
  <c r="A801" i="1"/>
  <c r="D800" i="1"/>
  <c r="C800" i="1"/>
  <c r="B800" i="1"/>
  <c r="A800" i="1"/>
  <c r="D799" i="1"/>
  <c r="C799" i="1"/>
  <c r="B799" i="1"/>
  <c r="A799" i="1"/>
  <c r="D798" i="1"/>
  <c r="C798" i="1"/>
  <c r="B798" i="1"/>
  <c r="A798" i="1"/>
  <c r="D797" i="1"/>
  <c r="C797" i="1"/>
  <c r="B797" i="1"/>
  <c r="A797" i="1"/>
  <c r="D796" i="1"/>
  <c r="C796" i="1"/>
  <c r="B796" i="1"/>
  <c r="A796" i="1"/>
  <c r="D795" i="1"/>
  <c r="C795" i="1"/>
  <c r="A795" i="1"/>
  <c r="D794" i="1"/>
  <c r="C794" i="1"/>
  <c r="B794" i="1"/>
  <c r="A794" i="1"/>
  <c r="D793" i="1"/>
  <c r="C793" i="1"/>
  <c r="B793" i="1"/>
  <c r="A793" i="1"/>
  <c r="D792" i="1"/>
  <c r="C792" i="1"/>
  <c r="B792" i="1"/>
  <c r="A792" i="1"/>
  <c r="D791" i="1"/>
  <c r="C791" i="1"/>
  <c r="A791" i="1"/>
  <c r="D790" i="1"/>
  <c r="C790" i="1"/>
  <c r="B790" i="1"/>
  <c r="A790" i="1"/>
  <c r="D789" i="1"/>
  <c r="C789" i="1"/>
  <c r="B789" i="1"/>
  <c r="A789" i="1"/>
  <c r="D788" i="1"/>
  <c r="C788" i="1"/>
  <c r="B788" i="1"/>
  <c r="A788" i="1"/>
  <c r="D787" i="1"/>
  <c r="C787" i="1"/>
  <c r="B787" i="1"/>
  <c r="A787" i="1"/>
  <c r="D786" i="1"/>
  <c r="C786" i="1"/>
  <c r="B786" i="1"/>
  <c r="A786" i="1"/>
  <c r="D785" i="1"/>
  <c r="C785" i="1"/>
  <c r="B785" i="1"/>
  <c r="A785" i="1"/>
  <c r="D784" i="1"/>
  <c r="C784" i="1"/>
  <c r="B784" i="1"/>
  <c r="A784" i="1"/>
  <c r="D783" i="1"/>
  <c r="C783" i="1"/>
  <c r="B783" i="1"/>
  <c r="A783" i="1"/>
  <c r="D782" i="1"/>
  <c r="C782" i="1"/>
  <c r="B782" i="1"/>
  <c r="A782" i="1"/>
  <c r="D781" i="1"/>
  <c r="C781" i="1"/>
  <c r="B781" i="1"/>
  <c r="A781" i="1"/>
  <c r="D780" i="1"/>
  <c r="C780" i="1"/>
  <c r="B780" i="1"/>
  <c r="A780" i="1"/>
  <c r="D779" i="1"/>
  <c r="C779" i="1"/>
  <c r="B779" i="1"/>
  <c r="A779" i="1"/>
  <c r="D778" i="1"/>
  <c r="C778" i="1"/>
  <c r="B778" i="1"/>
  <c r="A778" i="1"/>
  <c r="D777" i="1"/>
  <c r="C777" i="1"/>
  <c r="B777" i="1"/>
  <c r="A777" i="1"/>
  <c r="D776" i="1"/>
  <c r="C776" i="1"/>
  <c r="B776" i="1"/>
  <c r="A776" i="1"/>
  <c r="D775" i="1"/>
  <c r="C775" i="1"/>
  <c r="B775" i="1"/>
  <c r="A775" i="1"/>
  <c r="D774" i="1"/>
  <c r="C774" i="1"/>
  <c r="B774" i="1"/>
  <c r="A774" i="1"/>
  <c r="D773" i="1"/>
  <c r="C773" i="1"/>
  <c r="B773" i="1"/>
  <c r="A773" i="1"/>
  <c r="D772" i="1"/>
  <c r="C772" i="1"/>
  <c r="B772" i="1"/>
  <c r="A772" i="1"/>
  <c r="D771" i="1"/>
  <c r="C771" i="1"/>
  <c r="B771" i="1"/>
  <c r="A771" i="1"/>
  <c r="D770" i="1"/>
  <c r="C770" i="1"/>
  <c r="B770" i="1"/>
  <c r="A770" i="1"/>
  <c r="D769" i="1"/>
  <c r="C769" i="1"/>
  <c r="B769" i="1"/>
  <c r="A769" i="1"/>
  <c r="D768" i="1"/>
  <c r="C768" i="1"/>
  <c r="B768" i="1"/>
  <c r="A768" i="1"/>
  <c r="D767" i="1"/>
  <c r="C767" i="1"/>
  <c r="B767" i="1"/>
  <c r="A767" i="1"/>
  <c r="D766" i="1"/>
  <c r="C766" i="1"/>
  <c r="B766" i="1"/>
  <c r="A766" i="1"/>
  <c r="D765" i="1"/>
  <c r="C765" i="1"/>
  <c r="B765" i="1"/>
  <c r="A765" i="1"/>
  <c r="D764" i="1"/>
  <c r="C764" i="1"/>
  <c r="B764" i="1"/>
  <c r="A764" i="1"/>
  <c r="D763" i="1"/>
  <c r="C763" i="1"/>
  <c r="B763" i="1"/>
  <c r="A763" i="1"/>
  <c r="D762" i="1"/>
  <c r="C762" i="1"/>
  <c r="B762" i="1"/>
  <c r="A762" i="1"/>
  <c r="D761" i="1"/>
  <c r="C761" i="1"/>
  <c r="B761" i="1"/>
  <c r="A761" i="1"/>
  <c r="D760" i="1"/>
  <c r="C760" i="1"/>
  <c r="B760" i="1"/>
  <c r="A760" i="1"/>
  <c r="D759" i="1"/>
  <c r="C759" i="1"/>
  <c r="B759" i="1"/>
  <c r="A759" i="1"/>
  <c r="D758" i="1"/>
  <c r="C758" i="1"/>
  <c r="B758" i="1"/>
  <c r="A758" i="1"/>
  <c r="D757" i="1"/>
  <c r="C757" i="1"/>
  <c r="B757" i="1"/>
  <c r="A757" i="1"/>
  <c r="D756" i="1"/>
  <c r="C756" i="1"/>
  <c r="B756" i="1"/>
  <c r="A756" i="1"/>
  <c r="D755" i="1"/>
  <c r="C755" i="1"/>
  <c r="B755" i="1"/>
  <c r="A755" i="1"/>
  <c r="D754" i="1"/>
  <c r="C754" i="1"/>
  <c r="B754" i="1"/>
  <c r="A754" i="1"/>
  <c r="D753" i="1"/>
  <c r="C753" i="1"/>
  <c r="B753" i="1"/>
  <c r="A753" i="1"/>
  <c r="D752" i="1"/>
  <c r="C752" i="1"/>
  <c r="B752" i="1"/>
  <c r="A752" i="1"/>
  <c r="D751" i="1"/>
  <c r="C751" i="1"/>
  <c r="B751" i="1"/>
  <c r="A751" i="1"/>
  <c r="D750" i="1"/>
  <c r="C750" i="1"/>
  <c r="B750" i="1"/>
  <c r="A750" i="1"/>
  <c r="D749" i="1"/>
  <c r="C749" i="1"/>
  <c r="B749" i="1"/>
  <c r="A749" i="1"/>
  <c r="D748" i="1"/>
  <c r="C748" i="1"/>
  <c r="B748" i="1"/>
  <c r="A748" i="1"/>
  <c r="D747" i="1"/>
  <c r="C747" i="1"/>
  <c r="B747" i="1"/>
  <c r="A747" i="1"/>
  <c r="D746" i="1"/>
  <c r="C746" i="1"/>
  <c r="B746" i="1"/>
  <c r="A746" i="1"/>
  <c r="D745" i="1"/>
  <c r="C745" i="1"/>
  <c r="B745" i="1"/>
  <c r="A745" i="1"/>
  <c r="D744" i="1"/>
  <c r="C744" i="1"/>
  <c r="B744" i="1"/>
  <c r="A744" i="1"/>
  <c r="D743" i="1"/>
  <c r="C743" i="1"/>
  <c r="B743" i="1"/>
  <c r="A743" i="1"/>
  <c r="D742" i="1"/>
  <c r="C742" i="1"/>
  <c r="B742" i="1"/>
  <c r="A742" i="1"/>
  <c r="D741" i="1"/>
  <c r="C741" i="1"/>
  <c r="B741" i="1"/>
  <c r="A741" i="1"/>
  <c r="D740" i="1"/>
  <c r="C740" i="1"/>
  <c r="B740" i="1"/>
  <c r="A740" i="1"/>
  <c r="D739" i="1"/>
  <c r="C739" i="1"/>
  <c r="B739" i="1"/>
  <c r="A739" i="1"/>
  <c r="D738" i="1"/>
  <c r="C738" i="1"/>
  <c r="B738" i="1"/>
  <c r="A738" i="1"/>
  <c r="D737" i="1"/>
  <c r="C737" i="1"/>
  <c r="B737" i="1"/>
  <c r="A737" i="1"/>
  <c r="D736" i="1"/>
  <c r="C736" i="1"/>
  <c r="B736" i="1"/>
  <c r="A736" i="1"/>
  <c r="D735" i="1"/>
  <c r="C735" i="1"/>
  <c r="B735" i="1"/>
  <c r="A735" i="1"/>
  <c r="D734" i="1"/>
  <c r="C734" i="1"/>
  <c r="B734" i="1"/>
  <c r="A734" i="1"/>
  <c r="D733" i="1"/>
  <c r="C733" i="1"/>
  <c r="B733" i="1"/>
  <c r="A733" i="1"/>
  <c r="D732" i="1"/>
  <c r="C732" i="1"/>
  <c r="B732" i="1"/>
  <c r="A732" i="1"/>
  <c r="D731" i="1"/>
  <c r="C731" i="1"/>
  <c r="B731" i="1"/>
  <c r="A731" i="1"/>
  <c r="D730" i="1"/>
  <c r="C730" i="1"/>
  <c r="B730" i="1"/>
  <c r="A730" i="1"/>
  <c r="D729" i="1"/>
  <c r="C729" i="1"/>
  <c r="B729" i="1"/>
  <c r="A729" i="1"/>
  <c r="D728" i="1"/>
  <c r="C728" i="1"/>
  <c r="B728" i="1"/>
  <c r="A728" i="1"/>
  <c r="D727" i="1"/>
  <c r="C727" i="1"/>
  <c r="B727" i="1"/>
  <c r="A727" i="1"/>
  <c r="D726" i="1"/>
  <c r="C726" i="1"/>
  <c r="B726" i="1"/>
  <c r="A726" i="1"/>
  <c r="D725" i="1"/>
  <c r="C725" i="1"/>
  <c r="B725" i="1"/>
  <c r="A725" i="1"/>
  <c r="D724" i="1"/>
  <c r="C724" i="1"/>
  <c r="B724" i="1"/>
  <c r="A724" i="1"/>
  <c r="D723" i="1"/>
  <c r="C723" i="1"/>
  <c r="B723" i="1"/>
  <c r="A723" i="1"/>
  <c r="D722" i="1"/>
  <c r="C722" i="1"/>
  <c r="B722" i="1"/>
  <c r="A722" i="1"/>
  <c r="D721" i="1"/>
  <c r="C721" i="1"/>
  <c r="B721" i="1"/>
  <c r="A721" i="1"/>
  <c r="D720" i="1"/>
  <c r="C720" i="1"/>
  <c r="B720" i="1"/>
  <c r="A720" i="1"/>
  <c r="D719" i="1"/>
  <c r="C719" i="1"/>
  <c r="B719" i="1"/>
  <c r="A719" i="1"/>
  <c r="D718" i="1"/>
  <c r="C718" i="1"/>
  <c r="B718" i="1"/>
  <c r="A718" i="1"/>
  <c r="D717" i="1"/>
  <c r="C717" i="1"/>
  <c r="B717" i="1"/>
  <c r="A717" i="1"/>
  <c r="D716" i="1"/>
  <c r="C716" i="1"/>
  <c r="B716" i="1"/>
  <c r="A716" i="1"/>
  <c r="D715" i="1"/>
  <c r="C715" i="1"/>
  <c r="B715" i="1"/>
  <c r="A715" i="1"/>
  <c r="D714" i="1"/>
  <c r="C714" i="1"/>
  <c r="B714" i="1"/>
  <c r="A714" i="1"/>
  <c r="D713" i="1"/>
  <c r="C713" i="1"/>
  <c r="B713" i="1"/>
  <c r="A713" i="1"/>
  <c r="D712" i="1"/>
  <c r="C712" i="1"/>
  <c r="B712" i="1"/>
  <c r="A712" i="1"/>
  <c r="D711" i="1"/>
  <c r="C711" i="1"/>
  <c r="B711" i="1"/>
  <c r="A711" i="1"/>
  <c r="D710" i="1"/>
  <c r="C710" i="1"/>
  <c r="B710" i="1"/>
  <c r="A710" i="1"/>
  <c r="D709" i="1"/>
  <c r="C709" i="1"/>
  <c r="B709" i="1"/>
  <c r="A709" i="1"/>
  <c r="D708" i="1"/>
  <c r="C708" i="1"/>
  <c r="B708" i="1"/>
  <c r="A708" i="1"/>
  <c r="D707" i="1"/>
  <c r="C707" i="1"/>
  <c r="B707" i="1"/>
  <c r="A707" i="1"/>
  <c r="D706" i="1"/>
  <c r="C706" i="1"/>
  <c r="B706" i="1"/>
  <c r="A706" i="1"/>
  <c r="D705" i="1"/>
  <c r="C705" i="1"/>
  <c r="B705" i="1"/>
  <c r="A705" i="1"/>
  <c r="D704" i="1"/>
  <c r="C704" i="1"/>
  <c r="B704" i="1"/>
  <c r="A704" i="1"/>
  <c r="D703" i="1"/>
  <c r="C703" i="1"/>
  <c r="B703" i="1"/>
  <c r="A703" i="1"/>
  <c r="D702" i="1"/>
  <c r="C702" i="1"/>
  <c r="A702" i="1"/>
  <c r="D701" i="1"/>
  <c r="C701" i="1"/>
  <c r="B701" i="1"/>
  <c r="A701" i="1"/>
  <c r="D700" i="1"/>
  <c r="C700" i="1"/>
  <c r="B700" i="1"/>
  <c r="A700" i="1"/>
  <c r="D699" i="1"/>
  <c r="C699" i="1"/>
  <c r="B699" i="1"/>
  <c r="A699" i="1"/>
  <c r="D698" i="1"/>
  <c r="C698" i="1"/>
  <c r="B698" i="1"/>
  <c r="A698" i="1"/>
  <c r="D697" i="1"/>
  <c r="C697" i="1"/>
  <c r="A697" i="1"/>
  <c r="D696" i="1"/>
  <c r="C696" i="1"/>
  <c r="A696" i="1"/>
  <c r="D695" i="1"/>
  <c r="C695" i="1"/>
  <c r="B695" i="1"/>
  <c r="A695" i="1"/>
  <c r="D694" i="1"/>
  <c r="C694" i="1"/>
  <c r="B694" i="1"/>
  <c r="A694" i="1"/>
  <c r="D693" i="1"/>
  <c r="A693" i="1"/>
  <c r="D692" i="1"/>
  <c r="C692" i="1"/>
  <c r="B692" i="1"/>
  <c r="A692" i="1"/>
  <c r="D691" i="1"/>
  <c r="C691" i="1"/>
  <c r="B691" i="1"/>
  <c r="A691" i="1"/>
  <c r="D690" i="1"/>
  <c r="C690" i="1"/>
  <c r="B690" i="1"/>
  <c r="A690" i="1"/>
  <c r="D689" i="1"/>
  <c r="C689" i="1"/>
  <c r="B689" i="1"/>
  <c r="A689" i="1"/>
  <c r="D688" i="1"/>
  <c r="C688" i="1"/>
  <c r="B688" i="1"/>
  <c r="A688" i="1"/>
  <c r="D687" i="1"/>
  <c r="C687" i="1"/>
  <c r="B687" i="1"/>
  <c r="A687" i="1"/>
  <c r="D686" i="1"/>
  <c r="C686" i="1"/>
  <c r="B686" i="1"/>
  <c r="A686" i="1"/>
  <c r="D685" i="1"/>
  <c r="C685" i="1"/>
  <c r="B685" i="1"/>
  <c r="A685" i="1"/>
  <c r="D684" i="1"/>
  <c r="C684" i="1"/>
  <c r="B684" i="1"/>
  <c r="A684" i="1"/>
  <c r="D683" i="1"/>
  <c r="C683" i="1"/>
  <c r="B683" i="1"/>
  <c r="A683" i="1"/>
  <c r="D682" i="1"/>
  <c r="C682" i="1"/>
  <c r="B682" i="1"/>
  <c r="A682" i="1"/>
  <c r="D681" i="1"/>
  <c r="C681" i="1"/>
  <c r="B681" i="1"/>
  <c r="A681" i="1"/>
  <c r="D680" i="1"/>
  <c r="C680" i="1"/>
  <c r="B680" i="1"/>
  <c r="A680" i="1"/>
  <c r="D679" i="1"/>
  <c r="C679" i="1"/>
  <c r="B679" i="1"/>
  <c r="A679" i="1"/>
  <c r="D678" i="1"/>
  <c r="C678" i="1"/>
  <c r="B678" i="1"/>
  <c r="A678" i="1"/>
  <c r="D677" i="1"/>
  <c r="C677" i="1"/>
  <c r="B677" i="1"/>
  <c r="A677" i="1"/>
  <c r="D676" i="1"/>
  <c r="C676" i="1"/>
  <c r="B676" i="1"/>
  <c r="A676" i="1"/>
  <c r="D675" i="1"/>
  <c r="C675" i="1"/>
  <c r="B675" i="1"/>
  <c r="A675" i="1"/>
  <c r="D674" i="1"/>
  <c r="C674" i="1"/>
  <c r="B674" i="1"/>
  <c r="A674" i="1"/>
  <c r="D673" i="1"/>
  <c r="C673" i="1"/>
  <c r="B673" i="1"/>
  <c r="A673" i="1"/>
  <c r="D672" i="1"/>
  <c r="C672" i="1"/>
  <c r="B672" i="1"/>
  <c r="A672" i="1"/>
  <c r="D671" i="1"/>
  <c r="C671" i="1"/>
  <c r="B671" i="1"/>
  <c r="A671" i="1"/>
  <c r="D670" i="1"/>
  <c r="C670" i="1"/>
  <c r="B670" i="1"/>
  <c r="A670" i="1"/>
  <c r="D669" i="1"/>
  <c r="C669" i="1"/>
  <c r="B669" i="1"/>
  <c r="A669" i="1"/>
  <c r="D668" i="1"/>
  <c r="C668" i="1"/>
  <c r="B668" i="1"/>
  <c r="A668" i="1"/>
  <c r="D667" i="1"/>
  <c r="C667" i="1"/>
  <c r="B667" i="1"/>
  <c r="A667" i="1"/>
  <c r="D666" i="1"/>
  <c r="C666" i="1"/>
  <c r="B666" i="1"/>
  <c r="A666" i="1"/>
  <c r="D665" i="1"/>
  <c r="C665" i="1"/>
  <c r="B665" i="1"/>
  <c r="A665" i="1"/>
  <c r="D664" i="1"/>
  <c r="C664" i="1"/>
  <c r="B664" i="1"/>
  <c r="A664" i="1"/>
  <c r="D663" i="1"/>
  <c r="C663" i="1"/>
  <c r="B663" i="1"/>
  <c r="A663" i="1"/>
  <c r="D662" i="1"/>
  <c r="C662" i="1"/>
  <c r="B662" i="1"/>
  <c r="A662" i="1"/>
  <c r="D661" i="1"/>
  <c r="C661" i="1"/>
  <c r="B661" i="1"/>
  <c r="A661" i="1"/>
  <c r="D660" i="1"/>
  <c r="C660" i="1"/>
  <c r="B660" i="1"/>
  <c r="A660" i="1"/>
  <c r="D659" i="1"/>
  <c r="C659" i="1"/>
  <c r="A659" i="1"/>
  <c r="D658" i="1"/>
  <c r="C658" i="1"/>
  <c r="B658" i="1"/>
  <c r="A658" i="1"/>
  <c r="D657" i="1"/>
  <c r="C657" i="1"/>
  <c r="B657" i="1"/>
  <c r="A657" i="1"/>
  <c r="D656" i="1"/>
  <c r="C656" i="1"/>
  <c r="B656" i="1"/>
  <c r="A656" i="1"/>
  <c r="D655" i="1"/>
  <c r="C655" i="1"/>
  <c r="B655" i="1"/>
  <c r="A655" i="1"/>
  <c r="D654" i="1"/>
  <c r="C654" i="1"/>
  <c r="B654" i="1"/>
  <c r="A654" i="1"/>
  <c r="D653" i="1"/>
  <c r="C653" i="1"/>
  <c r="B653" i="1"/>
  <c r="A653" i="1"/>
  <c r="D652" i="1"/>
  <c r="C652" i="1"/>
  <c r="B652" i="1"/>
  <c r="A652" i="1"/>
  <c r="D651" i="1"/>
  <c r="C651" i="1"/>
  <c r="B651" i="1"/>
  <c r="A651" i="1"/>
  <c r="D650" i="1"/>
  <c r="C650" i="1"/>
  <c r="B650" i="1"/>
  <c r="A650" i="1"/>
  <c r="D649" i="1"/>
  <c r="C649" i="1"/>
  <c r="B649" i="1"/>
  <c r="A649" i="1"/>
  <c r="D648" i="1"/>
  <c r="C648" i="1"/>
  <c r="B648" i="1"/>
  <c r="A648" i="1"/>
  <c r="D647" i="1"/>
  <c r="C647" i="1"/>
  <c r="B647" i="1"/>
  <c r="A647" i="1"/>
  <c r="D646" i="1"/>
  <c r="C646" i="1"/>
  <c r="B646" i="1"/>
  <c r="A646" i="1"/>
  <c r="D645" i="1"/>
  <c r="C645" i="1"/>
  <c r="B645" i="1"/>
  <c r="A645" i="1"/>
  <c r="D644" i="1"/>
  <c r="C644" i="1"/>
  <c r="B644" i="1"/>
  <c r="A644" i="1"/>
  <c r="D643" i="1"/>
  <c r="C643" i="1"/>
  <c r="B643" i="1"/>
  <c r="A643" i="1"/>
  <c r="D642" i="1"/>
  <c r="C642" i="1"/>
  <c r="B642" i="1"/>
  <c r="A642" i="1"/>
  <c r="D641" i="1"/>
  <c r="C641" i="1"/>
  <c r="B641" i="1"/>
  <c r="A641" i="1"/>
  <c r="D640" i="1"/>
  <c r="C640" i="1"/>
  <c r="B640" i="1"/>
  <c r="A640" i="1"/>
  <c r="D639" i="1"/>
  <c r="C639" i="1"/>
  <c r="B639" i="1"/>
  <c r="A639" i="1"/>
  <c r="D638" i="1"/>
  <c r="C638" i="1"/>
  <c r="B638" i="1"/>
  <c r="A638" i="1"/>
  <c r="D637" i="1"/>
  <c r="C637" i="1"/>
  <c r="B637" i="1"/>
  <c r="A637" i="1"/>
  <c r="D636" i="1"/>
  <c r="C636" i="1"/>
  <c r="B636" i="1"/>
  <c r="A636" i="1"/>
  <c r="D635" i="1"/>
  <c r="C635" i="1"/>
  <c r="B635" i="1"/>
  <c r="A635" i="1"/>
  <c r="D634" i="1"/>
  <c r="C634" i="1"/>
  <c r="B634" i="1"/>
  <c r="A634" i="1"/>
  <c r="D633" i="1"/>
  <c r="C633" i="1"/>
  <c r="B633" i="1"/>
  <c r="A633" i="1"/>
  <c r="D632" i="1"/>
  <c r="C632" i="1"/>
  <c r="B632" i="1"/>
  <c r="A632" i="1"/>
  <c r="D631" i="1"/>
  <c r="C631" i="1"/>
  <c r="B631" i="1"/>
  <c r="A631" i="1"/>
  <c r="D630" i="1"/>
  <c r="C630" i="1"/>
  <c r="B630" i="1"/>
  <c r="A630" i="1"/>
  <c r="D629" i="1"/>
  <c r="C629" i="1"/>
  <c r="B629" i="1"/>
  <c r="A629" i="1"/>
  <c r="D628" i="1"/>
  <c r="C628" i="1"/>
  <c r="B628" i="1"/>
  <c r="A628" i="1"/>
  <c r="D627" i="1"/>
  <c r="C627" i="1"/>
  <c r="B627" i="1"/>
  <c r="A627" i="1"/>
  <c r="D626" i="1"/>
  <c r="C626" i="1"/>
  <c r="B626" i="1"/>
  <c r="A626" i="1"/>
  <c r="D625" i="1"/>
  <c r="C625" i="1"/>
  <c r="B625" i="1"/>
  <c r="A625" i="1"/>
  <c r="D624" i="1"/>
  <c r="C624" i="1"/>
  <c r="B624" i="1"/>
  <c r="A624" i="1"/>
  <c r="D623" i="1"/>
  <c r="C623" i="1"/>
  <c r="B623" i="1"/>
  <c r="A623" i="1"/>
  <c r="D622" i="1"/>
  <c r="C622" i="1"/>
  <c r="B622" i="1"/>
  <c r="A622" i="1"/>
  <c r="D621" i="1"/>
  <c r="C621" i="1"/>
  <c r="B621" i="1"/>
  <c r="A621" i="1"/>
  <c r="D620" i="1"/>
  <c r="C620" i="1"/>
  <c r="B620" i="1"/>
  <c r="A620" i="1"/>
  <c r="D619" i="1"/>
  <c r="C619" i="1"/>
  <c r="B619" i="1"/>
  <c r="A619" i="1"/>
  <c r="D618" i="1"/>
  <c r="C618" i="1"/>
  <c r="B618" i="1"/>
  <c r="A618" i="1"/>
  <c r="D617" i="1"/>
  <c r="C617" i="1"/>
  <c r="B617" i="1"/>
  <c r="A617" i="1"/>
  <c r="D616" i="1"/>
  <c r="C616" i="1"/>
  <c r="B616" i="1"/>
  <c r="A616" i="1"/>
  <c r="D615" i="1"/>
  <c r="C615" i="1"/>
  <c r="B615" i="1"/>
  <c r="A615" i="1"/>
  <c r="D614" i="1"/>
  <c r="C614" i="1"/>
  <c r="B614" i="1"/>
  <c r="A614" i="1"/>
  <c r="D613" i="1"/>
  <c r="C613" i="1"/>
  <c r="B613" i="1"/>
  <c r="A613" i="1"/>
  <c r="D612" i="1"/>
  <c r="C612" i="1"/>
  <c r="B612" i="1"/>
  <c r="A612" i="1"/>
  <c r="D611" i="1"/>
  <c r="C611" i="1"/>
  <c r="B611" i="1"/>
  <c r="A611" i="1"/>
  <c r="D610" i="1"/>
  <c r="C610" i="1"/>
  <c r="B610" i="1"/>
  <c r="A610" i="1"/>
  <c r="D609" i="1"/>
  <c r="C609" i="1"/>
  <c r="B609" i="1"/>
  <c r="A609" i="1"/>
  <c r="D608" i="1"/>
  <c r="C608" i="1"/>
  <c r="B608" i="1"/>
  <c r="A608" i="1"/>
  <c r="D607" i="1"/>
  <c r="C607" i="1"/>
  <c r="B607" i="1"/>
  <c r="A607" i="1"/>
  <c r="D606" i="1"/>
  <c r="C606" i="1"/>
  <c r="B606" i="1"/>
  <c r="A606" i="1"/>
  <c r="D605" i="1"/>
  <c r="C605" i="1"/>
  <c r="B605" i="1"/>
  <c r="A605" i="1"/>
  <c r="D604" i="1"/>
  <c r="C604" i="1"/>
  <c r="B604" i="1"/>
  <c r="A604" i="1"/>
  <c r="D603" i="1"/>
  <c r="C603" i="1"/>
  <c r="B603" i="1"/>
  <c r="A603" i="1"/>
  <c r="D602" i="1"/>
  <c r="C602" i="1"/>
  <c r="B602" i="1"/>
  <c r="A602" i="1"/>
  <c r="D601" i="1"/>
  <c r="C601" i="1"/>
  <c r="B601" i="1"/>
  <c r="A601" i="1"/>
  <c r="D600" i="1"/>
  <c r="C600" i="1"/>
  <c r="B600" i="1"/>
  <c r="A600" i="1"/>
  <c r="D599" i="1"/>
  <c r="C599" i="1"/>
  <c r="B599" i="1"/>
  <c r="A599" i="1"/>
  <c r="D598" i="1"/>
  <c r="C598" i="1"/>
  <c r="B598" i="1"/>
  <c r="A598" i="1"/>
  <c r="D597" i="1"/>
  <c r="C597" i="1"/>
  <c r="B597" i="1"/>
  <c r="A597" i="1"/>
  <c r="D596" i="1"/>
  <c r="C596" i="1"/>
  <c r="B596" i="1"/>
  <c r="A596" i="1"/>
  <c r="D595" i="1"/>
  <c r="C595" i="1"/>
  <c r="B595" i="1"/>
  <c r="A595" i="1"/>
  <c r="D594" i="1"/>
  <c r="C594" i="1"/>
  <c r="B594" i="1"/>
  <c r="A594" i="1"/>
  <c r="D593" i="1"/>
  <c r="C593" i="1"/>
  <c r="B593" i="1"/>
  <c r="A593" i="1"/>
  <c r="D592" i="1"/>
  <c r="C592" i="1"/>
  <c r="B592" i="1"/>
  <c r="A592" i="1"/>
  <c r="D591" i="1"/>
  <c r="C591" i="1"/>
  <c r="B591" i="1"/>
  <c r="A591" i="1"/>
  <c r="D590" i="1"/>
  <c r="C590" i="1"/>
  <c r="A590" i="1"/>
  <c r="D589" i="1"/>
  <c r="C589" i="1"/>
  <c r="B589" i="1"/>
  <c r="A589" i="1"/>
  <c r="D588" i="1"/>
  <c r="C588" i="1"/>
  <c r="B588" i="1"/>
  <c r="A588" i="1"/>
  <c r="D587" i="1"/>
  <c r="C587" i="1"/>
  <c r="B587" i="1"/>
  <c r="A587" i="1"/>
  <c r="D586" i="1"/>
  <c r="C586" i="1"/>
  <c r="A586" i="1"/>
  <c r="D585" i="1"/>
  <c r="C585" i="1"/>
  <c r="B585" i="1"/>
  <c r="A585" i="1"/>
  <c r="D584" i="1"/>
  <c r="C584" i="1"/>
  <c r="B584" i="1"/>
  <c r="A584" i="1"/>
  <c r="D583" i="1"/>
  <c r="C583" i="1"/>
  <c r="B583" i="1"/>
  <c r="A583" i="1"/>
  <c r="D582" i="1"/>
  <c r="C582" i="1"/>
  <c r="B582" i="1"/>
  <c r="A582" i="1"/>
  <c r="D581" i="1"/>
  <c r="C581" i="1"/>
  <c r="B581" i="1"/>
  <c r="A581" i="1"/>
  <c r="D580" i="1"/>
  <c r="C580" i="1"/>
  <c r="B580" i="1"/>
  <c r="A580" i="1"/>
  <c r="D579" i="1"/>
  <c r="C579" i="1"/>
  <c r="B579" i="1"/>
  <c r="A579" i="1"/>
  <c r="D578" i="1"/>
  <c r="C578" i="1"/>
  <c r="B578" i="1"/>
  <c r="A578" i="1"/>
  <c r="D577" i="1"/>
  <c r="C577" i="1"/>
  <c r="B577" i="1"/>
  <c r="A577" i="1"/>
  <c r="D576" i="1"/>
  <c r="C576" i="1"/>
  <c r="B576" i="1"/>
  <c r="A576" i="1"/>
  <c r="D575" i="1"/>
  <c r="C575" i="1"/>
  <c r="B575" i="1"/>
  <c r="A575" i="1"/>
  <c r="D574" i="1"/>
  <c r="C574" i="1"/>
  <c r="B574" i="1"/>
  <c r="A574" i="1"/>
  <c r="D573" i="1"/>
  <c r="C573" i="1"/>
  <c r="B573" i="1"/>
  <c r="A573" i="1"/>
  <c r="D572" i="1"/>
  <c r="C572" i="1"/>
  <c r="B572" i="1"/>
  <c r="A572" i="1"/>
  <c r="D571" i="1"/>
  <c r="C571" i="1"/>
  <c r="B571" i="1"/>
  <c r="A571" i="1"/>
  <c r="D570" i="1"/>
  <c r="C570" i="1"/>
  <c r="B570" i="1"/>
  <c r="A570" i="1"/>
  <c r="D569" i="1"/>
  <c r="C569" i="1"/>
  <c r="B569" i="1"/>
  <c r="A569" i="1"/>
  <c r="D568" i="1"/>
  <c r="C568" i="1"/>
  <c r="B568" i="1"/>
  <c r="A568" i="1"/>
  <c r="D567" i="1"/>
  <c r="C567" i="1"/>
  <c r="B567" i="1"/>
  <c r="A567" i="1"/>
  <c r="D566" i="1"/>
  <c r="C566" i="1"/>
  <c r="B566" i="1"/>
  <c r="A566" i="1"/>
  <c r="D565" i="1"/>
  <c r="C565" i="1"/>
  <c r="B565" i="1"/>
  <c r="A565" i="1"/>
  <c r="D564" i="1"/>
  <c r="C564" i="1"/>
  <c r="B564" i="1"/>
  <c r="A564" i="1"/>
  <c r="D563" i="1"/>
  <c r="C563" i="1"/>
  <c r="B563" i="1"/>
  <c r="A563" i="1"/>
  <c r="D562" i="1"/>
  <c r="C562" i="1"/>
  <c r="B562" i="1"/>
  <c r="A562" i="1"/>
  <c r="D561" i="1"/>
  <c r="C561" i="1"/>
  <c r="B561" i="1"/>
  <c r="A561" i="1"/>
  <c r="D560" i="1"/>
  <c r="C560" i="1"/>
  <c r="B560" i="1"/>
  <c r="A560" i="1"/>
  <c r="D559" i="1"/>
  <c r="C559" i="1"/>
  <c r="B559" i="1"/>
  <c r="A559" i="1"/>
  <c r="D558" i="1"/>
  <c r="C558" i="1"/>
  <c r="B558" i="1"/>
  <c r="A558" i="1"/>
  <c r="D557" i="1"/>
  <c r="C557" i="1"/>
  <c r="B557" i="1"/>
  <c r="A557" i="1"/>
  <c r="D556" i="1"/>
  <c r="C556" i="1"/>
  <c r="B556" i="1"/>
  <c r="A556" i="1"/>
  <c r="D555" i="1"/>
  <c r="C555" i="1"/>
  <c r="B555" i="1"/>
  <c r="A555" i="1"/>
  <c r="D554" i="1"/>
  <c r="C554" i="1"/>
  <c r="B554" i="1"/>
  <c r="A554" i="1"/>
  <c r="D553" i="1"/>
  <c r="C553" i="1"/>
  <c r="B553" i="1"/>
  <c r="A553" i="1"/>
  <c r="D552" i="1"/>
  <c r="C552" i="1"/>
  <c r="B552" i="1"/>
  <c r="A552" i="1"/>
  <c r="D551" i="1"/>
  <c r="C551" i="1"/>
  <c r="B551" i="1"/>
  <c r="A551" i="1"/>
  <c r="D550" i="1"/>
  <c r="C550" i="1"/>
  <c r="B550" i="1"/>
  <c r="A550" i="1"/>
  <c r="D549" i="1"/>
  <c r="C549" i="1"/>
  <c r="B549" i="1"/>
  <c r="A549" i="1"/>
  <c r="D548" i="1"/>
  <c r="C548" i="1"/>
  <c r="B548" i="1"/>
  <c r="A548" i="1"/>
  <c r="D547" i="1"/>
  <c r="C547" i="1"/>
  <c r="B547" i="1"/>
  <c r="A547" i="1"/>
  <c r="D546" i="1"/>
  <c r="C546" i="1"/>
  <c r="B546" i="1"/>
  <c r="A546" i="1"/>
  <c r="D545" i="1"/>
  <c r="C545" i="1"/>
  <c r="B545" i="1"/>
  <c r="A545" i="1"/>
  <c r="D544" i="1"/>
  <c r="C544" i="1"/>
  <c r="B544" i="1"/>
  <c r="A544" i="1"/>
  <c r="D543" i="1"/>
  <c r="C543" i="1"/>
  <c r="B543" i="1"/>
  <c r="A543" i="1"/>
  <c r="D542" i="1"/>
  <c r="C542" i="1"/>
  <c r="B542" i="1"/>
  <c r="A542" i="1"/>
  <c r="D541" i="1"/>
  <c r="C541" i="1"/>
  <c r="B541" i="1"/>
  <c r="A541" i="1"/>
  <c r="D540" i="1"/>
  <c r="C540" i="1"/>
  <c r="B540" i="1"/>
  <c r="A540" i="1"/>
  <c r="D539" i="1"/>
  <c r="C539" i="1"/>
  <c r="B539" i="1"/>
  <c r="A539" i="1"/>
  <c r="D538" i="1"/>
  <c r="C538" i="1"/>
  <c r="B538" i="1"/>
  <c r="A538" i="1"/>
  <c r="D537" i="1"/>
  <c r="C537" i="1"/>
  <c r="B537" i="1"/>
  <c r="A537" i="1"/>
  <c r="D536" i="1"/>
  <c r="C536" i="1"/>
  <c r="B536" i="1"/>
  <c r="A536" i="1"/>
  <c r="D535" i="1"/>
  <c r="C535" i="1"/>
  <c r="B535" i="1"/>
  <c r="A535" i="1"/>
  <c r="D534" i="1"/>
  <c r="C534" i="1"/>
  <c r="B534" i="1"/>
  <c r="A534" i="1"/>
  <c r="D533" i="1"/>
  <c r="C533" i="1"/>
  <c r="B533" i="1"/>
  <c r="A533" i="1"/>
  <c r="D532" i="1"/>
  <c r="C532" i="1"/>
  <c r="B532" i="1"/>
  <c r="A532" i="1"/>
  <c r="D531" i="1"/>
  <c r="C531" i="1"/>
  <c r="B531" i="1"/>
  <c r="A531" i="1"/>
  <c r="D530" i="1"/>
  <c r="C530" i="1"/>
  <c r="B530" i="1"/>
  <c r="A530" i="1"/>
  <c r="D529" i="1"/>
  <c r="C529" i="1"/>
  <c r="B529" i="1"/>
  <c r="A529" i="1"/>
  <c r="D528" i="1"/>
  <c r="C528" i="1"/>
  <c r="B528" i="1"/>
  <c r="A528" i="1"/>
  <c r="D527" i="1"/>
  <c r="C527" i="1"/>
  <c r="B527" i="1"/>
  <c r="A527" i="1"/>
  <c r="D526" i="1"/>
  <c r="C526" i="1"/>
  <c r="B526" i="1"/>
  <c r="A526" i="1"/>
  <c r="D525" i="1"/>
  <c r="C525" i="1"/>
  <c r="B525" i="1"/>
  <c r="A525" i="1"/>
  <c r="D524" i="1"/>
  <c r="C524" i="1"/>
  <c r="B524" i="1"/>
  <c r="A524" i="1"/>
  <c r="D523" i="1"/>
  <c r="C523" i="1"/>
  <c r="B523" i="1"/>
  <c r="A523" i="1"/>
  <c r="D522" i="1"/>
  <c r="C522" i="1"/>
  <c r="B522" i="1"/>
  <c r="A522" i="1"/>
  <c r="D521" i="1"/>
  <c r="C521" i="1"/>
  <c r="B521" i="1"/>
  <c r="A521" i="1"/>
  <c r="D520" i="1"/>
  <c r="C520" i="1"/>
  <c r="B520" i="1"/>
  <c r="A520" i="1"/>
  <c r="D519" i="1"/>
  <c r="C519" i="1"/>
  <c r="B519" i="1"/>
  <c r="A519" i="1"/>
  <c r="D518" i="1"/>
  <c r="C518" i="1"/>
  <c r="B518" i="1"/>
  <c r="A518" i="1"/>
  <c r="D517" i="1"/>
  <c r="C517" i="1"/>
  <c r="B517" i="1"/>
  <c r="A517" i="1"/>
  <c r="D516" i="1"/>
  <c r="C516" i="1"/>
  <c r="B516" i="1"/>
  <c r="A516" i="1"/>
  <c r="D515" i="1"/>
  <c r="C515" i="1"/>
  <c r="B515" i="1"/>
  <c r="A515" i="1"/>
  <c r="D514" i="1"/>
  <c r="C514" i="1"/>
  <c r="B514" i="1"/>
  <c r="A514" i="1"/>
  <c r="D513" i="1"/>
  <c r="C513" i="1"/>
  <c r="B513" i="1"/>
  <c r="A513" i="1"/>
  <c r="D512" i="1"/>
  <c r="C512" i="1"/>
  <c r="B512" i="1"/>
  <c r="A512" i="1"/>
  <c r="D511" i="1"/>
  <c r="C511" i="1"/>
  <c r="B511" i="1"/>
  <c r="A511" i="1"/>
  <c r="D510" i="1"/>
  <c r="C510" i="1"/>
  <c r="B510" i="1"/>
  <c r="A510" i="1"/>
  <c r="D509" i="1"/>
  <c r="C509" i="1"/>
  <c r="B509" i="1"/>
  <c r="A509" i="1"/>
  <c r="D508" i="1"/>
  <c r="C508" i="1"/>
  <c r="B508" i="1"/>
  <c r="A508" i="1"/>
  <c r="D507" i="1"/>
  <c r="C507" i="1"/>
  <c r="B507" i="1"/>
  <c r="A507" i="1"/>
  <c r="D506" i="1"/>
  <c r="C506" i="1"/>
  <c r="B506" i="1"/>
  <c r="A506" i="1"/>
  <c r="D505" i="1"/>
  <c r="C505" i="1"/>
  <c r="B505" i="1"/>
  <c r="A505" i="1"/>
  <c r="D504" i="1"/>
  <c r="C504" i="1"/>
  <c r="B504" i="1"/>
  <c r="A504" i="1"/>
  <c r="D503" i="1"/>
  <c r="C503" i="1"/>
  <c r="B503" i="1"/>
  <c r="A503" i="1"/>
  <c r="D502" i="1"/>
  <c r="C502" i="1"/>
  <c r="B502" i="1"/>
  <c r="A502" i="1"/>
  <c r="D501" i="1"/>
  <c r="C501" i="1"/>
  <c r="B501" i="1"/>
  <c r="A501" i="1"/>
  <c r="D500" i="1"/>
  <c r="C500" i="1"/>
  <c r="B500" i="1"/>
  <c r="A500" i="1"/>
  <c r="D499" i="1"/>
  <c r="C499" i="1"/>
  <c r="B499" i="1"/>
  <c r="A499" i="1"/>
  <c r="D498" i="1"/>
  <c r="C498" i="1"/>
  <c r="B498" i="1"/>
  <c r="A498" i="1"/>
  <c r="D497" i="1"/>
  <c r="C497" i="1"/>
  <c r="B497" i="1"/>
  <c r="A497" i="1"/>
  <c r="D496" i="1"/>
  <c r="C496" i="1"/>
  <c r="B496" i="1"/>
  <c r="A496" i="1"/>
  <c r="D495" i="1"/>
  <c r="C495" i="1"/>
  <c r="B495" i="1"/>
  <c r="A495" i="1"/>
  <c r="D494" i="1"/>
  <c r="C494" i="1"/>
  <c r="B494" i="1"/>
  <c r="A494" i="1"/>
  <c r="D493" i="1"/>
  <c r="C493" i="1"/>
  <c r="B493" i="1"/>
  <c r="A493" i="1"/>
  <c r="D492" i="1"/>
  <c r="C492" i="1"/>
  <c r="B492" i="1"/>
  <c r="A492" i="1"/>
  <c r="D491" i="1"/>
  <c r="C491" i="1"/>
  <c r="A491" i="1"/>
  <c r="D490" i="1"/>
  <c r="C490" i="1"/>
  <c r="B490" i="1"/>
  <c r="A490" i="1"/>
  <c r="D489" i="1"/>
  <c r="C489" i="1"/>
  <c r="B489" i="1"/>
  <c r="A489" i="1"/>
  <c r="D488" i="1"/>
  <c r="C488" i="1"/>
  <c r="B488" i="1"/>
  <c r="A488" i="1"/>
  <c r="D487" i="1"/>
  <c r="C487" i="1"/>
  <c r="B487" i="1"/>
  <c r="A487" i="1"/>
  <c r="D486" i="1"/>
  <c r="C486" i="1"/>
  <c r="B486" i="1"/>
  <c r="A486" i="1"/>
  <c r="D485" i="1"/>
  <c r="C485" i="1"/>
  <c r="B485" i="1"/>
  <c r="A485" i="1"/>
  <c r="D484" i="1"/>
  <c r="C484" i="1"/>
  <c r="B484" i="1"/>
  <c r="A484" i="1"/>
  <c r="D483" i="1"/>
  <c r="C483" i="1"/>
  <c r="B483" i="1"/>
  <c r="A483" i="1"/>
  <c r="D482" i="1"/>
  <c r="C482" i="1"/>
  <c r="B482" i="1"/>
  <c r="A482" i="1"/>
  <c r="D481" i="1"/>
  <c r="C481" i="1"/>
  <c r="B481" i="1"/>
  <c r="A481" i="1"/>
  <c r="D480" i="1"/>
  <c r="C480" i="1"/>
  <c r="B480" i="1"/>
  <c r="A480" i="1"/>
  <c r="D479" i="1"/>
  <c r="C479" i="1"/>
  <c r="B479" i="1"/>
  <c r="A479" i="1"/>
  <c r="D478" i="1"/>
  <c r="C478" i="1"/>
  <c r="B478" i="1"/>
  <c r="A478" i="1"/>
  <c r="D477" i="1"/>
  <c r="C477" i="1"/>
  <c r="B477" i="1"/>
  <c r="A477" i="1"/>
  <c r="D476" i="1"/>
  <c r="C476" i="1"/>
  <c r="B476" i="1"/>
  <c r="A476" i="1"/>
  <c r="D475" i="1"/>
  <c r="C475" i="1"/>
  <c r="B475" i="1"/>
  <c r="A475" i="1"/>
  <c r="D474" i="1"/>
  <c r="C474" i="1"/>
  <c r="B474" i="1"/>
  <c r="A474" i="1"/>
  <c r="D473" i="1"/>
  <c r="C473" i="1"/>
  <c r="B473" i="1"/>
  <c r="A473" i="1"/>
  <c r="D472" i="1"/>
  <c r="C472" i="1"/>
  <c r="B472" i="1"/>
  <c r="A472" i="1"/>
  <c r="D471" i="1"/>
  <c r="C471" i="1"/>
  <c r="B471" i="1"/>
  <c r="A471" i="1"/>
  <c r="D470" i="1"/>
  <c r="C470" i="1"/>
  <c r="B470" i="1"/>
  <c r="A470" i="1"/>
  <c r="D469" i="1"/>
  <c r="C469" i="1"/>
  <c r="A469" i="1"/>
  <c r="D468" i="1"/>
  <c r="A468" i="1"/>
  <c r="D467" i="1"/>
  <c r="C467" i="1"/>
  <c r="B467" i="1"/>
  <c r="A467" i="1"/>
  <c r="D466" i="1"/>
  <c r="C466" i="1"/>
  <c r="B466" i="1"/>
  <c r="A466" i="1"/>
  <c r="D465" i="1"/>
  <c r="C465" i="1"/>
  <c r="B465" i="1"/>
  <c r="A465" i="1"/>
  <c r="D464" i="1"/>
  <c r="C464" i="1"/>
  <c r="B464" i="1"/>
  <c r="A464" i="1"/>
  <c r="D463" i="1"/>
  <c r="C463" i="1"/>
  <c r="B463" i="1"/>
  <c r="A463" i="1"/>
  <c r="D462" i="1"/>
  <c r="C462" i="1"/>
  <c r="B462" i="1"/>
  <c r="A462" i="1"/>
  <c r="D461" i="1"/>
  <c r="C461" i="1"/>
  <c r="B461" i="1"/>
  <c r="A461" i="1"/>
  <c r="D460" i="1"/>
  <c r="C460" i="1"/>
  <c r="B460" i="1"/>
  <c r="A460" i="1"/>
  <c r="D459" i="1"/>
  <c r="C459" i="1"/>
  <c r="B459" i="1"/>
  <c r="A459" i="1"/>
  <c r="D458" i="1"/>
  <c r="C458" i="1"/>
  <c r="B458" i="1"/>
  <c r="A458" i="1"/>
  <c r="D457" i="1"/>
  <c r="C457" i="1"/>
  <c r="B457" i="1"/>
  <c r="A457" i="1"/>
  <c r="D456" i="1"/>
  <c r="C456" i="1"/>
  <c r="B456" i="1"/>
  <c r="A456" i="1"/>
  <c r="D455" i="1"/>
  <c r="C455" i="1"/>
  <c r="B455" i="1"/>
  <c r="A455" i="1"/>
  <c r="D454" i="1"/>
  <c r="C454" i="1"/>
  <c r="B454" i="1"/>
  <c r="A454" i="1"/>
  <c r="D453" i="1"/>
  <c r="C453" i="1"/>
  <c r="B453" i="1"/>
  <c r="A453" i="1"/>
  <c r="D452" i="1"/>
  <c r="C452" i="1"/>
  <c r="B452" i="1"/>
  <c r="A452" i="1"/>
  <c r="D451" i="1"/>
  <c r="C451" i="1"/>
  <c r="B451" i="1"/>
  <c r="A451" i="1"/>
  <c r="D450" i="1"/>
  <c r="C450" i="1"/>
  <c r="B450" i="1"/>
  <c r="A450" i="1"/>
  <c r="D449" i="1"/>
  <c r="C449" i="1"/>
  <c r="B449" i="1"/>
  <c r="A449" i="1"/>
  <c r="D448" i="1"/>
  <c r="C448" i="1"/>
  <c r="B448" i="1"/>
  <c r="A448" i="1"/>
  <c r="D447" i="1"/>
  <c r="C447" i="1"/>
  <c r="A447" i="1"/>
  <c r="D446" i="1"/>
  <c r="C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A204" i="1"/>
  <c r="D203" i="1"/>
  <c r="C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A73" i="1"/>
  <c r="D72" i="1"/>
  <c r="C72" i="1"/>
  <c r="A72" i="1"/>
  <c r="D71" i="1"/>
  <c r="C71" i="1"/>
  <c r="A71" i="1"/>
  <c r="D70" i="1"/>
  <c r="C70" i="1"/>
  <c r="A70" i="1"/>
  <c r="D69" i="1"/>
  <c r="C69" i="1"/>
  <c r="B69" i="1"/>
  <c r="A69" i="1"/>
  <c r="D68" i="1"/>
  <c r="C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</calcChain>
</file>

<file path=xl/sharedStrings.xml><?xml version="1.0" encoding="utf-8"?>
<sst xmlns="http://schemas.openxmlformats.org/spreadsheetml/2006/main" count="7867" uniqueCount="6372">
  <si>
    <t>SKU</t>
  </si>
  <si>
    <t>var ID</t>
  </si>
  <si>
    <t>EAN</t>
  </si>
  <si>
    <t>PRODUCT NAME</t>
  </si>
  <si>
    <t>price
[€]</t>
  </si>
  <si>
    <t>date</t>
  </si>
  <si>
    <t>?</t>
  </si>
  <si>
    <t>REA-K7770</t>
  </si>
  <si>
    <t>ADAPTER MAGNETYCZNY HUGO BLACK</t>
  </si>
  <si>
    <t>REA-K7771</t>
  </si>
  <si>
    <t>ADAPTER MAGNETYCZNY HUGO GOLD BRUSH</t>
  </si>
  <si>
    <t>REA-K6395</t>
  </si>
  <si>
    <t>ADAPTER MAGNETYCZNY MOLIER BLACK 190 cm</t>
  </si>
  <si>
    <t>REA-K3261</t>
  </si>
  <si>
    <t>ADAPTER MAGNETYCZNY MOLIER CHROM</t>
  </si>
  <si>
    <t>REA-K6351</t>
  </si>
  <si>
    <t>ADAPTER POSZERZA BLACK RAPID FARGO SOLAR 195 cm</t>
  </si>
  <si>
    <t>REA-K7773</t>
  </si>
  <si>
    <t>ADAPTER POSZERZA CHROM RAPID 195 cm</t>
  </si>
  <si>
    <t>REA-K6000</t>
  </si>
  <si>
    <t>ADAPTER POSZERZA DO KABIN/DRZWI MOLIER BLACK 190cm</t>
  </si>
  <si>
    <t>REA-K7772</t>
  </si>
  <si>
    <t>ADAPTER POSZERZA GOLD RAPID FARGO SOLAR 195 cm</t>
  </si>
  <si>
    <t>REA-K7512</t>
  </si>
  <si>
    <t>ADAPTER POSZERZA SLIM N - DO KABIN/DRZWI N 190 cm</t>
  </si>
  <si>
    <t>REA-K7703</t>
  </si>
  <si>
    <t>ADAPTER PRZEDŁUŻAJĄCY 30cm NIKIEL SZCZOTKOWANY</t>
  </si>
  <si>
    <t>REA-K7704</t>
  </si>
  <si>
    <t>ADAPTER PRZEDŁUŻAJĄCY 30cm ZŁOTY SZCZOTKOWANY</t>
  </si>
  <si>
    <t>REA-K4120</t>
  </si>
  <si>
    <t>ADAPTER PRZYŚCIENNY/ŁĄCZĄCY A66  MY/UP SPACE "N"</t>
  </si>
  <si>
    <t>REA-B9901</t>
  </si>
  <si>
    <t>BAT BIDETOWA MY1709-9DBR ROMANO CZARNA PRZECIERANA</t>
  </si>
  <si>
    <t>REA-B2026</t>
  </si>
  <si>
    <t>BAT JS-634901-1RGB VIRAL CZARNA/RÓŻ ZŁOTO WYSOKA</t>
  </si>
  <si>
    <t>REA-B2025</t>
  </si>
  <si>
    <t>BAT JS-634901RGB VIRAL CZARNA/RÓŻOWE ZŁOTO NISKA</t>
  </si>
  <si>
    <t>REA-B6205</t>
  </si>
  <si>
    <t>BAT KUCHENNA MY1906-5BGG SOUL ZŁOTA SZCZOTK/CZARNA</t>
  </si>
  <si>
    <t>REA-B9902</t>
  </si>
  <si>
    <t>BAT UMY MY1709-21DBR ROMANO CZARNA PRZECIER WYSOKA</t>
  </si>
  <si>
    <t>REA-B9900</t>
  </si>
  <si>
    <t>BAT UMY MY1709-2DBR ROMANO CZARNA PRZECIERAN NISKA</t>
  </si>
  <si>
    <t>REA-B9974</t>
  </si>
  <si>
    <t>BAT UMY MY1803-21DBR BLADE CZARNA PRZECIERA WYSOKA</t>
  </si>
  <si>
    <t>REA-B9973</t>
  </si>
  <si>
    <t>BAT UMY MY1803-2DBR BLADE CZARNA PRZECIERANA NISKA</t>
  </si>
  <si>
    <t>REA-B9961</t>
  </si>
  <si>
    <t>BAT UMY MY1906-21BGG SOUL ZŁOTA SZCZ/CZARNA WYSOKA</t>
  </si>
  <si>
    <t>REA-B9960</t>
  </si>
  <si>
    <t>BAT UMY MY1906-2BGG SOUL ZŁOTA SZCZOT/CZARNA NISKA</t>
  </si>
  <si>
    <t>REA-B2027</t>
  </si>
  <si>
    <t>BAT WANN JS-634903RGB VIRAL CZARNA/RÓŻOWE ZŁOTO</t>
  </si>
  <si>
    <t>REA-B9970</t>
  </si>
  <si>
    <t>BATERIA BIDETOW MY2061-9GG HASS ZŁOTA SZCZOTKOWANA</t>
  </si>
  <si>
    <t>REA-B1119</t>
  </si>
  <si>
    <t>BATERIA BIDETOWA AVALON CZARNA</t>
  </si>
  <si>
    <t>REA-B2700</t>
  </si>
  <si>
    <t>BATERIA BIDETOWA AVALON TYTAN</t>
  </si>
  <si>
    <t>REA-B1125</t>
  </si>
  <si>
    <t>BATERIA BIDETOWA AVALON ZŁOTA</t>
  </si>
  <si>
    <t>REA-B2701</t>
  </si>
  <si>
    <t>BATERIA BIDETOWA AVALON ZŁOTA SZCZOTKOWANA</t>
  </si>
  <si>
    <t>REA-B5126</t>
  </si>
  <si>
    <t>BATERIA BIDETOWA FENIX CHROM</t>
  </si>
  <si>
    <t>REA-B5687</t>
  </si>
  <si>
    <t>BATERIA BIDETOWA FENIX CZARNA</t>
  </si>
  <si>
    <t>REA-B5771</t>
  </si>
  <si>
    <t>BATERIA BIDETOWA FENIX ZŁOTA</t>
  </si>
  <si>
    <t>REA-B0255</t>
  </si>
  <si>
    <t>BATERIA BIDETOWA LOOP LUNGO BIAŁA</t>
  </si>
  <si>
    <t>REA-B4106</t>
  </si>
  <si>
    <t>BATERIA BIDETOWA LOOP LUNGO CHROM</t>
  </si>
  <si>
    <t>REA-B8978</t>
  </si>
  <si>
    <t>BATERIA BIDETOWA LOOP LUNGO CZARNA</t>
  </si>
  <si>
    <t>REA-B5656</t>
  </si>
  <si>
    <t>BATERIA BIDETOWA LOOP LUNGO CZARNA METALICZNA</t>
  </si>
  <si>
    <t>REA-B6523</t>
  </si>
  <si>
    <t>BATERIA BIDETOWA LOOP LUNGO RÓŻOWE ZŁOTO</t>
  </si>
  <si>
    <t>REA-B8979</t>
  </si>
  <si>
    <t>BATERIA BIDETOWA LOOP LUNGO ZŁOTA</t>
  </si>
  <si>
    <t>REA-B6311</t>
  </si>
  <si>
    <t>BATERIA BIDETOWA LOOP LUNGO ZŁOTA SZCZOTKOWANA</t>
  </si>
  <si>
    <t>REA-B4701</t>
  </si>
  <si>
    <t>BATERIA BIDETOWA LUNGO BIAŁA</t>
  </si>
  <si>
    <t>REA-B0666</t>
  </si>
  <si>
    <t>BATERIA BIDETOWA LUNGO CHROM</t>
  </si>
  <si>
    <t>REA-B0667</t>
  </si>
  <si>
    <t>BATERIA BIDETOWA LUNGO CZARNA</t>
  </si>
  <si>
    <t>REA-B0665</t>
  </si>
  <si>
    <t>BATERIA BIDETOWA LUNGO CZARNA/CHROM</t>
  </si>
  <si>
    <t>REA-B9855</t>
  </si>
  <si>
    <t>BATERIA BIDETOWA LUNGO MIEDŹ</t>
  </si>
  <si>
    <t>REA-B1116</t>
  </si>
  <si>
    <t>BATERIA BIDETOWA LUNGO MIEDŹ SZCZOTKOWANA</t>
  </si>
  <si>
    <t>REA-B4700</t>
  </si>
  <si>
    <t>BATERIA BIDETOWA LUNGO RÓŻÓWE ZŁOTO</t>
  </si>
  <si>
    <t>REA-B0668</t>
  </si>
  <si>
    <t>BATERIA BIDETOWA LUNGO ZŁOTA</t>
  </si>
  <si>
    <t>REA-B4702</t>
  </si>
  <si>
    <t>BATERIA BIDETOWA LUNGO ZŁOTA SZCZOTKOWANA</t>
  </si>
  <si>
    <t>REA-B9935</t>
  </si>
  <si>
    <t>BATERIA BIDETOWA MY1805-9BG BLOOM CZARNA/ZŁOTA</t>
  </si>
  <si>
    <t>REA-B9916</t>
  </si>
  <si>
    <t>BATERIA BIDETOWA MY1805-9CW BLOOM BIAŁA/CHROM</t>
  </si>
  <si>
    <t>REA-B9930</t>
  </si>
  <si>
    <t>BATERIA BIDETOWA MY1805-9WG BLOOM BIAŁA/ZŁOTA</t>
  </si>
  <si>
    <t>REA-B4120</t>
  </si>
  <si>
    <t>BATERIA BIDETOWA MY1902-9B STORM CZARNA</t>
  </si>
  <si>
    <t>REA-B8039</t>
  </si>
  <si>
    <t>BATERIA BIDETOWA MY1902-9C STORM CHROM</t>
  </si>
  <si>
    <t>REA-B9982</t>
  </si>
  <si>
    <t>BATERIA BIDETOWA MY1902-9G STORM ZŁOTA</t>
  </si>
  <si>
    <t>REA-B4583</t>
  </si>
  <si>
    <t>BATERIA BIDETOWA MY1902-9H STORM GUN SZARY</t>
  </si>
  <si>
    <t>REA-B9995</t>
  </si>
  <si>
    <t>BATERIA BIDETOWA MY1906-9B SOUL CZARNA</t>
  </si>
  <si>
    <t>REA-B9991</t>
  </si>
  <si>
    <t>BATERIA BIDETOWA MY1906-9C SOUL CHROM</t>
  </si>
  <si>
    <t>REA-B9958</t>
  </si>
  <si>
    <t>BATERIA BIDETOWA MY1906-9G SOUL ZŁOTA</t>
  </si>
  <si>
    <t>REA-B6405</t>
  </si>
  <si>
    <t>BATERIA BIDETOWA MY2021-9B ARGUS CZARNA</t>
  </si>
  <si>
    <t>REA-B9660</t>
  </si>
  <si>
    <t>BATERIA BIDETOWA MY2021-9G ARGUS ZŁOTA</t>
  </si>
  <si>
    <t>REA-B6411</t>
  </si>
  <si>
    <t>BATERIA BIDETOWA MY2021-9GG ARGUS ZŁOTA SZCZOTK</t>
  </si>
  <si>
    <t>REA-B9965</t>
  </si>
  <si>
    <t>BATERIA BIDETOWA MY2061-9B HASS CZARNA</t>
  </si>
  <si>
    <t>REA-B8805</t>
  </si>
  <si>
    <t>BATERIA BIDETOWA TESS CHROM</t>
  </si>
  <si>
    <t>REA-B5006</t>
  </si>
  <si>
    <t>BATERIA BIDETOWA TESS CZARNA</t>
  </si>
  <si>
    <t>REA-B8807</t>
  </si>
  <si>
    <t>BATERIA BIDETOWA TESS ZŁOTA</t>
  </si>
  <si>
    <t>REA-B7010</t>
  </si>
  <si>
    <t>BATERIA BIDETOWA TESS ZŁOTA SZCZOTKOWANA</t>
  </si>
  <si>
    <t>REA-B0859</t>
  </si>
  <si>
    <t>BATERIA COLE BRUSH SS</t>
  </si>
  <si>
    <t>REA-B8503</t>
  </si>
  <si>
    <t>BATERIA CREEK NISKA BLACK/L.GOLD</t>
  </si>
  <si>
    <t>BAT-00035</t>
  </si>
  <si>
    <t>BATERIA EGGO 2381</t>
  </si>
  <si>
    <t>REA-B1654</t>
  </si>
  <si>
    <t>BATERIA GUSTO ONE NISKA BLACK</t>
  </si>
  <si>
    <t>REA-B8406</t>
  </si>
  <si>
    <t>BATERIA GUSTO ONE WYSOKA CZARNA</t>
  </si>
  <si>
    <t>REA-B8405</t>
  </si>
  <si>
    <t>BATERIA GUSTO ONE WYSOKA GOLD</t>
  </si>
  <si>
    <t>REA-B2001</t>
  </si>
  <si>
    <t>BATERIA JS-D001B  AMAR BLACK</t>
  </si>
  <si>
    <t>REA-B9608</t>
  </si>
  <si>
    <t>BATERIA KUCHENNA 3623512_BLM - CAREN CARBON</t>
  </si>
  <si>
    <t>REA-B9607</t>
  </si>
  <si>
    <t>BATERIA KUCHENNA 3623512_PVDG1 - CAREN ZŁOTA</t>
  </si>
  <si>
    <t>REA-B9600</t>
  </si>
  <si>
    <t>BATERIA KUCHENNA APOLLO CZARNA/RÓŻOWE ZŁOTO</t>
  </si>
  <si>
    <t>REA-B6935</t>
  </si>
  <si>
    <t>BATERIA KUCHENNA CASTOR CZARNA</t>
  </si>
  <si>
    <t>REA-B6936</t>
  </si>
  <si>
    <t>BATERIA KUCHENNA CASTOR CZARNA/ZŁOTA</t>
  </si>
  <si>
    <t>REA-B5698</t>
  </si>
  <si>
    <t>BATERIA KUCHENNA CLEVER CZARNA/CHROM</t>
  </si>
  <si>
    <t>REA-B5219</t>
  </si>
  <si>
    <t>BATERIA KUCHENNA CLEVER CZARNA/ZŁOTA</t>
  </si>
  <si>
    <t>REA-B2720</t>
  </si>
  <si>
    <t>BATERIA KUCHENNA COLE ZŁOTY SZCZOTKOWANY</t>
  </si>
  <si>
    <t>REA-B4820</t>
  </si>
  <si>
    <t>BATERIA KUCHENNA COLIN CZARNA</t>
  </si>
  <si>
    <t>REA-B0417</t>
  </si>
  <si>
    <t>BATERIA KUCHENNA COLIN NIKIEL SZCZOTKOWANY</t>
  </si>
  <si>
    <t>REA-B4821</t>
  </si>
  <si>
    <t>BATERIA KUCHENNA COLIN ZŁOTA SZCZOTKOWANA</t>
  </si>
  <si>
    <t>REA-B0182</t>
  </si>
  <si>
    <t>BATERIA KUCHENNA DECO CZARNA PRZECIERANA</t>
  </si>
  <si>
    <t>REA-B7564</t>
  </si>
  <si>
    <t>BATERIA KUCHENNA ECO FRESH CZARNA</t>
  </si>
  <si>
    <t>REA-B7563</t>
  </si>
  <si>
    <t>BATERIA KUCHENNA ECO FRESH NIKIEL SZCZOTKOWANY</t>
  </si>
  <si>
    <t>REA-B9147</t>
  </si>
  <si>
    <t>BATERIA KUCHENNA FRESH CZARNA</t>
  </si>
  <si>
    <t>REA-B9146</t>
  </si>
  <si>
    <t>BATERIA KUCHENNA FRESH NIKIEL SZCZOTKOWANY</t>
  </si>
  <si>
    <t>REA-B0669</t>
  </si>
  <si>
    <t>BATERIA KUCHENNA FRESH ZŁOTA</t>
  </si>
  <si>
    <t>REA-B9148</t>
  </si>
  <si>
    <t>BATERIA KUCHENNA FRESH ZŁOTA SZCZOTKOWANA</t>
  </si>
  <si>
    <t>REA-B0233</t>
  </si>
  <si>
    <t>BATERIA KUCHENNA GASPAR CZARNA</t>
  </si>
  <si>
    <t>REA-B1019</t>
  </si>
  <si>
    <t>BATERIA KUCHENNA GASPAR CZARNA/ZŁOTA</t>
  </si>
  <si>
    <t>REA-B5682</t>
  </si>
  <si>
    <t>BATERIA KUCHENNA ICON CZARNA/ZŁOTA</t>
  </si>
  <si>
    <t>REA-B5313</t>
  </si>
  <si>
    <t>BATERIA KUCHENNA JS-K087B ROSS CZARNA</t>
  </si>
  <si>
    <t>REA-B5312</t>
  </si>
  <si>
    <t>BATERIA KUCHENNA JS-K087BG ROSS ZŁOTA SZCZOTKOWANA</t>
  </si>
  <si>
    <t>REA-B5314</t>
  </si>
  <si>
    <t>BATERIA KUCHENNA JS-K087N ROSS NIKIEL SZCZOTKOWANY</t>
  </si>
  <si>
    <t>REA-B6312</t>
  </si>
  <si>
    <t>BATERIA KUCHENNA JS-K112BG CONOR ZŁOTA SZCZOTKOWAN</t>
  </si>
  <si>
    <t>REA-B6313</t>
  </si>
  <si>
    <t>BATERIA KUCHENNA JS-K112N CONOR NIKIEL SZCZOTKOWAN</t>
  </si>
  <si>
    <t>REA-B2056</t>
  </si>
  <si>
    <t>BATERIA KUCHENNA JS-K801 NEST CHROM</t>
  </si>
  <si>
    <t>REA-B2057</t>
  </si>
  <si>
    <t>BATERIA KUCHENNA JS-K801B NEST CZARNA</t>
  </si>
  <si>
    <t>REA-B2058</t>
  </si>
  <si>
    <t>BATERIA KUCHENNA JS-K801G NEST ZŁOTA</t>
  </si>
  <si>
    <t>REA-B5309</t>
  </si>
  <si>
    <t>BATERIA KUCHENNA JS-SS008B CROSS CZARNA</t>
  </si>
  <si>
    <t>REA-B5311</t>
  </si>
  <si>
    <t>BATERIA KUCHENNA JS-SS008BG CROSS ZŁOTA SZCZOTKOWA</t>
  </si>
  <si>
    <t>REA-B5310</t>
  </si>
  <si>
    <t>BATERIA KUCHENNA JS-SS008C CROSS CHROM</t>
  </si>
  <si>
    <t>REA-B5308</t>
  </si>
  <si>
    <t>BATERIA KUCHENNA JS-SS008N CROSS NIKIEL SZCZOTKOWA</t>
  </si>
  <si>
    <t>REA-B9144</t>
  </si>
  <si>
    <t>BATERIA KUCHENNA MILD CHROM</t>
  </si>
  <si>
    <t>REA-B4800</t>
  </si>
  <si>
    <t>BATERIA KUCHENNA MILD CZARNA</t>
  </si>
  <si>
    <t>REA-B4801</t>
  </si>
  <si>
    <t>BATERIA KUCHENNA MILD CZARNA/RÓŻOWE ZŁOTO</t>
  </si>
  <si>
    <t>REA-B4802</t>
  </si>
  <si>
    <t>BATERIA KUCHENNA MILD ZŁOTA</t>
  </si>
  <si>
    <t>REA-B4803</t>
  </si>
  <si>
    <t>BATERIA KUCHENNA MILD ZŁOTA SZCZOTKOWANA</t>
  </si>
  <si>
    <t>REA-B9980</t>
  </si>
  <si>
    <t>BATERIA KUCHENNA MY1806-42RBG POLO CZARNA/ZŁOTA</t>
  </si>
  <si>
    <t>REA-B9940</t>
  </si>
  <si>
    <t>BATERIA KUCHENNA MY1806-42RC POLO CHROM</t>
  </si>
  <si>
    <t>REA-B6601</t>
  </si>
  <si>
    <t>BATERIA KUCHENNA NEST NIKIEL SZCZOTKOWANY</t>
  </si>
  <si>
    <t>REA-B6600</t>
  </si>
  <si>
    <t>BATERIA KUCHENNA NEST ZŁOTA SZCZOTKOWANA</t>
  </si>
  <si>
    <t>REA-B0536</t>
  </si>
  <si>
    <t>BATERIA KUCHENNA PACO CZARNA</t>
  </si>
  <si>
    <t>REA-B0537</t>
  </si>
  <si>
    <t>BATERIA KUCHENNA PACO NIKIEL SZCZOTKOWANY</t>
  </si>
  <si>
    <t>REA-B9145</t>
  </si>
  <si>
    <t>BATERIA KUCHENNA SPRING CHROM</t>
  </si>
  <si>
    <t>REA-B4804</t>
  </si>
  <si>
    <t>BATERIA KUCHENNA SPRING CZARNA</t>
  </si>
  <si>
    <t>REA-B4806</t>
  </si>
  <si>
    <t>BATERIA KUCHENNA SPRING NIKIEL SZCZOTKOWANY</t>
  </si>
  <si>
    <t>REA-B4805</t>
  </si>
  <si>
    <t>BATERIA KUCHENNA SPRING ZŁOTA SZCZOTKOWANA</t>
  </si>
  <si>
    <t>REA-B0978</t>
  </si>
  <si>
    <t>BATERIA KUCHENNA TALISA CZARNA</t>
  </si>
  <si>
    <t>REA-B1020</t>
  </si>
  <si>
    <t>BATERIA KUCHENNA TALISA ZŁOTA</t>
  </si>
  <si>
    <t>REA-B6300</t>
  </si>
  <si>
    <t>BATERIA KUCHENNA TROY CZARNA</t>
  </si>
  <si>
    <t>REA-B6301</t>
  </si>
  <si>
    <t>BATERIA KUCHENNA TROY NIKIEL SZCZOTKOWANY</t>
  </si>
  <si>
    <t>REA-B6302</t>
  </si>
  <si>
    <t>BATERIA KUCHENNA TROY ZŁOTA SZCZOTKOWANA</t>
  </si>
  <si>
    <t>REA-B2500</t>
  </si>
  <si>
    <t>BATERIA KUCHENNA VENICE BRĄZ ANTYCZNY WYSOKA</t>
  </si>
  <si>
    <t>REA-B3303</t>
  </si>
  <si>
    <t>BATERIA PRYSZNICOWA DART CHROM</t>
  </si>
  <si>
    <t>REA-B3302</t>
  </si>
  <si>
    <t>BATERIA PRYSZNICOWA DART CZARNA</t>
  </si>
  <si>
    <t>REA-B5653</t>
  </si>
  <si>
    <t>BATERIA PRYSZNICOWA DART ZŁOTA</t>
  </si>
  <si>
    <t>REA-B5110</t>
  </si>
  <si>
    <t>BATERIA PRYSZNICOWA JS-701304B FOSS CZARNA</t>
  </si>
  <si>
    <t>REA-B5113</t>
  </si>
  <si>
    <t>BATERIA PRYSZNICOWA JS-701304BG FOSS ZŁOTY SZCZOT</t>
  </si>
  <si>
    <t>REA-B4241</t>
  </si>
  <si>
    <t>BATERIA PRYSZNICOWA JS-702304B CLIF CZARNA</t>
  </si>
  <si>
    <t>REA-B4243</t>
  </si>
  <si>
    <t>BATERIA PRYSZNICOWA JS-702304BG CLIF ZŁOTY SZCZOT</t>
  </si>
  <si>
    <t>REA-B7806</t>
  </si>
  <si>
    <t>BATERIA PRYSZNICOWA JS-B34804BG ARGON ZŁOTA SZCZOT</t>
  </si>
  <si>
    <t>REA-B7807</t>
  </si>
  <si>
    <t>BATERIA PRYSZNICOWA JS-B34804G ARGON ZŁOTA</t>
  </si>
  <si>
    <t>REA-B9410</t>
  </si>
  <si>
    <t>BATERIA PRYSZNICOWA LUNGO BLACK</t>
  </si>
  <si>
    <t>REA-B6636</t>
  </si>
  <si>
    <t>BATERIA PRYSZNICOWA LUNGO ZŁOTA</t>
  </si>
  <si>
    <t>REA-B9149</t>
  </si>
  <si>
    <t>BATERIA PRYSZNICOWA MILD CZARNA/RÓŻOWE ZŁOTO</t>
  </si>
  <si>
    <t>REA-B9909</t>
  </si>
  <si>
    <t>BATERIA PRYSZNICOWA MY1802-8B URBAN CZARNA</t>
  </si>
  <si>
    <t>REA-B8547</t>
  </si>
  <si>
    <t>BATERIA PRYSZNICOWA MY1802-8C URBAN CHROM</t>
  </si>
  <si>
    <t>REA-B9913</t>
  </si>
  <si>
    <t>BATERIA PRYSZNICOWA MY1802-8G URBAN ZŁOTA</t>
  </si>
  <si>
    <t>REA-B9938</t>
  </si>
  <si>
    <t>BATERIA PRYSZNICOWA MY1805-8BG BLOOM CZARNA/ZŁOTA</t>
  </si>
  <si>
    <t>REA-B8033</t>
  </si>
  <si>
    <t>BATERIA PRYSZNICOWA MY1902-8B STORM CZARNA</t>
  </si>
  <si>
    <t>REA-B9984</t>
  </si>
  <si>
    <t>BATERIA PRYSZNICOWA MY1902-8G STORM ZŁOTA</t>
  </si>
  <si>
    <t>REA-B6406</t>
  </si>
  <si>
    <t>BATERIA PRYSZNICOWA MY2021-8B ARGUS CZARNA</t>
  </si>
  <si>
    <t>REA-B6408</t>
  </si>
  <si>
    <t>BATERIA PRYSZNICOWA MY2021-8G ARGUS ZŁOTA POŁYSK</t>
  </si>
  <si>
    <t>REA-B6413</t>
  </si>
  <si>
    <t>BATERIA PRYSZNICOWA MY2021-8GG ARGUS ZŁOTA SZCZOTK</t>
  </si>
  <si>
    <t>REA-B6402</t>
  </si>
  <si>
    <t>BATERIA PRYSZNICOWA MY2061-8B HASS CZARNA</t>
  </si>
  <si>
    <t>REA-B6403</t>
  </si>
  <si>
    <t>BATERIA PRYSZNICOWA MY2061-8GG HASS ZŁOTA SZCZO</t>
  </si>
  <si>
    <t>REA-B6421</t>
  </si>
  <si>
    <t>BATERIA PRYSZNICOWA MY2102-8C VENETA CHROM</t>
  </si>
  <si>
    <t>REA-B6420</t>
  </si>
  <si>
    <t>BATERIA PRYSZNICOWA MY2102-8G VENETA ZŁOTA</t>
  </si>
  <si>
    <t>REA-P0801</t>
  </si>
  <si>
    <t>BATERIA PRYSZNICOWA PODTYNKOWA BRITO CHROM</t>
  </si>
  <si>
    <t>REA-B0639</t>
  </si>
  <si>
    <t>BATERIA PRYSZNICOWA PODTYNKOWA RAINFORCE CHROM</t>
  </si>
  <si>
    <t>REA-B7900</t>
  </si>
  <si>
    <t>BATERIA PRYSZNICOWA VERSO CZARNA</t>
  </si>
  <si>
    <t>REA-B6566</t>
  </si>
  <si>
    <t>BATERIA PRYSZNICOWA VERSO ZŁOTA SZCZOTKOWANA</t>
  </si>
  <si>
    <t>REA-B2055</t>
  </si>
  <si>
    <t>BATERIA UMY JS-B215-1GB  ORBIT CZARNA/ZŁOTA WYSOKA</t>
  </si>
  <si>
    <t>REA-B6412</t>
  </si>
  <si>
    <t>BATERIA UMY MY2021-21GG ARGUS ZŁOTA SZCZOTK WYSOKA</t>
  </si>
  <si>
    <t>REA-B6410</t>
  </si>
  <si>
    <t>BATERIA UMY MY2021-2GG ARGUS ZŁOTA SZCZOTK NISKA</t>
  </si>
  <si>
    <t>REA-B9142</t>
  </si>
  <si>
    <t>BATERIA UMY PODTYNK MILD CZARNA/RÓŻOWE ZŁOTO + BOX</t>
  </si>
  <si>
    <t>REA-B6217</t>
  </si>
  <si>
    <t>BATERIA UMYW JS-B253-1BG LEVEL ZŁOTA SZCZO WYSOKA</t>
  </si>
  <si>
    <t>REA-B6218</t>
  </si>
  <si>
    <t>BATERIA UMYW JS-B253BG  LEVEL ZŁOTA SZCZO NISKA</t>
  </si>
  <si>
    <t>REA-B9936</t>
  </si>
  <si>
    <t>BATERIA UMYW MY1805-21BG BLOOM CZARNA/ZŁOTA WYSOKA</t>
  </si>
  <si>
    <t>REA-B9978</t>
  </si>
  <si>
    <t>BATERIA UMYW MY1806-21BG POLO CZARNA/ZŁOTA WYSOKA</t>
  </si>
  <si>
    <t>REA-B9971</t>
  </si>
  <si>
    <t>BATERIA UMYW MY2061-21GG HASS ZŁOTA SZCZOT WYSOKA</t>
  </si>
  <si>
    <t>REA-B9969</t>
  </si>
  <si>
    <t>BATERIA UMYW MY2061-2GG HASS ZŁOTA SZCZOTKOW NISKA</t>
  </si>
  <si>
    <t>REA-B0227</t>
  </si>
  <si>
    <t>BATERIA UMYW VINTAGE CZARNA PRZECIERANA WYSOKA</t>
  </si>
  <si>
    <t>REA-B2053</t>
  </si>
  <si>
    <t>BATERIA UMYWA JS-B215-1G  ORBIT BIAŁA/ZŁOTA WYSOKA</t>
  </si>
  <si>
    <t>REA-B5319</t>
  </si>
  <si>
    <t>BATERIA UMYWA JS-B310-1BG FOSS ZŁOTA SZCZ WYSOKA</t>
  </si>
  <si>
    <t>REA-B5329</t>
  </si>
  <si>
    <t>BATERIA UMYWA JS-B311-1BG CLIF ZŁOTA SZCZO WYSOKA</t>
  </si>
  <si>
    <t>REA-B5328</t>
  </si>
  <si>
    <t>BATERIA UMYWA JS-B311-1GG CLIF GUN SZARA WYSOKA</t>
  </si>
  <si>
    <t>REA-B5330</t>
  </si>
  <si>
    <t>BATERIA UMYWA JS-B311-1N CLIF NIKIEL SZCZO WYSOKA</t>
  </si>
  <si>
    <t>REA-B9917</t>
  </si>
  <si>
    <t>BATERIA UMYWA MY1805-21CW BLOOM BIAŁA/CHROM WYSOKA</t>
  </si>
  <si>
    <t>REA-B6201</t>
  </si>
  <si>
    <t>BATERIA UMYWA MY1805-21G BLOOM ZŁOTA POŁYSK WYSOKA</t>
  </si>
  <si>
    <t>REA-B9931</t>
  </si>
  <si>
    <t>BATERIA UMYWA MY1805-21WG BLOOM BIAŁA/ZŁOTA WYSOKA</t>
  </si>
  <si>
    <t>REA-B9942</t>
  </si>
  <si>
    <t>BATERIA UMYWA MY1806-21CW POLO BIAŁA/CHROM WYSOKA</t>
  </si>
  <si>
    <t>REA-B9987</t>
  </si>
  <si>
    <t>BATERIA UMYWA MY1902-2XBG STORM CZARNA/ZŁOTA NISKA</t>
  </si>
  <si>
    <t>REA-B6213</t>
  </si>
  <si>
    <t>BATERIA UMYWA MY2021-21G ARGUS ZŁOTA POŁYSK WYSOKA</t>
  </si>
  <si>
    <t>REA-B5334</t>
  </si>
  <si>
    <t>BATERIA UMYWA PODTYNKOWA JS-W021BG OWEN ZŁOTA SZCZ</t>
  </si>
  <si>
    <t>REA-B5335</t>
  </si>
  <si>
    <t>BATERIA UMYWA PODTYNKOWA JS-W021N OWEN NIKIEL SZCZ</t>
  </si>
  <si>
    <t>REA-B2054</t>
  </si>
  <si>
    <t>BATERIA UMYWAL JS-B215GB  ORBIT CZARNA/ZŁOTA NISKA</t>
  </si>
  <si>
    <t>REA-B9933</t>
  </si>
  <si>
    <t>BATERIA UMYWAL MY1805-2BG BLOOM CZARNA/ZŁOTA NISKA</t>
  </si>
  <si>
    <t>REA-B9915</t>
  </si>
  <si>
    <t>BATERIA UMYWAL MY1805-2CW BLOOM BIAŁA/CHROM NISKA</t>
  </si>
  <si>
    <t>REA-B6200</t>
  </si>
  <si>
    <t>BATERIA UMYWAL MY1805-2G BLOOM ZŁOTA POŁYSK NISKA</t>
  </si>
  <si>
    <t>REA-B9919</t>
  </si>
  <si>
    <t>BATERIA UMYWAL MY1805-2WG BLOOM BIAŁA/ZŁOTA NISKA</t>
  </si>
  <si>
    <t>REA-B9977</t>
  </si>
  <si>
    <t>BATERIA UMYWAL MY1806-2BG POLO CZARNA/ZŁOTA NISKA</t>
  </si>
  <si>
    <t>REA-B4601</t>
  </si>
  <si>
    <t>BATERIA UMYWAL PODTYN LUNGO LONG MIEDŹ SZCZO + BOX</t>
  </si>
  <si>
    <t>REA-B4109</t>
  </si>
  <si>
    <t>BATERIA UMYWAL PODTYN LUNGO LONG ZŁOTA SZCZO + BOX</t>
  </si>
  <si>
    <t>REA-B2052</t>
  </si>
  <si>
    <t>BATERIA UMYWALK JS-B215WG  ORBIT BIAŁA/ZŁOTA NISKA</t>
  </si>
  <si>
    <t>REA-B9941</t>
  </si>
  <si>
    <t>BATERIA UMYWALK MY1806-2CW POLO BIAŁA/CHROM NISKA</t>
  </si>
  <si>
    <t>REA-B6212</t>
  </si>
  <si>
    <t>BATERIA UMYWALK MY2021-2G ARGUS ZŁOTA POŁYSK NISKA</t>
  </si>
  <si>
    <t>REA-B6418</t>
  </si>
  <si>
    <t>BATERIA UMYWALK MY2102-21C VENETA CHROM WYSOKA</t>
  </si>
  <si>
    <t>REA-B6419</t>
  </si>
  <si>
    <t>BATERIA UMYWALK MY2102-21G VENETA ZŁOTA WYSOKA</t>
  </si>
  <si>
    <t>REA-B6416</t>
  </si>
  <si>
    <t>BATERIA UMYWALK MY2102-2C VENETA CHROM NISKA</t>
  </si>
  <si>
    <t>REA-B6417</t>
  </si>
  <si>
    <t>BATERIA UMYWALK MY2102-2G VENETA ZŁOTA NISKA</t>
  </si>
  <si>
    <t>REA-B2061</t>
  </si>
  <si>
    <t>BATERIA UMYWALK PODTYN JS-W020B HYPER CZARNA + BOX</t>
  </si>
  <si>
    <t>REA-B2060</t>
  </si>
  <si>
    <t>BATERIA UMYWALK PODTYNK JS-W020G HYPER ZŁOTA + BOX</t>
  </si>
  <si>
    <t>REA-B2059</t>
  </si>
  <si>
    <t>BATERIA UMYWALKO PODTYNK JS-W020 HYPER CHROM + BOX</t>
  </si>
  <si>
    <t>REA-B5520</t>
  </si>
  <si>
    <t>BATERIA UMYWALKO RUSTICO CZARNA PRZECIERANA WYSOKA</t>
  </si>
  <si>
    <t>REA-B2029</t>
  </si>
  <si>
    <t>BATERIA UMYWALKOW JS-634901-1B VIRAL CZARNA WYSOKA</t>
  </si>
  <si>
    <t>REA-B9140</t>
  </si>
  <si>
    <t>BATERIA UMYWALKOW VERSO NIKIEL SZCZOTKOWANY WYSOKA</t>
  </si>
  <si>
    <t>REA-B2038</t>
  </si>
  <si>
    <t>BATERIA UMYWALKOWA  JS-620901B BERG CZARNA NISKA</t>
  </si>
  <si>
    <t>REA-B8441</t>
  </si>
  <si>
    <t>BATERIA UMYWALKOWA ASTRO BLACK WYSOKA</t>
  </si>
  <si>
    <t>REA-B8440</t>
  </si>
  <si>
    <t>BATERIA UMYWALKOWA ASTRO CZARNA NISKA</t>
  </si>
  <si>
    <t>REA-B1117</t>
  </si>
  <si>
    <t>BATERIA UMYWALKOWA AVALON CZARNA NISKA</t>
  </si>
  <si>
    <t>REA-B1126</t>
  </si>
  <si>
    <t>BATERIA UMYWALKOWA AVALON CZARNA WYSOKA</t>
  </si>
  <si>
    <t>REA-B2702</t>
  </si>
  <si>
    <t>BATERIA UMYWALKOWA AVALON TYTAN NISKA</t>
  </si>
  <si>
    <t>REA-B2704</t>
  </si>
  <si>
    <t>BATERIA UMYWALKOWA AVALON TYTAN WYSOKA</t>
  </si>
  <si>
    <t>REA-B1118</t>
  </si>
  <si>
    <t>BATERIA UMYWALKOWA AVALON ZŁOTA NISKA</t>
  </si>
  <si>
    <t>REA-B2703</t>
  </si>
  <si>
    <t>BATERIA UMYWALKOWA AVALON ZŁOTA SZCZOTKOWANA NISKA</t>
  </si>
  <si>
    <t>REA-B2705</t>
  </si>
  <si>
    <t>BATERIA UMYWALKOWA AVALON ZŁOTA SZCZOTKOWANA WYSOK</t>
  </si>
  <si>
    <t>REA-B1127</t>
  </si>
  <si>
    <t>BATERIA UMYWALKOWA AVALON ZŁOTA WYSOKA</t>
  </si>
  <si>
    <t>REA-B0183</t>
  </si>
  <si>
    <t>BATERIA UMYWALKOWA BONA CZARNA PRZECIERANA WYSOKA</t>
  </si>
  <si>
    <t>REA-B2150</t>
  </si>
  <si>
    <t>BATERIA UMYWALKOWA BONA ZŁOTA PRZECIERANA WYSOKA</t>
  </si>
  <si>
    <t>REA-B6920</t>
  </si>
  <si>
    <t>BATERIA UMYWALKOWA BUZZ CZARNA NISKA</t>
  </si>
  <si>
    <t>REA-B6921</t>
  </si>
  <si>
    <t>BATERIA UMYWALKOWA BUZZ CZARNA WYSOKA</t>
  </si>
  <si>
    <t>REA-B0032</t>
  </si>
  <si>
    <t>BATERIA UMYWALKOWA CARO CHROM NISKA</t>
  </si>
  <si>
    <t>REA-B0498</t>
  </si>
  <si>
    <t>BATERIA UMYWALKOWA CARO CHROM WYSOKA</t>
  </si>
  <si>
    <t>REA-B8403</t>
  </si>
  <si>
    <t>BATERIA UMYWALKOWA CREEK CZARNA NISKA</t>
  </si>
  <si>
    <t>REA-B8404</t>
  </si>
  <si>
    <t>BATERIA UMYWALKOWA CREEK CZARNA WYSOKA</t>
  </si>
  <si>
    <t>REA-B0673</t>
  </si>
  <si>
    <t>BATERIA UMYWALKOWA DART CHROM NISKA</t>
  </si>
  <si>
    <t>REA-B0671</t>
  </si>
  <si>
    <t>BATERIA UMYWALKOWA DART CHROM WYSOKA</t>
  </si>
  <si>
    <t>REA-B0672</t>
  </si>
  <si>
    <t>BATERIA UMYWALKOWA DART CZARNA NISKA</t>
  </si>
  <si>
    <t>REA-B0670</t>
  </si>
  <si>
    <t>BATERIA UMYWALKOWA DART CZARNA WYSOKA</t>
  </si>
  <si>
    <t>REA-B5650</t>
  </si>
  <si>
    <t>BATERIA UMYWALKOWA DART ZŁOTA NISKA</t>
  </si>
  <si>
    <t>REA-B5651</t>
  </si>
  <si>
    <t>BATERIA UMYWALKOWA DART ZŁOTA WYSOKA</t>
  </si>
  <si>
    <t>REA-B4412</t>
  </si>
  <si>
    <t>BATERIA UMYWALKOWA DUET CZARNA NISKA</t>
  </si>
  <si>
    <t>REA-B4414</t>
  </si>
  <si>
    <t>BATERIA UMYWALKOWA DUET CZARNA WYSOKA</t>
  </si>
  <si>
    <t>REA-B4413</t>
  </si>
  <si>
    <t>BATERIA UMYWALKOWA DUET ZŁOTA NISKA</t>
  </si>
  <si>
    <t>REA-B4415</t>
  </si>
  <si>
    <t>BATERIA UMYWALKOWA DUET ZŁOTA WYSOKA</t>
  </si>
  <si>
    <t>REA-B0113</t>
  </si>
  <si>
    <t>BATERIA UMYWALKOWA ENZO CHROM NISKA</t>
  </si>
  <si>
    <t>REA-B0966</t>
  </si>
  <si>
    <t>BATERIA UMYWALKOWA ENZO CHROM WYSOKA</t>
  </si>
  <si>
    <t>BAT-00146</t>
  </si>
  <si>
    <t>BATERIA UMYWALKOWA FALCON CHROM NISKA</t>
  </si>
  <si>
    <t>BAT-00149</t>
  </si>
  <si>
    <t>BATERIA UMYWALKOWA FALCON CHROM WYSOKA</t>
  </si>
  <si>
    <t>REA-B0253</t>
  </si>
  <si>
    <t>BATERIA UMYWALKOWA FALCON CZARNA NISKA</t>
  </si>
  <si>
    <t>REA-B0252</t>
  </si>
  <si>
    <t>BATERIA UMYWALKOWA FALCON CZARNA WYSOKA</t>
  </si>
  <si>
    <t>REA-B5982</t>
  </si>
  <si>
    <t>BATERIA UMYWALKOWA FENIX CHROM NISKA</t>
  </si>
  <si>
    <t>REA-B9851</t>
  </si>
  <si>
    <t>BATERIA UMYWALKOWA FENIX CHROM WYSOKA</t>
  </si>
  <si>
    <t>REA-B7894</t>
  </si>
  <si>
    <t>BATERIA UMYWALKOWA FENIX CZARNA NISKA</t>
  </si>
  <si>
    <t>REA-B7849</t>
  </si>
  <si>
    <t>BATERIA UMYWALKOWA FENIX CZARNA WYSOKA</t>
  </si>
  <si>
    <t>REA-B6395</t>
  </si>
  <si>
    <t>BATERIA UMYWALKOWA FENIX ZŁOTA NISKA</t>
  </si>
  <si>
    <t>REA-B6394</t>
  </si>
  <si>
    <t>BATERIA UMYWALKOWA FENIX ZŁOTA WYSOKA</t>
  </si>
  <si>
    <t>REA-B5151</t>
  </si>
  <si>
    <t>BATERIA UMYWALKOWA FOLK RÓŻOWE ZŁOTO WYSOKA</t>
  </si>
  <si>
    <t>REA-B0027</t>
  </si>
  <si>
    <t>BATERIA UMYWALKOWA GRAF CHROM WYSOKA</t>
  </si>
  <si>
    <t>REA-B8665</t>
  </si>
  <si>
    <t>BATERIA UMYWALKOWA GRAF CZARNA WYSOKA</t>
  </si>
  <si>
    <t>REA-B9400</t>
  </si>
  <si>
    <t>BATERIA UMYWALKOWA GRIP BLACK GOLD WYSOKA</t>
  </si>
  <si>
    <t>REA-B5680</t>
  </si>
  <si>
    <t>BATERIA UMYWALKOWA ICON CZARNA/ZŁOTA NISKA</t>
  </si>
  <si>
    <t>REA-B5681</t>
  </si>
  <si>
    <t>BATERIA UMYWALKOWA ICON CZARNA/ZŁOTA WYSOKA</t>
  </si>
  <si>
    <t>REA-B5121</t>
  </si>
  <si>
    <t>BATERIA UMYWALKOWA JAGER CZARNA NISKA</t>
  </si>
  <si>
    <t>REA-B5122</t>
  </si>
  <si>
    <t>BATERIA UMYWALKOWA JAGER CZARNA WYSOKA</t>
  </si>
  <si>
    <t>REA-B5120</t>
  </si>
  <si>
    <t>BATERIA UMYWALKOWA JAGER ZŁOTA NISKA</t>
  </si>
  <si>
    <t>REA-B5123</t>
  </si>
  <si>
    <t>BATERIA UMYWALKOWA JAGER ZŁOTA WYSOKA</t>
  </si>
  <si>
    <t>REA-B2035</t>
  </si>
  <si>
    <t>BATERIA UMYWALKOWA JS-620901 BERG CHROM NISKA</t>
  </si>
  <si>
    <t>REA-B2036</t>
  </si>
  <si>
    <t>BATERIA UMYWALKOWA JS-620901-1 BERG CHROM WYSOKA</t>
  </si>
  <si>
    <t>REA-B2039</t>
  </si>
  <si>
    <t>BATERIA UMYWALKOWA JS-620901-1B BERG CZARNA WYSOKA</t>
  </si>
  <si>
    <t>REA-B2042</t>
  </si>
  <si>
    <t>BATERIA UMYWALKOWA JS-620901-1G  BERG ZŁOTA WYSOKA</t>
  </si>
  <si>
    <t>REA-B2041</t>
  </si>
  <si>
    <t>BATERIA UMYWALKOWA JS-620901G  BERG ZŁOTA NISKA</t>
  </si>
  <si>
    <t>REA-B7808</t>
  </si>
  <si>
    <t>BATERIA UMYWALKOWA JS-622704-1BG ARGON ZŁOTA SZCZO</t>
  </si>
  <si>
    <t>REA-B7809</t>
  </si>
  <si>
    <t>BATERIA UMYWALKOWA JS-622704G ARGON ZŁOTA NISKA</t>
  </si>
  <si>
    <t>REA-B2019</t>
  </si>
  <si>
    <t>BATERIA UMYWALKOWA JS-634901 VIRAL CHROM NISKA</t>
  </si>
  <si>
    <t>REA-B2020</t>
  </si>
  <si>
    <t>BATERIA UMYWALKOWA JS-634901-1 VIRAL CHROM WYSOKA</t>
  </si>
  <si>
    <t>REA-B2023</t>
  </si>
  <si>
    <t>BATERIA UMYWALKOWA JS-634901-1G VIRAL ZŁOTA WYSOKA</t>
  </si>
  <si>
    <t>REA-B2028</t>
  </si>
  <si>
    <t>BATERIA UMYWALKOWA JS-634901B VIRAL CZARNA NISKA</t>
  </si>
  <si>
    <t>REA-B2022</t>
  </si>
  <si>
    <t>BATERIA UMYWALKOWA JS-634901G VIRAL ZŁOTA NISKA</t>
  </si>
  <si>
    <t>REA-B2016</t>
  </si>
  <si>
    <t>BATERIA UMYWALKOWA JS-650101 PIXEL CHROM NISKA</t>
  </si>
  <si>
    <t>REA-B6214</t>
  </si>
  <si>
    <t>BATERIA UMYWALKOWA JS-650101-1B PIXEL CZARNA WYSOK</t>
  </si>
  <si>
    <t>REA-B6215</t>
  </si>
  <si>
    <t>BATERIA UMYWALKOWA JS-650101-1G PIXEL ZŁOTA WYSOKA</t>
  </si>
  <si>
    <t>REA-B2017</t>
  </si>
  <si>
    <t>BATERIA UMYWALKOWA JS-650101B PIXEL CZARNA NISKA</t>
  </si>
  <si>
    <t>REA-B2018</t>
  </si>
  <si>
    <t>BATERIA UMYWALKOWA JS-650101G PIXEL ZŁOTA NISKA</t>
  </si>
  <si>
    <t>REA-B2031</t>
  </si>
  <si>
    <t>BATERIA UMYWALKOWA JS-723001 RUSEL CHROM NISKA</t>
  </si>
  <si>
    <t>REA-B2033</t>
  </si>
  <si>
    <t>BATERIA UMYWALKOWA JS-723001G RUSEL ZŁOTA NISKA</t>
  </si>
  <si>
    <t>REA-B2004</t>
  </si>
  <si>
    <t>BATERIA UMYWALKOWA JS-800 FLIP CHROM NISKA</t>
  </si>
  <si>
    <t>REA-B2006</t>
  </si>
  <si>
    <t>BATERIA UMYWALKOWA JS-800-1 FLIP CHROM WYSOKA</t>
  </si>
  <si>
    <t>REA-B2007</t>
  </si>
  <si>
    <t>BATERIA UMYWALKOWA JS-800-1B FLIP CZARNA WYSOKA</t>
  </si>
  <si>
    <t>REA-B2005</t>
  </si>
  <si>
    <t>BATERIA UMYWALKOWA JS-800B FLIP CZARNA NISKA</t>
  </si>
  <si>
    <t>REA-B2048</t>
  </si>
  <si>
    <t>BATERIA UMYWALKOWA JS-B215  ORBIT CHROM NISKA</t>
  </si>
  <si>
    <t>REA-B2049</t>
  </si>
  <si>
    <t>BATERIA UMYWALKOWA JS-B215-1  ORBIT CHROM WYSOKA</t>
  </si>
  <si>
    <t>REA-B2051</t>
  </si>
  <si>
    <t>BATERIA UMYWALKOWA JS-B215-1G  ORBIT ZŁOTA WYSOKA</t>
  </si>
  <si>
    <t>REA-B2050</t>
  </si>
  <si>
    <t>BATERIA UMYWALKOWA JS-B215G  ORBIT ZŁOTA NISKA</t>
  </si>
  <si>
    <t>REA-B2047</t>
  </si>
  <si>
    <t>BATERIA UMYWALKOWA JS-B253-1B  LEVEL CZARNA WYSOKA</t>
  </si>
  <si>
    <t>REA-B2045</t>
  </si>
  <si>
    <t>BATERIA UMYWALKOWA JS-B253-1G  LEVEL ZŁOTA WYSOKA</t>
  </si>
  <si>
    <t>REA-B2046</t>
  </si>
  <si>
    <t>BATERIA UMYWALKOWA JS-B253B  LEVEL CZARNA NISKA</t>
  </si>
  <si>
    <t>REA-B2044</t>
  </si>
  <si>
    <t>BATERIA UMYWALKOWA JS-B253G  LEVEL ZŁOTA NISKA</t>
  </si>
  <si>
    <t>REA-B5320</t>
  </si>
  <si>
    <t>BATERIA UMYWALKOWA JS-B310-1B FOSS CZARNA WYSOKA</t>
  </si>
  <si>
    <t>REA-B5318</t>
  </si>
  <si>
    <t>BATERIA UMYWALKOWA JS-B310-1N FOSS NIKIEL SZCZ WYS</t>
  </si>
  <si>
    <t>REA-B5317</t>
  </si>
  <si>
    <t>BATERIA UMYWALKOWA JS-B310B FOSS CZARNA NISKA</t>
  </si>
  <si>
    <t>REA-B5316</t>
  </si>
  <si>
    <t>BATERIA UMYWALKOWA JS-B310BG FOSS ZŁOTA SZCZ NISKA</t>
  </si>
  <si>
    <t>REA-B5315</t>
  </si>
  <si>
    <t>BATERIA UMYWALKOWA JS-B310N FOSS NIKIEL SZCZ NISKA</t>
  </si>
  <si>
    <t>REA-B5325</t>
  </si>
  <si>
    <t>BATERIA UMYWALKOWA JS-B311-1B CLIF CZARNA WYSOKA</t>
  </si>
  <si>
    <t>REA-B5321</t>
  </si>
  <si>
    <t>BATERIA UMYWALKOWA JS-B311B CLIF CZARNA NISKA</t>
  </si>
  <si>
    <t>REA-B5323</t>
  </si>
  <si>
    <t>BATERIA UMYWALKOWA JS-B311BG CLIF ZŁOTA SZCZ NISKA</t>
  </si>
  <si>
    <t>REA-B5322</t>
  </si>
  <si>
    <t>BATERIA UMYWALKOWA JS-B311GG CLIF GUN SZARA NISKA</t>
  </si>
  <si>
    <t>REA-B5324</t>
  </si>
  <si>
    <t>BATERIA UMYWALKOWA JS-B311N CLIF NIKIEL SZCZ NISKA</t>
  </si>
  <si>
    <t>REA-B7802</t>
  </si>
  <si>
    <t>BATERIA UMYWALKOWA JS-B348-1BG ARGON ZŁOTA SZCZ WY</t>
  </si>
  <si>
    <t>REA-B7803</t>
  </si>
  <si>
    <t>BATERIA UMYWALKOWA JS-B348-1G ARGON ZŁOTA WYSOKA</t>
  </si>
  <si>
    <t>REA-B7801</t>
  </si>
  <si>
    <t>BATERIA UMYWALKOWA JS-B348BG ARGON ZŁOTA SZCZ NISK</t>
  </si>
  <si>
    <t>REA-B7800</t>
  </si>
  <si>
    <t>BATERIA UMYWALKOWA JS-B348G ARGON ZŁOTA NISKA</t>
  </si>
  <si>
    <t>REA-B2009</t>
  </si>
  <si>
    <t>BATERIA UMYWALKOWA JS-B650-1B TAP CZARNA WYSOKA</t>
  </si>
  <si>
    <t>REA-B2008</t>
  </si>
  <si>
    <t>BATERIA UMYWALKOWA JS-B650B TAP CZARNA NISKA</t>
  </si>
  <si>
    <t>REA-B2010</t>
  </si>
  <si>
    <t>BATERIA UMYWALKOWA JS-B801 SPOT CHROM NISKA</t>
  </si>
  <si>
    <t>REA-B2011</t>
  </si>
  <si>
    <t>BATERIA UMYWALKOWA JS-B801-1 SPOT CHROM WYSOKA</t>
  </si>
  <si>
    <t>REA-B2013</t>
  </si>
  <si>
    <t>BATERIA UMYWALKOWA JS-B801-1B SPOT CZARNA WYSOKA</t>
  </si>
  <si>
    <t>REA-B2015</t>
  </si>
  <si>
    <t>BATERIA UMYWALKOWA JS-B801-1G SPOT ZŁOTA WYSOKA</t>
  </si>
  <si>
    <t>REA-B2012</t>
  </si>
  <si>
    <t>BATERIA UMYWALKOWA JS-B801B SPOT CZARNA NISKA</t>
  </si>
  <si>
    <t>REA-B2014</t>
  </si>
  <si>
    <t>BATERIA UMYWALKOWA JS-B801G SPOT ZŁOTA NISKA</t>
  </si>
  <si>
    <t>REA-B2000</t>
  </si>
  <si>
    <t>BATERIA UMYWALKOWA JS-D001 MILS CHROM NISKA</t>
  </si>
  <si>
    <t>REA-B2065</t>
  </si>
  <si>
    <t>BATERIA UMYWALKOWA JS-D002B AMAR CZARNA NISKA</t>
  </si>
  <si>
    <t>REA-B8011</t>
  </si>
  <si>
    <t>BATERIA UMYWALKOWA KENT CHROM WYSOKA</t>
  </si>
  <si>
    <t>REA-B8012</t>
  </si>
  <si>
    <t>BATERIA UMYWALKOWA KENT CZARNA WYSOKA</t>
  </si>
  <si>
    <t>REA-B8014</t>
  </si>
  <si>
    <t>BATERIA UMYWALKOWA KENT ZŁOTA WYSOKA</t>
  </si>
  <si>
    <t>REA-B8120</t>
  </si>
  <si>
    <t>BATERIA UMYWALKOWA LAGUNA ANTYCZNE ZŁOTO</t>
  </si>
  <si>
    <t>REA-B5136</t>
  </si>
  <si>
    <t>BATERIA UMYWALKOWA LEVI CZARNA WYSOKA</t>
  </si>
  <si>
    <t>REA-B5137</t>
  </si>
  <si>
    <t>BATERIA UMYWALKOWA LEVI ZŁOTA WYSOKA</t>
  </si>
  <si>
    <t>REA-B5000</t>
  </si>
  <si>
    <t>BATERIA UMYWALKOWA LUGANO CHROM WYSOKA</t>
  </si>
  <si>
    <t>REA-B5001</t>
  </si>
  <si>
    <t>BATERIA UMYWALKOWA LUGANO CZARNA WYSOKA</t>
  </si>
  <si>
    <t>REA-B4420</t>
  </si>
  <si>
    <t>BATERIA UMYWALKOWA LUGANO ZŁOTA SZCZOTKOWANA WYSOK</t>
  </si>
  <si>
    <t>REA-B5002</t>
  </si>
  <si>
    <t>BATERIA UMYWALKOWA LUGANO ZŁOTA WYSOKA</t>
  </si>
  <si>
    <t>REA-B8026</t>
  </si>
  <si>
    <t>BATERIA UMYWALKOWA LUMI GUN SZARA WYSOKA</t>
  </si>
  <si>
    <t>REA-B6322</t>
  </si>
  <si>
    <t>BATERIA UMYWALKOWA LUNGO ART ZŁOTA NISKA</t>
  </si>
  <si>
    <t>REA-B8821</t>
  </si>
  <si>
    <t>BATERIA UMYWALKOWA LUNGO ART ZŁOTA WYSOKA</t>
  </si>
  <si>
    <t>REA-B4401</t>
  </si>
  <si>
    <t>BATERIA UMYWALKOWA LUNGO BIAŁA NISKA</t>
  </si>
  <si>
    <t>REA-B4400</t>
  </si>
  <si>
    <t>BATERIA UMYWALKOWA LUNGO BIAŁA WYSOKA</t>
  </si>
  <si>
    <t>REA-B4101</t>
  </si>
  <si>
    <t>BATERIA UMYWALKOWA LUNGO CHROM NISKA</t>
  </si>
  <si>
    <t>REA-B4104</t>
  </si>
  <si>
    <t>BATERIA UMYWALKOWA LUNGO CHROM WYSOKA</t>
  </si>
  <si>
    <t>REA-B4102</t>
  </si>
  <si>
    <t>BATERIA UMYWALKOWA LUNGO CZARNA NISKA</t>
  </si>
  <si>
    <t>REA-B4103</t>
  </si>
  <si>
    <t>BATERIA UMYWALKOWA LUNGO CZARNA WYSOKA</t>
  </si>
  <si>
    <t>REA-B0661</t>
  </si>
  <si>
    <t>BATERIA UMYWALKOWA LUNGO CZARNA/CHROM NISKA</t>
  </si>
  <si>
    <t>REA-B0662</t>
  </si>
  <si>
    <t>BATERIA UMYWALKOWA LUNGO CZARNA/CHROM WYSOKA</t>
  </si>
  <si>
    <t>REA-B8778</t>
  </si>
  <si>
    <t>BATERIA UMYWALKOWA LUNGO GRIP TYTAN NISKA</t>
  </si>
  <si>
    <t>REA-B8779</t>
  </si>
  <si>
    <t>BATERIA UMYWALKOWA LUNGO GRIP TYTAN WYSOKA</t>
  </si>
  <si>
    <t>REA-B6950</t>
  </si>
  <si>
    <t>BATERIA UMYWALKOWA LUNGO GRIP ZŁOTA SZCZOT NISKA</t>
  </si>
  <si>
    <t>REA-B6896</t>
  </si>
  <si>
    <t>BATERIA UMYWALKOWA LUNGO GRIP ZŁOTA SZCZOT WYSOKA</t>
  </si>
  <si>
    <t>REA-B1112</t>
  </si>
  <si>
    <t>BATERIA UMYWALKOWA LUNGO MIEDŹ SZCZOTKOWANA NISKA</t>
  </si>
  <si>
    <t>REA-B1114</t>
  </si>
  <si>
    <t>BATERIA UMYWALKOWA LUNGO MIEDŹ SZCZOTKOWANA WYSOKA</t>
  </si>
  <si>
    <t>REA-B7999</t>
  </si>
  <si>
    <t>BATERIA UMYWALKOWA LUNGO MIEDŹ WYSOKA</t>
  </si>
  <si>
    <t>REA-B4500</t>
  </si>
  <si>
    <t>BATERIA UMYWALKOWA LUNGO RÓŻOWE ZŁOTO NISKA</t>
  </si>
  <si>
    <t>REA-B6321</t>
  </si>
  <si>
    <t>BATERIA UMYWALKOWA LUNGO RÓŻOWE ZŁOTO WYSOKA</t>
  </si>
  <si>
    <t>REA-B4520</t>
  </si>
  <si>
    <t>BATERIA UMYWALKOWA LUNGO ZŁOTA NISKA</t>
  </si>
  <si>
    <t>REA-B4527</t>
  </si>
  <si>
    <t>BATERIA UMYWALKOWA LUNGO ZŁOTA SZCZOTKOWANA NISKA</t>
  </si>
  <si>
    <t>REA-B4526</t>
  </si>
  <si>
    <t>BATERIA UMYWALKOWA LUNGO ZŁOTA SZCZOTKOWANA WYSOKA</t>
  </si>
  <si>
    <t>REA-B9409</t>
  </si>
  <si>
    <t>BATERIA UMYWALKOWA LUNGO ZŁOTA WYSOKA</t>
  </si>
  <si>
    <t>REA-B5668</t>
  </si>
  <si>
    <t>BATERIA UMYWALKOWA LUPPO CZARNA NISKA</t>
  </si>
  <si>
    <t>REA-B9637</t>
  </si>
  <si>
    <t>BATERIA UMYWALKOWA LUPPO CZARNA WYSOKA</t>
  </si>
  <si>
    <t>REA-B4899</t>
  </si>
  <si>
    <t>BATERIA UMYWALKOWA MARCO CZARNA NISKA</t>
  </si>
  <si>
    <t>REA-B4896</t>
  </si>
  <si>
    <t>BATERIA UMYWALKOWA MARCO CZARNA WYSOKA</t>
  </si>
  <si>
    <t>REA-B4897</t>
  </si>
  <si>
    <t>BATERIA UMYWALKOWA MARCO ZŁOTA SZCZOTKOWANA NISKA</t>
  </si>
  <si>
    <t>REA-B4895</t>
  </si>
  <si>
    <t>BATERIA UMYWALKOWA MARCO ZŁOTA SZCZOTKOWANA WYSOKA</t>
  </si>
  <si>
    <t>REA-B5100</t>
  </si>
  <si>
    <t>BATERIA UMYWALKOWA MAYSON CZARNA NISKA</t>
  </si>
  <si>
    <t>REA-B5102</t>
  </si>
  <si>
    <t>BATERIA UMYWALKOWA MAYSON CZARNA WYSOKA</t>
  </si>
  <si>
    <t>REA-B5101</t>
  </si>
  <si>
    <t>BATERIA UMYWALKOWA MAYSON ZŁOTA NISKA</t>
  </si>
  <si>
    <t>REA-B5103</t>
  </si>
  <si>
    <t>BATERIA UMYWALKOWA MAYSON ZŁOTA WYSOKA</t>
  </si>
  <si>
    <t>REA-B2708</t>
  </si>
  <si>
    <t>BATERIA UMYWALKOWA MELIA BIAŁA/ZŁOTA NISKA</t>
  </si>
  <si>
    <t>REA-B2709</t>
  </si>
  <si>
    <t>BATERIA UMYWALKOWA MELIA BIAŁA/ZŁOTA WYSOKA</t>
  </si>
  <si>
    <t>REA-B4807</t>
  </si>
  <si>
    <t>BATERIA UMYWALKOWA MILD CZARNA/RÓŻOWE ZŁOTO NISKA</t>
  </si>
  <si>
    <t>REA-B4808</t>
  </si>
  <si>
    <t>BATERIA UMYWALKOWA MILD CZARNA/RÓŻOWE ZŁOTO WYSOKA</t>
  </si>
  <si>
    <t>REA-B5664</t>
  </si>
  <si>
    <t>BATERIA UMYWALKOWA MODO CZARNA WYSOKA</t>
  </si>
  <si>
    <t>REA-B5665</t>
  </si>
  <si>
    <t>BATERIA UMYWALKOWA MODO ZŁOTA WYSOKA</t>
  </si>
  <si>
    <t>REA-B4209</t>
  </si>
  <si>
    <t>BATERIA UMYWALKOWA MONACO CHROM NISKA</t>
  </si>
  <si>
    <t>REA-B2503</t>
  </si>
  <si>
    <t>BATERIA UMYWALKOWA MONACO CHROM WYSOKA</t>
  </si>
  <si>
    <t>REA-B2501</t>
  </si>
  <si>
    <t>BATERIA UMYWALKOWA MONACO ZŁOTA NISKA</t>
  </si>
  <si>
    <t>REA-B4212</t>
  </si>
  <si>
    <t>BATERIA UMYWALKOWA MONACO ZŁOTA SZCZOTKOWAN WYSOKA</t>
  </si>
  <si>
    <t>REA-B4211</t>
  </si>
  <si>
    <t>BATERIA UMYWALKOWA MONACO ZŁOTA SZCZOTKOWANA NISKA</t>
  </si>
  <si>
    <t>REA-B2502</t>
  </si>
  <si>
    <t>BATERIA UMYWALKOWA MONACO ZŁOTA WYSOKA</t>
  </si>
  <si>
    <t>REA-B4833</t>
  </si>
  <si>
    <t>BATERIA UMYWALKOWA MORIS CZARNA WYSOKA</t>
  </si>
  <si>
    <t>REA-B9908</t>
  </si>
  <si>
    <t>BATERIA UMYWALKOWA MY1802-21B URBAN CZARNA WYSOKA</t>
  </si>
  <si>
    <t>REA-B9905</t>
  </si>
  <si>
    <t>BATERIA UMYWALKOWA MY1802-21C URBAN CHROM WYSOKA</t>
  </si>
  <si>
    <t>REA-B9912</t>
  </si>
  <si>
    <t>BATERIA UMYWALKOWA MY1802-21G URBAN ZŁOTA WYSOKA</t>
  </si>
  <si>
    <t>REA-B9907</t>
  </si>
  <si>
    <t>BATERIA UMYWALKOWA MY1802-2B URBAN CZARNA NISKA</t>
  </si>
  <si>
    <t>REA-B9904</t>
  </si>
  <si>
    <t>BATERIA UMYWALKOWA MY1802-2C URBAN CHROM NISKA</t>
  </si>
  <si>
    <t>REA-B9911</t>
  </si>
  <si>
    <t>BATERIA UMYWALKOWA MY1802-2G URBAN ZŁOTA NISKA</t>
  </si>
  <si>
    <t>REA-B9988</t>
  </si>
  <si>
    <t>BATERIA UMYWALKOWA MY1902-21B STORM CZARNA WYSOKA</t>
  </si>
  <si>
    <t>REA-B6203</t>
  </si>
  <si>
    <t>BATERIA UMYWALKOWA MY1902-21C STORM CHROM WYSOKA</t>
  </si>
  <si>
    <t>REA-B9983</t>
  </si>
  <si>
    <t>BATERIA UMYWALKOWA MY1902-21G STORM ZŁOTA WYSOKA</t>
  </si>
  <si>
    <t>REA-B4584</t>
  </si>
  <si>
    <t>BATERIA UMYWALKOWA MY1902-21H STORM GUN SZARY WYSOK</t>
  </si>
  <si>
    <t>REA-B9986</t>
  </si>
  <si>
    <t>BATERIA UMYWALKOWA MY1902-2B STORM CZARNA NISKA</t>
  </si>
  <si>
    <t>REA-B6202</t>
  </si>
  <si>
    <t>BATERIA UMYWALKOWA MY1902-2C STORM CHROM NISKA</t>
  </si>
  <si>
    <t>REA-B9981</t>
  </si>
  <si>
    <t>BATERIA UMYWALKOWA MY1902-2G STORM ZŁOTA NISKA</t>
  </si>
  <si>
    <t>REA-B4580</t>
  </si>
  <si>
    <t>BATERIA UMYWALKOWA MY1902-2H STORM GUN SZARY NISKA</t>
  </si>
  <si>
    <t>REA-B9996</t>
  </si>
  <si>
    <t>BATERIA UMYWALKOWA MY1906-21B SOUL CZARNA WYSOKA</t>
  </si>
  <si>
    <t>REA-B9992</t>
  </si>
  <si>
    <t>BATERIA UMYWALKOWA MY1906-21C SOUL CHROM WYSOKA</t>
  </si>
  <si>
    <t>REA-B9952</t>
  </si>
  <si>
    <t>BATERIA UMYWALKOWA MY1906-21G SOUL ZŁOTA WYSOKA</t>
  </si>
  <si>
    <t>REA-B9994</t>
  </si>
  <si>
    <t>BATERIA UMYWALKOWA MY1906-2B SOUL CZARNA NISKA</t>
  </si>
  <si>
    <t>REA-B9990</t>
  </si>
  <si>
    <t>BATERIA UMYWALKOWA MY1906-2C SOUL CHROM NISKA</t>
  </si>
  <si>
    <t>REA-B9999</t>
  </si>
  <si>
    <t>BATERIA UMYWALKOWA MY1906-2G SOUL ZŁOTA NISKA</t>
  </si>
  <si>
    <t>REA-B9959</t>
  </si>
  <si>
    <t>BATERIA UMYWALKOWA MY1906-2XG SOUL ZŁOTA 360° NISK</t>
  </si>
  <si>
    <t>REA-B6211</t>
  </si>
  <si>
    <t>BATERIA UMYWALKOWA MY2021-21B ARGUS CZARNA WYSOKA</t>
  </si>
  <si>
    <t>REA-B6209</t>
  </si>
  <si>
    <t>BATERIA UMYWALKOWA MY2021-21C ARGUS CHROM WYSOKA</t>
  </si>
  <si>
    <t>REA-B6210</t>
  </si>
  <si>
    <t>BATERIA UMYWALKOWA MY2021-2B ARGUS CZARNA NISKA</t>
  </si>
  <si>
    <t>REA-B6208</t>
  </si>
  <si>
    <t>BATERIA UMYWALKOWA MY2021-2C ARGUS CHROM NISKA</t>
  </si>
  <si>
    <t>REA-B9966</t>
  </si>
  <si>
    <t>BATERIA UMYWALKOWA MY2061-21B HASS CZARNA WYSOKA</t>
  </si>
  <si>
    <t>REA-B6207</t>
  </si>
  <si>
    <t>BATERIA UMYWALKOWA MY2061-21C HASS CHROM WYSOKA</t>
  </si>
  <si>
    <t>REA-B9964</t>
  </si>
  <si>
    <t>BATERIA UMYWALKOWA MY2061-2B HASS CZARNA NISKA</t>
  </si>
  <si>
    <t>REA-B6206</t>
  </si>
  <si>
    <t>BATERIA UMYWALKOWA MY2061-2C HASS CHROM NISKA</t>
  </si>
  <si>
    <t>REA-B7777</t>
  </si>
  <si>
    <t>BATERIA UMYWALKOWA ORIX CHROM NISKA</t>
  </si>
  <si>
    <t>REA-B7778</t>
  </si>
  <si>
    <t>BATERIA UMYWALKOWA ORIX CHROM WYSOKA</t>
  </si>
  <si>
    <t>REA-B5642</t>
  </si>
  <si>
    <t>BATERIA UMYWALKOWA ORIX CZARNA NISKA</t>
  </si>
  <si>
    <t>REA-B8467</t>
  </si>
  <si>
    <t>BATERIA UMYWALKOWA ORIX CZARNA WYSOKA</t>
  </si>
  <si>
    <t>REA-B6163</t>
  </si>
  <si>
    <t>BATERIA UMYWALKOWA ORIX ZŁOTA NISKA</t>
  </si>
  <si>
    <t>REA-B7779</t>
  </si>
  <si>
    <t>BATERIA UMYWALKOWA ORIX ZŁOTA WYSOKA</t>
  </si>
  <si>
    <t>REA-B6514</t>
  </si>
  <si>
    <t>BATERIA UMYWALKOWA OVAL CHROM NISKA</t>
  </si>
  <si>
    <t>REA-B6510</t>
  </si>
  <si>
    <t>BATERIA UMYWALKOWA OVAL CHROM WYSOKA</t>
  </si>
  <si>
    <t>REA-B6516</t>
  </si>
  <si>
    <t>BATERIA UMYWALKOWA OVAL CZARNA NISKA</t>
  </si>
  <si>
    <t>REA-B6511</t>
  </si>
  <si>
    <t>BATERIA UMYWALKOWA OVAL CZARNA WYSOKA</t>
  </si>
  <si>
    <t>REA-B6515</t>
  </si>
  <si>
    <t>BATERIA UMYWALKOWA OVAL ZŁOTA NISKA</t>
  </si>
  <si>
    <t>REA-B6513</t>
  </si>
  <si>
    <t>BATERIA UMYWALKOWA OVAL ZŁOTA WYSOKA</t>
  </si>
  <si>
    <t>REA-B4812</t>
  </si>
  <si>
    <t>BATERIA UMYWALKOWA PARKER NIKIEL SZCZOTKOWA WYSOKA</t>
  </si>
  <si>
    <t>REA-B4811</t>
  </si>
  <si>
    <t>BATERIA UMYWALKOWA PARKER NIKIEL SZCZOTKOWAN NISKA</t>
  </si>
  <si>
    <t>REA-B4809</t>
  </si>
  <si>
    <t>BATERIA UMYWALKOWA PARKER ZŁOTA SZCZOTKOW NISKA</t>
  </si>
  <si>
    <t>REA-B4810</t>
  </si>
  <si>
    <t>BATERIA UMYWALKOWA PARKER ZŁOTA SZCZOTKOW WYSOKA</t>
  </si>
  <si>
    <t>REA-B4891</t>
  </si>
  <si>
    <t>BATERIA UMYWALKOWA PODŁOGOWA LUNGO ORTIS CZARNA</t>
  </si>
  <si>
    <t>REA-B4890</t>
  </si>
  <si>
    <t>BATERIA UMYWALKOWA PODŁOGOWA LUNGO ORTIS ZŁOTA</t>
  </si>
  <si>
    <t>REA-B4600</t>
  </si>
  <si>
    <t>BATERIA UMYWALKOWA PODTYN LUNGO MIEDŹ SZCZOT + BOX</t>
  </si>
  <si>
    <t>REA-B8548</t>
  </si>
  <si>
    <t>BATERIA UMYWALKOWA PODTYN LUNGO RÓŻOWE ZŁOTO + BOX</t>
  </si>
  <si>
    <t>REA-B8652</t>
  </si>
  <si>
    <t>BATERIA UMYWALKOWA PODTYN LUNGO ZŁOTA SZCZOT + BOX</t>
  </si>
  <si>
    <t>REA-B0371</t>
  </si>
  <si>
    <t>BATERIA UMYWALKOWA PODTYNK LUNGO LONG CZARNA + BOX</t>
  </si>
  <si>
    <t>REA-B0369</t>
  </si>
  <si>
    <t>BATERIA UMYWALKOWA PODTYNKO LUNGO LONG CHROM + BOX</t>
  </si>
  <si>
    <t>REA-B0370</t>
  </si>
  <si>
    <t>BATERIA UMYWALKOWA PODTYNKO LUNGO LONG ZŁOTA + BOX</t>
  </si>
  <si>
    <t>REA-B8000</t>
  </si>
  <si>
    <t>BATERIA UMYWALKOWA PODTYNKOWA EXIT CZARNA + BOX</t>
  </si>
  <si>
    <t>REA-B5331</t>
  </si>
  <si>
    <t>BATERIA UMYWALKOWA PODTYNKOWA JS-W021 OWEN CHROM</t>
  </si>
  <si>
    <t>REA-B5332</t>
  </si>
  <si>
    <t>BATERIA UMYWALKOWA PODTYNKOWA JS-W021B OWEN CZARNA</t>
  </si>
  <si>
    <t>REA-B5333</t>
  </si>
  <si>
    <t>BATERIA UMYWALKOWA PODTYNKOWA JS-W021G OWEN ZŁOTA</t>
  </si>
  <si>
    <t>REA-B9559</t>
  </si>
  <si>
    <t>BATERIA UMYWALKOWA PODTYNKOWA LUNGO BIAŁA + BOX</t>
  </si>
  <si>
    <t>REA-B0521</t>
  </si>
  <si>
    <t>BATERIA UMYWALKOWA PODTYNKOWA LUNGO CHROM + BOX</t>
  </si>
  <si>
    <t>BAT-B0969</t>
  </si>
  <si>
    <t>BATERIA UMYWALKOWA PODTYNKOWA LUNGO CZARNA + BOX</t>
  </si>
  <si>
    <t>REA-B4421</t>
  </si>
  <si>
    <t>BATERIA UMYWALKOWA PODTYNKOWA LUNGO CZARNA METALIC</t>
  </si>
  <si>
    <t>REA-B7997</t>
  </si>
  <si>
    <t>BATERIA UMYWALKOWA PODTYNKOWA LUNGO MIEDŹ + BOX</t>
  </si>
  <si>
    <t>REA-B8559</t>
  </si>
  <si>
    <t>BATERIA UMYWALKOWA PODTYNKOWA LUNGO ZŁOTA + BOX</t>
  </si>
  <si>
    <t>REA-B0690</t>
  </si>
  <si>
    <t>BATERIA UMYWALKOWA PODTYNKOWA MASON CZARNA</t>
  </si>
  <si>
    <t>REA-B5150</t>
  </si>
  <si>
    <t>BATERIA UMYWALKOWA PODTYNKOWA MASON ZŁOTA</t>
  </si>
  <si>
    <t>REA-B5124</t>
  </si>
  <si>
    <t>BATERIA UMYWALKOWA PODTYNKOWA OVAL CHROM + BOX</t>
  </si>
  <si>
    <t>REA-B8860</t>
  </si>
  <si>
    <t>BATERIA UMYWALKOWA PODTYNKOWA OVAL CZARNA + BOX</t>
  </si>
  <si>
    <t>REA-B5125</t>
  </si>
  <si>
    <t>BATERIA UMYWALKOWA PODTYNKOWA OVAL ZŁOTA + BOX</t>
  </si>
  <si>
    <t>REA-B0181</t>
  </si>
  <si>
    <t>BATERIA UMYWALKOWA PODTYNKOWA SONIC CZARNA + BOX</t>
  </si>
  <si>
    <t>REA-B0412</t>
  </si>
  <si>
    <t>BATERIA UMYWALKOWA PODTYNKOWA TESS CZARNA</t>
  </si>
  <si>
    <t>REA-B0231</t>
  </si>
  <si>
    <t>BATERIA UMYWALKOWA PODTYNKOWA VIVA CZARNA+ BOX</t>
  </si>
  <si>
    <t>REA-B6251</t>
  </si>
  <si>
    <t>BATERIA UMYWALKOWA PODTYNKOWA VIVA ZŁOTA + BOX</t>
  </si>
  <si>
    <t>REA-B0225</t>
  </si>
  <si>
    <t>BATERIA UMYWALKOWA RETRO CZARNA PRZECIERANA NISKA</t>
  </si>
  <si>
    <t>REA-B5521</t>
  </si>
  <si>
    <t>BATERIA UMYWALKOWA RUSTICO ZŁOTA ANTYCZNA WYSOKA</t>
  </si>
  <si>
    <t>REA-B6351</t>
  </si>
  <si>
    <t>BATERIA UMYWALKOWA SALTO CZARNA/ZŁOTA WYSOKA</t>
  </si>
  <si>
    <t>REA-B1141</t>
  </si>
  <si>
    <t>BATERIA UMYWALKOWA SERRA CZARNA NISKA</t>
  </si>
  <si>
    <t>REA-B1142</t>
  </si>
  <si>
    <t>BATERIA UMYWALKOWA SERRA CZARNA WYSOKA</t>
  </si>
  <si>
    <t>REA-B1144</t>
  </si>
  <si>
    <t>BATERIA UMYWALKOWA SERRA ZŁOTA SZCZOTKOWANA NISKA</t>
  </si>
  <si>
    <t>REA-B1145</t>
  </si>
  <si>
    <t>BATERIA UMYWALKOWA SERRA ZŁOTA SZCZOTKOWANA WYSOKA</t>
  </si>
  <si>
    <t>REA-B8400</t>
  </si>
  <si>
    <t>BATERIA UMYWALKOWA SMART BIAŁA/ZŁOTA</t>
  </si>
  <si>
    <t>REA-B7402</t>
  </si>
  <si>
    <t>BATERIA UMYWALKOWA SMART CZARNA/ZŁOTA</t>
  </si>
  <si>
    <t>REA-B8600</t>
  </si>
  <si>
    <t>BATERIA UMYWALKOWA SOHO BLACK NISKA</t>
  </si>
  <si>
    <t>REA-B8601</t>
  </si>
  <si>
    <t>BATERIA UMYWALKOWA SOHO BLACK WYSOKA</t>
  </si>
  <si>
    <t>BAT-00852</t>
  </si>
  <si>
    <t>BATERIA UMYWALKOWA SONIC CZARNA NISKA</t>
  </si>
  <si>
    <t>BAT-09854</t>
  </si>
  <si>
    <t>BATERIA UMYWALKOWA SONIC CZARNA WYSOKA</t>
  </si>
  <si>
    <t>REA-B8801</t>
  </si>
  <si>
    <t>BATERIA UMYWALKOWA TESS CHROM NISKA</t>
  </si>
  <si>
    <t>REA-B8800</t>
  </si>
  <si>
    <t>BATERIA UMYWALKOWA TESS CHROM WYSOKA</t>
  </si>
  <si>
    <t>REA-B8881</t>
  </si>
  <si>
    <t>BATERIA UMYWALKOWA TESS CZARNA NISKA</t>
  </si>
  <si>
    <t>REA-B0229</t>
  </si>
  <si>
    <t>BATERIA UMYWALKOWA TESS CZARNA WYSOKA</t>
  </si>
  <si>
    <t>REA-B8804</t>
  </si>
  <si>
    <t>BATERIA UMYWALKOWA TESS RÓŻOWE ZŁOTO WYSOKA</t>
  </si>
  <si>
    <t>REA-B8865</t>
  </si>
  <si>
    <t>BATERIA UMYWALKOWA TESS ZŁOTA NISKA</t>
  </si>
  <si>
    <t>REA-B5661</t>
  </si>
  <si>
    <t>BATERIA UMYWALKOWA TESS ZŁOTA SZCZOTKOWANA NISKA</t>
  </si>
  <si>
    <t>REA-B5660</t>
  </si>
  <si>
    <t>BATERIA UMYWALKOWA TESS ZŁOTA SZCZOTKOWANA WYSOKA</t>
  </si>
  <si>
    <t>REA-B8803</t>
  </si>
  <si>
    <t>BATERIA UMYWALKOWA TESS ZŁOTA WYSOKA</t>
  </si>
  <si>
    <t>REA-B9406</t>
  </si>
  <si>
    <t>BATERIA UMYWALKOWA TOMI GUN SZARA WYSOKA</t>
  </si>
  <si>
    <t>REA-B7901</t>
  </si>
  <si>
    <t>BATERIA UMYWALKOWA VERSO CZARNA NISKA</t>
  </si>
  <si>
    <t>REA-B7902</t>
  </si>
  <si>
    <t>BATERIA UMYWALKOWA VERSO CZARNA WYSOKA</t>
  </si>
  <si>
    <t>REA-B9141</t>
  </si>
  <si>
    <t>BATERIA UMYWALKOWA VERSO NIKIEL SZCZOTKOWANY NISKA</t>
  </si>
  <si>
    <t>REA-B6555</t>
  </si>
  <si>
    <t>BATERIA UMYWALKOWA VERSO ZŁOTA SZCZOTKOWANA NISKA</t>
  </si>
  <si>
    <t>REA-B6564</t>
  </si>
  <si>
    <t>BATERIA UMYWALKOWA VERSO ZŁOTA SZCZOTKOWANA WYSOKA</t>
  </si>
  <si>
    <t>REA-B8767</t>
  </si>
  <si>
    <t>BATERIA UMYWALKOWA VERTIGO SIDE CZARNA WYSOKA</t>
  </si>
  <si>
    <t>REA-B3921</t>
  </si>
  <si>
    <t>BATERIA UMYWALKOWA VERTIGO UP CZARNA WYSOKA</t>
  </si>
  <si>
    <t>REA-B0226</t>
  </si>
  <si>
    <t>BATERIA UMYWALKOWA VINTAGE CZARNA PRZECIERAN NISKA</t>
  </si>
  <si>
    <t>REA-B9601</t>
  </si>
  <si>
    <t>BATERIA UMYWALKOWA WYSOKA APOLLO BLACK/ROSE GOLD</t>
  </si>
  <si>
    <t>REA-B9603</t>
  </si>
  <si>
    <t>BATERIA UMYWALKOWA WYSOKA APOLLO WHITE/ROSE GOLD</t>
  </si>
  <si>
    <t>REA-B8035</t>
  </si>
  <si>
    <t>BATERIA UMYWALKOWA ZEN CZARNA WYSOKA</t>
  </si>
  <si>
    <t>REA-B9903</t>
  </si>
  <si>
    <t>BATERIA WANN MY1709-3DBR ROMANO CZARNA PRZECIERANA</t>
  </si>
  <si>
    <t>REA-B9975</t>
  </si>
  <si>
    <t>BATERIA WANN MY1803-3DBR BLADE CZARNA PRZECIERANA</t>
  </si>
  <si>
    <t>REA-B2024</t>
  </si>
  <si>
    <t>BATERIA WANNOWA  JS-634903G VIRAL ZŁOTA</t>
  </si>
  <si>
    <t>REA-B2034</t>
  </si>
  <si>
    <t>BATERIA WANNOWA  JS-723003G RUSEL ZŁOTA</t>
  </si>
  <si>
    <t>REA-B6630</t>
  </si>
  <si>
    <t>BATERIA WANNOWA 3-OTWOROWA GLEN CZARNA</t>
  </si>
  <si>
    <t>REA-B6631</t>
  </si>
  <si>
    <t>BATERIA WANNOWA 3-OTWOROWA GLEN ZŁOTA</t>
  </si>
  <si>
    <t>REA-B0185</t>
  </si>
  <si>
    <t>BATERIA WANNOWA 3-OTWOROWA SONIC CZARNA</t>
  </si>
  <si>
    <t>REA-B3622</t>
  </si>
  <si>
    <t>BATERIA WANNOWA 5-OTWOROWA ICON CZARNA/ZŁOTA</t>
  </si>
  <si>
    <t>REA-B1128</t>
  </si>
  <si>
    <t>BATERIA WANNOWA AVALON CZARNA</t>
  </si>
  <si>
    <t>REA-B2706</t>
  </si>
  <si>
    <t>BATERIA WANNOWA AVALON TYTAN</t>
  </si>
  <si>
    <t>REA-B1129</t>
  </si>
  <si>
    <t>BATERIA WANNOWA AVALON ZŁOTA</t>
  </si>
  <si>
    <t>REA-B2707</t>
  </si>
  <si>
    <t>BATERIA WANNOWA AVALON ZŁOTA SZCZOTKOWANA</t>
  </si>
  <si>
    <t>REA-B0456</t>
  </si>
  <si>
    <t>BATERIA WANNOWA AZUR CHROM</t>
  </si>
  <si>
    <t>REA-B3421</t>
  </si>
  <si>
    <t>BATERIA WANNOWA BUZZ CZARNA</t>
  </si>
  <si>
    <t>REA-B9667</t>
  </si>
  <si>
    <t>BATERIA WANNOWA CREEK CZARNA</t>
  </si>
  <si>
    <t>REA-B3301</t>
  </si>
  <si>
    <t>BATERIA WANNOWA DART CHROM</t>
  </si>
  <si>
    <t>REA-B3300</t>
  </si>
  <si>
    <t>BATERIA WANNOWA DART CZARNA</t>
  </si>
  <si>
    <t>REA-B5652</t>
  </si>
  <si>
    <t>BATERIA WANNOWA DART ZŁOTA</t>
  </si>
  <si>
    <t>REA-B0223</t>
  </si>
  <si>
    <t>BATERIA WANNOWA ENZO CHROM</t>
  </si>
  <si>
    <t>REA-B0222</t>
  </si>
  <si>
    <t>BATERIA WANNOWA FALCON</t>
  </si>
  <si>
    <t>REA-B5256</t>
  </si>
  <si>
    <t>BATERIA WANNOWA FALCON BLACK</t>
  </si>
  <si>
    <t>REA-B8880</t>
  </si>
  <si>
    <t>BATERIA WANNOWA FENIX CHROM</t>
  </si>
  <si>
    <t>REA-B3310</t>
  </si>
  <si>
    <t>BATERIA WANNOWA FENIX CZARNA</t>
  </si>
  <si>
    <t>REA-B5666</t>
  </si>
  <si>
    <t>BATERIA WANNOWA FENIX ZŁOTA</t>
  </si>
  <si>
    <t>REA-B0699</t>
  </si>
  <si>
    <t>BATERIA WANNOWA JAGER ZŁOTA</t>
  </si>
  <si>
    <t>REA-B2037</t>
  </si>
  <si>
    <t>BATERIA WANNOWA JS-620903 BERG CHROM</t>
  </si>
  <si>
    <t>REA-B2040</t>
  </si>
  <si>
    <t>BATERIA WANNOWA JS-620903B BERG CZARNA</t>
  </si>
  <si>
    <t>REA-B2043</t>
  </si>
  <si>
    <t>BATERIA WANNOWA JS-620903G  BERG ZŁOTA</t>
  </si>
  <si>
    <t>REA-B2021</t>
  </si>
  <si>
    <t>BATERIA WANNOWA JS-634903 VIRAL CHROM</t>
  </si>
  <si>
    <t>REA-B2030</t>
  </si>
  <si>
    <t>BATERIA WANNOWA JS-634903B VIRAL CZARNA</t>
  </si>
  <si>
    <t>REA-B5099</t>
  </si>
  <si>
    <t>BATERIA WANNOWA JS-701303B FOSS CZARNA</t>
  </si>
  <si>
    <t>REA-B5112</t>
  </si>
  <si>
    <t>BATERIA WANNOWA JS-701303BG FOSS ZŁOTY SZCZOT</t>
  </si>
  <si>
    <t>REA-B4240</t>
  </si>
  <si>
    <t>BATERIA WANNOWA JS-702303B CLIF CZARNA</t>
  </si>
  <si>
    <t>REA-B4242</t>
  </si>
  <si>
    <t>BATERIA WANNOWA JS-702303BG CLIF ZŁOTY SZCZOT</t>
  </si>
  <si>
    <t>REA-B6874</t>
  </si>
  <si>
    <t>BATERIA WANNOWA JS-702303N CLIF NIKIEL SZCZOTKOWAN</t>
  </si>
  <si>
    <t>REA-B2032</t>
  </si>
  <si>
    <t>BATERIA WANNOWA JS-723003 RUSEL CHROM</t>
  </si>
  <si>
    <t>REA-B2002</t>
  </si>
  <si>
    <t>BATERIA WANNOWA JS-8003 FLIP CHROM</t>
  </si>
  <si>
    <t>REA-B2003</t>
  </si>
  <si>
    <t>BATERIA WANNOWA JS-8003B FLIP CZARNA</t>
  </si>
  <si>
    <t>REA-B7804</t>
  </si>
  <si>
    <t>BATERIA WANNOWA JS-B34803BG ARGON ZŁOTA SZCZOTKOWA</t>
  </si>
  <si>
    <t>REA-B7805</t>
  </si>
  <si>
    <t>BATERIA WANNOWA JS-B34803G ARGON ZŁOTA</t>
  </si>
  <si>
    <t>REA-B8030</t>
  </si>
  <si>
    <t>BATERIA WANNOWA LUNGO BIAŁA</t>
  </si>
  <si>
    <t>REA-B6641</t>
  </si>
  <si>
    <t>BATERIA WANNOWA LUNGO CHROM</t>
  </si>
  <si>
    <t>REA-B6634</t>
  </si>
  <si>
    <t>BATERIA WANNOWA LUNGO CZARNA</t>
  </si>
  <si>
    <t>REA-B4422</t>
  </si>
  <si>
    <t>BATERIA WANNOWA LUNGO CZARNA METALICZNA</t>
  </si>
  <si>
    <t>rea-b7987</t>
  </si>
  <si>
    <t>BATERIA WANNOWA LUNGO MIEDŹ</t>
  </si>
  <si>
    <t>REA-B1115</t>
  </si>
  <si>
    <t>BATERIA WANNOWA LUNGO MIEDŹ SZCZOTKOWANA</t>
  </si>
  <si>
    <t>REA-B6695</t>
  </si>
  <si>
    <t>BATERIA WANNOWA LUNGO RÓŻOWE ZŁOTO</t>
  </si>
  <si>
    <t>REA-B6635</t>
  </si>
  <si>
    <t>BATERIA WANNOWA LUNGO ZŁOTA</t>
  </si>
  <si>
    <t>REA-B8010</t>
  </si>
  <si>
    <t>BATERIA WANNOWA LUNGO ZŁOTA SZCZOTKOWANA</t>
  </si>
  <si>
    <t>REA-B5770</t>
  </si>
  <si>
    <t>BATERIA WANNOWA LUPPO CZARNA</t>
  </si>
  <si>
    <t>REA-B5941</t>
  </si>
  <si>
    <t>BATERIA WANNOWA MARCO CZARNA</t>
  </si>
  <si>
    <t>REA-B5942</t>
  </si>
  <si>
    <t>BATERIA WANNOWA MARCO ZŁOTA SZCZOTKOWANA</t>
  </si>
  <si>
    <t>REA-B9634</t>
  </si>
  <si>
    <t>BATERIA WANNOWA MAYSON CZARNA</t>
  </si>
  <si>
    <t>REA-B5662</t>
  </si>
  <si>
    <t>BATERIA WANNOWA MAYSON ZŁOTA</t>
  </si>
  <si>
    <t>REA-B2710</t>
  </si>
  <si>
    <t>BATERIA WANNOWA MELIA BIAŁA/ZŁOTA</t>
  </si>
  <si>
    <t>REA-B4813</t>
  </si>
  <si>
    <t>BATERIA WANNOWA MILD CZARNA/RÓŻOWE ZŁOTO</t>
  </si>
  <si>
    <t>REA-B9910</t>
  </si>
  <si>
    <t>BATERIA WANNOWA MY1802-3B URBAN CZARNA</t>
  </si>
  <si>
    <t>REA-B9906</t>
  </si>
  <si>
    <t>BATERIA WANNOWA MY1802-3C URBAN CHROM</t>
  </si>
  <si>
    <t>REA-B9914</t>
  </si>
  <si>
    <t>BATERIA WANNOWA MY1802-3G URBAN ZŁOTA</t>
  </si>
  <si>
    <t>REA-B9939</t>
  </si>
  <si>
    <t>BATERIA WANNOWA MY1805-3BG BLOOM CZARNA/ZŁOTA</t>
  </si>
  <si>
    <t>REA-B9918</t>
  </si>
  <si>
    <t>BATERIA WANNOWA MY1805-3CW BLOOM BIAŁA/CHROM</t>
  </si>
  <si>
    <t>REA-B9932</t>
  </si>
  <si>
    <t>BATERIA WANNOWA MY1805-3WG BLOOM BIAŁA/ZŁOTA</t>
  </si>
  <si>
    <t>REA-B9979</t>
  </si>
  <si>
    <t>BATERIA WANNOWA MY1806-3BG POLO CZARNA/ZŁOTA</t>
  </si>
  <si>
    <t>REA-B9943</t>
  </si>
  <si>
    <t>BATERIA WANNOWA MY1806-3CW POLO BIAŁA/CHROM</t>
  </si>
  <si>
    <t>REA-B9989</t>
  </si>
  <si>
    <t>BATERIA WANNOWA MY1902-3B STORM CZARNA</t>
  </si>
  <si>
    <t>REA-B6204</t>
  </si>
  <si>
    <t>BATERIA WANNOWA MY1902-3C STORM CHROM</t>
  </si>
  <si>
    <t>REA-B9985</t>
  </si>
  <si>
    <t>BATERIA WANNOWA MY1902-3G STORM ZŁOTA</t>
  </si>
  <si>
    <t>REA-B4585</t>
  </si>
  <si>
    <t>BATERIA WANNOWA MY1902-3H STORM GUN SZARY</t>
  </si>
  <si>
    <t>REA-B9997</t>
  </si>
  <si>
    <t>BATERIA WANNOWA MY1906-3B SOUL CZARNA</t>
  </si>
  <si>
    <t>REA-B9923</t>
  </si>
  <si>
    <t>BATERIA WANNOWA MY1906-3G SOUL ZŁOTA</t>
  </si>
  <si>
    <t>REA-B6407</t>
  </si>
  <si>
    <t>BATERIA WANNOWA MY2021-3B ARGUS CZARNA</t>
  </si>
  <si>
    <t>REA-B6409</t>
  </si>
  <si>
    <t>BATERIA WANNOWA MY2021-3G ARGUS ZŁOTA POŁYSK</t>
  </si>
  <si>
    <t>REA-B6414</t>
  </si>
  <si>
    <t>BATERIA WANNOWA MY2021-3GG ARGUS ZŁOTA SZCZOTKOWAN</t>
  </si>
  <si>
    <t>REA-B9967</t>
  </si>
  <si>
    <t>BATERIA WANNOWA MY2061-3B HASS CZARNA</t>
  </si>
  <si>
    <t>REA-B7100</t>
  </si>
  <si>
    <t>BATERIA WANNOWA MY2061-3GG HASS ZŁOTA SZCZOTKOWANA</t>
  </si>
  <si>
    <t>REA-B6424</t>
  </si>
  <si>
    <t>BATERIA WANNOWA MY2102-3C VENETA CHROM</t>
  </si>
  <si>
    <t>REA-B6422</t>
  </si>
  <si>
    <t>BATERIA WANNOWA MY2102-3G VENETA ZŁOTA</t>
  </si>
  <si>
    <t>REA-B5132</t>
  </si>
  <si>
    <t>BATERIA WANNOWA ORIX CHROM</t>
  </si>
  <si>
    <t>REA-B5133</t>
  </si>
  <si>
    <t>BATERIA WANNOWA ORIX CZARNA</t>
  </si>
  <si>
    <t>REA-B5134</t>
  </si>
  <si>
    <t>BATERIA WANNOWA ORIX ZŁOTA</t>
  </si>
  <si>
    <t>REA-B6404</t>
  </si>
  <si>
    <t>BATERIA WANNOWA PODŁOG MY2061-38GG HASS ZŁOTA SZCZ</t>
  </si>
  <si>
    <t>REA-B2718</t>
  </si>
  <si>
    <t>BATERIA WANNOWA PODŁOGOWA ARAS CHROM</t>
  </si>
  <si>
    <t>REA-B2717</t>
  </si>
  <si>
    <t>BATERIA WANNOWA PODŁOGOWA ARAS CZARNA</t>
  </si>
  <si>
    <t>REA-B2719</t>
  </si>
  <si>
    <t>BATERIA WANNOWA PODŁOGOWA ARAS ZŁOTA SZCZOTKOWANA</t>
  </si>
  <si>
    <t>REA-B5423</t>
  </si>
  <si>
    <t>BATERIA WANNOWA PODŁOGOWA CARAT CZARNA</t>
  </si>
  <si>
    <t>REA-B5231</t>
  </si>
  <si>
    <t>BATERIA WANNOWA PODŁOGOWA CARAT ZŁOTA</t>
  </si>
  <si>
    <t>REA-B6522</t>
  </si>
  <si>
    <t>BATERIA WANNOWA PODŁOGOWA CARAT ZŁOTA SZCZOTKOWANA</t>
  </si>
  <si>
    <t>REA-B2712</t>
  </si>
  <si>
    <t>BATERIA WANNOWA PODŁOGOWA FLORES CHROM</t>
  </si>
  <si>
    <t>REA-B2711</t>
  </si>
  <si>
    <t>BATERIA WANNOWA PODŁOGOWA FLORES CZARNA</t>
  </si>
  <si>
    <t>REA-B2713</t>
  </si>
  <si>
    <t>BATERIA WANNOWA PODŁOGOWA FLORES ZŁOTA SZCZOTKOWAN</t>
  </si>
  <si>
    <t>REA-B1011</t>
  </si>
  <si>
    <t>BATERIA WANNOWA PODŁOGOWA LUNGO ORTIS CHROM</t>
  </si>
  <si>
    <t>REA-B0232</t>
  </si>
  <si>
    <t>BATERIA WANNOWA PODŁOGOWA LUNGO ORTIS CZARNA</t>
  </si>
  <si>
    <t>REA-B7430</t>
  </si>
  <si>
    <t>BATERIA WANNOWA PODŁOGOWA LUNGO ORTIS ZŁOTA</t>
  </si>
  <si>
    <t>REA-B2715</t>
  </si>
  <si>
    <t>BATERIA WANNOWA PODŁOGOWA MONO CHROM</t>
  </si>
  <si>
    <t>REA-B2714</t>
  </si>
  <si>
    <t>BATERIA WANNOWA PODŁOGOWA MONO CZARNA</t>
  </si>
  <si>
    <t>REA-B1130</t>
  </si>
  <si>
    <t>BATERIA WANNOWA PODŁOGOWA MONO ZŁOTA</t>
  </si>
  <si>
    <t>REA-B2716</t>
  </si>
  <si>
    <t>BATERIA WANNOWA PODŁOGOWA MONO ZŁOTA SZCZOTKOWANA</t>
  </si>
  <si>
    <t>REA-B6401</t>
  </si>
  <si>
    <t>BATERIA WANNOWA PODŁOGOWA MY2061-38B HASS CZARNA</t>
  </si>
  <si>
    <t>REA-B6400</t>
  </si>
  <si>
    <t>BATERIA WANNOWA PODŁOGOWA MY2061-38C HASS CHROM</t>
  </si>
  <si>
    <t>REA-B0184</t>
  </si>
  <si>
    <t>BATERIA WANNOWA PODŁOGOWA SOHO  BLACK</t>
  </si>
  <si>
    <t>REA-B5301</t>
  </si>
  <si>
    <t>BATERIA WANNOWA PODŁOGOWA ST004 CLARK CHROM</t>
  </si>
  <si>
    <t>REA-B5300</t>
  </si>
  <si>
    <t>BATERIA WANNOWA PODŁOGOWA ST004 CLARK CZARNA</t>
  </si>
  <si>
    <t>REA-B5302</t>
  </si>
  <si>
    <t>BATERIA WANNOWA PODŁOGOWA ST004 CLARK ZŁOTA</t>
  </si>
  <si>
    <t>REA-B5303</t>
  </si>
  <si>
    <t>BATERIA WANNOWA PODŁOGOWA ST004 CLARK ZŁOTA SZCZOT</t>
  </si>
  <si>
    <t>REA-B5305</t>
  </si>
  <si>
    <t>BATERIA WANNOWA PODŁOGOWA ST005 TERY CHROM</t>
  </si>
  <si>
    <t>REA-B5304</t>
  </si>
  <si>
    <t>BATERIA WANNOWA PODŁOGOWA ST005 TERY CZARNA</t>
  </si>
  <si>
    <t>REA-B5306</t>
  </si>
  <si>
    <t>BATERIA WANNOWA PODŁOGOWA ST005 TERY ZŁOTA</t>
  </si>
  <si>
    <t>REA-B5307</t>
  </si>
  <si>
    <t>BATERIA WANNOWA PODŁOGOWA ST005 TERY ZŁOTA SZCZOTK</t>
  </si>
  <si>
    <t>REA-B7996</t>
  </si>
  <si>
    <t>BATERIA WANNOWA PODTYNKOWA LUNGO MIEDŹ + BOX</t>
  </si>
  <si>
    <t>REA-B0224</t>
  </si>
  <si>
    <t>BATERIA WANNOWA RETRO CZARNA PRZECIERANA</t>
  </si>
  <si>
    <t>REA-B0457</t>
  </si>
  <si>
    <t>BATERIA WANNOWA RIVEN CHROM</t>
  </si>
  <si>
    <t>REA-B0497</t>
  </si>
  <si>
    <t>BATERIA WANNOWA RIVEN ZŁOTA</t>
  </si>
  <si>
    <t>REA-B0701</t>
  </si>
  <si>
    <t>BATERIA WANNOWA RUSTICO CZARNA PRZECIERANA</t>
  </si>
  <si>
    <t>REA-B0702</t>
  </si>
  <si>
    <t>BATERIA WANNOWA RUSTICO ZŁOTA ANTYCZNA</t>
  </si>
  <si>
    <t>REA-B6352</t>
  </si>
  <si>
    <t>BATERIA WANNOWA SALTO CZARNA/ZŁOTA</t>
  </si>
  <si>
    <t>REA-B9510</t>
  </si>
  <si>
    <t>BATERIA WANNOWA ŚCIENNA SONATA CZARNA/RÓŻOWE ZŁOTO</t>
  </si>
  <si>
    <t>REA-B7903</t>
  </si>
  <si>
    <t>BATERIA WANNOWA VERSO CZARNA</t>
  </si>
  <si>
    <t>REA-B6565</t>
  </si>
  <si>
    <t>BATERIA WANNOWA VERSO ZŁOTA SZCZOTKOWANA</t>
  </si>
  <si>
    <t>REA-B9669</t>
  </si>
  <si>
    <t>BATERIA WANNOWA VERTIGO CZARNA</t>
  </si>
  <si>
    <t>REA-B1183</t>
  </si>
  <si>
    <t>BATERIA WYSOKA BONA OLD BLACK/GOLD</t>
  </si>
  <si>
    <t>REA-C2276</t>
  </si>
  <si>
    <t>BIDET CARLO MINI</t>
  </si>
  <si>
    <t>REA-C6380</t>
  </si>
  <si>
    <t>BIDET CARLO MINI BLACK</t>
  </si>
  <si>
    <t>REA-C9901</t>
  </si>
  <si>
    <t>BIDET CARLO MINI BLACK MATT</t>
  </si>
  <si>
    <t>REA-C2288</t>
  </si>
  <si>
    <t>BIDET CARLO MINI GOLD WHITE</t>
  </si>
  <si>
    <t>REA-C6990</t>
  </si>
  <si>
    <t>BIDET CARLO MINI WHITE GOLD EDGE</t>
  </si>
  <si>
    <t>REA-C6579</t>
  </si>
  <si>
    <t>BIDET HARY</t>
  </si>
  <si>
    <t>REA-C6501</t>
  </si>
  <si>
    <t>BIDET OLIVIER</t>
  </si>
  <si>
    <t>REA-C3600</t>
  </si>
  <si>
    <t>BIDET PORTER</t>
  </si>
  <si>
    <t>REA-C6601</t>
  </si>
  <si>
    <t>BIDET RICO</t>
  </si>
  <si>
    <t>REA-K3304</t>
  </si>
  <si>
    <t>BRODZIK BAZALT BLACK 80x100</t>
  </si>
  <si>
    <t>REA-K3305</t>
  </si>
  <si>
    <t>BRODZIK BAZALT BLACK 80x120</t>
  </si>
  <si>
    <t>REA-K3306</t>
  </si>
  <si>
    <t>BRODZIK BAZALT BLACK 90x120</t>
  </si>
  <si>
    <t>REA-K3307</t>
  </si>
  <si>
    <t>BRODZIK BAZALT BLACK 90x90</t>
  </si>
  <si>
    <t>REA-K7003</t>
  </si>
  <si>
    <t>BRODZIK BAZALT CARRARA BLACK 90x90</t>
  </si>
  <si>
    <t>REA-K7000</t>
  </si>
  <si>
    <t>BRODZIK BAZALT CARRARA WHITE 80x100</t>
  </si>
  <si>
    <t>REA-K7001</t>
  </si>
  <si>
    <t>BRODZIK BAZALT CARRARA WHITE 90x120</t>
  </si>
  <si>
    <t>REA-K7002</t>
  </si>
  <si>
    <t>BRODZIK BAZALT CARRARA WHITE 90x90</t>
  </si>
  <si>
    <t>REA-K4105</t>
  </si>
  <si>
    <t>BRODZIK BAZALT GREY 90x90</t>
  </si>
  <si>
    <t>REA-K3323</t>
  </si>
  <si>
    <t>BRODZIK BAZALT LONG BLACK 80x100</t>
  </si>
  <si>
    <t>REA-K3324</t>
  </si>
  <si>
    <t>BRODZIK BAZALT LONG BLACK 80x120</t>
  </si>
  <si>
    <t>REA-K3325</t>
  </si>
  <si>
    <t>BRODZIK BAZALT LONG BLACK 90x120</t>
  </si>
  <si>
    <t>REA-K3320</t>
  </si>
  <si>
    <t>BRODZIK BAZALT LONG WHITE 80x100</t>
  </si>
  <si>
    <t>REA-K3321</t>
  </si>
  <si>
    <t>BRODZIK BAZALT LONG WHITE 80x120</t>
  </si>
  <si>
    <t>REA-K3322</t>
  </si>
  <si>
    <t>BRODZIK BAZALT LONG WHITE 90x120</t>
  </si>
  <si>
    <t>REA-K3300</t>
  </si>
  <si>
    <t>BRODZIK BAZALT WHITE 80x100</t>
  </si>
  <si>
    <t>REA-K3301</t>
  </si>
  <si>
    <t>BRODZIK BAZALT WHITE 80x120</t>
  </si>
  <si>
    <t>REA-K3302</t>
  </si>
  <si>
    <t>BRODZIK BAZALT WHITE 90x120</t>
  </si>
  <si>
    <t>REA-K3303</t>
  </si>
  <si>
    <t>BRODZIK BAZALT WHITE 90x90</t>
  </si>
  <si>
    <t>REA-K012Y</t>
  </si>
  <si>
    <t>BRODZIK BRENO 80 X 100 + SYFON</t>
  </si>
  <si>
    <t>REA-K012T</t>
  </si>
  <si>
    <t>BRODZIK BRENO 80 X 100 BLACK + SYFON</t>
  </si>
  <si>
    <t>REA-K012E</t>
  </si>
  <si>
    <t>BRODZIK BRENO 80 X 120 + SYFON</t>
  </si>
  <si>
    <t>REA-K012G</t>
  </si>
  <si>
    <t>BRODZIK BRENO 80 X 120 BLACK + SYFON</t>
  </si>
  <si>
    <t>REA-K5692</t>
  </si>
  <si>
    <t>BRODZIK BRENO 90X120 + SYFON</t>
  </si>
  <si>
    <t>REA-K3965</t>
  </si>
  <si>
    <t>BRODZIK CALISTO 80X100X15 + SYFON</t>
  </si>
  <si>
    <t>REA-K8964</t>
  </si>
  <si>
    <t>BRODZIK CALISTO 80X120X15 + SYFON</t>
  </si>
  <si>
    <t>REA-K0701</t>
  </si>
  <si>
    <t>BRODZIK CALISTO 80X80X15 + SYFON</t>
  </si>
  <si>
    <t>REA-K0702</t>
  </si>
  <si>
    <t>BRODZIK CALISTO 90X90X15 + SYFON</t>
  </si>
  <si>
    <t>REA-K8543</t>
  </si>
  <si>
    <t>BRODZIK DIAMOND BLACK 90x90x5cm</t>
  </si>
  <si>
    <t>REA-K8544</t>
  </si>
  <si>
    <t>BRODZIK DIAMOND WHITE 80x80x5cm</t>
  </si>
  <si>
    <t>REA-K6522</t>
  </si>
  <si>
    <t>BRODZIK DIAMOND WHITE 90x90x5cm</t>
  </si>
  <si>
    <t>REA-K4593</t>
  </si>
  <si>
    <t>BRODZIK GRAND BLACK 80x100</t>
  </si>
  <si>
    <t>REA-K4594</t>
  </si>
  <si>
    <t>BRODZIK GRAND BLACK 90x120</t>
  </si>
  <si>
    <t>REA-K4595</t>
  </si>
  <si>
    <t>BRODZIK GRAND BLACK 90x90</t>
  </si>
  <si>
    <t>REA-K4590</t>
  </si>
  <si>
    <t>BRODZIK GRAND WHITE 80x100</t>
  </si>
  <si>
    <t>REA-K4591</t>
  </si>
  <si>
    <t>BRODZIK GRAND WHITE 90x120</t>
  </si>
  <si>
    <t>REA-K4592</t>
  </si>
  <si>
    <t>BRODZIK GRAND WHITE 90x90</t>
  </si>
  <si>
    <t>REA-K7909</t>
  </si>
  <si>
    <t>BRODZIK LOOK WHITE 80x100 LEWY</t>
  </si>
  <si>
    <t>REA-K7906</t>
  </si>
  <si>
    <t>BRODZIK LOOK WHITE 80x100 PRAWY</t>
  </si>
  <si>
    <t>REA-K7908</t>
  </si>
  <si>
    <t>BRODZIK LOOK WHITE 80x80</t>
  </si>
  <si>
    <t>REA-K7907</t>
  </si>
  <si>
    <t>BRODZIK LOOK WHITE 90x90</t>
  </si>
  <si>
    <t>REA-K3330</t>
  </si>
  <si>
    <t>BRODZIK MAGNUM BLACK 80x100</t>
  </si>
  <si>
    <t>REA-K3331</t>
  </si>
  <si>
    <t>BRODZIK MAGNUM BLACK 80x120</t>
  </si>
  <si>
    <t>REA-K3332</t>
  </si>
  <si>
    <t>BRODZIK MAGNUM BLACK 90x120</t>
  </si>
  <si>
    <t>REA-K3334</t>
  </si>
  <si>
    <t>BRODZIK MAGNUM BLACK 90x90</t>
  </si>
  <si>
    <t>REA-K7007</t>
  </si>
  <si>
    <t>BRODZIK MAGNUM CARRARA BLACK 80x100</t>
  </si>
  <si>
    <t>REA-K7009</t>
  </si>
  <si>
    <t>BRODZIK MAGNUM CARRARA BLACK 90x120</t>
  </si>
  <si>
    <t>REA-K7008</t>
  </si>
  <si>
    <t>BRODZIK MAGNUM CARRARA BLACK 90x90</t>
  </si>
  <si>
    <t>REA-K7004</t>
  </si>
  <si>
    <t>BRODZIK MAGNUM CARRARA WHITE 80x100</t>
  </si>
  <si>
    <t>REA-K7006</t>
  </si>
  <si>
    <t>BRODZIK MAGNUM CARRARA WHITE 90x120</t>
  </si>
  <si>
    <t>REA-K7005</t>
  </si>
  <si>
    <t>BRODZIK MAGNUM CARRARA WHITE 90x90</t>
  </si>
  <si>
    <t>REA-K4107</t>
  </si>
  <si>
    <t>BRODZIK MAGNUM GREY 80x100</t>
  </si>
  <si>
    <t>REA-K4108</t>
  </si>
  <si>
    <t>BRODZIK MAGNUM GREY 90x120</t>
  </si>
  <si>
    <t>REA-K4106</t>
  </si>
  <si>
    <t>BRODZIK MAGNUM GREY 90x90</t>
  </si>
  <si>
    <t>REA-K3335</t>
  </si>
  <si>
    <t>BRODZIK MAGNUM WHITE 80x100</t>
  </si>
  <si>
    <t>REA-K3336</t>
  </si>
  <si>
    <t>BRODZIK MAGNUM WHITE 80x120</t>
  </si>
  <si>
    <t>REA-K3337</t>
  </si>
  <si>
    <t>BRODZIK MAGNUM WHITE 90x120</t>
  </si>
  <si>
    <t>REA-K3338</t>
  </si>
  <si>
    <t>BRODZIK MAGNUM WHITE 90x90</t>
  </si>
  <si>
    <t>REA-K011P</t>
  </si>
  <si>
    <t>BRODZIK PERFECT SPACE 80 EG05 + SYFON</t>
  </si>
  <si>
    <t>REA-K012K</t>
  </si>
  <si>
    <t>BRODZIK PERFECT SPACE 90 EG05 + SYFON</t>
  </si>
  <si>
    <t>REA-K090K</t>
  </si>
  <si>
    <t>BRODZIK PORTA 80 X 120 LEWY + SYFON</t>
  </si>
  <si>
    <t>REA-K090H</t>
  </si>
  <si>
    <t>BRODZIK PORTA 80 X 120 PRAWY + SYFON</t>
  </si>
  <si>
    <t>REA-K6932</t>
  </si>
  <si>
    <t>BRODZIK PORTA 80 X 90 LEWY + SYFON</t>
  </si>
  <si>
    <t>REA-K6874</t>
  </si>
  <si>
    <t>BRODZIK PORTA 80 X 90 PRAWY + SYFON</t>
  </si>
  <si>
    <t>REA-K6322</t>
  </si>
  <si>
    <t>BRODZIK PORTA 90 X 100 LEWY + SYFON</t>
  </si>
  <si>
    <t>REA-K4578</t>
  </si>
  <si>
    <t>BRODZIK ROCK BLACK 80x100</t>
  </si>
  <si>
    <t>REA-K4579</t>
  </si>
  <si>
    <t>BRODZIK ROCK BLACK 80x120</t>
  </si>
  <si>
    <t>REA-K4580</t>
  </si>
  <si>
    <t>BRODZIK ROCK BLACK 90x120</t>
  </si>
  <si>
    <t>REA-K4581</t>
  </si>
  <si>
    <t>BRODZIK ROCK BLACK 90x90</t>
  </si>
  <si>
    <t>REA-K4582</t>
  </si>
  <si>
    <t>BRODZIK ROCK GREY 80x100</t>
  </si>
  <si>
    <t>REA-K4583</t>
  </si>
  <si>
    <t>BRODZIK ROCK GREY 80x120</t>
  </si>
  <si>
    <t>REA-K4584</t>
  </si>
  <si>
    <t>BRODZIK ROCK GREY 90x120</t>
  </si>
  <si>
    <t>REA-K4585</t>
  </si>
  <si>
    <t>BRODZIK ROCK GREY 90x90</t>
  </si>
  <si>
    <t>REA-K5581</t>
  </si>
  <si>
    <t>BRODZIK ROCK WHITE 80x100</t>
  </si>
  <si>
    <t>REA-K5582</t>
  </si>
  <si>
    <t>BRODZIK ROCK WHITE 90x120</t>
  </si>
  <si>
    <t>REA-K5580</t>
  </si>
  <si>
    <t>BRODZIK ROCK WHITE 90x90</t>
  </si>
  <si>
    <t>REA-K4087</t>
  </si>
  <si>
    <t>BRODZIK SAVOY BLACK 80x100x6cm + SYFON</t>
  </si>
  <si>
    <t>REA-K4804</t>
  </si>
  <si>
    <t>BRODZIK SAVOY BLACK 80x80x6cm + SYFON</t>
  </si>
  <si>
    <t>REA-K4803</t>
  </si>
  <si>
    <t>BRODZIK SAVOY BLACK 90x90x6cm + SYFON</t>
  </si>
  <si>
    <t>REA-K5332</t>
  </si>
  <si>
    <t>BRODZIK SAVOY WHITE 80x100x6cm + SYFON</t>
  </si>
  <si>
    <t>REA-K1906</t>
  </si>
  <si>
    <t>BRODZIK SAVOY WHITE 80x80x6cm + SYFON</t>
  </si>
  <si>
    <t>REA-K1907</t>
  </si>
  <si>
    <t>BRODZIK SAVOY WHITE 90X90X6cm + SYFON</t>
  </si>
  <si>
    <t>REA-K9756</t>
  </si>
  <si>
    <t>BRODZIK STONE BLACK 80x100</t>
  </si>
  <si>
    <t>REA-K9602</t>
  </si>
  <si>
    <t>BRODZIK STONE BLACK 80x120</t>
  </si>
  <si>
    <t>REA-K9603</t>
  </si>
  <si>
    <t>BRODZIK STONE BLACK 90x120</t>
  </si>
  <si>
    <t>REA-K9601</t>
  </si>
  <si>
    <t>BRODZIK STONE BLACK 90x90</t>
  </si>
  <si>
    <t>REA-C6520</t>
  </si>
  <si>
    <t>DESKA DO WC - MARTIN / RAUL</t>
  </si>
  <si>
    <t>REA-C4620</t>
  </si>
  <si>
    <t>DESKA WC - 203 LAVA MATT DUROPLAST/SLIM/ZM</t>
  </si>
  <si>
    <t>REA-C6005</t>
  </si>
  <si>
    <t>DESKA WC - CARLO UF DUROPLAST FLAT BLACK</t>
  </si>
  <si>
    <t>REA-C6004</t>
  </si>
  <si>
    <t>DESKA WC - CARLO UF DUROPLAST FLAT BLACK MATT</t>
  </si>
  <si>
    <t>REA-C6002</t>
  </si>
  <si>
    <t>DESKA WC - PP FLAT WHITE</t>
  </si>
  <si>
    <t>REA-C6003</t>
  </si>
  <si>
    <t>DESKA WC - UF DUROPLAST FLAT BLACK</t>
  </si>
  <si>
    <t>REA-C6001</t>
  </si>
  <si>
    <t>DESKA WC - UF DUROPLAST FLAT WHITE</t>
  </si>
  <si>
    <t>REA-C6946</t>
  </si>
  <si>
    <t>DESKA WC - UF DUROPLAST RAUL WHITE</t>
  </si>
  <si>
    <t>REA-P0091</t>
  </si>
  <si>
    <t>DESZCZ. ULTRA SLIM 20 KWADRAT</t>
  </si>
  <si>
    <t>REA-P0198</t>
  </si>
  <si>
    <t>DESZCZ. ULTRA SLIM 25 KWADRAT</t>
  </si>
  <si>
    <t>REA-P0090</t>
  </si>
  <si>
    <t>DESZCZ. ULTRA SLIM 30 KWADRAT</t>
  </si>
  <si>
    <t>REA-P0170</t>
  </si>
  <si>
    <t>DESZCZ. ULTRA SLIM 40 KWADRAT</t>
  </si>
  <si>
    <t>REA-P0375</t>
  </si>
  <si>
    <t>DESZCZOWNICA MUSIC</t>
  </si>
  <si>
    <t>REA-P0650</t>
  </si>
  <si>
    <t>DESZCZOWNICA ULTRA SLIM 30 KWADRAT BLACK</t>
  </si>
  <si>
    <t>REA-P0651</t>
  </si>
  <si>
    <t>DESZCZOWNICA ULTRA SLIM 30 KWADRAT L.GOLD</t>
  </si>
  <si>
    <t>BAT-00478</t>
  </si>
  <si>
    <t>DOZOWNIK DO MYDŁA CHROM 250 ML</t>
  </si>
  <si>
    <t>BAT-00100</t>
  </si>
  <si>
    <t>DOZOWNIK DO MYDŁA CZARNY 250 ML</t>
  </si>
  <si>
    <t>BAT-00477</t>
  </si>
  <si>
    <t>DOZOWNIK DO MYDŁA NIKIEL SZCZOTKOWANY 250 ML</t>
  </si>
  <si>
    <t>BAT-08000</t>
  </si>
  <si>
    <t>DOZOWNIK DO MYDŁA ZŁOTY 250ML</t>
  </si>
  <si>
    <t>BAT-08001</t>
  </si>
  <si>
    <t>DOZOWNIK DO MYDŁA ZŁOTY SZCZOTKOWANY 250ML</t>
  </si>
  <si>
    <t>REA-K9639</t>
  </si>
  <si>
    <t>DRZWI PRYSZNICOWE ALEX BLACK 100</t>
  </si>
  <si>
    <t>REA-K9638</t>
  </si>
  <si>
    <t>DRZWI PRYSZNICOWE ALEX BLACK 90</t>
  </si>
  <si>
    <t>REA-K2506</t>
  </si>
  <si>
    <t>DRZWI PRYSZNICOWE ALEX BRUSH GOLD 90</t>
  </si>
  <si>
    <t>REA-K0546</t>
  </si>
  <si>
    <t>DRZWI PRYSZNICOWE ALEX CHROM 100</t>
  </si>
  <si>
    <t>REA-K0921</t>
  </si>
  <si>
    <t>DRZWI PRYSZNICOWE ALEX CHROM 120</t>
  </si>
  <si>
    <t>REA-K0923</t>
  </si>
  <si>
    <t>DRZWI PRYSZNICOWE ALEX CHROM 130</t>
  </si>
  <si>
    <t>REA-K0922</t>
  </si>
  <si>
    <t>DRZWI PRYSZNICOWE ALEX CHROM 140</t>
  </si>
  <si>
    <t>REA-K0287</t>
  </si>
  <si>
    <t>DRZWI PRYSZNICOWE ALEX CHROM 80</t>
  </si>
  <si>
    <t>REA-K0549</t>
  </si>
  <si>
    <t>DRZWI PRYSZNICOWE ALEX CHROM 90</t>
  </si>
  <si>
    <t>REA-K2500</t>
  </si>
  <si>
    <t>DRZWI PRYSZNICOWE ALEX GOLD BRUSH 100</t>
  </si>
  <si>
    <t>REA-K2501</t>
  </si>
  <si>
    <t>DRZWI PRYSZNICOWE ALEX GOLD BRUSH 120</t>
  </si>
  <si>
    <t>REA-K6330</t>
  </si>
  <si>
    <t>DRZWI PRYSZNICOWE FARGO BLACK 100</t>
  </si>
  <si>
    <t>REA-K6325</t>
  </si>
  <si>
    <t>DRZWI PRYSZNICOWE FARGO BLACK 110</t>
  </si>
  <si>
    <t>REA-K6328</t>
  </si>
  <si>
    <t>DRZWI PRYSZNICOWE FARGO BLACK 120</t>
  </si>
  <si>
    <t>REA-K6008</t>
  </si>
  <si>
    <t>DRZWI PRYSZNICOWE HUGO BLACK 100</t>
  </si>
  <si>
    <t>REA-K6603</t>
  </si>
  <si>
    <t>DRZWI PRYSZNICOWE HUGO BLACK 80</t>
  </si>
  <si>
    <t>REA-K6604</t>
  </si>
  <si>
    <t>DRZWI PRYSZNICOWE HUGO BLACK 90</t>
  </si>
  <si>
    <t>REA-K8413</t>
  </si>
  <si>
    <t>DRZWI PRYSZNICOWE HUGO GOLD BRUSH 100</t>
  </si>
  <si>
    <t>REA-K8410</t>
  </si>
  <si>
    <t>DRZWI PRYSZNICOWE HUGO GOLD BRUSH 80</t>
  </si>
  <si>
    <t>REA-K8411</t>
  </si>
  <si>
    <t>DRZWI PRYSZNICOWE HUGO GOLD BRUSH 90</t>
  </si>
  <si>
    <t>REA-K6963</t>
  </si>
  <si>
    <t>DRZWI PRYSZNICOWE MOLIER BLACK 100</t>
  </si>
  <si>
    <t>REA-K5660</t>
  </si>
  <si>
    <t>DRZWI PRYSZNICOWE MOLIER BLACK 110</t>
  </si>
  <si>
    <t>REA-K8537</t>
  </si>
  <si>
    <t>DRZWI PRYSZNICOWE MOLIER BLACK 80</t>
  </si>
  <si>
    <t>REA-K8538</t>
  </si>
  <si>
    <t>DRZWI PRYSZNICOWE MOLIER BLACK 90</t>
  </si>
  <si>
    <t>REA-K6371</t>
  </si>
  <si>
    <t>DRZWI PRYSZNICOWE MOLIER CHROM 100</t>
  </si>
  <si>
    <t>REA-K6367</t>
  </si>
  <si>
    <t>DRZWI PRYSZNICOWE MOLIER CHROM 80</t>
  </si>
  <si>
    <t>REA-K8539</t>
  </si>
  <si>
    <t>DRZWI PRYSZNICOWE MOLIER CHROM 90</t>
  </si>
  <si>
    <t>REA-K2507</t>
  </si>
  <si>
    <t>DRZWI PRYSZNICOWE MONTANA BRUSH GOLD 100</t>
  </si>
  <si>
    <t>REA-K2505</t>
  </si>
  <si>
    <t>DRZWI PRYSZNICOWE MONTANA BRUSH GOLD 110</t>
  </si>
  <si>
    <t>REA-K2508</t>
  </si>
  <si>
    <t>DRZWI PRYSZNICOWE MONTANA BRUSH GOLD 120</t>
  </si>
  <si>
    <t>REA-K2504</t>
  </si>
  <si>
    <t>DRZWI PRYSZNICOWE MONTANA BRUSH GOLD 130</t>
  </si>
  <si>
    <t>REA-K2499</t>
  </si>
  <si>
    <t>DRZWI PRYSZNICOWE MONTANA BRUSH GOLD 140</t>
  </si>
  <si>
    <t>REA-K5000</t>
  </si>
  <si>
    <t>DRZWI PRYSZNICOWE NIXON-2  110 L</t>
  </si>
  <si>
    <t>REA-K5001</t>
  </si>
  <si>
    <t>DRZWI PRYSZNICOWE NIXON-2  110 P</t>
  </si>
  <si>
    <t>REA-K5012</t>
  </si>
  <si>
    <t>DRZWI PRYSZNICOWE NIXON-2 CHROM 100 L</t>
  </si>
  <si>
    <t>REA-K7440</t>
  </si>
  <si>
    <t>DRZWI PRYSZNICOWE NIXON-2 CHROM 100 P</t>
  </si>
  <si>
    <t>REA-K5002</t>
  </si>
  <si>
    <t>DRZWI PRYSZNICOWE NIXON-2 CHROM 120 L</t>
  </si>
  <si>
    <t>REA-K5003</t>
  </si>
  <si>
    <t>DRZWI PRYSZNICOWE NIXON-2 CHROM 120 P</t>
  </si>
  <si>
    <t>REA-K5004</t>
  </si>
  <si>
    <t>DRZWI PRYSZNICOWE NIXON-2 CHROM 130 L</t>
  </si>
  <si>
    <t>REA-K5005</t>
  </si>
  <si>
    <t>DRZWI PRYSZNICOWE NIXON-2 CHROM 130 P</t>
  </si>
  <si>
    <t>REA-K5006</t>
  </si>
  <si>
    <t>DRZWI PRYSZNICOWE NIXON-2 CHROM 140 L</t>
  </si>
  <si>
    <t>REA-K5007</t>
  </si>
  <si>
    <t>DRZWI PRYSZNICOWE NIXON-2 CHROM 140 P</t>
  </si>
  <si>
    <t>REA-K5008</t>
  </si>
  <si>
    <t>DRZWI PRYSZNICOWE NIXON-2 CHROM 150 L</t>
  </si>
  <si>
    <t>REA-K5009</t>
  </si>
  <si>
    <t>DRZWI PRYSZNICOWE NIXON-2 CHROM 150 P</t>
  </si>
  <si>
    <t>REA-K6420</t>
  </si>
  <si>
    <t>DRZWI PRYSZNICOWE RAPID FOLD BLACK 100</t>
  </si>
  <si>
    <t>REA-K6418</t>
  </si>
  <si>
    <t>DRZWI PRYSZNICOWE RAPID FOLD BLACK 80</t>
  </si>
  <si>
    <t>REA-K6419</t>
  </si>
  <si>
    <t>DRZWI PRYSZNICOWE RAPID FOLD BLACK 90</t>
  </si>
  <si>
    <t>REA-K4130</t>
  </si>
  <si>
    <t>DRZWI PRYSZNICOWE RAPID FOLD GOLD 100</t>
  </si>
  <si>
    <t>REA-K4128</t>
  </si>
  <si>
    <t>DRZWI PRYSZNICOWE RAPID FOLD GOLD 80</t>
  </si>
  <si>
    <t>REA-K4129</t>
  </si>
  <si>
    <t>DRZWI PRYSZNICOWE RAPID FOLD GOLD 90</t>
  </si>
  <si>
    <t>REA-K6400</t>
  </si>
  <si>
    <t>DRZWI PRYSZNICOWE RAPID SLIDE BLACK 100</t>
  </si>
  <si>
    <t>REA-K6401</t>
  </si>
  <si>
    <t>DRZWI PRYSZNICOWE RAPID SLIDE BLACK 110</t>
  </si>
  <si>
    <t>REA-K6402</t>
  </si>
  <si>
    <t>DRZWI PRYSZNICOWE RAPID SLIDE BLACK 120</t>
  </si>
  <si>
    <t>REA-K6403</t>
  </si>
  <si>
    <t>DRZWI PRYSZNICOWE RAPID SLIDE BLACK 130</t>
  </si>
  <si>
    <t>REA-K6404</t>
  </si>
  <si>
    <t>DRZWI PRYSZNICOWE RAPID SLIDE BLACK 140</t>
  </si>
  <si>
    <t>REA-K6405</t>
  </si>
  <si>
    <t>DRZWI PRYSZNICOWE RAPID SLIDE BLACK 150</t>
  </si>
  <si>
    <t>REA-K6406</t>
  </si>
  <si>
    <t>DRZWI PRYSZNICOWE RAPID SLIDE BLACK 160</t>
  </si>
  <si>
    <t>REA-K8590</t>
  </si>
  <si>
    <t>DRZWI PRYSZNICOWE RAPID SLIDE BRUSH GOLD 130</t>
  </si>
  <si>
    <t>REA-K8591</t>
  </si>
  <si>
    <t>DRZWI PRYSZNICOWE RAPID SLIDE BRUSH GOLD 140</t>
  </si>
  <si>
    <t>REA-K5600</t>
  </si>
  <si>
    <t>DRZWI PRYSZNICOWE RAPID SLIDE CHROM 100</t>
  </si>
  <si>
    <t>REA-K5601</t>
  </si>
  <si>
    <t>DRZWI PRYSZNICOWE RAPID SLIDE CHROM 110</t>
  </si>
  <si>
    <t>REA-K5602</t>
  </si>
  <si>
    <t>DRZWI PRYSZNICOWE RAPID SLIDE CHROM 120</t>
  </si>
  <si>
    <t>REA-K5603</t>
  </si>
  <si>
    <t>DRZWI PRYSZNICOWE RAPID SLIDE CHROM 130</t>
  </si>
  <si>
    <t>REA-K5604</t>
  </si>
  <si>
    <t>DRZWI PRYSZNICOWE RAPID SLIDE CHROM 140</t>
  </si>
  <si>
    <t>REA-K5605</t>
  </si>
  <si>
    <t>DRZWI PRYSZNICOWE RAPID SLIDE CHROM 150</t>
  </si>
  <si>
    <t>REA-K5611</t>
  </si>
  <si>
    <t>DRZWI PRYSZNICOWE RAPID SLIDE GOLD 100</t>
  </si>
  <si>
    <t>REA-K5613</t>
  </si>
  <si>
    <t>DRZWI PRYSZNICOWE RAPID SLIDE GOLD 110</t>
  </si>
  <si>
    <t>REA-K5614</t>
  </si>
  <si>
    <t>DRZWI PRYSZNICOWE RAPID SLIDE GOLD 120</t>
  </si>
  <si>
    <t>REA-K5615</t>
  </si>
  <si>
    <t>DRZWI PRYSZNICOWE RAPID SLIDE GOLD 130</t>
  </si>
  <si>
    <t>REA-K5616</t>
  </si>
  <si>
    <t>DRZWI PRYSZNICOWE RAPID SLIDE GOLD 140</t>
  </si>
  <si>
    <t>REA-K5617</t>
  </si>
  <si>
    <t>DRZWI PRYSZNICOWE RAPID SLIDE GOLD 150</t>
  </si>
  <si>
    <t>REA-K4707</t>
  </si>
  <si>
    <t>DRZWI PRYSZNICOWE RAPID SLIDE GOLD BRUSH 100</t>
  </si>
  <si>
    <t>REA-K4708</t>
  </si>
  <si>
    <t>DRZWI PRYSZNICOWE RAPID SLIDE GOLD BRUSH 110</t>
  </si>
  <si>
    <t>REA-K4709</t>
  </si>
  <si>
    <t>DRZWI PRYSZNICOWE RAPID SLIDE GOLD BRUSH 120</t>
  </si>
  <si>
    <t>REA-K6410</t>
  </si>
  <si>
    <t>DRZWI PRYSZNICOWE RAPID SWING BLACK 100</t>
  </si>
  <si>
    <t>REA-K6413</t>
  </si>
  <si>
    <t>DRZWI PRYSZNICOWE RAPID SWING BLACK 120</t>
  </si>
  <si>
    <t>REA-K6407</t>
  </si>
  <si>
    <t>DRZWI PRYSZNICOWE RAPID SWING BLACK 70</t>
  </si>
  <si>
    <t>REA-K6408</t>
  </si>
  <si>
    <t>DRZWI PRYSZNICOWE RAPID SWING BLACK 80</t>
  </si>
  <si>
    <t>REA-K6409</t>
  </si>
  <si>
    <t>DRZWI PRYSZNICOWE RAPID SWING BLACK 90</t>
  </si>
  <si>
    <t>REA-K5607</t>
  </si>
  <si>
    <t>DRZWI PRYSZNICOWE RAPID SWING CHROM 100</t>
  </si>
  <si>
    <t>REA-K5606</t>
  </si>
  <si>
    <t>DRZWI PRYSZNICOWE RAPID SWING CHROM 90</t>
  </si>
  <si>
    <t>REA-K5619</t>
  </si>
  <si>
    <t>DRZWI PRYSZNICOWE RAPID SWING GOLD 100</t>
  </si>
  <si>
    <t>REA-K5618</t>
  </si>
  <si>
    <t>DRZWI PRYSZNICOWE RAPID SWING GOLD 90</t>
  </si>
  <si>
    <t>REA-K2503</t>
  </si>
  <si>
    <t>DRZWI PRYSZNICOWE RAPID SWING GOLD BRUSH 100</t>
  </si>
  <si>
    <t>REA-K2502</t>
  </si>
  <si>
    <t>DRZWI PRYSZNICOWE RAPID SWING GOLD BRUSH 90</t>
  </si>
  <si>
    <t>REA-K0547</t>
  </si>
  <si>
    <t>DRZWI PRYSZNICOWE SAXON 801</t>
  </si>
  <si>
    <t>REA-K6200</t>
  </si>
  <si>
    <t>DRZWI PRYSZNICOWE SLIDE N 100</t>
  </si>
  <si>
    <t>REA-K5300</t>
  </si>
  <si>
    <t>DRZWI PRYSZNICOWE SLIDE PRO 100</t>
  </si>
  <si>
    <t>REA-K5305</t>
  </si>
  <si>
    <t>DRZWI PRYSZNICOWE SLIDE PRO 120</t>
  </si>
  <si>
    <t>REA-K5306</t>
  </si>
  <si>
    <t>DRZWI PRYSZNICOWE SLIDE PRO 130</t>
  </si>
  <si>
    <t>REA-K5307</t>
  </si>
  <si>
    <t>DRZWI PRYSZNICOWE SLIDE PRO 140</t>
  </si>
  <si>
    <t>REA-K5308</t>
  </si>
  <si>
    <t>DRZWI PRYSZNICOWE SLIDE PRO 150</t>
  </si>
  <si>
    <t>REA-K6512</t>
  </si>
  <si>
    <t>DRZWI PRYSZNICOWE SOLAR BLACK 100</t>
  </si>
  <si>
    <t>REA-K6312</t>
  </si>
  <si>
    <t>DRZWI PRYSZNICOWE SOLAR BLACK 120</t>
  </si>
  <si>
    <t>REA-K6358</t>
  </si>
  <si>
    <t>DRZWI PRYSZNICOWE SOLAR BLACK 130</t>
  </si>
  <si>
    <t>REA-K6359</t>
  </si>
  <si>
    <t>DRZWI PRYSZNICOWE SOLAR BLACK 140</t>
  </si>
  <si>
    <t>REA-K6360</t>
  </si>
  <si>
    <t>DRZWI PRYSZNICOWE SOLAR BLACK 150</t>
  </si>
  <si>
    <t>REA-K6319</t>
  </si>
  <si>
    <t>DRZWI PRYSZNICOWE SOLAR BLACK 90</t>
  </si>
  <si>
    <t>REA-K6547</t>
  </si>
  <si>
    <t>DRZWI PRYSZNICOWE SOLAR GOLD 100</t>
  </si>
  <si>
    <t>REA-K6548</t>
  </si>
  <si>
    <t>DRZWI PRYSZNICOWE SOLAR GOLD 120</t>
  </si>
  <si>
    <t>REA-K0548</t>
  </si>
  <si>
    <t>DRZWI PRYSZNICOWE WIKTOR 802</t>
  </si>
  <si>
    <t>REA-K9994</t>
  </si>
  <si>
    <t>DRZWI WESTERN SPACE N2 100 TR</t>
  </si>
  <si>
    <t>REA-K9992</t>
  </si>
  <si>
    <t>DRZWI WESTERN SPACE N2 80 TR</t>
  </si>
  <si>
    <t>REA-K9993</t>
  </si>
  <si>
    <t>DRZWI WESTERN SPACE N2 90 TR</t>
  </si>
  <si>
    <t>REA-K0847</t>
  </si>
  <si>
    <t>KABINA A896 WHISTLER 80X100 TRANSP</t>
  </si>
  <si>
    <t>REA-K0848</t>
  </si>
  <si>
    <t>KABINA A896 WHISTLER 80X120 TRANSP</t>
  </si>
  <si>
    <t>REA-K8971</t>
  </si>
  <si>
    <t>KABINA A896 WHISTLER 90X120 TRANSP</t>
  </si>
  <si>
    <t>REA-K5503</t>
  </si>
  <si>
    <t>KABINA ABRA 80X100</t>
  </si>
  <si>
    <t>REA-K5501</t>
  </si>
  <si>
    <t>KABINA ABRA 80X80</t>
  </si>
  <si>
    <t>REA-K5502</t>
  </si>
  <si>
    <t>KABINA ABRA BLACK 90x90</t>
  </si>
  <si>
    <t>REA-K8778</t>
  </si>
  <si>
    <t>KABINA AXIN CHROM 80x80</t>
  </si>
  <si>
    <t>REA-K8779</t>
  </si>
  <si>
    <t>KABINA AXIN CHROM 90x90</t>
  </si>
  <si>
    <t>REA-K6449</t>
  </si>
  <si>
    <t>KABINA CITY BLACK 80X100</t>
  </si>
  <si>
    <t>REA-K6448</t>
  </si>
  <si>
    <t>KABINA CITY BLACK 80X80</t>
  </si>
  <si>
    <t>REA-K6446</t>
  </si>
  <si>
    <t>KABINA CITY BLACK 90x90</t>
  </si>
  <si>
    <t>REA-K6445</t>
  </si>
  <si>
    <t>KABINA CITY GOLD BRUSH 80X100</t>
  </si>
  <si>
    <t>REA-K6444</t>
  </si>
  <si>
    <t>KABINA CITY GOLD BRUSH 80X80</t>
  </si>
  <si>
    <t>REA-K6443</t>
  </si>
  <si>
    <t>KABINA CITY GOLD BRUSH 90x90</t>
  </si>
  <si>
    <t>REA-K6389</t>
  </si>
  <si>
    <t>KABINA CONCEPT BLACK 80x100</t>
  </si>
  <si>
    <t>REA-K5479</t>
  </si>
  <si>
    <t>KABINA CONCEPT BLACK 80x80</t>
  </si>
  <si>
    <t>REA-K5478</t>
  </si>
  <si>
    <t>KABINA CONCEPT BLACK 90x90</t>
  </si>
  <si>
    <t>REA-K8903</t>
  </si>
  <si>
    <t>KABINA COSTA GREY 90x90 Z BRODZIKIEM</t>
  </si>
  <si>
    <t>REA-K5623</t>
  </si>
  <si>
    <t>KABINA DIAMOND BLACK 100x100</t>
  </si>
  <si>
    <t>REA-K6900</t>
  </si>
  <si>
    <t>KABINA DIAMOND BLACK 80x80</t>
  </si>
  <si>
    <t>REA-K5622</t>
  </si>
  <si>
    <t>KABINA DIAMOND BLACK 90x90</t>
  </si>
  <si>
    <t>REA-K6616</t>
  </si>
  <si>
    <t>KABINA DIAMOND GOLD 100x100</t>
  </si>
  <si>
    <t>REA-K6615</t>
  </si>
  <si>
    <t>KABINA DIAMOND GOLD 80x80</t>
  </si>
  <si>
    <t>REA-K4904</t>
  </si>
  <si>
    <t>KABINA DIAMOND GOLD 90x90</t>
  </si>
  <si>
    <t>REA-K6950</t>
  </si>
  <si>
    <t>KABINA FARGO BLACK 80x100 U</t>
  </si>
  <si>
    <t>REA-K3214</t>
  </si>
  <si>
    <t>KABINA FARGO BLACK 90x120 U</t>
  </si>
  <si>
    <t>REA-K6318</t>
  </si>
  <si>
    <t>KABINA FARGO BLACK 90x90 U</t>
  </si>
  <si>
    <t>REA-K4907</t>
  </si>
  <si>
    <t>KABINA FARGO GOLD 80x100 U</t>
  </si>
  <si>
    <t>REA-K6614</t>
  </si>
  <si>
    <t>KABINA FARGO GOLD 90x120 U</t>
  </si>
  <si>
    <t>REA-K4903</t>
  </si>
  <si>
    <t>KABINA FARGO GOLD 90x90 U</t>
  </si>
  <si>
    <t>REA-K1950</t>
  </si>
  <si>
    <t>KABINA FOLD N2 70*70 TRANSP</t>
  </si>
  <si>
    <t>REA-K9990</t>
  </si>
  <si>
    <t>KABINA FOLD N2 CHROM 80x80</t>
  </si>
  <si>
    <t>REA-K9991</t>
  </si>
  <si>
    <t>KABINA FOLD N2 CHROM 90x90</t>
  </si>
  <si>
    <t>REA-K8969</t>
  </si>
  <si>
    <t>KABINA HEX BLACK 80x80</t>
  </si>
  <si>
    <t>REA-K8979</t>
  </si>
  <si>
    <t>KABINA HEX BLACK 90x90</t>
  </si>
  <si>
    <t>REA-K6602</t>
  </si>
  <si>
    <t>KABINA HUGO BLACK 100x100</t>
  </si>
  <si>
    <t>REA-K6600</t>
  </si>
  <si>
    <t>KABINA HUGO BLACK 80x80</t>
  </si>
  <si>
    <t>REA-K6601</t>
  </si>
  <si>
    <t>KABINA HUGO BLACK 90x90</t>
  </si>
  <si>
    <t>REA-K6605</t>
  </si>
  <si>
    <t>KABINA HUGO GOLD BRUSH 100x100</t>
  </si>
  <si>
    <t>REA-K6608</t>
  </si>
  <si>
    <t>KABINA HUGO GOLD BRUSH 80x80</t>
  </si>
  <si>
    <t>REA-K6609</t>
  </si>
  <si>
    <t>KABINA HUGO GOLD BRUSH 90x90</t>
  </si>
  <si>
    <t>REA-K7900</t>
  </si>
  <si>
    <t>KABINA LOOK BLACK 80x100</t>
  </si>
  <si>
    <t>REA-K7902</t>
  </si>
  <si>
    <t>KABINA LOOK BLACK 80x80</t>
  </si>
  <si>
    <t>REA-K7903</t>
  </si>
  <si>
    <t>KABINA LOOK BLACK 90x90</t>
  </si>
  <si>
    <t>REA-K7901</t>
  </si>
  <si>
    <t>KABINA LOOK CHROME 80x100</t>
  </si>
  <si>
    <t>REA-K7904</t>
  </si>
  <si>
    <t>KABINA LOOK CHROME 80x80</t>
  </si>
  <si>
    <t>REA-K7905</t>
  </si>
  <si>
    <t>KABINA LOOK CHROME 90x90</t>
  </si>
  <si>
    <t>REA-K4512</t>
  </si>
  <si>
    <t>KABINA MADOX 80X100 U</t>
  </si>
  <si>
    <t>REA-K5630</t>
  </si>
  <si>
    <t>KABINA MADOX 90X120 U</t>
  </si>
  <si>
    <t>REA-K4527</t>
  </si>
  <si>
    <t>KABINA MADOX CHROM 90x90 U</t>
  </si>
  <si>
    <t>REA-K4001</t>
  </si>
  <si>
    <t>KABINA MARTEN 80*120</t>
  </si>
  <si>
    <t>REA-K4002</t>
  </si>
  <si>
    <t>KABINA MARTEN 90*120</t>
  </si>
  <si>
    <t>REA-K4000</t>
  </si>
  <si>
    <t>KABINA MARTEN CHROM 80x100</t>
  </si>
  <si>
    <t>REA-K0264</t>
  </si>
  <si>
    <t>KABINA MAXIM CHROM 80 L</t>
  </si>
  <si>
    <t>REA-K0268</t>
  </si>
  <si>
    <t>KABINA MAXIM CHROM 80 P</t>
  </si>
  <si>
    <t>REA-K0263</t>
  </si>
  <si>
    <t>KABINA MAXIM CHROM 90 L</t>
  </si>
  <si>
    <t>REA-K0267</t>
  </si>
  <si>
    <t>KABINA MAXIM CHROM 90 P</t>
  </si>
  <si>
    <t>REA-K6635</t>
  </si>
  <si>
    <t>KABINA MONTANA BRUSH GOLD 80x100</t>
  </si>
  <si>
    <t>REA-K6636</t>
  </si>
  <si>
    <t>KABINA MONTANA BRUSH GOLD 90x90</t>
  </si>
  <si>
    <t>REA-K7402</t>
  </si>
  <si>
    <t>KABINA MORGAN 80*120 TR</t>
  </si>
  <si>
    <t>REA-K7403</t>
  </si>
  <si>
    <t>KABINA MORGAN 90*120 TR</t>
  </si>
  <si>
    <t>REA-K7400</t>
  </si>
  <si>
    <t>KABINA MORGAN 90*90 TR</t>
  </si>
  <si>
    <t>REA-K4806</t>
  </si>
  <si>
    <t>KABINA PUNTO BLACK 80x100</t>
  </si>
  <si>
    <t>REA-K4800</t>
  </si>
  <si>
    <t>KABINA PUNTO BLACK 80x80</t>
  </si>
  <si>
    <t>REA-K4801</t>
  </si>
  <si>
    <t>KABINA PUNTO BLACK 90x90</t>
  </si>
  <si>
    <t>REA-K1889</t>
  </si>
  <si>
    <t>KABINA PUNTO CHROM 80x100</t>
  </si>
  <si>
    <t>REA-K0863</t>
  </si>
  <si>
    <t>KABINA PUNTO CHROM 80x80</t>
  </si>
  <si>
    <t>REA-K0867</t>
  </si>
  <si>
    <t>KABINA PUNTO CHROM 90x90</t>
  </si>
  <si>
    <t>REA-K6442</t>
  </si>
  <si>
    <t>KABINA PUNTO GOLD 80X100</t>
  </si>
  <si>
    <t>REA-K6441</t>
  </si>
  <si>
    <t>KABINA PUNTO GOLD 80X80</t>
  </si>
  <si>
    <t>REA-K6440</t>
  </si>
  <si>
    <t>KABINA PUNTO GOLD 90x90</t>
  </si>
  <si>
    <t>REA-K9999</t>
  </si>
  <si>
    <t>KABINA ROUND SPACE N2  90X90 TR</t>
  </si>
  <si>
    <t>REA-K9232</t>
  </si>
  <si>
    <t>KABINA RUBIK BLACK 80x100</t>
  </si>
  <si>
    <t>REA-K9230</t>
  </si>
  <si>
    <t>KABINA RUBIK BLACK 80x80</t>
  </si>
  <si>
    <t>REA-K9231</t>
  </si>
  <si>
    <t>KABINA RUBIK BLACK 90x90</t>
  </si>
  <si>
    <t>REA-K6310</t>
  </si>
  <si>
    <t>KABINA SOLAR BLACK 80x100</t>
  </si>
  <si>
    <t>REA-K6311</t>
  </si>
  <si>
    <t>KABINA SOLAR BLACK 90x120</t>
  </si>
  <si>
    <t>REA-K6412</t>
  </si>
  <si>
    <t>KABINA SOLAR BLACK 90x90</t>
  </si>
  <si>
    <t>REA-K4901</t>
  </si>
  <si>
    <t>KABINA SOLAR GOLD 80x100</t>
  </si>
  <si>
    <t>REA-K4902</t>
  </si>
  <si>
    <t>KABINA SOLAR GOLD 90x120</t>
  </si>
  <si>
    <t>REA-K4900</t>
  </si>
  <si>
    <t>KABINA SOLAR GOLD 90x90</t>
  </si>
  <si>
    <t>REA-K8882</t>
  </si>
  <si>
    <t>KABINA SPACE IN BLACK 80x100</t>
  </si>
  <si>
    <t>REA-K8881</t>
  </si>
  <si>
    <t>KABINA SPACE IN BLACK 90x90</t>
  </si>
  <si>
    <t>REA-W2007</t>
  </si>
  <si>
    <t>KOREK DO WANNY CHROM 6cm</t>
  </si>
  <si>
    <t>REA-W2006</t>
  </si>
  <si>
    <t>KOREK DO WANNY CZARNY 6cm</t>
  </si>
  <si>
    <t>REA-W8008</t>
  </si>
  <si>
    <t>KOREK DO WANNY SPARTA</t>
  </si>
  <si>
    <t>REA-W2004</t>
  </si>
  <si>
    <t>KOREK DO WANNY ZŁOTY</t>
  </si>
  <si>
    <t>REA-W2008</t>
  </si>
  <si>
    <t>KOREK DO WANNY ZŁOTY 6cm</t>
  </si>
  <si>
    <t>REA-W2005</t>
  </si>
  <si>
    <t>KOREK DO WANNY ZŁOTY SZCZOTKOWANY 6cm</t>
  </si>
  <si>
    <t>REA-A8110</t>
  </si>
  <si>
    <t>KOREK KLIK-KLAK UNIWERSALNY ANTYCZNE ZŁOTO</t>
  </si>
  <si>
    <t>REA-A2361</t>
  </si>
  <si>
    <t>KOREK KLIK-KLAK UNIWERSALNY BIAŁY</t>
  </si>
  <si>
    <t>REA-A5217</t>
  </si>
  <si>
    <t>KOREK KLIK-KLAK UNIWERSALNY CHROM</t>
  </si>
  <si>
    <t>REA-A5216</t>
  </si>
  <si>
    <t>KOREK KLIK-KLAK UNIWERSALNY CZARNY</t>
  </si>
  <si>
    <t>REA-A4100</t>
  </si>
  <si>
    <t>KOREK KLIK-KLAK UNIWERSALNY CZARNY METALICZNY</t>
  </si>
  <si>
    <t>REA-A5218</t>
  </si>
  <si>
    <t>KOREK KLIK-KLAK UNIWERSALNY CZARNY PRZECIERANY</t>
  </si>
  <si>
    <t>REA-A5698</t>
  </si>
  <si>
    <t>KOREK KLIK-KLAK UNIWERSALNY MIEDŹ</t>
  </si>
  <si>
    <t>REA-A5632</t>
  </si>
  <si>
    <t>KOREK KLIK-KLAK UNIWERSALNY MIEDŹ SZCZOTKOWANA</t>
  </si>
  <si>
    <t>REA-A6000</t>
  </si>
  <si>
    <t>KOREK KLIK-KLAK UNIWERSALNY NIKIEL SZCZOTKOWANY</t>
  </si>
  <si>
    <t>REA-A533A</t>
  </si>
  <si>
    <t>KOREK KLIK-KLAK UNIWERSALNY RÓŻOWE ZŁOTO</t>
  </si>
  <si>
    <t>REA-A2360</t>
  </si>
  <si>
    <t>KOREK KLIK-KLAK UNIWERSALNY ZŁOTY</t>
  </si>
  <si>
    <t>REA-A8585</t>
  </si>
  <si>
    <t>KOREK KLIK-KLAK UNIWERSALNY ZŁOTY SZCZOTKOWANY</t>
  </si>
  <si>
    <t>REA-K4308</t>
  </si>
  <si>
    <t>LISTWA CZOŁOWA CZARNA 120 cm</t>
  </si>
  <si>
    <t>REA-K4304</t>
  </si>
  <si>
    <t>LISTWA CZOŁOWA CZARNA 130 cm</t>
  </si>
  <si>
    <t>REA-K4307</t>
  </si>
  <si>
    <t>LISTWA CZOŁOWA NIKIEL SZCZOTKOWANY 120 cm</t>
  </si>
  <si>
    <t>REA-K4300</t>
  </si>
  <si>
    <t>LISTWA CZOŁOWA NIKIEL SZCZOTKOWANY 130 cm</t>
  </si>
  <si>
    <t>REA-K4306</t>
  </si>
  <si>
    <t>LISTWA CZOŁOWA ZŁOTA 120 cm</t>
  </si>
  <si>
    <t>REA-K4301</t>
  </si>
  <si>
    <t>LISTWA CZOŁOWA ZŁOTA 130 cm</t>
  </si>
  <si>
    <t>REA-K4305</t>
  </si>
  <si>
    <t>LISTWA CZOŁOWA ZŁOTA SZCZOTKOWANA 120 cm</t>
  </si>
  <si>
    <t>REA-K4302</t>
  </si>
  <si>
    <t>LISTWA CZOŁOWA ZŁOTA SZCZOTKOWANA 130 cm</t>
  </si>
  <si>
    <t>REA-K6388</t>
  </si>
  <si>
    <t>LISTWA MAGNETYCZNA MONTANA BRUSH GOLD</t>
  </si>
  <si>
    <t>REA-K3208</t>
  </si>
  <si>
    <t>LISTWA SPADKOWA CZARNA 100 cm LEWA</t>
  </si>
  <si>
    <t>REA-K3209</t>
  </si>
  <si>
    <t>LISTWA SPADKOWA CZARNA 100 cm PRAWA</t>
  </si>
  <si>
    <t>REA-K3200</t>
  </si>
  <si>
    <t>LISTWA SPADKOWA CZARNA 120 cm LEWA</t>
  </si>
  <si>
    <t>REA-K3201</t>
  </si>
  <si>
    <t>LISTWA SPADKOWA CZARNA 120 cm PRAWA</t>
  </si>
  <si>
    <t>REA-K3218</t>
  </si>
  <si>
    <t>LISTWA SPADKOWA CZARNA 140 cm LEWA</t>
  </si>
  <si>
    <t>REA-K3220</t>
  </si>
  <si>
    <t>LISTWA SPADKOWA CZARNA 140 cm PRAWA</t>
  </si>
  <si>
    <t>REA-K3211</t>
  </si>
  <si>
    <t>LISTWA SPADKOWA NIKIEL SZCZOTKOWANY 100 cm LEWA</t>
  </si>
  <si>
    <t>REA-K3212</t>
  </si>
  <si>
    <t>LISTWA SPADKOWA NIKIEL SZCZOTKOWANY 100 cm PRAWA</t>
  </si>
  <si>
    <t>REA-K3202</t>
  </si>
  <si>
    <t>LISTWA SPADKOWA NIKIEL SZCZOTKOWANY 120 cm LEWA</t>
  </si>
  <si>
    <t>REA-K3203</t>
  </si>
  <si>
    <t>LISTWA SPADKOWA NIKIEL SZCZOTKOWANY 120 cm PRAWA</t>
  </si>
  <si>
    <t>REA-K3221</t>
  </si>
  <si>
    <t>LISTWA SPADKOWA NIKIEL SZCZOTKOWANY 140 cm LEWA</t>
  </si>
  <si>
    <t>REA-K3222</t>
  </si>
  <si>
    <t>LISTWA SPADKOWA NIKIEL SZCZOTKOWANY 140 cm PRAWA</t>
  </si>
  <si>
    <t>REA-K3213</t>
  </si>
  <si>
    <t>LISTWA SPADKOWA ZŁOTA 100 cm LEWA</t>
  </si>
  <si>
    <t>REA-K3215</t>
  </si>
  <si>
    <t>LISTWA SPADKOWA ZŁOTA 100 cm PRAWA</t>
  </si>
  <si>
    <t>REA-K3204</t>
  </si>
  <si>
    <t>LISTWA SPADKOWA ZŁOTA 120 cm LEWA</t>
  </si>
  <si>
    <t>REA-K3205</t>
  </si>
  <si>
    <t>LISTWA SPADKOWA ZŁOTA 120 cm PRAWA</t>
  </si>
  <si>
    <t>REA-K3223</t>
  </si>
  <si>
    <t>LISTWA SPADKOWA ZŁOTA 140 cm LEWA</t>
  </si>
  <si>
    <t>REA-K3224</t>
  </si>
  <si>
    <t>LISTWA SPADKOWA ZŁOTA 140 cm PRAWA</t>
  </si>
  <si>
    <t>REA-K3216</t>
  </si>
  <si>
    <t>LISTWA SPADKOWA ZŁOTA SZCZOTKOWANA 100 cm LEWA</t>
  </si>
  <si>
    <t>REA-K3217</t>
  </si>
  <si>
    <t>LISTWA SPADKOWA ZŁOTA SZCZOTKOWANA 100 cm PRAWA</t>
  </si>
  <si>
    <t>REA-K3206</t>
  </si>
  <si>
    <t>LISTWA SPADKOWA ZŁOTA SZCZOTKOWANA 120 cm LEWA</t>
  </si>
  <si>
    <t>REA-K3207</t>
  </si>
  <si>
    <t>LISTWA SPADKOWA ZŁOTA SZCZOTKOWANA 120 cm PRAWA</t>
  </si>
  <si>
    <t>REA-K3225</t>
  </si>
  <si>
    <t>LISTWA SPADKOWA ZŁOTA SZCZOTKOWANA 140 cm LEWA</t>
  </si>
  <si>
    <t>REA-K3226</t>
  </si>
  <si>
    <t>LISTWA SPADKOWA ZŁOTA SZCZOTKOWANA 140 cm PRAWA</t>
  </si>
  <si>
    <t>REA-K7635</t>
  </si>
  <si>
    <t>ŁĄCZNIK DO KABINY BLER</t>
  </si>
  <si>
    <t>REA-K7554</t>
  </si>
  <si>
    <t>ŁĄCZNIK DO RAMIENIA AERO (COMPACT)</t>
  </si>
  <si>
    <t>REA-K7439</t>
  </si>
  <si>
    <t>MODUŁ KABINY FOLD N2 CHROM 100</t>
  </si>
  <si>
    <t>REA-K7438</t>
  </si>
  <si>
    <t>MODUŁ KABINY FOLD N2 CHROM 110</t>
  </si>
  <si>
    <t>REA-K7437</t>
  </si>
  <si>
    <t>MODUŁ KABINY FOLD N2 CHROM 120</t>
  </si>
  <si>
    <t>REA-K7444</t>
  </si>
  <si>
    <t>MODUŁ KABINY FOLD N2 CHROM 70</t>
  </si>
  <si>
    <t>REA-K7443</t>
  </si>
  <si>
    <t>MODUŁ KABINY FOLD N2 CHROM 80</t>
  </si>
  <si>
    <t>REA-K7442</t>
  </si>
  <si>
    <t>MODUŁ KABINY FOLD N2 CHROM 90</t>
  </si>
  <si>
    <t>REA-G0407</t>
  </si>
  <si>
    <t>ODPŁYW BUBBLE -1000 N SZCZOTKOWANY</t>
  </si>
  <si>
    <t>REA-G0115</t>
  </si>
  <si>
    <t>ODPŁYW BUBBLE-900 N SZCZOTKOWANY</t>
  </si>
  <si>
    <t>REA-G6200</t>
  </si>
  <si>
    <t>ODPŁYW CROSS 120x120 SZCZOTKOWANY</t>
  </si>
  <si>
    <t>REA-G6201</t>
  </si>
  <si>
    <t>ODPŁYW CROSS 150x150 SZCZOTKOWANY</t>
  </si>
  <si>
    <t>REA-G6202</t>
  </si>
  <si>
    <t>ODPŁYW DOTS 120x120 SZCZOTKOWANY</t>
  </si>
  <si>
    <t>REA-G6203</t>
  </si>
  <si>
    <t>ODPŁYW DOTS 150x150 SZCZOTKOWANY</t>
  </si>
  <si>
    <t>REA-G0404</t>
  </si>
  <si>
    <t>ODPŁYW GREEK  500 N BRUSH</t>
  </si>
  <si>
    <t>REA-G0405</t>
  </si>
  <si>
    <t>ODPŁYW GREEK N SZCZOTKOWANY 1000</t>
  </si>
  <si>
    <t>REA-G0111</t>
  </si>
  <si>
    <t>ODPŁYW GREEK N SZCZOTKOWANY 900</t>
  </si>
  <si>
    <t>REA-G8023</t>
  </si>
  <si>
    <t>ODPŁYW GREEK PRO CZARNY 600</t>
  </si>
  <si>
    <t>REA-G8024</t>
  </si>
  <si>
    <t>ODPŁYW GREEK PRO CZARNY 700</t>
  </si>
  <si>
    <t>REA-G8025</t>
  </si>
  <si>
    <t>ODPŁYW GREEK PRO CZARNY 800</t>
  </si>
  <si>
    <t>REA-G8026</t>
  </si>
  <si>
    <t>ODPŁYW GREEK PRO CZARNY 900</t>
  </si>
  <si>
    <t>REA-G8027</t>
  </si>
  <si>
    <t>ODPŁYW GREEK PRO ZŁOTY POŁYSK 600</t>
  </si>
  <si>
    <t>REA-G8028</t>
  </si>
  <si>
    <t>ODPŁYW GREEK PRO ZŁOTY POŁYSK 700</t>
  </si>
  <si>
    <t>REA-G8029</t>
  </si>
  <si>
    <t>ODPŁYW GREEK PRO ZŁOTY POŁYSK 800</t>
  </si>
  <si>
    <t>REA-G8030</t>
  </si>
  <si>
    <t>ODPŁYW GREEK PRO ZŁOTY POŁYSK 900</t>
  </si>
  <si>
    <t>REA-G8600</t>
  </si>
  <si>
    <t>ODPŁYW GREEK-500 BLACK</t>
  </si>
  <si>
    <t>REA-G8000</t>
  </si>
  <si>
    <t>ODPŁYW GREEK-600 BLACK</t>
  </si>
  <si>
    <t>REA-G8004</t>
  </si>
  <si>
    <t>ODPŁYW GREEK-600 L.GOLD</t>
  </si>
  <si>
    <t>REA-G0108</t>
  </si>
  <si>
    <t>ODPŁYW GREEK-600 N BRUSH</t>
  </si>
  <si>
    <t>REA-G8001</t>
  </si>
  <si>
    <t>ODPŁYW GREEK-700 BLACK</t>
  </si>
  <si>
    <t>REA-G8005</t>
  </si>
  <si>
    <t>ODPŁYW GREEK-700 L.GOLD</t>
  </si>
  <si>
    <t>REA-G0109</t>
  </si>
  <si>
    <t>ODPŁYW GREEK-700 N BRUSH</t>
  </si>
  <si>
    <t>REA-G8002</t>
  </si>
  <si>
    <t>ODPŁYW GREEK-800 BLACK</t>
  </si>
  <si>
    <t>REA-G8006</t>
  </si>
  <si>
    <t>ODPŁYW GREEK-800 L.GOLD</t>
  </si>
  <si>
    <t>REA-G0110</t>
  </si>
  <si>
    <t>ODPŁYW GREEK-800 N SZCZOTKOWANY</t>
  </si>
  <si>
    <t>REA-G8003</t>
  </si>
  <si>
    <t>ODPŁYW GREEK-900 BLACK</t>
  </si>
  <si>
    <t>REA-G8007</t>
  </si>
  <si>
    <t>ODPŁYW GREEK-900 L.GOLD</t>
  </si>
  <si>
    <t>REA-G6204</t>
  </si>
  <si>
    <t>ODPŁYW LINE 120x120 SZCZOTKOWANY</t>
  </si>
  <si>
    <t>REA-G6205</t>
  </si>
  <si>
    <t>ODPŁYW LINE 150x150 SZCZOTKOWANY</t>
  </si>
  <si>
    <t>REA-G0403</t>
  </si>
  <si>
    <t>ODPŁYW LINIOWY LINE2 N SZCZOTKOWANY 1000</t>
  </si>
  <si>
    <t>REA-G0107</t>
  </si>
  <si>
    <t>ODPŁYW LINIOWY LINE2 N SZCZOTKOWANY 900</t>
  </si>
  <si>
    <t>REA-G0116</t>
  </si>
  <si>
    <t>ODPŁYW LINIOWY WAVE-600 N BRUSH</t>
  </si>
  <si>
    <t>REA-G0117</t>
  </si>
  <si>
    <t>ODPŁYW LINIOWY WAVE-700 N SZCZOTKOWANY</t>
  </si>
  <si>
    <t>REA-G7003</t>
  </si>
  <si>
    <t>ODPŁYW NEO &amp; PURE (NIKIEL) SZCZOT. SZAMPAŃSKI 900</t>
  </si>
  <si>
    <t>REA-G8909</t>
  </si>
  <si>
    <t>ODPŁYW NEO &amp; PURE N PRO CZARNY 1000</t>
  </si>
  <si>
    <t>REA-G0999</t>
  </si>
  <si>
    <t>ODPŁYW NEO &amp; PURE N PRO CZARNY 500</t>
  </si>
  <si>
    <t>REA-G8905</t>
  </si>
  <si>
    <t>ODPŁYW NEO &amp; PURE N PRO CZARNY 600</t>
  </si>
  <si>
    <t>REA-G8906</t>
  </si>
  <si>
    <t>ODPŁYW NEO &amp; PURE N PRO CZARNY 700</t>
  </si>
  <si>
    <t>REA-G8907</t>
  </si>
  <si>
    <t>ODPŁYW NEO &amp; PURE N PRO CZARNY 800</t>
  </si>
  <si>
    <t>REA-G8908</t>
  </si>
  <si>
    <t>ODPŁYW NEO &amp; PURE N PRO CZARNY 900</t>
  </si>
  <si>
    <t>REA-G0989</t>
  </si>
  <si>
    <t>ODPŁYW NEO &amp; PURE N PRO SZCZOTKOWANY 1000</t>
  </si>
  <si>
    <t>REA-G0988</t>
  </si>
  <si>
    <t>ODPŁYW NEO &amp; PURE N PRO SZCZOTKOWANY 500</t>
  </si>
  <si>
    <t>REA-G0900</t>
  </si>
  <si>
    <t>ODPŁYW NEO &amp; PURE N PRO SZCZOTKOWANY 600</t>
  </si>
  <si>
    <t>REA-G0901</t>
  </si>
  <si>
    <t>ODPŁYW NEO &amp; PURE N PRO SZCZOTKOWANY 700</t>
  </si>
  <si>
    <t>REA-G0902</t>
  </si>
  <si>
    <t>ODPŁYW NEO &amp; PURE N PRO SZCZOTKOWANY 800</t>
  </si>
  <si>
    <t>REA-G0903</t>
  </si>
  <si>
    <t>ODPŁYW NEO &amp; PURE N PRO SZCZOTKOWANY 900</t>
  </si>
  <si>
    <t>REA-G0095</t>
  </si>
  <si>
    <t>ODPŁYW NEO &amp; PURE N SZCZOTKOWANY 1000</t>
  </si>
  <si>
    <t>REA-G0090</t>
  </si>
  <si>
    <t>ODPŁYW NEO &amp; PURE N SZCZOTKOWANY 500</t>
  </si>
  <si>
    <t>REA-G0091</t>
  </si>
  <si>
    <t>ODPŁYW NEO &amp; PURE N SZCZOTKOWANY 600</t>
  </si>
  <si>
    <t>REA-G0092</t>
  </si>
  <si>
    <t>ODPŁYW NEO &amp; PURE N SZCZOTKOWANY 700</t>
  </si>
  <si>
    <t>REA-G0093</t>
  </si>
  <si>
    <t>ODPŁYW NEO &amp; PURE N SZCZOTKOWANY 800</t>
  </si>
  <si>
    <t>REA-G0094</t>
  </si>
  <si>
    <t>ODPŁYW NEO &amp; PURE N SZCZOTKOWANY 900</t>
  </si>
  <si>
    <t>REA-G8020</t>
  </si>
  <si>
    <t>ODPŁYW NEO &amp; PURE PRO MIEDŹ SZCZOTKOWANA 600</t>
  </si>
  <si>
    <t>REA-G8021</t>
  </si>
  <si>
    <t>ODPŁYW NEO &amp; PURE PRO MIEDŹ SZCZOTKOWANA 700</t>
  </si>
  <si>
    <t>REA-G8022</t>
  </si>
  <si>
    <t>ODPŁYW NEO &amp; PURE PRO MIEDŹ SZCZOTKOWANA 800</t>
  </si>
  <si>
    <t>REA-G5611</t>
  </si>
  <si>
    <t>ODPŁYW NEO &amp; PURE PRO ZŁOTY POŁYSK 1000</t>
  </si>
  <si>
    <t>REA-G5693</t>
  </si>
  <si>
    <t>ODPŁYW NEO &amp; PURE PRO ZŁOTY POŁYSK 500</t>
  </si>
  <si>
    <t>REA-G5610</t>
  </si>
  <si>
    <t>ODPŁYW NEO &amp; PURE PRO ZŁOTY POŁYSK 600</t>
  </si>
  <si>
    <t>REA-G5600</t>
  </si>
  <si>
    <t>ODPŁYW NEO &amp; PURE PRO ZŁOTY POŁYSK 700</t>
  </si>
  <si>
    <t>REA-G5601</t>
  </si>
  <si>
    <t>ODPŁYW NEO &amp; PURE PRO ZŁOTY POŁYSK 800</t>
  </si>
  <si>
    <t>REA-G5602</t>
  </si>
  <si>
    <t>ODPŁYW NEO &amp; PURE PRO ZŁOTY POŁYSK 900</t>
  </si>
  <si>
    <t>REA-G8009</t>
  </si>
  <si>
    <t>ODPŁYW NEO &amp; PURE-600 L.GOLD PRO</t>
  </si>
  <si>
    <t>REA-G7000</t>
  </si>
  <si>
    <t>ODPŁYW NEO &amp; PURE-600 SZCZOTKOWANY SZAMPAŃSKI</t>
  </si>
  <si>
    <t>REA-G8010</t>
  </si>
  <si>
    <t>ODPŁYW NEO &amp; PURE-700 L.GOLD PRO</t>
  </si>
  <si>
    <t>REA-G6050</t>
  </si>
  <si>
    <t>ODPŁYW NEO &amp; PURE-700 N BLACK</t>
  </si>
  <si>
    <t>REA-G7001</t>
  </si>
  <si>
    <t>ODPŁYW NEO &amp; PURE-700 SZCZOTKOWANY SZAMPAŃSKI</t>
  </si>
  <si>
    <t>REA-G8011</t>
  </si>
  <si>
    <t>ODPŁYW NEO &amp; PURE-800 L.GOLD PRO</t>
  </si>
  <si>
    <t>REA-G7002</t>
  </si>
  <si>
    <t>ODPŁYW NEO &amp; PURE-800 SZCZOTKOWANY SZAMPAŃSKI</t>
  </si>
  <si>
    <t>REA-G8012</t>
  </si>
  <si>
    <t>ODPŁYW NEO &amp; PURE-900 L.GOLD PRO</t>
  </si>
  <si>
    <t>REA-G6206</t>
  </si>
  <si>
    <t>ODPŁYW NEO 120x120 SZCZOTKOWANY</t>
  </si>
  <si>
    <t>REA-G6207</t>
  </si>
  <si>
    <t>ODPŁYW NEO 150x150 SZCZOTKOWANY</t>
  </si>
  <si>
    <t>REA-G8904</t>
  </si>
  <si>
    <t>ODPŁYW NEO SLIM PRO CZARNY 1000</t>
  </si>
  <si>
    <t>REA-G6992</t>
  </si>
  <si>
    <t>ODPŁYW NEO SLIM PRO CZARNY 500</t>
  </si>
  <si>
    <t>REA-G8900</t>
  </si>
  <si>
    <t>ODPŁYW NEO SLIM PRO CZARNY 600</t>
  </si>
  <si>
    <t>REA-G8901</t>
  </si>
  <si>
    <t>ODPŁYW NEO SLIM PRO CZARNY 700</t>
  </si>
  <si>
    <t>REA-G8902</t>
  </si>
  <si>
    <t>ODPŁYW NEO SLIM PRO CZARNY 800</t>
  </si>
  <si>
    <t>REA-G8903</t>
  </si>
  <si>
    <t>ODPŁYW NEO SLIM PRO CZARNY 900</t>
  </si>
  <si>
    <t>REA-G0650</t>
  </si>
  <si>
    <t>ODPŁYW NEO SLIM PRO MIEDŹ SZCZOTKOWANA 600</t>
  </si>
  <si>
    <t>REA-G0651</t>
  </si>
  <si>
    <t>ODPŁYW NEO SLIM PRO MIEDŹ SZCZOTKOWANA 700</t>
  </si>
  <si>
    <t>REA-G0653</t>
  </si>
  <si>
    <t>ODPŁYW NEO SLIM PRO MIEDŹ SZCZOTKOWANA 800</t>
  </si>
  <si>
    <t>REA-G8404</t>
  </si>
  <si>
    <t>ODPŁYW NEO SLIM PRO SZCZOTKOWANY 1000</t>
  </si>
  <si>
    <t>REA-G8749</t>
  </si>
  <si>
    <t>ODPŁYW NEO SLIM PRO SZCZOTKOWANY 500</t>
  </si>
  <si>
    <t>REA-G8400</t>
  </si>
  <si>
    <t>ODPŁYW NEO SLIM PRO SZCZOTKOWANY 600</t>
  </si>
  <si>
    <t>REA-G8401</t>
  </si>
  <si>
    <t>ODPŁYW NEO SLIM PRO SZCZOTKOWANY 700</t>
  </si>
  <si>
    <t>REA-G8402</t>
  </si>
  <si>
    <t>ODPŁYW NEO SLIM PRO SZCZOTKOWANY 800</t>
  </si>
  <si>
    <t>REA-G8403</t>
  </si>
  <si>
    <t>ODPŁYW NEO SLIM PRO SZCZOTKOWANY 900</t>
  </si>
  <si>
    <t>REA-G5612</t>
  </si>
  <si>
    <t>ODPŁYW NEO SLIM PRO ZŁOTY POŁYSK 1000</t>
  </si>
  <si>
    <t>REA-G5692</t>
  </si>
  <si>
    <t>ODPŁYW NEO SLIM PRO ZŁOTY POŁYSK 500</t>
  </si>
  <si>
    <t>REA-G5698</t>
  </si>
  <si>
    <t>ODPŁYW NEO SLIM PRO ZŁOTY POŁYSK 600</t>
  </si>
  <si>
    <t>REA-G5603</t>
  </si>
  <si>
    <t>ODPŁYW NEO SLIM PRO ZŁOTY POŁYSK 700</t>
  </si>
  <si>
    <t>REA-G5604</t>
  </si>
  <si>
    <t>ODPŁYW NEO SLIM PRO ZŁOTY POŁYSK 800</t>
  </si>
  <si>
    <t>REA-G5605</t>
  </si>
  <si>
    <t>ODPŁYW NEO SLIM PRO ZŁOTY POŁYSK 900</t>
  </si>
  <si>
    <t>REA-G8013</t>
  </si>
  <si>
    <t>ODPŁYW NEO SLIM SZCZOTKOWANY SZAMPAŃSKI PRO-600</t>
  </si>
  <si>
    <t>REA-G8014</t>
  </si>
  <si>
    <t>ODPŁYW NEO SLIM SZCZOTKOWANY SZAMPAŃSKI PRO-700</t>
  </si>
  <si>
    <t>REA-G8015</t>
  </si>
  <si>
    <t>ODPŁYW NEO SLIM SZCZOTKOWANY SZAMPAŃSKI PRO-800</t>
  </si>
  <si>
    <t>REA-G8016</t>
  </si>
  <si>
    <t>ODPŁYW NEO SLIM SZCZOTKOWANY SZAMPAŃSKI PRO-900</t>
  </si>
  <si>
    <t>REA-G9800</t>
  </si>
  <si>
    <t>ODPŁYW NEO ULTRA SLIM PRO SZCZOTKOWANY 600</t>
  </si>
  <si>
    <t>REA-G9801</t>
  </si>
  <si>
    <t>ODPŁYW NEO ULTRA SLIM PRO SZCZOTKOWANY 700</t>
  </si>
  <si>
    <t>REA-G9802</t>
  </si>
  <si>
    <t>ODPŁYW NEO ULTRA SLIM PRO SZCZOTKOWANY 800</t>
  </si>
  <si>
    <t>REA-G9803</t>
  </si>
  <si>
    <t>ODPŁYW NEO ULTRA SLIM PRO ZŁOTY 600</t>
  </si>
  <si>
    <t>REA-G9804</t>
  </si>
  <si>
    <t>ODPŁYW NEO ULTRA SLIM PRO ZŁOTY 700</t>
  </si>
  <si>
    <t>REA-G9805</t>
  </si>
  <si>
    <t>ODPŁYW NEO ULTRA SLIM PRO ZŁOTY 800</t>
  </si>
  <si>
    <t>REA-G6605</t>
  </si>
  <si>
    <t>ODPŁYW NEOX CZARNY 1000</t>
  </si>
  <si>
    <t>REA-G6600</t>
  </si>
  <si>
    <t>ODPŁYW NEOX CZARNY 500</t>
  </si>
  <si>
    <t>REA-G6601</t>
  </si>
  <si>
    <t>ODPŁYW NEOX CZARNY 600</t>
  </si>
  <si>
    <t>REA-G6602</t>
  </si>
  <si>
    <t>ODPŁYW NEOX CZARNY 700</t>
  </si>
  <si>
    <t>REA-G6604</t>
  </si>
  <si>
    <t>ODPŁYW NEOX CZARNY 800</t>
  </si>
  <si>
    <t>REA-G6603</t>
  </si>
  <si>
    <t>ODPŁYW NEOX CZARNY 900</t>
  </si>
  <si>
    <t>REA-G7800</t>
  </si>
  <si>
    <t>ODPŁYW NEOX PRO CZARNY 1000</t>
  </si>
  <si>
    <t>REA-G2741</t>
  </si>
  <si>
    <t>ODPŁYW NEOX PRO CZARNY 500</t>
  </si>
  <si>
    <t>REA-G7801</t>
  </si>
  <si>
    <t>ODPŁYW NEOX PRO CZARNY 600</t>
  </si>
  <si>
    <t>REA-G7802</t>
  </si>
  <si>
    <t>ODPŁYW NEOX PRO CZARNY 700</t>
  </si>
  <si>
    <t>REA-G7803</t>
  </si>
  <si>
    <t>ODPŁYW NEOX PRO CZARNY 800</t>
  </si>
  <si>
    <t>REA-G7804</t>
  </si>
  <si>
    <t>ODPŁYW NEOX PRO CZARNY 900</t>
  </si>
  <si>
    <t>REA-G5811</t>
  </si>
  <si>
    <t>ODPŁYW NEOX PRO SZCZOTKOWANY 1000</t>
  </si>
  <si>
    <t>REA-G5806</t>
  </si>
  <si>
    <t>ODPŁYW NEOX PRO SZCZOTKOWANY 500</t>
  </si>
  <si>
    <t>REA-G5807</t>
  </si>
  <si>
    <t>ODPŁYW NEOX PRO SZCZOTKOWANY 600</t>
  </si>
  <si>
    <t>REA-G5808</t>
  </si>
  <si>
    <t>ODPŁYW NEOX PRO SZCZOTKOWANY 700</t>
  </si>
  <si>
    <t>REA-G5809</t>
  </si>
  <si>
    <t>ODPŁYW NEOX PRO SZCZOTKOWANY 800</t>
  </si>
  <si>
    <t>REA-G5810</t>
  </si>
  <si>
    <t>ODPŁYW NEOX PRO SZCZOTKOWANY 900</t>
  </si>
  <si>
    <t>REA-G2738</t>
  </si>
  <si>
    <t>ODPŁYW NEOX PRO ZŁOTY 1000</t>
  </si>
  <si>
    <t>REA-G2743</t>
  </si>
  <si>
    <t>ODPŁYW NEOX PRO ZŁOTY 600</t>
  </si>
  <si>
    <t>REA-G2742</t>
  </si>
  <si>
    <t>ODPŁYW NEOX PRO ZŁOTY 700</t>
  </si>
  <si>
    <t>REA-G2740</t>
  </si>
  <si>
    <t>ODPŁYW NEOX PRO ZŁOTY 800</t>
  </si>
  <si>
    <t>REA-G2739</t>
  </si>
  <si>
    <t>ODPŁYW NEOX PRO ZŁOTY 900</t>
  </si>
  <si>
    <t>REA-G2850</t>
  </si>
  <si>
    <t>ODPŁYW NEOX PRO ZŁOTY SZCZOTKOWANY 1000</t>
  </si>
  <si>
    <t>REA-G2701</t>
  </si>
  <si>
    <t>ODPŁYW NEOX PRO ZŁOTY SZCZOTKOWANY 600</t>
  </si>
  <si>
    <t>REA-G2702</t>
  </si>
  <si>
    <t>ODPŁYW NEOX PRO ZŁOTY SZCZOTKOWANY 700</t>
  </si>
  <si>
    <t>REA-G2703</t>
  </si>
  <si>
    <t>ODPŁYW NEOX PRO ZŁOTY SZCZOTKOWANY 800</t>
  </si>
  <si>
    <t>REA-G2704</t>
  </si>
  <si>
    <t>ODPŁYW NEOX PRO ZŁOTY SZCZOTKOWANY 900</t>
  </si>
  <si>
    <t>REA-G2712</t>
  </si>
  <si>
    <t>ODPŁYW NEOX SLIM PRO CZARNY 1000</t>
  </si>
  <si>
    <t>REA-G2744</t>
  </si>
  <si>
    <t>ODPŁYW NEOX SLIM PRO CZARNY 500</t>
  </si>
  <si>
    <t>REA-G2700</t>
  </si>
  <si>
    <t>ODPŁYW NEOX SLIM PRO CZARNY 600</t>
  </si>
  <si>
    <t>REA-G2709</t>
  </si>
  <si>
    <t>ODPŁYW NEOX SLIM PRO CZARNY 700</t>
  </si>
  <si>
    <t>REA-G2710</t>
  </si>
  <si>
    <t>ODPŁYW NEOX SLIM PRO CZARNY 800</t>
  </si>
  <si>
    <t>REA-G2711</t>
  </si>
  <si>
    <t>ODPŁYW NEOX SLIM PRO CZARNY 900</t>
  </si>
  <si>
    <t>REA-G5803</t>
  </si>
  <si>
    <t>ODPŁYW NEOX SLIM PRO SZCZOTKOWANY 1000</t>
  </si>
  <si>
    <t>REA-G5800</t>
  </si>
  <si>
    <t>ODPŁYW NEOX SLIM PRO SZCZOTKOWANY 500</t>
  </si>
  <si>
    <t>REA-G5801</t>
  </si>
  <si>
    <t>ODPŁYW NEOX SLIM PRO SZCZOTKOWANY 600</t>
  </si>
  <si>
    <t>REA-G5802</t>
  </si>
  <si>
    <t>ODPŁYW NEOX SLIM PRO SZCZOTKOWANY 800</t>
  </si>
  <si>
    <t>REA-G5804</t>
  </si>
  <si>
    <t>ODPŁYW NEOX SLIM PRO ZŁOTY 1000</t>
  </si>
  <si>
    <t>REA-G2717</t>
  </si>
  <si>
    <t>ODPŁYW NEOX SLIM PRO ZŁOTY 600</t>
  </si>
  <si>
    <t>REA-G2718</t>
  </si>
  <si>
    <t>ODPŁYW NEOX SLIM PRO ZŁOTY 700</t>
  </si>
  <si>
    <t>REA-G2719</t>
  </si>
  <si>
    <t>ODPŁYW NEOX SLIM PRO ZŁOTY 800</t>
  </si>
  <si>
    <t>REA-G5805</t>
  </si>
  <si>
    <t>ODPŁYW NEOX SLIM PRO ZŁOTY 900</t>
  </si>
  <si>
    <t>REA-G6990</t>
  </si>
  <si>
    <t>ODPŁYW NEOX SLIM PRO ZŁOTY SZCZOTKOWANY 1000</t>
  </si>
  <si>
    <t>REA-G2713</t>
  </si>
  <si>
    <t>ODPŁYW NEOX SLIM PRO ZŁOTY SZCZOTKOWANY 600</t>
  </si>
  <si>
    <t>REA-G2714</t>
  </si>
  <si>
    <t>ODPŁYW NEOX SLIM PRO ZŁOTY SZCZOTKOWANY 700</t>
  </si>
  <si>
    <t>REA-G2715</t>
  </si>
  <si>
    <t>ODPŁYW NEOX SLIM PRO ZŁOTY SZCZOTKOWANY 800</t>
  </si>
  <si>
    <t>REA-G2716</t>
  </si>
  <si>
    <t>ODPŁYW NEOX SLIM PRO ZŁOTY SZCZOTKOWANY 900</t>
  </si>
  <si>
    <t>REA-G7807</t>
  </si>
  <si>
    <t>ODPŁYW NEOX SUPERFLOW  CZARNY 800</t>
  </si>
  <si>
    <t>REA-G7805</t>
  </si>
  <si>
    <t>ODPŁYW NEOX SUPERFLOW CZARNY 600</t>
  </si>
  <si>
    <t>REA-G7806</t>
  </si>
  <si>
    <t>ODPŁYW NEOX SUPERFLOW CZARNY 700</t>
  </si>
  <si>
    <t>REA-G7808</t>
  </si>
  <si>
    <t>ODPŁYW NEOX SUPERFLOW CZARNY 900</t>
  </si>
  <si>
    <t>REA-G2705</t>
  </si>
  <si>
    <t>ODPŁYW NEOX SUPERFLOW NIKIEL SZCZOTKOWANY 600</t>
  </si>
  <si>
    <t>REA-G2706</t>
  </si>
  <si>
    <t>ODPŁYW NEOX SUPERFLOW NIKIEL SZCZOTKOWANY 700</t>
  </si>
  <si>
    <t>REA-G2707</t>
  </si>
  <si>
    <t>ODPŁYW NEOX SUPERFLOW NIKIEL SZCZOTKOWANY 800</t>
  </si>
  <si>
    <t>REA-G2708</t>
  </si>
  <si>
    <t>ODPŁYW NEOX SUPERFLOW NIKIEL SZCZOTKOWANY 900</t>
  </si>
  <si>
    <t>REA-G2505</t>
  </si>
  <si>
    <t>ODPŁYW NEOX SZCZOTKOWANY 1000</t>
  </si>
  <si>
    <t>REA-G2500</t>
  </si>
  <si>
    <t>ODPŁYW NEOX SZCZOTKOWANY 500</t>
  </si>
  <si>
    <t>REA-G2501</t>
  </si>
  <si>
    <t>ODPŁYW NEOX SZCZOTKOWANY 600</t>
  </si>
  <si>
    <t>REA-G2502</t>
  </si>
  <si>
    <t>ODPŁYW NEOX SZCZOTKOWANY 700</t>
  </si>
  <si>
    <t>REA-G2503</t>
  </si>
  <si>
    <t>ODPŁYW NEOX SZCZOTKOWANY 800</t>
  </si>
  <si>
    <t>REA-G2504</t>
  </si>
  <si>
    <t>ODPŁYW NEOX SZCZOTKOWANY 900</t>
  </si>
  <si>
    <t>REA-G0119</t>
  </si>
  <si>
    <t>ODPŁYW WAVE N SZCZOTKOWANY 900</t>
  </si>
  <si>
    <t>REA-G0409</t>
  </si>
  <si>
    <t>ODPŁYW WAVE-1000 N SZCZOTKOWANY</t>
  </si>
  <si>
    <t>REA-W0300</t>
  </si>
  <si>
    <t>PARAWAN WANNOWY AGAT CHROM 100</t>
  </si>
  <si>
    <t>REA-W0301</t>
  </si>
  <si>
    <t>PARAWAN WANNOWY AGAT CHROM 120</t>
  </si>
  <si>
    <t>REA-W0700</t>
  </si>
  <si>
    <t>PARAWAN WANNOWY AGAT CHROM 80</t>
  </si>
  <si>
    <t>REA-K9777</t>
  </si>
  <si>
    <t>PARAWAN WANNOWY AGAT GOLD BRUSH 100</t>
  </si>
  <si>
    <t>REA-W2501</t>
  </si>
  <si>
    <t>PARAWAN WANNOWY AGAT GOLD BRUSH 120</t>
  </si>
  <si>
    <t>REA-W2500</t>
  </si>
  <si>
    <t>PARAWAN WANNOWY AGAT GOLD BRUSH 80</t>
  </si>
  <si>
    <t>REA-W5600</t>
  </si>
  <si>
    <t>PARAWAN WANNOWY ELEGANT GOLD 70</t>
  </si>
  <si>
    <t>REA-W5601</t>
  </si>
  <si>
    <t>PARAWAN WANNOWY ELEGANT GOLD 80</t>
  </si>
  <si>
    <t>REA-W6600</t>
  </si>
  <si>
    <t>PARAWAN WANNOWY ELEGANT GOLD BRUSH 70</t>
  </si>
  <si>
    <t>REA-W6601</t>
  </si>
  <si>
    <t>PARAWAN WANNOWY ELEGANT GOLD BRUSH 80</t>
  </si>
  <si>
    <t>REA-K6526</t>
  </si>
  <si>
    <t>PARAWAN WANNOWY FABIAN GOLD 100</t>
  </si>
  <si>
    <t>REA-K6527</t>
  </si>
  <si>
    <t>PARAWAN WANNOWY FABIAN GOLD BRUSH 100</t>
  </si>
  <si>
    <t>REA-W0850</t>
  </si>
  <si>
    <t>PARAWAN WANNOWY IDEA CHROM 120</t>
  </si>
  <si>
    <t>REA-K7689</t>
  </si>
  <si>
    <t>PARAWAN WANNOWY LAGOS FIX STAŁY BLACK 70</t>
  </si>
  <si>
    <t>REA-K7390</t>
  </si>
  <si>
    <t>PARAWAN WANNOWY LAGOS FIX STAŁY BLACK 80</t>
  </si>
  <si>
    <t>REA-W5674</t>
  </si>
  <si>
    <t>PARAWAN WANNOWY LAGOS FIX STAŁY CHROM 70</t>
  </si>
  <si>
    <t>REA-W5630</t>
  </si>
  <si>
    <t>PARAWAN WANNOWY LAGOS FIX STAŁY CHROM 80</t>
  </si>
  <si>
    <t>REA-K7632</t>
  </si>
  <si>
    <t>PARAWAN WANNOWY LAGOS RUCHOMY BLACK 70</t>
  </si>
  <si>
    <t>REA-K7633</t>
  </si>
  <si>
    <t>PARAWAN WANNOWY LAGOS RUCHOMY BLACK 80</t>
  </si>
  <si>
    <t>REA-K4560</t>
  </si>
  <si>
    <t>PARAWAN WANNOWY LAGOS-1 FIX STAŁY BLACK 70</t>
  </si>
  <si>
    <t>REA-K4561</t>
  </si>
  <si>
    <t>PARAWAN WANNOWY LAGOS-1 FIX STAŁY BLACK 80</t>
  </si>
  <si>
    <t>REA-K4569</t>
  </si>
  <si>
    <t>PARAWAN WANNOWY LAGOS-1 RUCHOMY BLACK 70</t>
  </si>
  <si>
    <t>REA-K4570</t>
  </si>
  <si>
    <t>PARAWAN WANNOWY LAGOS-1 RUCHOMY BLACK 80</t>
  </si>
  <si>
    <t>REA-W0087</t>
  </si>
  <si>
    <t>PARAWAN WANNOWY TOPAZ CHROM 70 BEZ UCHWYTU</t>
  </si>
  <si>
    <t>REA-U0270</t>
  </si>
  <si>
    <t>POSTUMENT MARMO</t>
  </si>
  <si>
    <t>REA-U0275</t>
  </si>
  <si>
    <t>POSTUMENT MARMO Z UMYWALKĄ CRISTAL 39 GREY</t>
  </si>
  <si>
    <t>REA-U0271</t>
  </si>
  <si>
    <t>POSTUMENT WHITE</t>
  </si>
  <si>
    <t>REA-U0276</t>
  </si>
  <si>
    <t>POSTUMENT WHITE Z UMYWALKĄ INGRID TRANSPARENT</t>
  </si>
  <si>
    <t>REA-05600</t>
  </si>
  <si>
    <t>PÓŁKA PODTYNKOWA 01 30x30x10 NIKIEL SZCZOTKOWANY</t>
  </si>
  <si>
    <t>REA-05601</t>
  </si>
  <si>
    <t>PÓŁKA PODTYNKOWA 02 30x45x10 NIKIEL SZCZOTKOWANY</t>
  </si>
  <si>
    <t>REA-05602</t>
  </si>
  <si>
    <t>PÓŁKA PODTYNKOWA 03 30x60x10 NIKIEL SZCZOTKOWANY</t>
  </si>
  <si>
    <t>REA-05603</t>
  </si>
  <si>
    <t>PÓŁKA PODTYNKOWA 04 30x30x10 CZARNA</t>
  </si>
  <si>
    <t>REA-05604</t>
  </si>
  <si>
    <t>PÓŁKA PODTYNKOWA 05 30x45x10 CZARNA</t>
  </si>
  <si>
    <t>REA-05605</t>
  </si>
  <si>
    <t>PÓŁKA PODTYNKOWA 06 30x60x10 CZARNA</t>
  </si>
  <si>
    <t>REA-05606</t>
  </si>
  <si>
    <t>PÓŁKA PODTYNKOWA 07 30x30x10 ZŁOTY SZCZOTKOWANY</t>
  </si>
  <si>
    <t>REA-05607</t>
  </si>
  <si>
    <t>PÓŁKA PODTYNKOWA 08 30x45x10 ZŁOTY SZCZOTKOWANY</t>
  </si>
  <si>
    <t>REA-05608</t>
  </si>
  <si>
    <t>PÓŁKA PODTYNKOWA 09 30x60x10 ZŁOTY SZCZOTKOWANY</t>
  </si>
  <si>
    <t>REA-85000</t>
  </si>
  <si>
    <t>PÓŁKA TORI BLACK</t>
  </si>
  <si>
    <t>REA-85001</t>
  </si>
  <si>
    <t>PÓŁKA TORI GOLD SZCZOTKOWANY</t>
  </si>
  <si>
    <t>REA-85002</t>
  </si>
  <si>
    <t>PÓŁKA TORI NIKIEL SZCZOTKOWANY</t>
  </si>
  <si>
    <t>MCA-000006</t>
  </si>
  <si>
    <t>PÓŁSYFON UMYWALKOWY HC2.</t>
  </si>
  <si>
    <t>REA-K0881</t>
  </si>
  <si>
    <t>PRZEDŁUŻKA 50cm DO ZESTAWU CHROM</t>
  </si>
  <si>
    <t>REA-K0880</t>
  </si>
  <si>
    <t>PRZEDŁUŻKA 50cm DO ZESTAWU CZARNY</t>
  </si>
  <si>
    <t>REA-K0890</t>
  </si>
  <si>
    <t>PRZEDŁUŻKA 50cm DO ZESTAWU ZŁOTY</t>
  </si>
  <si>
    <t>REA-K0891</t>
  </si>
  <si>
    <t>PRZEDŁUŻKA 50cm DO ZESTAWU ZŁOTY SZCZOTKOWANY</t>
  </si>
  <si>
    <t>REA-K6654</t>
  </si>
  <si>
    <t>PRZEDŁUŻKA 60cm DO ZESTAWU CHROM</t>
  </si>
  <si>
    <t>REA-K6650</t>
  </si>
  <si>
    <t>PRZEDŁUŻKA 60cm DO ZESTAWU CZARNY</t>
  </si>
  <si>
    <t>REA-K6651</t>
  </si>
  <si>
    <t>PRZEDŁUŻKA 60cm DO ZESTAWU ZŁOTY</t>
  </si>
  <si>
    <t>REA-K6652</t>
  </si>
  <si>
    <t>PRZEDŁUŻKA 60cm DO ZESTAWU ZŁOTY SZCZO</t>
  </si>
  <si>
    <t>REA-B0660</t>
  </si>
  <si>
    <t>PRZEDŁUŻKA OBROTOWA COLT CHROM</t>
  </si>
  <si>
    <t>MCA-00010</t>
  </si>
  <si>
    <t>PRZEDŁUŻKA Z KOLANKIEM HC13-32</t>
  </si>
  <si>
    <t>REA-E9854</t>
  </si>
  <si>
    <t>PRZYCISK DO STELAŻA PODTYNKOWEGO F BLACK</t>
  </si>
  <si>
    <t>REA-E019A</t>
  </si>
  <si>
    <t>PRZYCISK DO STELAŻA PODTYNKOWEGO F CHROM</t>
  </si>
  <si>
    <t>REA-E9853</t>
  </si>
  <si>
    <t>PRZYCISK DO STELAŻA PODTYNKOWEGO F GOLD</t>
  </si>
  <si>
    <t>REA-E5699</t>
  </si>
  <si>
    <t>PRZYCISK DO STELAŻA PODTYNKOWEGO F GUN GREY</t>
  </si>
  <si>
    <t>REA-E0111</t>
  </si>
  <si>
    <t>PRZYCISK DO STELAŻA PODTYNKOWEGO H BLACK</t>
  </si>
  <si>
    <t>REA-E5691</t>
  </si>
  <si>
    <t>PRZYCISK DO STELAŻA PODTYNKOWEGO H CHROM</t>
  </si>
  <si>
    <t>REA-E5692</t>
  </si>
  <si>
    <t>PRZYCISK DO STELAŻA PODTYNKOWEGO H GOLD</t>
  </si>
  <si>
    <t>REA-E5695</t>
  </si>
  <si>
    <t>PRZYCISK DO STELAŻA PODTYNKOWEGO H GUN GREY</t>
  </si>
  <si>
    <t>REA-U8667</t>
  </si>
  <si>
    <t>RAMA DO UMYWALKI GOYA 50</t>
  </si>
  <si>
    <t>REA-U6534</t>
  </si>
  <si>
    <t>RAMA DO UMYWALKI GOYA 60</t>
  </si>
  <si>
    <t>REA-U8668</t>
  </si>
  <si>
    <t>RAMA DO UMYWALKI GOYA 70</t>
  </si>
  <si>
    <t>REA-P0082</t>
  </si>
  <si>
    <t>RAMIĘ DESZCZOWNICY ŚCIENNE KWADRAT 35 cm</t>
  </si>
  <si>
    <t>REA-K5670</t>
  </si>
  <si>
    <t>RAMIĘ DO RAPID PRZYŚCIENNEJ BLACK</t>
  </si>
  <si>
    <t>REA-K5699</t>
  </si>
  <si>
    <t>RAMIĘ DO RAPID PRZYŚCIENNEJ CHROM</t>
  </si>
  <si>
    <t>REA-08542</t>
  </si>
  <si>
    <t>RAMIĘ DO RAPID PRZYŚCIENNEJ GOLD</t>
  </si>
  <si>
    <t>REA-K6130</t>
  </si>
  <si>
    <t>RAMIĘ DO RAPID PRZYŚCIENNEJ GOLD BRUSH</t>
  </si>
  <si>
    <t>REA-K5672</t>
  </si>
  <si>
    <t>RAMIĘ WSPORNIK AERO BLACK</t>
  </si>
  <si>
    <t>REA-K5674</t>
  </si>
  <si>
    <t>RAMIĘ WSPORNIK AERO BRUSH GOLD</t>
  </si>
  <si>
    <t>REA-K5671</t>
  </si>
  <si>
    <t>RAMIĘ WSPORNIK AERO CHROM</t>
  </si>
  <si>
    <t>REA-K5673</t>
  </si>
  <si>
    <t>RAMIĘ WSPORNIK AERO GOLD</t>
  </si>
  <si>
    <t>REA-A0701</t>
  </si>
  <si>
    <t>ROLKA DO KABINY PODWÓJNA GÓRNA</t>
  </si>
  <si>
    <t>REA-A0700</t>
  </si>
  <si>
    <t>ROLKA DO KABINY POJEDYŃCZA DOLNA</t>
  </si>
  <si>
    <t>REA-A0024</t>
  </si>
  <si>
    <t>ROLKI DO KABIN KPL</t>
  </si>
  <si>
    <t>REA-A0060</t>
  </si>
  <si>
    <t>ROLKI DO KABIN KPL BLACK</t>
  </si>
  <si>
    <t>REA-P4520</t>
  </si>
  <si>
    <t>SŁUCHAWKA + WĄŻ + UCHWYT CHROM</t>
  </si>
  <si>
    <t>REA-P4101</t>
  </si>
  <si>
    <t>SŁUCHAWKA + WĄŻ + UCHWYT CZARNY</t>
  </si>
  <si>
    <t>REA-P8586</t>
  </si>
  <si>
    <t>SŁUCHAWKA + WĄŻ + UCHWYT ECO POWER</t>
  </si>
  <si>
    <t>REA-P6637</t>
  </si>
  <si>
    <t>SŁUCHAWKA + WĄŻ + UCHWYT ZŁOTY</t>
  </si>
  <si>
    <t>REA-W0600</t>
  </si>
  <si>
    <t>STELAŻ DEKORACYJNY DO WANNY MOLTO</t>
  </si>
  <si>
    <t>REA-E0009</t>
  </si>
  <si>
    <t>STELAŻ PODTYNKOWY WC</t>
  </si>
  <si>
    <t>REA-E3651</t>
  </si>
  <si>
    <t>STELAŻ PODTYNKOWY WC E BLACK</t>
  </si>
  <si>
    <t>REA-E3652</t>
  </si>
  <si>
    <t>STELAŻ PODTYNKOWY WC F BLACK</t>
  </si>
  <si>
    <t>REA-E0019</t>
  </si>
  <si>
    <t>STELAŻ PODTYNKOWY WC F CHROM</t>
  </si>
  <si>
    <t>REA-E9851</t>
  </si>
  <si>
    <t>STELAŻ PODTYNKOWY WC F GOLD</t>
  </si>
  <si>
    <t>REA-E3650</t>
  </si>
  <si>
    <t>STELAŻ PODTYNKOWY WC H BLACK</t>
  </si>
  <si>
    <t>REA-E0014</t>
  </si>
  <si>
    <t>STELAŻ PODTYNKOWY WC H CHROM</t>
  </si>
  <si>
    <t>REA-E9863</t>
  </si>
  <si>
    <t>STELAŻ PODTYNKOWY WC H GOLD</t>
  </si>
  <si>
    <t>SYF-00100</t>
  </si>
  <si>
    <t>SYFON 1-KOMOROWY ZŁOTY BR-001-AU</t>
  </si>
  <si>
    <t>SYF-00101</t>
  </si>
  <si>
    <t>SYFON 2-KOMOROWY ZŁOTY BR-002-AU</t>
  </si>
  <si>
    <t>REA-A0524</t>
  </si>
  <si>
    <t>SYFON KLIK-KLAK OLD BLACK BEZ PRZELEWU</t>
  </si>
  <si>
    <t>REA-A6952</t>
  </si>
  <si>
    <t>SYFON KLIK-KLAK UNIWERSALNY BIAŁY</t>
  </si>
  <si>
    <t>REA-A5693</t>
  </si>
  <si>
    <t>SYFON KLIK-KLAK UNIWERSALNY CHROM</t>
  </si>
  <si>
    <t>REA-A5215</t>
  </si>
  <si>
    <t>SYFON KLIK-KLAK UNIWERSALNY CZARNY</t>
  </si>
  <si>
    <t>REA-A8536</t>
  </si>
  <si>
    <t>SYFON KLIK-KLAK UNIWERSALNY CZARNY PRZECIERANY</t>
  </si>
  <si>
    <t>REA-A4400</t>
  </si>
  <si>
    <t>SYFON KLIK-KLAK UNIWERSALNY NIKIEL SZCZOTKOWANY</t>
  </si>
  <si>
    <t>REA-A8541</t>
  </si>
  <si>
    <t>SYFON KLIK-KLAK UNIWERSALNY RÓŻOWE ZŁOTO</t>
  </si>
  <si>
    <t>REA-A5692</t>
  </si>
  <si>
    <t>SYFON KLIK-KLAK UNIWERSALNY ZŁOTY</t>
  </si>
  <si>
    <t>REA-A8586</t>
  </si>
  <si>
    <t>SYFON KLIK-KLAK UNIWERSALNY ZŁOTY SZCZOTKOWANY</t>
  </si>
  <si>
    <t>REA-A8740</t>
  </si>
  <si>
    <t>SYFON NISKI DO BRODZIKA WP-02</t>
  </si>
  <si>
    <t>REA-00694</t>
  </si>
  <si>
    <t>SYFON WANNOWY KLIK-KLAK CHROM S2026 DO KORFU</t>
  </si>
  <si>
    <t>REA-K1303</t>
  </si>
  <si>
    <t>ŚCIANKA  PRYSZNICOWA BEST 100</t>
  </si>
  <si>
    <t>REA-K1308</t>
  </si>
  <si>
    <t>ŚCIANKA  PRYSZNICOWA BEST 80</t>
  </si>
  <si>
    <t>REA-K1309</t>
  </si>
  <si>
    <t>ŚCIANKA  PRYSZNICOWA BEST 90</t>
  </si>
  <si>
    <t>REA-K5014</t>
  </si>
  <si>
    <t>ŚCIANKA DO KABINY NIXON-2 CHROM 100</t>
  </si>
  <si>
    <t>REA-K5010</t>
  </si>
  <si>
    <t>ŚCIANKA DO KABINY NIXON-2 CHROM 80</t>
  </si>
  <si>
    <t>REA-K5011</t>
  </si>
  <si>
    <t>ŚCIANKA DO KABINY NIXON-2 CHROM 90</t>
  </si>
  <si>
    <t>REA-K6632</t>
  </si>
  <si>
    <t>ŚCIANKA MONTANA BRUSH GOLD 100</t>
  </si>
  <si>
    <t>REA-K6633</t>
  </si>
  <si>
    <t>ŚCIANKA MONTANA BRUSH GOLD 80</t>
  </si>
  <si>
    <t>REA-K6634</t>
  </si>
  <si>
    <t>ŚCIANKA MONTANA BRUSH GOLD 90</t>
  </si>
  <si>
    <t>REA-K6606</t>
  </si>
  <si>
    <t>ŚCIANKA POSZERZAJĄCA HUGO BLACK 30</t>
  </si>
  <si>
    <t>REA-K6610</t>
  </si>
  <si>
    <t>ŚCIANKA POSZERZAJĄCA HUGO GOLD BRUSH 30</t>
  </si>
  <si>
    <t>REA-K2464</t>
  </si>
  <si>
    <t>ŚCIANKA PRYSZNICOW AERO OMBRE GOLD BRUSH/WHITE 100</t>
  </si>
  <si>
    <t>REA-K2465</t>
  </si>
  <si>
    <t>ŚCIANKA PRYSZNICOW AERO OMBRE GOLD BRUSH/WHITE 110</t>
  </si>
  <si>
    <t>REA-K2466</t>
  </si>
  <si>
    <t>ŚCIANKA PRYSZNICOW AERO OMBRE GOLD BRUSH/WHITE 120</t>
  </si>
  <si>
    <t>REA-K7966</t>
  </si>
  <si>
    <t>ŚCIANKA PRYSZNICOWA 100 BLER-2</t>
  </si>
  <si>
    <t>REA-K7968</t>
  </si>
  <si>
    <t>ŚCIANKA PRYSZNICOWA 110 BLER-2</t>
  </si>
  <si>
    <t>REA-K7967</t>
  </si>
  <si>
    <t>ŚCIANKA PRYSZNICOWA 120 BLER-2</t>
  </si>
  <si>
    <t>REA-K7951</t>
  </si>
  <si>
    <t>ŚCIANKA PRYSZNICOWA 70 BLER-1</t>
  </si>
  <si>
    <t>REA-K7964</t>
  </si>
  <si>
    <t>ŚCIANKA PRYSZNICOWA 90 BLER-2</t>
  </si>
  <si>
    <t>REA-K0612</t>
  </si>
  <si>
    <t>ŚCIANKA PRYSZNICOWA AERO 110</t>
  </si>
  <si>
    <t>REA-K6596</t>
  </si>
  <si>
    <t>ŚCIANKA PRYSZNICOWA AERO BLACK 100</t>
  </si>
  <si>
    <t>REA-K6597</t>
  </si>
  <si>
    <t>ŚCIANKA PRYSZNICOWA AERO BLACK 110</t>
  </si>
  <si>
    <t>REA-K6599</t>
  </si>
  <si>
    <t>ŚCIANKA PRYSZNICOWA AERO BLACK 120</t>
  </si>
  <si>
    <t>REA-K7580</t>
  </si>
  <si>
    <t>ŚCIANKA PRYSZNICOWA AERO BLACK 80</t>
  </si>
  <si>
    <t>REA-K7581</t>
  </si>
  <si>
    <t>ŚCIANKA PRYSZNICOWA AERO BLACK 90</t>
  </si>
  <si>
    <t>REA-K7551</t>
  </si>
  <si>
    <t>ŚCIANKA PRYSZNICOWA AERO CHROM "N" 100</t>
  </si>
  <si>
    <t>REA-K3021</t>
  </si>
  <si>
    <t>ŚCIANKA PRYSZNICOWA AERO CHROM "N" 110</t>
  </si>
  <si>
    <t>REA-K7550</t>
  </si>
  <si>
    <t>ŚCIANKA PRYSZNICOWA AERO CHROM "N" 120</t>
  </si>
  <si>
    <t>REA-K7840</t>
  </si>
  <si>
    <t>ŚCIANKA PRYSZNICOWA AERO CHROM "N" 70</t>
  </si>
  <si>
    <t>REA-K7552</t>
  </si>
  <si>
    <t>ŚCIANKA PRYSZNICOWA AERO CHROM "N" 80</t>
  </si>
  <si>
    <t>REA-K7553</t>
  </si>
  <si>
    <t>ŚCIANKA PRYSZNICOWA AERO CHROM "N" 90</t>
  </si>
  <si>
    <t>REA-K8440</t>
  </si>
  <si>
    <t>ŚCIANKA PRYSZNICOWA AERO GOLD 100</t>
  </si>
  <si>
    <t>REA-K8441</t>
  </si>
  <si>
    <t>ŚCIANKA PRYSZNICOWA AERO GOLD 110</t>
  </si>
  <si>
    <t>REA-K8443</t>
  </si>
  <si>
    <t>ŚCIANKA PRYSZNICOWA AERO GOLD 120</t>
  </si>
  <si>
    <t>REA-K8439</t>
  </si>
  <si>
    <t>ŚCIANKA PRYSZNICOWA AERO GOLD 80</t>
  </si>
  <si>
    <t>REA-K8442</t>
  </si>
  <si>
    <t>ŚCIANKA PRYSZNICOWA AERO GOLD 90</t>
  </si>
  <si>
    <t>REA-K4701</t>
  </si>
  <si>
    <t>ŚCIANKA PRYSZNICOWA AERO GOLD BRUSH 100</t>
  </si>
  <si>
    <t>REA-K9840</t>
  </si>
  <si>
    <t>ŚCIANKA PRYSZNICOWA AERO GOLD BRUSH 110</t>
  </si>
  <si>
    <t>REA-K4702</t>
  </si>
  <si>
    <t>ŚCIANKA PRYSZNICOWA AERO GOLD BRUSH 120</t>
  </si>
  <si>
    <t>REA-K4700</t>
  </si>
  <si>
    <t>ŚCIANKA PRYSZNICOWA AERO GOLD BRUSH 90</t>
  </si>
  <si>
    <t>REA-K4121</t>
  </si>
  <si>
    <t>ŚCIANKA PRYSZNICOWA AERO INTIMO BLACK 100</t>
  </si>
  <si>
    <t>REA-K4122</t>
  </si>
  <si>
    <t>ŚCIANKA PRYSZNICOWA AERO INTIMO BLACK 120</t>
  </si>
  <si>
    <t>REA-K4123</t>
  </si>
  <si>
    <t>ŚCIANKA PRYSZNICOWA AERO INTIMO BLACK 90</t>
  </si>
  <si>
    <t>REA-K4126</t>
  </si>
  <si>
    <t>ŚCIANKA PRYSZNICOWA AERO INTIMO GOLD BRUSH 100</t>
  </si>
  <si>
    <t>REA-K4127</t>
  </si>
  <si>
    <t>ŚCIANKA PRYSZNICOWA AERO INTIMO GOLD BRUSH 120</t>
  </si>
  <si>
    <t>REA-K4124</t>
  </si>
  <si>
    <t>ŚCIANKA PRYSZNICOWA AERO INTIMO GOLD BRUSH 90</t>
  </si>
  <si>
    <t>REA-K2460</t>
  </si>
  <si>
    <t>ŚCIANKA PRYSZNICOWA AERO OMBRE BLACK/BLACK 100</t>
  </si>
  <si>
    <t>REA-K2461</t>
  </si>
  <si>
    <t>ŚCIANKA PRYSZNICOWA AERO OMBRE BLACK/BLACK 110</t>
  </si>
  <si>
    <t>REA-K2462</t>
  </si>
  <si>
    <t>ŚCIANKA PRYSZNICOWA AERO OMBRE BLACK/BLACK 120</t>
  </si>
  <si>
    <t>REA-K2459</t>
  </si>
  <si>
    <t>ŚCIANKA PRYSZNICOWA AERO OMBRE BLACK/BLACK 90</t>
  </si>
  <si>
    <t>REA-K2463</t>
  </si>
  <si>
    <t>ŚCIANKA PRYSZNICOWA AERO OMBRE GOLD BRUSH/WHITE 90</t>
  </si>
  <si>
    <t>REA-K7634</t>
  </si>
  <si>
    <t>ŚCIANKA PRYSZNICOWA BLER 100</t>
  </si>
  <si>
    <t>REA-K7630</t>
  </si>
  <si>
    <t>ŚCIANKA PRYSZNICOWA BLER 110</t>
  </si>
  <si>
    <t>REA-K7631</t>
  </si>
  <si>
    <t>ŚCIANKA PRYSZNICOWA BLER 120</t>
  </si>
  <si>
    <t>REA-K7636</t>
  </si>
  <si>
    <t>ŚCIANKA PRYSZNICOWA BLER 70</t>
  </si>
  <si>
    <t>REA-K7637</t>
  </si>
  <si>
    <t>ŚCIANKA PRYSZNICOWA BLER 80</t>
  </si>
  <si>
    <t>REA-K7638</t>
  </si>
  <si>
    <t>ŚCIANKA PRYSZNICOWA BLER 90</t>
  </si>
  <si>
    <t>REA-K7955</t>
  </si>
  <si>
    <t>ŚCIANKA PRYSZNICOWA BLER-1 100</t>
  </si>
  <si>
    <t>REA-K7956</t>
  </si>
  <si>
    <t>ŚCIANKA PRYSZNICOWA BLER-1 110</t>
  </si>
  <si>
    <t>REA-K7957</t>
  </si>
  <si>
    <t>ŚCIANKA PRYSZNICOWA BLER-1 120</t>
  </si>
  <si>
    <t>REA-K7952</t>
  </si>
  <si>
    <t>ŚCIANKA PRYSZNICOWA BLER-1 80</t>
  </si>
  <si>
    <t>REA-K7953</t>
  </si>
  <si>
    <t>ŚCIANKA PRYSZNICOWA BLER-1 90</t>
  </si>
  <si>
    <t>REA-K7740</t>
  </si>
  <si>
    <t>ŚCIANKA PRYSZNICOWA CORTIS BLACK 100</t>
  </si>
  <si>
    <t>REA-K8880</t>
  </si>
  <si>
    <t>ŚCIANKA PRYSZNICOWA CORTIS BLACK 120</t>
  </si>
  <si>
    <t>REA-K7210</t>
  </si>
  <si>
    <t>ŚCIANKA PRYSZNICOWA CORTIS CHROM 100</t>
  </si>
  <si>
    <t>REA-K7211</t>
  </si>
  <si>
    <t>ŚCIANKA PRYSZNICOWA CORTIS CHROM 120</t>
  </si>
  <si>
    <t>REA-K8484</t>
  </si>
  <si>
    <t>ŚCIANKA PRYSZNICOWA CORTIS GOLD 100</t>
  </si>
  <si>
    <t>REA-K8485</t>
  </si>
  <si>
    <t>ŚCIANKA PRYSZNICOWA CORTIS GOLD 120</t>
  </si>
  <si>
    <t>REA-K1903</t>
  </si>
  <si>
    <t>ŚCIANKA PRYSZNICOWA FLEXI 100</t>
  </si>
  <si>
    <t>REA-K1904</t>
  </si>
  <si>
    <t>ŚCIANKA PRYSZNICOWA FLEXI 110</t>
  </si>
  <si>
    <t>REA-K1905</t>
  </si>
  <si>
    <t>ŚCIANKA PRYSZNICOWA FLEXI 120</t>
  </si>
  <si>
    <t>REA-K1900</t>
  </si>
  <si>
    <t>ŚCIANKA PRYSZNICOWA FLEXI 70</t>
  </si>
  <si>
    <t>REA-K1901</t>
  </si>
  <si>
    <t>ŚCIANKA PRYSZNICOWA FLEXI 80</t>
  </si>
  <si>
    <t>REA-K1902</t>
  </si>
  <si>
    <t>ŚCIANKA PRYSZNICOWA FLEXI 90</t>
  </si>
  <si>
    <t>REA-K6607</t>
  </si>
  <si>
    <t>ŚCIANKA PRYSZNICOWA HUGO BLACK 80</t>
  </si>
  <si>
    <t>REA-K6611</t>
  </si>
  <si>
    <t>ŚCIANKA PRYSZNICOWA HUGO BLACK 90</t>
  </si>
  <si>
    <t>REA-K6612</t>
  </si>
  <si>
    <t>ŚCIANKA PRYSZNICOWA HUGO GOLD BRUSH 80</t>
  </si>
  <si>
    <t>REA-K6613</t>
  </si>
  <si>
    <t>ŚCIANKA PRYSZNICOWA HUGO GOLD BRUSH 90</t>
  </si>
  <si>
    <t>REA-K1763</t>
  </si>
  <si>
    <t>ŚCIANKA PRYSZNICOWA MOLIER 100 BLACK</t>
  </si>
  <si>
    <t>REA-K8536</t>
  </si>
  <si>
    <t>ŚCIANKA PRYSZNICOWA MOLIER 100 CHROM</t>
  </si>
  <si>
    <t>REA-K8412</t>
  </si>
  <si>
    <t>ŚCIANKA PRYSZNICOWA MOLIER BLACK 80</t>
  </si>
  <si>
    <t>REA-K8531</t>
  </si>
  <si>
    <t>ŚCIANKA PRYSZNICOWA MOLIER BLACK 90</t>
  </si>
  <si>
    <t>REA-K8534</t>
  </si>
  <si>
    <t>ŚCIANKA PRYSZNICOWA MOLIER CHROM 80</t>
  </si>
  <si>
    <t>REA-K8535</t>
  </si>
  <si>
    <t>ŚCIANKA PRYSZNICOWA MOLIER CHROM 90</t>
  </si>
  <si>
    <t>REA-K8751</t>
  </si>
  <si>
    <t>ŚCIANKA PRYSZNICOWA SLIDE PRO 80</t>
  </si>
  <si>
    <t>REA-K8752</t>
  </si>
  <si>
    <t>ŚCIANKA PRYSZNICOWA SLIDE PRO 90</t>
  </si>
  <si>
    <t>REA-K6423</t>
  </si>
  <si>
    <t>ŚCIANKA RAPID BLACK 100</t>
  </si>
  <si>
    <t>REA-K6421</t>
  </si>
  <si>
    <t>ŚCIANKA RAPID BLACK 80</t>
  </si>
  <si>
    <t>REA-K6422</t>
  </si>
  <si>
    <t>ŚCIANKA RAPID BLACK 90</t>
  </si>
  <si>
    <t>REA-K5610</t>
  </si>
  <si>
    <t>ŚCIANKA RAPID CHROM 100</t>
  </si>
  <si>
    <t>REA-K5608</t>
  </si>
  <si>
    <t>ŚCIANKA RAPID CHROM 80</t>
  </si>
  <si>
    <t>REA-K5609</t>
  </si>
  <si>
    <t>ŚCIANKA RAPID CHROM 90</t>
  </si>
  <si>
    <t>REA-K5625</t>
  </si>
  <si>
    <t>ŚCIANKA RAPID GOLD 100</t>
  </si>
  <si>
    <t>REA-K5621</t>
  </si>
  <si>
    <t>ŚCIANKA RAPID GOLD 80</t>
  </si>
  <si>
    <t>REA-K5624</t>
  </si>
  <si>
    <t>ŚCIANKA RAPID GOLD 90</t>
  </si>
  <si>
    <t>REA-K4706</t>
  </si>
  <si>
    <t>ŚCIANKA RAPID GOLD BRUSH 100</t>
  </si>
  <si>
    <t>REA-K4704</t>
  </si>
  <si>
    <t>ŚCIANKA RAPID GOLD BRUSH 80</t>
  </si>
  <si>
    <t>REA-K4705</t>
  </si>
  <si>
    <t>ŚCIANKA RAPID GOLD BRUSH 90</t>
  </si>
  <si>
    <t>REA-P5982</t>
  </si>
  <si>
    <t>UCHWYT PRYSZNICOWY 01 CHROM</t>
  </si>
  <si>
    <t>REA-P5983</t>
  </si>
  <si>
    <t>UCHWYT PRYSZNICOWY 01 CZARNY</t>
  </si>
  <si>
    <t>REA-P5981</t>
  </si>
  <si>
    <t>UCHWYT PRYSZNICOWY 01 ZŁOTY</t>
  </si>
  <si>
    <t>REA-P6500</t>
  </si>
  <si>
    <t>UCHWYT PRYSZNICOWY 01 ZŁOTY SZCZOTKOWANY</t>
  </si>
  <si>
    <t>REA-U9902</t>
  </si>
  <si>
    <t>UMYWALKA ADA - WOLNOSTOJĄCA</t>
  </si>
  <si>
    <t>REA-U6653</t>
  </si>
  <si>
    <t>UMYWALKA ADELA - PODBLATOWA</t>
  </si>
  <si>
    <t>REA-U9906</t>
  </si>
  <si>
    <t>UMYWALKA AGNES - WOLNOSTOJĄCA</t>
  </si>
  <si>
    <t>REA-U3309</t>
  </si>
  <si>
    <t>UMYWALKA AKOYA PEARL - NABLATOWA</t>
  </si>
  <si>
    <t>REA-U8601</t>
  </si>
  <si>
    <t>UMYWALKA ALISA - NABLATOWA</t>
  </si>
  <si>
    <t>REA-U6021</t>
  </si>
  <si>
    <t>UMYWALKA ALISON 60 - NABLATOWA</t>
  </si>
  <si>
    <t>REA-U0600</t>
  </si>
  <si>
    <t>UMYWALKA ALMA - NABLATOWA</t>
  </si>
  <si>
    <t>REA-U0493</t>
  </si>
  <si>
    <t>UMYWALKA AMANDA 54 - NABLATOWA</t>
  </si>
  <si>
    <t>REA-U0414</t>
  </si>
  <si>
    <t>UMYWALKA AMBER 60 - WPUSZCZANA</t>
  </si>
  <si>
    <t>REA-U0416</t>
  </si>
  <si>
    <t>UMYWALKA AMELIA - NABLATOWA</t>
  </si>
  <si>
    <t>REA-U7411</t>
  </si>
  <si>
    <t>UMYWALKA AMELIA BLACK - NABLATOWA</t>
  </si>
  <si>
    <t>REA-U8000</t>
  </si>
  <si>
    <t>UMYWALKA AMELIA BLACK MARBLE SHINY - NABLATOWA</t>
  </si>
  <si>
    <t>REA-U8001</t>
  </si>
  <si>
    <t>UMYWALKA AMELIA MARMO SHINY - NABLATOWA</t>
  </si>
  <si>
    <t>REA-U3322</t>
  </si>
  <si>
    <t>UMYWALKA AMELIA MINI - NABLATOWA</t>
  </si>
  <si>
    <t>REA-U9107</t>
  </si>
  <si>
    <t>UMYWALKA AMELIA MINI AIAX SHINY - NABLATOWA</t>
  </si>
  <si>
    <t>REA-U9109</t>
  </si>
  <si>
    <t>UMYWALKA AMELIA MINI STONE MATT - NABLATOWA</t>
  </si>
  <si>
    <t>REA-U6593</t>
  </si>
  <si>
    <t>UMYWALKA AMELIA TERAZZO - NABLATOWA</t>
  </si>
  <si>
    <t>REA-U5060</t>
  </si>
  <si>
    <t>UMYWALKA AMELIA WOOD MATT - NABLATOWA</t>
  </si>
  <si>
    <t>REA-U0878</t>
  </si>
  <si>
    <t>UMYWALKA AMY 60 - WPUSZCZANA</t>
  </si>
  <si>
    <t>REA-U6333</t>
  </si>
  <si>
    <t>UMYWALKA ANDREA - NABLATOWA</t>
  </si>
  <si>
    <t>REA-U9634</t>
  </si>
  <si>
    <t>UMYWALKA ANGELA WHITE - NABLATOWA</t>
  </si>
  <si>
    <t>REA-U9635</t>
  </si>
  <si>
    <t>UMYWALKA ANGELA WHITE/BLACK - NABLATOWA</t>
  </si>
  <si>
    <t>REA-U4121</t>
  </si>
  <si>
    <t>UMYWALKA ANGIE - NABLATOWA</t>
  </si>
  <si>
    <t>REA-U0669</t>
  </si>
  <si>
    <t>UMYWALKA ANITA - NABLATOWA</t>
  </si>
  <si>
    <t>REA-U0952</t>
  </si>
  <si>
    <t>UMYWALKA ANITA MINI - NABLATOWA</t>
  </si>
  <si>
    <t>REA-U6503</t>
  </si>
  <si>
    <t>UMYWALKA ANYA - WOLNOSTOJĄCA</t>
  </si>
  <si>
    <t>REA-U5802</t>
  </si>
  <si>
    <t>UMYWALKA ANYA GRANIT MATT - WOLNOSTOJĄCA</t>
  </si>
  <si>
    <t>REA-U5803</t>
  </si>
  <si>
    <t>UMYWALKA ANYA LAVA MATT - WOLNOSTOJĄCA</t>
  </si>
  <si>
    <t>REA-U4300</t>
  </si>
  <si>
    <t>UMYWALKA ARCHI 75 - NABLATOWA</t>
  </si>
  <si>
    <t>REA-U4303</t>
  </si>
  <si>
    <t>UMYWALKA ARCHI 75 GREY MATT - NABLATOWA</t>
  </si>
  <si>
    <t>REA-U4301</t>
  </si>
  <si>
    <t>UMYWALKA ARCHI 90 - NABLATOWA</t>
  </si>
  <si>
    <t>REA-U4304</t>
  </si>
  <si>
    <t>UMYWALKA ARCHI 90 GREY MATT - NABLATOWA</t>
  </si>
  <si>
    <t>REA-U5068</t>
  </si>
  <si>
    <t>UMYWALKA ARCTIC BLACK - NABLATOWA</t>
  </si>
  <si>
    <t>REA-U2360</t>
  </si>
  <si>
    <t>UMYWALKA ARENA L.GREY - NABLATOWA</t>
  </si>
  <si>
    <t>REA-U5637</t>
  </si>
  <si>
    <t>UMYWALKA ARIS - WOLNOSTOJĄCA</t>
  </si>
  <si>
    <t>REA-U6906</t>
  </si>
  <si>
    <t>UMYWALKA ARIS MARBLE - WOLNOSTOJĄCA</t>
  </si>
  <si>
    <t>REA-U8700</t>
  </si>
  <si>
    <t>UMYWALKA ARLETA - WPUSZCZANA</t>
  </si>
  <si>
    <t>REA-U0267</t>
  </si>
  <si>
    <t>UMYWALKA ARTE BLUE - NABLATOWA</t>
  </si>
  <si>
    <t>REA-U8002</t>
  </si>
  <si>
    <t>UMYWALKA ARTE D. GREY - NABLATOWA</t>
  </si>
  <si>
    <t>REA-U0266</t>
  </si>
  <si>
    <t>UMYWALKA ARTE GREY - NABLATOWA</t>
  </si>
  <si>
    <t>REA-U7506</t>
  </si>
  <si>
    <t>UMYWALKA ASANTI - NABLATOWA</t>
  </si>
  <si>
    <t>REA-U4663</t>
  </si>
  <si>
    <t>UMYWALKA ASHLEY - NABLATOWA</t>
  </si>
  <si>
    <t>REA-U6617</t>
  </si>
  <si>
    <t>UMYWALKA AURA 42 - NABLATOWA</t>
  </si>
  <si>
    <t>REA-U4620</t>
  </si>
  <si>
    <t>UMYWALKA AURA 51 - NABLATOWA</t>
  </si>
  <si>
    <t>REA-U7900</t>
  </si>
  <si>
    <t>UMYWALKA AURA 61 - NABLATOWA</t>
  </si>
  <si>
    <t>REA-U6381</t>
  </si>
  <si>
    <t>UMYWALKA AURA 61 BEIGE SHINY - NABLATOWA</t>
  </si>
  <si>
    <t>REA-U6900</t>
  </si>
  <si>
    <t>UMYWALKA AURA 61 BRUSH GOLD/WHITE - NABLATOWA</t>
  </si>
  <si>
    <t>REA-U4589</t>
  </si>
  <si>
    <t>UMYWALKA AURA 61 ECRU SHINY - NABLATOWA</t>
  </si>
  <si>
    <t>REA-U6618</t>
  </si>
  <si>
    <t>UMYWALKA AURA 61 L.BLUE SHINY - NABLATOWA</t>
  </si>
  <si>
    <t>REA-U8003</t>
  </si>
  <si>
    <t>UMYWALKA AURA 61 MARMO SHINY - NABLATOWA</t>
  </si>
  <si>
    <t>REA-U6623</t>
  </si>
  <si>
    <t>UMYWALKA AURA 61 SHINY AIAX - NABLATOWA</t>
  </si>
  <si>
    <t>REA-U2541</t>
  </si>
  <si>
    <t>UMYWALKA AURA 81 - NABLATOWA</t>
  </si>
  <si>
    <t>REA-U7901</t>
  </si>
  <si>
    <t>UMYWALKA AURA BLACK MATT - NABLATOWA</t>
  </si>
  <si>
    <t>REA-U0840</t>
  </si>
  <si>
    <t>UMYWALKA AVIA - NABLATOWA</t>
  </si>
  <si>
    <t>REA-U0843</t>
  </si>
  <si>
    <t>UMYWALKA AVIA BLACK MATT - NABLATOWA</t>
  </si>
  <si>
    <t>REA-U0841</t>
  </si>
  <si>
    <t>UMYWALKA AVIA GREY MATT - NABLATOWA</t>
  </si>
  <si>
    <t>REA-U0632</t>
  </si>
  <si>
    <t>UMYWALKA AVILA - NABLATOWA</t>
  </si>
  <si>
    <t>REA-U7501</t>
  </si>
  <si>
    <t>UMYWALKA AZTEC - NABLATOWA</t>
  </si>
  <si>
    <t>REA-U6521</t>
  </si>
  <si>
    <t>UMYWALKA BELINDA - NABLATOWA</t>
  </si>
  <si>
    <t>REA-U6596</t>
  </si>
  <si>
    <t>UMYWALKA BELINDA AIAX SHINY - NABLATOWA</t>
  </si>
  <si>
    <t>REA-U3324</t>
  </si>
  <si>
    <t>UMYWALKA BELINDA ASH - NABLATOWA</t>
  </si>
  <si>
    <t>REA-U8490</t>
  </si>
  <si>
    <t>UMYWALKA BELINDA BLACK - NABLATOWA</t>
  </si>
  <si>
    <t>REA-U8908</t>
  </si>
  <si>
    <t>UMYWALKA BELINDA BLACK MARBLE MATT - NABLATOWA</t>
  </si>
  <si>
    <t>REA-U8907</t>
  </si>
  <si>
    <t>UMYWALKA BELINDA BLACK MARBLE SHINY - NABLATOWA</t>
  </si>
  <si>
    <t>REA-U8470</t>
  </si>
  <si>
    <t>UMYWALKA BELINDA BLACK MATT - NABLATOWA</t>
  </si>
  <si>
    <t>REA-U9659</t>
  </si>
  <si>
    <t>UMYWALKA BELINDA BLACK MATT/GOLD EDGE - NABLATOWA</t>
  </si>
  <si>
    <t>REA-U6759</t>
  </si>
  <si>
    <t>UMYWALKA BELINDA BLACK/CALALA MATT - NABLATOWA</t>
  </si>
  <si>
    <t>REA-U8796</t>
  </si>
  <si>
    <t>UMYWALKA BELINDA BLACK/GOLD EDGE - NABLATOWA</t>
  </si>
  <si>
    <t>REA-U6332</t>
  </si>
  <si>
    <t>UMYWALKA BELINDA BLACK/WHITE - NABLATOWA</t>
  </si>
  <si>
    <t>REA-U6599</t>
  </si>
  <si>
    <t>UMYWALKA BELINDA CALALA SHINY - NABLATOWA</t>
  </si>
  <si>
    <t>REA-U6384</t>
  </si>
  <si>
    <t>UMYWALKA BELINDA COPPER BRUSH - NABLATOWA</t>
  </si>
  <si>
    <t>REA-U8471</t>
  </si>
  <si>
    <t>UMYWALKA BELINDA DIAMOND WHITE/GOLD - NABLATOWA</t>
  </si>
  <si>
    <t>REA-U8780</t>
  </si>
  <si>
    <t>UMYWALKA BELINDA GOLD BRUSH/BLACK - NABLATOWA</t>
  </si>
  <si>
    <t>REA-U7422</t>
  </si>
  <si>
    <t>UMYWALKA BELINDA GOLD BRUSH/WHITE- NABLATOWA</t>
  </si>
  <si>
    <t>REA-U8736</t>
  </si>
  <si>
    <t>UMYWALKA BELINDA GOLD EDGE - NABLATOWA</t>
  </si>
  <si>
    <t>REA-U8492</t>
  </si>
  <si>
    <t>UMYWALKA BELINDA GREY MATT - NABLATOWA</t>
  </si>
  <si>
    <t>REA-U8702</t>
  </si>
  <si>
    <t>UMYWALKA BELINDA MARBLE MATT - NABLATOWA</t>
  </si>
  <si>
    <t>REA-U5667</t>
  </si>
  <si>
    <t>UMYWALKA BELINDA MINI - NABLATOWA</t>
  </si>
  <si>
    <t>REA-U6505</t>
  </si>
  <si>
    <t>UMYWALKA BELINDA MINI AIAX SHINY - NABLATOWA</t>
  </si>
  <si>
    <t>REA-U8004</t>
  </si>
  <si>
    <t>UMYWALKA BELINDA MINI BLACK - NABLATOWA</t>
  </si>
  <si>
    <t>REA-U3321</t>
  </si>
  <si>
    <t>UMYWALKA BELINDA MINI STONE MATT - NABLATOWA</t>
  </si>
  <si>
    <t>REA-U9252</t>
  </si>
  <si>
    <t>UMYWALKA BELINDA SASH - NABLATOWA</t>
  </si>
  <si>
    <t>REA-U3323</t>
  </si>
  <si>
    <t>UMYWALKA BELINDA SAVANA - NABLATOWA</t>
  </si>
  <si>
    <t>REA-U6933</t>
  </si>
  <si>
    <t>UMYWALKA BELINDA TERAZZO - NABLATOWA</t>
  </si>
  <si>
    <t>REA-U8472</t>
  </si>
  <si>
    <t>UMYWALKA BELINDA WAVE WHITE/GOLD - NABLATOWA</t>
  </si>
  <si>
    <t>REA-U5051</t>
  </si>
  <si>
    <t>UMYWALKA BELINDA WOOD MATT -  NABLATOWA</t>
  </si>
  <si>
    <t>REA-U7503</t>
  </si>
  <si>
    <t>UMYWALKA BELLA - NABLATOWA</t>
  </si>
  <si>
    <t>REA-U0031</t>
  </si>
  <si>
    <t>REA-U7904</t>
  </si>
  <si>
    <t>UMYWALKA BELLA BLACK MATT - NABLATOWA</t>
  </si>
  <si>
    <t>REA-U5098</t>
  </si>
  <si>
    <t>UMYWALKA BERTA 48 - NABLATOWA</t>
  </si>
  <si>
    <t>REA-U5055</t>
  </si>
  <si>
    <t>UMYWALKA BERTA 55 - NABLATOWA</t>
  </si>
  <si>
    <t>REA-U1057</t>
  </si>
  <si>
    <t>UMYWALKA BETTY - NABLATOWA</t>
  </si>
  <si>
    <t>REA-U5635</t>
  </si>
  <si>
    <t>UMYWALKA BLANKA - WOLNOSTOJĄCA</t>
  </si>
  <si>
    <t>REA-U6635</t>
  </si>
  <si>
    <t>UMYWALKA BLANKA BLACK - WOLNOSTOJĄCA</t>
  </si>
  <si>
    <t>REA-U8704</t>
  </si>
  <si>
    <t>UMYWALKA BLANKA MARBLE - WOLNOSTOJĄCA</t>
  </si>
  <si>
    <t>REA-U4664</t>
  </si>
  <si>
    <t>UMYWALKA BLANKA NATURAL MATT - WOLNOSTOJĄCA</t>
  </si>
  <si>
    <t>REA-U8701</t>
  </si>
  <si>
    <t>UMYWALKA BONITA - NABLATOWA/ŚCIENNA</t>
  </si>
  <si>
    <t>REA-U5521</t>
  </si>
  <si>
    <t>UMYWALKA BONITA GOLD - NABLATOWA/ŚCIENNA</t>
  </si>
  <si>
    <t>REA-U1897</t>
  </si>
  <si>
    <t>UMYWALKA BRENDA GREY MATT - NABLATOWA</t>
  </si>
  <si>
    <t>REA-U0362</t>
  </si>
  <si>
    <t>UMYWALKA CAMELIA LIGHT STONE - NABLATOWA</t>
  </si>
  <si>
    <t>REA-U0568</t>
  </si>
  <si>
    <t>UMYWALKA CARINA - NABLATOWA</t>
  </si>
  <si>
    <t>REA-U8198</t>
  </si>
  <si>
    <t>UMYWALKA CAROLA - NABLATOWA</t>
  </si>
  <si>
    <t>REA-U0421</t>
  </si>
  <si>
    <t>UMYWALKA CAROLA SLIM BLACK MATT- NABLATOWA</t>
  </si>
  <si>
    <t>REA-U4320</t>
  </si>
  <si>
    <t>UMYWALKA CAROLA SLIM ROSE/GOLD - NABLATOWA</t>
  </si>
  <si>
    <t>REA-U5400</t>
  </si>
  <si>
    <t>UMYWALKA CAROLA SLIM SILVER - NABLATOWA</t>
  </si>
  <si>
    <t>REA-U1952</t>
  </si>
  <si>
    <t>UMYWALKA CELIA - NABLATOWA</t>
  </si>
  <si>
    <t>REA-U6960</t>
  </si>
  <si>
    <t>UMYWALKA CHARLOTTE - NABLATOWA</t>
  </si>
  <si>
    <t>REA-U8610</t>
  </si>
  <si>
    <t>UMYWALKA CHIC  - NABLATOWA</t>
  </si>
  <si>
    <t>REA-U8600</t>
  </si>
  <si>
    <t>UMYWALKA CHIC BLACK - NABLATOWA</t>
  </si>
  <si>
    <t>REA-U0155</t>
  </si>
  <si>
    <t>UMYWALKA CINDY - NABLATOWA</t>
  </si>
  <si>
    <t>REA-U0631</t>
  </si>
  <si>
    <t>UMYWALKA CLARA</t>
  </si>
  <si>
    <t>REA-U6644</t>
  </si>
  <si>
    <t>UMYWALKA CLAUDIA - NABLATOWA</t>
  </si>
  <si>
    <t>REA-U0024</t>
  </si>
  <si>
    <t>UMYWALKA CLEO 61 - NABLATOWA</t>
  </si>
  <si>
    <t>REA-U9656</t>
  </si>
  <si>
    <t>UMYWALKA CLEO 61 AIAX SHINY - NABLATOWA</t>
  </si>
  <si>
    <t>REA-U9655</t>
  </si>
  <si>
    <t>UMYWALKA CLEO 61 BEIGE MATT - NABLATOWA</t>
  </si>
  <si>
    <t>REA-U6757</t>
  </si>
  <si>
    <t>UMYWALKA CLEO 61 BLACK - NABLATOWA</t>
  </si>
  <si>
    <t>REA-U6210</t>
  </si>
  <si>
    <t>UMYWALKA CLEO 61 BLACK EDGE - NABLATOWA</t>
  </si>
  <si>
    <t>REA-U0035</t>
  </si>
  <si>
    <t>UMYWALKA CLEO 61 BLACK MATT - NABLATOWA</t>
  </si>
  <si>
    <t>REA-U6625</t>
  </si>
  <si>
    <t>UMYWALKA CLEO 61 BLACK/AIAX MATT - NABLATOWA</t>
  </si>
  <si>
    <t>REA-U6383</t>
  </si>
  <si>
    <t>UMYWALKA CLEO 61 COPPER BRUSH/BLACK - NABLATOWA</t>
  </si>
  <si>
    <t>REA-U6211</t>
  </si>
  <si>
    <t>UMYWALKA CLEO 61 GOLD EDGE - NABLATOWA</t>
  </si>
  <si>
    <t>REA-U9653</t>
  </si>
  <si>
    <t>UMYWALKA CLEO 61 WHITE MATT - NABLATOWA</t>
  </si>
  <si>
    <t>REA-U6215</t>
  </si>
  <si>
    <t>UMYWALKA CLEO 71 - NABLATOWA</t>
  </si>
  <si>
    <t>REA-U0563</t>
  </si>
  <si>
    <t>UMYWALKA CLEO 81 - NABLATOWA</t>
  </si>
  <si>
    <t>REA-U8404</t>
  </si>
  <si>
    <t>UMYWALKA CLEO 81 AIAX SHINY - NABLATOWA</t>
  </si>
  <si>
    <t>REA-U8403</t>
  </si>
  <si>
    <t>UMYWALKA CLEO 81 MARMO SHINY - NABLATOWA</t>
  </si>
  <si>
    <t>REA-U0443</t>
  </si>
  <si>
    <t>UMYWALKA CORAL - NABLATOWA</t>
  </si>
  <si>
    <t>REA-U9615</t>
  </si>
  <si>
    <t>UMYWALKA CRISTAL 35 GREY - NABLATOWA</t>
  </si>
  <si>
    <t>REA-U8880</t>
  </si>
  <si>
    <t>UMYWALKA CRISTAL 39 GREY - NABLATOWA</t>
  </si>
  <si>
    <t>REA-U0277</t>
  </si>
  <si>
    <t>REA-U8881</t>
  </si>
  <si>
    <t>UMYWALKA CRISTAL 39 TRANS GOLD BRUSH RING - NABLAT</t>
  </si>
  <si>
    <t>REA-U0284</t>
  </si>
  <si>
    <t>UMYWALKA CRISTAL 39 TRANSPARENT - NABLATOWA</t>
  </si>
  <si>
    <t>REA-U9671</t>
  </si>
  <si>
    <t>UMYWALKA CRISTAL BLACK - NABLATOWA</t>
  </si>
  <si>
    <t>REA-U9670</t>
  </si>
  <si>
    <t>UMYWALKA CRISTAL TRANSPARENT - NABLATOWA</t>
  </si>
  <si>
    <t>REA-U0786</t>
  </si>
  <si>
    <t>UMYWALKA DAFNE 60 - WPUSZCZANA</t>
  </si>
  <si>
    <t>REA-U0190</t>
  </si>
  <si>
    <t>UMYWALKA DAFNE 70 - WPUSZCZANA</t>
  </si>
  <si>
    <t>REA-U0040</t>
  </si>
  <si>
    <t>UMYWALKA DAFNE 75 - WPUSZCZANA</t>
  </si>
  <si>
    <t>REA-U0875</t>
  </si>
  <si>
    <t>UMYWALKA DAISY - NABLATOWA/WPUSZCZANA</t>
  </si>
  <si>
    <t>REA-U4122</t>
  </si>
  <si>
    <t>UMYWALKA DALIA - WPUSZCZANA</t>
  </si>
  <si>
    <t>REA-U9900</t>
  </si>
  <si>
    <t>UMYWALKA DARIA - WOLNOSTOJĄCA</t>
  </si>
  <si>
    <t>REA-U6678</t>
  </si>
  <si>
    <t>UMYWALKA DARIA MARBLE - WOLNOSTOJĄCA</t>
  </si>
  <si>
    <t>REA-U0601</t>
  </si>
  <si>
    <t>UMYWALKA DELIA - NABLATOWA</t>
  </si>
  <si>
    <t>REA-U0274</t>
  </si>
  <si>
    <t>UMYWALKA DELLA - NABLATOWA</t>
  </si>
  <si>
    <t>REA-U1953</t>
  </si>
  <si>
    <t>UMYWALKA DEMI - NABLATOWA</t>
  </si>
  <si>
    <t>REA-U4100</t>
  </si>
  <si>
    <t>UMYWALKA DEMI AIAX SHINY - NABLATOWA</t>
  </si>
  <si>
    <t>REA-U5064</t>
  </si>
  <si>
    <t>UMYWALKA DEMI MINI - NABLATOWA</t>
  </si>
  <si>
    <t>REA-U5065</t>
  </si>
  <si>
    <t>UMYWALKA DEMI MINI AIAX SHINY - NABLATOWA</t>
  </si>
  <si>
    <t>REA-U4800</t>
  </si>
  <si>
    <t>UMYWALKA DENIS - NABLATOWA</t>
  </si>
  <si>
    <t>REA-U6513</t>
  </si>
  <si>
    <t>UMYWALKA DENIS BLACK EDGE - NABLATOWA</t>
  </si>
  <si>
    <t>REA-U3690</t>
  </si>
  <si>
    <t>UMYWALKA DENIS BLACK MATT - NABLATOWA</t>
  </si>
  <si>
    <t>REA-U6510</t>
  </si>
  <si>
    <t>UMYWALKA DENIS BLACK STONE MATT - NABLATOWA</t>
  </si>
  <si>
    <t>REA-U5896</t>
  </si>
  <si>
    <t>UMYWALKA DENIS MARMO SHINY - NABLATOWA</t>
  </si>
  <si>
    <t>REA-U6654</t>
  </si>
  <si>
    <t>UMYWALKA DIANA - PODBLATOWA</t>
  </si>
  <si>
    <t>REA-U4302</t>
  </si>
  <si>
    <t>UMYWALKA DOLCE - WOLNOSTOJĄCA</t>
  </si>
  <si>
    <t>REA-U0060</t>
  </si>
  <si>
    <t>UMYWALKA DONNA - WPUSZCZANA</t>
  </si>
  <si>
    <t>REA-U5066</t>
  </si>
  <si>
    <t>UMYWALKA DORA STONE - NABLATOWA</t>
  </si>
  <si>
    <t>REA-U8602</t>
  </si>
  <si>
    <t>UMYWALKA DORIS - NABLATOWA</t>
  </si>
  <si>
    <t>REA-U7913</t>
  </si>
  <si>
    <t>UMYWALKA DORISA BLACK - NABLATOWA</t>
  </si>
  <si>
    <t>REA-U6523</t>
  </si>
  <si>
    <t>UMYWALKA ECHO - NABLATOWA</t>
  </si>
  <si>
    <t>REA-U0798</t>
  </si>
  <si>
    <t>UMYWALKA ELENA - NABLATOWA</t>
  </si>
  <si>
    <t>REA-U7910</t>
  </si>
  <si>
    <t>UMYWALKA ELENA BLACK MATT - NABLATOWA</t>
  </si>
  <si>
    <t>REA-U7911</t>
  </si>
  <si>
    <t>UMYWALKA ELENA WHITE MATT - NABLATOWA</t>
  </si>
  <si>
    <t>REA-U6658</t>
  </si>
  <si>
    <t>UMYWALKA ELITA - NABLATOWA</t>
  </si>
  <si>
    <t>REA-U8493</t>
  </si>
  <si>
    <t>UMYWALKA ELMA - NABLATOWA</t>
  </si>
  <si>
    <t>REA-U8494</t>
  </si>
  <si>
    <t>UMYWALKA ELMA BLACK MATT - NABLATOWA</t>
  </si>
  <si>
    <t>REA-U8495</t>
  </si>
  <si>
    <t>UMYWALKA ELMA GREY MATT - NABLATOWA</t>
  </si>
  <si>
    <t>REA-U6642</t>
  </si>
  <si>
    <t>UMYWALKA EMILIA 9167- NABLATOWA</t>
  </si>
  <si>
    <t>REA-U0602</t>
  </si>
  <si>
    <t>UMYWALKA ERICA - NABLATOWA</t>
  </si>
  <si>
    <t>REA-U0756</t>
  </si>
  <si>
    <t>UMYWALKA ESTERA - WOLNOSTOJĄCA</t>
  </si>
  <si>
    <t>REA-U7500</t>
  </si>
  <si>
    <t>UMYWALKA ETNO - NABLATOWA</t>
  </si>
  <si>
    <t>REA-U7504</t>
  </si>
  <si>
    <t>UMYWALKA FELICIA - NABLATOWA</t>
  </si>
  <si>
    <t>REA-U3301</t>
  </si>
  <si>
    <t>UMYWALKA FIBO BLACK MATT - NABLATOWA</t>
  </si>
  <si>
    <t>REA-U6621</t>
  </si>
  <si>
    <t>UMYWALKA FIORELLA - NABLATOWA</t>
  </si>
  <si>
    <t>REA-U6520</t>
  </si>
  <si>
    <t>UMYWALKA FIORI - NABLATOWA</t>
  </si>
  <si>
    <t>REA-U4662</t>
  </si>
  <si>
    <t>UMYWALKA FLORA - NABLATOWA</t>
  </si>
  <si>
    <t>REA-U0027</t>
  </si>
  <si>
    <t>UMYWALKA FLORIA - NABLATOWA</t>
  </si>
  <si>
    <t>REA-U3308</t>
  </si>
  <si>
    <t>UMYWALKA FLORISA - NABLATOWA</t>
  </si>
  <si>
    <t>REA-U3307</t>
  </si>
  <si>
    <t>UMYWALKA FLORISA BLACK MATT - NABLATOWA</t>
  </si>
  <si>
    <t>REA-U0604</t>
  </si>
  <si>
    <t>UMYWALKA FONDA - NABLATOWA</t>
  </si>
  <si>
    <t>REA-U6616</t>
  </si>
  <si>
    <t>UMYWALKA FREJA - NABLATOWA</t>
  </si>
  <si>
    <t>REA-U6647</t>
  </si>
  <si>
    <t>UMYWALKA FREJA BEIGE - NABLATOWA</t>
  </si>
  <si>
    <t>REA-U5678</t>
  </si>
  <si>
    <t>UMYWALKA FREJA BIANCO - NABLATOWA</t>
  </si>
  <si>
    <t>REA-U6648</t>
  </si>
  <si>
    <t>UMYWALKA FREJA GREY - NABLATOWA</t>
  </si>
  <si>
    <t>Rea-u9154</t>
  </si>
  <si>
    <t>UMYWALKA FREJA IVORY - NABLATOWA</t>
  </si>
  <si>
    <t>REA-U5071</t>
  </si>
  <si>
    <t>UMYWALKA FROST BLACK - NABLATOWA</t>
  </si>
  <si>
    <t>REA-U0676</t>
  </si>
  <si>
    <t>UMYWALKA GINA 50 - NABLATOWA</t>
  </si>
  <si>
    <t>REA-U0677</t>
  </si>
  <si>
    <t>UMYWALKA GINA 60 - NABLATOWA</t>
  </si>
  <si>
    <t>REA-U9604</t>
  </si>
  <si>
    <t>UMYWALKA GIZEL 50 - NABLATOWA</t>
  </si>
  <si>
    <t>REA-U9612</t>
  </si>
  <si>
    <t>UMYWALKA GIZEL 50 D.GREY MAT - NABLATOWA</t>
  </si>
  <si>
    <t>REA-U9605</t>
  </si>
  <si>
    <t>UMYWALKA GIZEL 60 - NABLATOWA</t>
  </si>
  <si>
    <t>REA-U8536</t>
  </si>
  <si>
    <t>UMYWALKA GRETA 55 - NABLATOWA</t>
  </si>
  <si>
    <t>REA-U8537</t>
  </si>
  <si>
    <t>UMYWALKA GRETA 65 - NABLATOWA</t>
  </si>
  <si>
    <t>REA-U6501</t>
  </si>
  <si>
    <t>UMYWALKA GRETA 65 BIANCO SHINY - NABLATOWA</t>
  </si>
  <si>
    <t>REA-U6500</t>
  </si>
  <si>
    <t>UMYWALKA GRETA 65 THUNDER SHINY - NABLATOWA</t>
  </si>
  <si>
    <t>REA-U1500</t>
  </si>
  <si>
    <t>UMYWALKA GRETA 75 - NABLATOWA</t>
  </si>
  <si>
    <t>REA-U1951</t>
  </si>
  <si>
    <t>UMYWALKA HANA SLIM - NABLATOWA</t>
  </si>
  <si>
    <t>REA-U6978</t>
  </si>
  <si>
    <t>UMYWALKA HELEN - NABLATOWA</t>
  </si>
  <si>
    <t>REA-U8005</t>
  </si>
  <si>
    <t>UMYWALKA HOLLY - WOLNOSTOJĄCA</t>
  </si>
  <si>
    <t>REA-U4120</t>
  </si>
  <si>
    <t>UMYWALKA HOPE - WOLNOSTOJĄCA</t>
  </si>
  <si>
    <t>REA-U6660</t>
  </si>
  <si>
    <t>UMYWALKA ICE BLACK - NABLATOWA</t>
  </si>
  <si>
    <t>REA-U5070</t>
  </si>
  <si>
    <t>UMYWALKA ICE TRANSPARENT - NABLATOWA</t>
  </si>
  <si>
    <t>REA-U7400</t>
  </si>
  <si>
    <t>UMYWALKA IDA - NABLATOWA</t>
  </si>
  <si>
    <t>REA-U7401</t>
  </si>
  <si>
    <t>UMYWALKA IDA ROSE GOLD - NABLATOWA</t>
  </si>
  <si>
    <t>REA-U1003</t>
  </si>
  <si>
    <t>UMYWALKA IMPERO 2N - NABLATOWA</t>
  </si>
  <si>
    <t>REA-U1004</t>
  </si>
  <si>
    <t>UMYWALKA IMPERO N - NABLATOWA</t>
  </si>
  <si>
    <t>REA-U3401</t>
  </si>
  <si>
    <t>UMYWALKA INFINITY BLACK - NABLATOWA</t>
  </si>
  <si>
    <t>REA-U3402</t>
  </si>
  <si>
    <t>UMYWALKA INFINITY GOLD/BLACK - NABLATOWA</t>
  </si>
  <si>
    <t>REA-U3400</t>
  </si>
  <si>
    <t>UMYWALKA INFINITY GOLD/WHITE - NABLATOWA</t>
  </si>
  <si>
    <t>REA-U1022</t>
  </si>
  <si>
    <t>UMYWALKA INGA - NABLATOWA</t>
  </si>
  <si>
    <t>REA-U8006</t>
  </si>
  <si>
    <t>UMYWALKA INGA BLACK MARBLE MATT- NABLATOWA</t>
  </si>
  <si>
    <t>REA-U6800</t>
  </si>
  <si>
    <t>UMYWALKA INGRID BLACK - NABLATOWA</t>
  </si>
  <si>
    <t>REA-U0279</t>
  </si>
  <si>
    <t>UMYWALKA INGRID GREY - NABLATOWA</t>
  </si>
  <si>
    <t>REA-U0278</t>
  </si>
  <si>
    <t>UMYWALKA INGRID TRANSPARENT - NABLATOWA</t>
  </si>
  <si>
    <t>REA-U4305</t>
  </si>
  <si>
    <t>UMYWALKA IRIS 71 - NABLATOWA</t>
  </si>
  <si>
    <t>REA-U4306</t>
  </si>
  <si>
    <t>UMYWALKA IRIS 71 GREY MATT - NABLATOWA</t>
  </si>
  <si>
    <t>REA-U3624</t>
  </si>
  <si>
    <t>UMYWALKA JASPER - NABLATOWA ŚCIENNA</t>
  </si>
  <si>
    <t>REA-U9652</t>
  </si>
  <si>
    <t>UMYWALKA JENNY - NABLATOWA</t>
  </si>
  <si>
    <t>REA-U0273</t>
  </si>
  <si>
    <t>UMYWALKA JODI - NABLATOWA</t>
  </si>
  <si>
    <t>REA-U8606</t>
  </si>
  <si>
    <t>UMYWALKA JOVITA - NABLATOWA</t>
  </si>
  <si>
    <t>REA-U6984</t>
  </si>
  <si>
    <t>UMYWALKA KAMA - NABLATOWA</t>
  </si>
  <si>
    <t>REA-U5633</t>
  </si>
  <si>
    <t>UMYWALKA KAMILA - WOLNOSTOJĄCA</t>
  </si>
  <si>
    <t>REA-U5644</t>
  </si>
  <si>
    <t>UMYWALKA KAMILA BLACK - WOLNOSTOJĄCA</t>
  </si>
  <si>
    <t>REA-U6803</t>
  </si>
  <si>
    <t>UMYWALKA KATE 36 - NABLATOWA</t>
  </si>
  <si>
    <t>REA-U6802</t>
  </si>
  <si>
    <t>UMYWALKA KATE 45 - NABLATOWA</t>
  </si>
  <si>
    <t>REA-U6801</t>
  </si>
  <si>
    <t>UMYWALKA KATE 56 - NABLATOWA</t>
  </si>
  <si>
    <t>REA-U0732</t>
  </si>
  <si>
    <t>UMYWALKA KAYA - NABLATOWA</t>
  </si>
  <si>
    <t>REA-U9619</t>
  </si>
  <si>
    <t>UMYWALKA KAYA BLACK MATT - NABLATOWA</t>
  </si>
  <si>
    <t>REA-U5656</t>
  </si>
  <si>
    <t>UMYWALKA KAYA NAVY BLUE MATT - NABLATOWA</t>
  </si>
  <si>
    <t>REA-U6524</t>
  </si>
  <si>
    <t>UMYWALKA KELLY - NABLATOWA</t>
  </si>
  <si>
    <t>REA-U5052</t>
  </si>
  <si>
    <t>UMYWALKA KELLY MARMO - NABLATOWA</t>
  </si>
  <si>
    <t>REA-U8196</t>
  </si>
  <si>
    <t>UMYWALKA KELLY MINI - NABLATOWA</t>
  </si>
  <si>
    <t>REA-U6504</t>
  </si>
  <si>
    <t>UMYWALKA KELLY MINI AIAX SHINY - NABLATOWA</t>
  </si>
  <si>
    <t>REA-U6680</t>
  </si>
  <si>
    <t>UMYWALKA KIM 1316 - NABLATOWA</t>
  </si>
  <si>
    <t>REA-U6032</t>
  </si>
  <si>
    <t>UMYWALKA KIOTO - NABLATOWA</t>
  </si>
  <si>
    <t>REA-U8903</t>
  </si>
  <si>
    <t>UMYWALKA KONGLOMERATOWA GOYA 100</t>
  </si>
  <si>
    <t>REA-U8666</t>
  </si>
  <si>
    <t>UMYWALKA KONGLOMERATOWA GOYA 100 BLACK</t>
  </si>
  <si>
    <t>REA-U8900</t>
  </si>
  <si>
    <t>UMYWALKA KONGLOMERATOWA GOYA 50</t>
  </si>
  <si>
    <t>REA-U8778</t>
  </si>
  <si>
    <t>UMYWALKA KONGLOMERATOWA GOYA 50 BLACK</t>
  </si>
  <si>
    <t>REA-U8901</t>
  </si>
  <si>
    <t>UMYWALKA KONGLOMERATOWA GOYA 60</t>
  </si>
  <si>
    <t>REA-U8779</t>
  </si>
  <si>
    <t>UMYWALKA KONGLOMERATOWA GOYA 60 BLACK</t>
  </si>
  <si>
    <t>REA-U8902</t>
  </si>
  <si>
    <t>UMYWALKA KONGLOMERATOWA GOYA 70</t>
  </si>
  <si>
    <t>REA-U8802</t>
  </si>
  <si>
    <t>UMYWALKA KONGLOMERATOWA GOYA 70 BLACK</t>
  </si>
  <si>
    <t>REA-U9887</t>
  </si>
  <si>
    <t>UMYWALKA LARA BEIGE MATT- NABLATOWA</t>
  </si>
  <si>
    <t>REA-U9889</t>
  </si>
  <si>
    <t>UMYWALKA LARA GREY MATT - NABLATOWA</t>
  </si>
  <si>
    <t>REA-U9888</t>
  </si>
  <si>
    <t>UMYWALKA LARA STONE MATT - NABLATOWA</t>
  </si>
  <si>
    <t>REA-U8197</t>
  </si>
  <si>
    <t>UMYWALKA LAURA SLIM - NABLATOWA</t>
  </si>
  <si>
    <t>REA-U6584</t>
  </si>
  <si>
    <t>UMYWALKA LAVI - NABLATOWA</t>
  </si>
  <si>
    <t>REA-U9108</t>
  </si>
  <si>
    <t>UMYWALKA LAYLA 50 - NABLATOWA</t>
  </si>
  <si>
    <t>REA-U0842</t>
  </si>
  <si>
    <t>UMYWALKA LEA - NABLATOWA</t>
  </si>
  <si>
    <t>REA-U0457</t>
  </si>
  <si>
    <t>UMYWALKA LILY - PODBLATOWA</t>
  </si>
  <si>
    <t>REA-U0462</t>
  </si>
  <si>
    <t>UMYWALKA LINDA - NABLATOWA</t>
  </si>
  <si>
    <t>REA-U8523</t>
  </si>
  <si>
    <t>UMYWALKA LINDA BLACK - NABLATOWA</t>
  </si>
  <si>
    <t>REA-U1021</t>
  </si>
  <si>
    <t>UMYWALKA LINDA GOLD/WHITE - NABLATOWA</t>
  </si>
  <si>
    <t>REA-U2514</t>
  </si>
  <si>
    <t>UMYWALKA LINDA GRANIT - NABLATOWA</t>
  </si>
  <si>
    <t>REA-U8567</t>
  </si>
  <si>
    <t>UMYWALKA LINDA GRANIT MATT - NABLATOWA</t>
  </si>
  <si>
    <t>REA-U8695</t>
  </si>
  <si>
    <t>UMYWALKA LINDA LAVA - NABLATOWA</t>
  </si>
  <si>
    <t>REA-U8568</t>
  </si>
  <si>
    <t>UMYWALKA LINDA LAVA MATT - NABLATOWA</t>
  </si>
  <si>
    <t>REA-U8856</t>
  </si>
  <si>
    <t>UMYWALKA LINDA MINI - NABLATOWA</t>
  </si>
  <si>
    <t>REA-U1135</t>
  </si>
  <si>
    <t>UMYWALKA LINDA SILVER/WHITE - NABLATOWA</t>
  </si>
  <si>
    <t>REA-U1020</t>
  </si>
  <si>
    <t>UMYWALKA LINDA STONE - NABLATOWA</t>
  </si>
  <si>
    <t>REA-U6022</t>
  </si>
  <si>
    <t>UMYWALKA LISA - NABLATOWA</t>
  </si>
  <si>
    <t>REA-U6380</t>
  </si>
  <si>
    <t>UMYWALKA LISA BEIGE SHINY - NABLATOWA</t>
  </si>
  <si>
    <t>REA-U4591</t>
  </si>
  <si>
    <t>UMYWALKA LISA ECRU SHINY - NABLATOWA</t>
  </si>
  <si>
    <t>REA-U6620</t>
  </si>
  <si>
    <t>UMYWALKA LISA L.BLUE SHINY - NABLATOWA</t>
  </si>
  <si>
    <t>REA-U3802</t>
  </si>
  <si>
    <t>UMYWALKA LIVIA BEIGE MATT - NABLATOWA</t>
  </si>
  <si>
    <t>REA-U3801</t>
  </si>
  <si>
    <t>UMYWALKA LIVIA GREY MATT - NABLATOWA</t>
  </si>
  <si>
    <t>REA-U3800</t>
  </si>
  <si>
    <t>UMYWALKA LIVIA STONE MATT - NABLATOWA</t>
  </si>
  <si>
    <t>REA-U6645</t>
  </si>
  <si>
    <t>UMYWALKA LUCIA - NABLATOWA</t>
  </si>
  <si>
    <t>REA-U0159</t>
  </si>
  <si>
    <t>UMYWALKA LUCY - NABLATOWA</t>
  </si>
  <si>
    <t>REA-U9602</t>
  </si>
  <si>
    <t>UMYWALKA LUIZA 42 - NABLATOWA</t>
  </si>
  <si>
    <t>REA-U9607</t>
  </si>
  <si>
    <t>UMYWALKA LUIZA 42 BEIGE MATT - NABLATOWA</t>
  </si>
  <si>
    <t>REA-U9606</t>
  </si>
  <si>
    <t>UMYWALKA LUIZA 42 BLACK MATT - NABLATOWA</t>
  </si>
  <si>
    <t>REA-U4561</t>
  </si>
  <si>
    <t>UMYWALKA LUIZA 42 GREEN MATT - NABLATOWA</t>
  </si>
  <si>
    <t>REA-U9610</t>
  </si>
  <si>
    <t>UMYWALKA LUIZA 42 GREY MATT - NABLATOWA</t>
  </si>
  <si>
    <t>REA-U9603</t>
  </si>
  <si>
    <t>UMYWALKA LUIZA 50 - NABLATOWA</t>
  </si>
  <si>
    <t>REA-U9609</t>
  </si>
  <si>
    <t>UMYWALKA LUIZA 50 BEIGE MATT - NABLATOWA</t>
  </si>
  <si>
    <t>REA-U9608</t>
  </si>
  <si>
    <t>UMYWALKA LUIZA 50 BLACK MATT - NABLATOWA</t>
  </si>
  <si>
    <t>REA-U4560</t>
  </si>
  <si>
    <t>UMYWALKA LUIZA 50 GREEN MATT - NABLATOWA</t>
  </si>
  <si>
    <t>REA-U5601</t>
  </si>
  <si>
    <t>UMYWALKA LUIZA 50 GREY MATT - NABLATOWA</t>
  </si>
  <si>
    <t>REA-U3306</t>
  </si>
  <si>
    <t>UMYWALKA LUNA BLACK/GOLD - NABLATOWA</t>
  </si>
  <si>
    <t>BEL-00001</t>
  </si>
  <si>
    <t>UMYWALKA LUXURY 60 - WPUSZCZANA</t>
  </si>
  <si>
    <t>REA-U0064</t>
  </si>
  <si>
    <t>UMYWALKA MAGARI - WPUSZCZANA</t>
  </si>
  <si>
    <t>REA-U3302</t>
  </si>
  <si>
    <t>UMYWALKA MALENA - NABLATOWA</t>
  </si>
  <si>
    <t>REA-U7502</t>
  </si>
  <si>
    <t>UMYWALKA MANDALA - NABLATOWA</t>
  </si>
  <si>
    <t>REA-U3326</t>
  </si>
  <si>
    <t>UMYWALKA MANDY</t>
  </si>
  <si>
    <t>REA-U8603</t>
  </si>
  <si>
    <t>UMYWALKA MARBEL - NABLATOWA</t>
  </si>
  <si>
    <t>REA-U8978</t>
  </si>
  <si>
    <t>UMYWALKA MARGOT BLACK/GOLD - NABLATOWA</t>
  </si>
  <si>
    <t>REA-U8709</t>
  </si>
  <si>
    <t>UMYWALKA MARGOT BLUE/GOLD - NABLATOWA</t>
  </si>
  <si>
    <t>REA-U8462</t>
  </si>
  <si>
    <t>UMYWALKA MARGOT GREEN GOLD  - NABLATOWA</t>
  </si>
  <si>
    <t>REA-U9650</t>
  </si>
  <si>
    <t>UMYWALKA MARGOT WHITE/GOLD - NABLATOWA</t>
  </si>
  <si>
    <t>REA-U9611</t>
  </si>
  <si>
    <t>UMYWALKA MARIKA - NABLATOWA</t>
  </si>
  <si>
    <t>REA-U3300</t>
  </si>
  <si>
    <t>UMYWALKA MARINA BLUE - NABLATOWA</t>
  </si>
  <si>
    <t>REA-U6646</t>
  </si>
  <si>
    <t>UMYWALKA MARTINA - NABLATOWA</t>
  </si>
  <si>
    <t>REA-U8496</t>
  </si>
  <si>
    <t>UMYWALKA MARTINA BLACK MATT - NABLATOWA</t>
  </si>
  <si>
    <t>REA-U8497</t>
  </si>
  <si>
    <t>UMYWALKA MARTINA GREY MATT - NABLATOWA</t>
  </si>
  <si>
    <t>REA-U0656</t>
  </si>
  <si>
    <t>UMYWALKA MELANIA - NABLATOWA</t>
  </si>
  <si>
    <t>REA-U0470</t>
  </si>
  <si>
    <t>UMYWALKA MELANIA BLACK - NABLATOWA</t>
  </si>
  <si>
    <t>REA-U0469</t>
  </si>
  <si>
    <t>UMYWALKA MELANIA BLACK/GOLD - NABLATOWA</t>
  </si>
  <si>
    <t>REA-U9001</t>
  </si>
  <si>
    <t>UMYWALKA MELANIA GOLD - NABLATOWA</t>
  </si>
  <si>
    <t>REA-U1050</t>
  </si>
  <si>
    <t>UMYWALKA MELANIA GOLD/WHITE - NABLATOWA</t>
  </si>
  <si>
    <t>REA-U0467</t>
  </si>
  <si>
    <t>UMYWALKA MELANIA GREEN/GOLD - NABLATOWA</t>
  </si>
  <si>
    <t>REA-U0423</t>
  </si>
  <si>
    <t>UMYWALKA MELANIA SILVER/SILVER - NABLATOWA</t>
  </si>
  <si>
    <t>REA-U0418</t>
  </si>
  <si>
    <t>UMYWALKA MELANIA SILVER/WHITE - NABLATOWA</t>
  </si>
  <si>
    <t>REA-U4660</t>
  </si>
  <si>
    <t>UMYWALKA MELISA - NABLATOWA</t>
  </si>
  <si>
    <t>REA-U0699</t>
  </si>
  <si>
    <t>UMYWALKA MERY - NABLATOWA</t>
  </si>
  <si>
    <t>REA-U5054</t>
  </si>
  <si>
    <t>UMYWALKA MERYL - NABLATOWA</t>
  </si>
  <si>
    <t>REA-U8811</t>
  </si>
  <si>
    <t>UMYWALKA MERYL BLACK - NABLATOWA</t>
  </si>
  <si>
    <t>REA-U6030</t>
  </si>
  <si>
    <t>UMYWALKA MEXICO - NABLATOWA</t>
  </si>
  <si>
    <t>REA-U7902</t>
  </si>
  <si>
    <t>UMYWALKA MEZO - NABLATOWA</t>
  </si>
  <si>
    <t>REA-U7915</t>
  </si>
  <si>
    <t>UMYWALKA MEZO BLACK - NABLATOWA</t>
  </si>
  <si>
    <t>REA-U7903</t>
  </si>
  <si>
    <t>UMYWALKA MEZO BLACK MATT - NABLATOWA</t>
  </si>
  <si>
    <t>REA-U5634</t>
  </si>
  <si>
    <t>UMYWALKA MIA - WOLNOSTOJĄCA</t>
  </si>
  <si>
    <t>REA-U6656</t>
  </si>
  <si>
    <t>UMYWALKA MIA BLACK - WOLNOSTOJĄCA</t>
  </si>
  <si>
    <t>REA-U1052</t>
  </si>
  <si>
    <t>UMYWALKA MILA 46 - PODBLATOWA</t>
  </si>
  <si>
    <t>REA-U0638</t>
  </si>
  <si>
    <t>UMYWALKA MOLLY - WOLNOSTOJĄCA</t>
  </si>
  <si>
    <t>REA-U6300</t>
  </si>
  <si>
    <t>UMYWALKA MONA - NABLATOWA</t>
  </si>
  <si>
    <t>REA-U6305</t>
  </si>
  <si>
    <t>REA-U0791</t>
  </si>
  <si>
    <t>UMYWALKA MONTE - WOLNOSTOJĄCA</t>
  </si>
  <si>
    <t>REA-U6563</t>
  </si>
  <si>
    <t>UMYWALKA NADIA 50 - NABLATOWA</t>
  </si>
  <si>
    <t>REA-U9240</t>
  </si>
  <si>
    <t>UMYWALKA NADIA 50 BLACK STONE - NABLATOWA</t>
  </si>
  <si>
    <t>REA-U9241</t>
  </si>
  <si>
    <t>UMYWALKA NADIA 50 KASHMIR - NABLATOWA</t>
  </si>
  <si>
    <t>REA-U1055</t>
  </si>
  <si>
    <t>UMYWALKA NADIA 60 - NABLATOWA</t>
  </si>
  <si>
    <t>REA-U6506</t>
  </si>
  <si>
    <t>UMYWALKA NADIA 60 AIAX SHINY - NABLATOWA</t>
  </si>
  <si>
    <t>REA-U9661</t>
  </si>
  <si>
    <t>UMYWALKA NADIA 60 BEIGE MATT - NABLATOWA</t>
  </si>
  <si>
    <t>REA-U0539</t>
  </si>
  <si>
    <t>UMYWALKA NADIA 60 BLACK MARBLE SHINY - NABLATOWA</t>
  </si>
  <si>
    <t>REA-U1062</t>
  </si>
  <si>
    <t>UMYWALKA NADIA 60 BLACK MATT - NABLATOWA</t>
  </si>
  <si>
    <t>REA-U8781</t>
  </si>
  <si>
    <t>UMYWALKA NADIA 60 BLACK MATT/WHITE - NABLATOWA</t>
  </si>
  <si>
    <t>REA-U8565</t>
  </si>
  <si>
    <t>UMYWALKA NADIA 60 BLACK STONE MATT - NABLATOWA</t>
  </si>
  <si>
    <t>REA-U1063</t>
  </si>
  <si>
    <t>UMYWALKA NADIA 60 GOLD EDGE - NABLATOWA</t>
  </si>
  <si>
    <t>REA-U5800</t>
  </si>
  <si>
    <t>UMYWALKA NADIA 60 SAND - NABLATOWA</t>
  </si>
  <si>
    <t>REA-U9657</t>
  </si>
  <si>
    <t>UMYWALKA NADIA 60 WHITE MATT - NABLATOWA</t>
  </si>
  <si>
    <t>REA-U5801</t>
  </si>
  <si>
    <t>UMYWALKA NADIA 70 - NABLATOWA</t>
  </si>
  <si>
    <t>REA-U0630</t>
  </si>
  <si>
    <t>UMYWALKA NAOMI - NABLATOWA</t>
  </si>
  <si>
    <t>REA-U6330</t>
  </si>
  <si>
    <t>UMYWALKA NEL - PODBLATOWA</t>
  </si>
  <si>
    <t>REA-U1023</t>
  </si>
  <si>
    <t>UMYWALKA NEL BLACK - PODBLATOWA</t>
  </si>
  <si>
    <t>REA-U6331</t>
  </si>
  <si>
    <t>UMYWALKA NEL GOLD - PODBLATOWA</t>
  </si>
  <si>
    <t>REA-U0819</t>
  </si>
  <si>
    <t>UMYWALKA NICOLA - NABLATOWA</t>
  </si>
  <si>
    <t>REA-U1060</t>
  </si>
  <si>
    <t>UMYWALKA OLGA - NABLATOWA</t>
  </si>
  <si>
    <t>REA-U5692</t>
  </si>
  <si>
    <t>UMYWALKA OLGA TERAZZO - NABLATOWA</t>
  </si>
  <si>
    <t>REA-U4603</t>
  </si>
  <si>
    <t>UMYWALKA PAMELA - NABLATOWA</t>
  </si>
  <si>
    <t>REA-U9685</t>
  </si>
  <si>
    <t>UMYWALKA PAMELA AIAX SHINY - NABLATOWA</t>
  </si>
  <si>
    <t>REA-U5067</t>
  </si>
  <si>
    <t>UMYWALKA PAMELA BLACK MARBLE SHINY - NABLATOWA</t>
  </si>
  <si>
    <t>REA-U6345</t>
  </si>
  <si>
    <t>UMYWALKA PAMELA GOLD/WHITE - NABLATOWA</t>
  </si>
  <si>
    <t>REA-U5804</t>
  </si>
  <si>
    <t>UMYWALKA PAMELA MINI - NABLATOWA</t>
  </si>
  <si>
    <t>REA-U8501</t>
  </si>
  <si>
    <t>UMYWALKA PARIS BLACK MATT - NABLATOWA</t>
  </si>
  <si>
    <t>REA-U8500</t>
  </si>
  <si>
    <t>UMYWALKA PARIS GOLD - NABLATOWA</t>
  </si>
  <si>
    <t>REA-U8499</t>
  </si>
  <si>
    <t>UMYWALKA PARIS SILVER - NABLATOWA</t>
  </si>
  <si>
    <t>REA-U8544</t>
  </si>
  <si>
    <t>UMYWALKA PARIS WHITE - NABLATOWA</t>
  </si>
  <si>
    <t>REA-U0265</t>
  </si>
  <si>
    <t>UMYWALKA PEARL - NABLATOWA</t>
  </si>
  <si>
    <t>REA-U0692</t>
  </si>
  <si>
    <t>UMYWALKA PEARL BLACK MATT/GOLD EDGE - NABLATOWA</t>
  </si>
  <si>
    <t>REA-U0858</t>
  </si>
  <si>
    <t>UMYWALKA PEARL BLACK SHINY - NABLATOWA</t>
  </si>
  <si>
    <t>REA-U0696</t>
  </si>
  <si>
    <t>UMYWALKA PEARL GOLD EDGE - NABLATOWA</t>
  </si>
  <si>
    <t>REA-U0857</t>
  </si>
  <si>
    <t>UMYWALKA PEARL GRANIT - NABLATOWA</t>
  </si>
  <si>
    <t>REA-U6031</t>
  </si>
  <si>
    <t>UMYWALKA PERU - NABLATOWA</t>
  </si>
  <si>
    <t>REA-U0844</t>
  </si>
  <si>
    <t>UMYWALKA POLA - NABLATOWA</t>
  </si>
  <si>
    <t>REA-U1223</t>
  </si>
  <si>
    <t>UMYWALKA QUEEN - NABLATOWA</t>
  </si>
  <si>
    <t>REA-U1232</t>
  </si>
  <si>
    <t>UMYWALKA QUEEN CARRARA SHINY - NABLATOWA</t>
  </si>
  <si>
    <t>REA-U4101</t>
  </si>
  <si>
    <t>UMYWALKA QUEEN THUNDER SHINY - NABLATOWA</t>
  </si>
  <si>
    <t>REA-U0654</t>
  </si>
  <si>
    <t>UMYWALKA REA 7701B  CAMILA</t>
  </si>
  <si>
    <t>REA-U6961</t>
  </si>
  <si>
    <t>UMYWALKA REMI - NABLATOWA</t>
  </si>
  <si>
    <t>REA-U9600</t>
  </si>
  <si>
    <t>UMYWALKA RICH BLACK GOLD - NABLATOWA</t>
  </si>
  <si>
    <t>REA-U9901</t>
  </si>
  <si>
    <t>UMYWALKA RITA - WOLNOSTOJĄCA</t>
  </si>
  <si>
    <t>REA-U6962</t>
  </si>
  <si>
    <t>UMYWALKA RIVER - WOLNOSTOJĄCA</t>
  </si>
  <si>
    <t>REA-U7905</t>
  </si>
  <si>
    <t>UMYWALKA ROCK - NABLATOWA</t>
  </si>
  <si>
    <t>REA-U5600</t>
  </si>
  <si>
    <t>UMYWALKA ROMA - NABLATOWA</t>
  </si>
  <si>
    <t>REA-U5609</t>
  </si>
  <si>
    <t>UMYWALKA ROMA BLACK MARBLE MATT - NABLATOWA</t>
  </si>
  <si>
    <t>REA-U6622</t>
  </si>
  <si>
    <t>UMYWALKA RONDA - NABLATOWA</t>
  </si>
  <si>
    <t>REA-00692</t>
  </si>
  <si>
    <t>UMYWALKA ROSA - NABLATOWA</t>
  </si>
  <si>
    <t>REA-U0160</t>
  </si>
  <si>
    <t>UMYWALKA ROSA-2 - NABLATOWA</t>
  </si>
  <si>
    <t>REA-U1224</t>
  </si>
  <si>
    <t>UMYWALKA ROSALIA WHITE - NABLATOWA</t>
  </si>
  <si>
    <t>REA-U8741</t>
  </si>
  <si>
    <t>UMYWALKA ROXY 49 - NABLATOWA</t>
  </si>
  <si>
    <t>REA-U6649</t>
  </si>
  <si>
    <t>UMYWALKA ROXY A STONE D.GREY - NABLATOWA</t>
  </si>
  <si>
    <t>REA-U6650</t>
  </si>
  <si>
    <t>UMYWALKA ROXY B STONE NATURE - NABLATOWA</t>
  </si>
  <si>
    <t>REA-U6651</t>
  </si>
  <si>
    <t>UMYWALKA ROXY C STONE L.GREY - NABLATOWA</t>
  </si>
  <si>
    <t>REA-U0441</t>
  </si>
  <si>
    <t>UMYWALKA ROYAL - NABLATOWA</t>
  </si>
  <si>
    <t>REA-U8548</t>
  </si>
  <si>
    <t>UMYWALKA ROYAL AIAX SHINY - NABLATOWA</t>
  </si>
  <si>
    <t>REA-U0445</t>
  </si>
  <si>
    <t>UMYWALKA ROYAL BLACK - NABLATOWA</t>
  </si>
  <si>
    <t>REA-U8569</t>
  </si>
  <si>
    <t>UMYWALKA ROYAL BLACK EDGE - NABLATOWA</t>
  </si>
  <si>
    <t>REA-U7478</t>
  </si>
  <si>
    <t>UMYWALKA ROYAL BLACK MARBLE MATT - NABLATOWA</t>
  </si>
  <si>
    <t>REA-U0442</t>
  </si>
  <si>
    <t>UMYWALKA ROYAL BLACK MATT - NABLATOWA</t>
  </si>
  <si>
    <t>REA-U6600</t>
  </si>
  <si>
    <t>UMYWALKA ROYAL BLACK/WHITE - NABLATOWA</t>
  </si>
  <si>
    <t>REA-U4545</t>
  </si>
  <si>
    <t>UMYWALKA ROYAL GOLD - NABLATOWA</t>
  </si>
  <si>
    <t>REA-U8570</t>
  </si>
  <si>
    <t>UMYWALKA ROYAL GOLD EDGE - NABLATOWA</t>
  </si>
  <si>
    <t>REA-U7808</t>
  </si>
  <si>
    <t>UMYWALKA ROYAL GOLD/WHITE - NABLATOWA</t>
  </si>
  <si>
    <t>REA-U8742</t>
  </si>
  <si>
    <t>UMYWALKA ROYAL GRANIT MATT - NABLATOWA</t>
  </si>
  <si>
    <t>REA-U8596</t>
  </si>
  <si>
    <t>UMYWALKA ROYAL GRANIT SHINY - NABLATOWA</t>
  </si>
  <si>
    <t>REA-U8008</t>
  </si>
  <si>
    <t>UMYWALKA ROYAL IN BLACK MARBLE/GOLD - NABLATOWA</t>
  </si>
  <si>
    <t>REA-U8007</t>
  </si>
  <si>
    <t>UMYWALKA ROYAL IN GOLD/BLACK MARBLE - NABLATOWA</t>
  </si>
  <si>
    <t>REA-U8597</t>
  </si>
  <si>
    <t>UMYWALKA ROYAL LAVA - NABLATOWA</t>
  </si>
  <si>
    <t>REA-U8598</t>
  </si>
  <si>
    <t>UMYWALKA ROYAL LAVA MATT - NABLATOWA</t>
  </si>
  <si>
    <t>REA-U8009</t>
  </si>
  <si>
    <t>UMYWALKA ROYAL MARMO SHINY - NABLATOWA</t>
  </si>
  <si>
    <t>REA-U6507</t>
  </si>
  <si>
    <t>UMYWALKA ROYAL MINI - NABLATOWA</t>
  </si>
  <si>
    <t>REA-U5063</t>
  </si>
  <si>
    <t>UMYWALKA ROYAL MINI AIAX SHINY- NABLATOWA</t>
  </si>
  <si>
    <t>REA-U0538</t>
  </si>
  <si>
    <t>UMYWALKA ROYAL MINI BLACK/WHITE - NABLATOWA</t>
  </si>
  <si>
    <t>REA-U6502</t>
  </si>
  <si>
    <t>UMYWALKA ROYAL SAND - NABLATOWA</t>
  </si>
  <si>
    <t>REA-U8887</t>
  </si>
  <si>
    <t>UMYWALKA ROYAL SASH - NABLATOWA</t>
  </si>
  <si>
    <t>REA-U8010</t>
  </si>
  <si>
    <t>UMYWALKA ROYAL STATUARIO MARBLE MATT - NABLATOWA</t>
  </si>
  <si>
    <t>REA-U9851</t>
  </si>
  <si>
    <t>UMYWALKA SAGA - NABLATOWA</t>
  </si>
  <si>
    <t>REA-U1891</t>
  </si>
  <si>
    <t>UMYWALKA SAMI - NABLATOWA</t>
  </si>
  <si>
    <t>REA-U4522</t>
  </si>
  <si>
    <t>UMYWALKA SAMI AIAX SHINY - NABLATOWA</t>
  </si>
  <si>
    <t>REA-U6382</t>
  </si>
  <si>
    <t>UMYWALKA SAMI BEIGE SHINY - NABLATOWA</t>
  </si>
  <si>
    <t>REA-U1899</t>
  </si>
  <si>
    <t>UMYWALKA SAMI BLACK MATT - NABLATOWA</t>
  </si>
  <si>
    <t>REA-U0595</t>
  </si>
  <si>
    <t>UMYWALKA SAMI BLACK MATT/GOLD EDGE - NABLATOWA</t>
  </si>
  <si>
    <t>REA-U4590</t>
  </si>
  <si>
    <t>UMYWALKA SAMI ECRU SHINY - NABLATOWA</t>
  </si>
  <si>
    <t>REA-U1800</t>
  </si>
  <si>
    <t>UMYWALKA SAMI GOLD - NABLATOWA</t>
  </si>
  <si>
    <t>REA-U6630</t>
  </si>
  <si>
    <t>UMYWALKA SAMI GOLD BRUSH/WHITE  - NABLATOWA</t>
  </si>
  <si>
    <t>REA-U6758</t>
  </si>
  <si>
    <t>UMYWALKA SAMI GOLD EDGE - NABLATOWA</t>
  </si>
  <si>
    <t>REA-U3303</t>
  </si>
  <si>
    <t>UMYWALKA SAMI GOLD ROSE BRUSH/WHITE - NABLATOWA</t>
  </si>
  <si>
    <t>REA-U1801</t>
  </si>
  <si>
    <t>UMYWALKA SAMI GOLD/WHITE - NABLATOWA</t>
  </si>
  <si>
    <t>REA-U4567</t>
  </si>
  <si>
    <t>UMYWALKA SAMI GREEN MATT - NABLATOWA</t>
  </si>
  <si>
    <t>REA-U1898</t>
  </si>
  <si>
    <t>UMYWALKA SAMI GREY MATT - NABLATOWA</t>
  </si>
  <si>
    <t>REA-U6619</t>
  </si>
  <si>
    <t>UMYWALKA SAMI L.BLUE SHINY - NABLATOWA</t>
  </si>
  <si>
    <t>REA-U5685</t>
  </si>
  <si>
    <t>UMYWALKA SAMI MARBLE - NABLATOWA</t>
  </si>
  <si>
    <t>REA-U5608</t>
  </si>
  <si>
    <t>UMYWALKA SAMI MARBLE APOGEO MAT - NABLATOWA</t>
  </si>
  <si>
    <t>REA-U5607</t>
  </si>
  <si>
    <t>UMYWALKA SAMI MARBLE BLACK SHINY - NABLATOWA</t>
  </si>
  <si>
    <t>REA-U8703</t>
  </si>
  <si>
    <t>UMYWALKA SAMI MARBLE MATT - NABLATOWA</t>
  </si>
  <si>
    <t>REA-U6606</t>
  </si>
  <si>
    <t>UMYWALKA SAMI NATURE MARBLE - NABLATOWA</t>
  </si>
  <si>
    <t>REA-U1802</t>
  </si>
  <si>
    <t>UMYWALKA SAMI ROSE GOLD - NABLATOWA</t>
  </si>
  <si>
    <t>REA-U3304</t>
  </si>
  <si>
    <t>UMYWALKA SAMI SILVER BRUSH/WHITE - NABLATOWA</t>
  </si>
  <si>
    <t>REA-U4566</t>
  </si>
  <si>
    <t>UMYWALKA SAMI TERRA MATT - NABLATOWA</t>
  </si>
  <si>
    <t>REA-U6020</t>
  </si>
  <si>
    <t>UMYWALKA SELENA 60 - NABLATOWA</t>
  </si>
  <si>
    <t>REA-U6945</t>
  </si>
  <si>
    <t>UMYWALKA SELINA- NABLATOWA</t>
  </si>
  <si>
    <t>REA-U9667</t>
  </si>
  <si>
    <t>UMYWALKA SELMA - ŚCIENNA</t>
  </si>
  <si>
    <t>REA-U7505</t>
  </si>
  <si>
    <t>UMYWALKA SEVILLA - NABLATOWA</t>
  </si>
  <si>
    <t>REA-U6655</t>
  </si>
  <si>
    <t>UMYWALKA SHILA - NABLATOWA</t>
  </si>
  <si>
    <t>REA-U0133</t>
  </si>
  <si>
    <t>UMYWALKA SOFIA - NABLATOWA</t>
  </si>
  <si>
    <t>REA-U6597</t>
  </si>
  <si>
    <t>UMYWALKA SOFIA AIAX SHINY - NABLATOWA</t>
  </si>
  <si>
    <t>REA-U0154</t>
  </si>
  <si>
    <t>UMYWALKA SOFIA BLACK - NABLATOWA</t>
  </si>
  <si>
    <t>REA-U3217</t>
  </si>
  <si>
    <t>UMYWALKA SOFIA BLACK EDGE - NABLATOWA</t>
  </si>
  <si>
    <t>REA-U5611</t>
  </si>
  <si>
    <t>UMYWALKA SOFIA BLACK MARBLE SHINY - NABLATOWA</t>
  </si>
  <si>
    <t>REA-U0333</t>
  </si>
  <si>
    <t>UMYWALKA SOFIA BLACK MATT - NABLATOWA</t>
  </si>
  <si>
    <t>REA-U6203</t>
  </si>
  <si>
    <t>UMYWALKA SOFIA BLACK/CALALA MATT - NABLATOWA</t>
  </si>
  <si>
    <t>REA-U3695</t>
  </si>
  <si>
    <t>UMYWALKA SOFIA BLACK/GOLD EDGE - NABLATOWA</t>
  </si>
  <si>
    <t>REA-U8749</t>
  </si>
  <si>
    <t>UMYWALKA SOFIA BLACK/WHITE - NABLATOWA</t>
  </si>
  <si>
    <t>REA-U6598</t>
  </si>
  <si>
    <t>UMYWALKA SOFIA CALALA SHINY - NABLATOWA</t>
  </si>
  <si>
    <t>REA-U9015</t>
  </si>
  <si>
    <t>UMYWALKA SOFIA GOLD - NABLATOWA</t>
  </si>
  <si>
    <t>REA-U3310</t>
  </si>
  <si>
    <t>UMYWALKA SOFIA GOLD BRUSH/BLACK - NABLATOWA</t>
  </si>
  <si>
    <t>REA-U3697</t>
  </si>
  <si>
    <t>UMYWALKA SOFIA GOLD BRUSH/WHITE - NABLATOWA</t>
  </si>
  <si>
    <t>REA-U3287</t>
  </si>
  <si>
    <t>UMYWALKA SOFIA GOLD EDGE - NABLATOWA</t>
  </si>
  <si>
    <t>REA-U0456</t>
  </si>
  <si>
    <t>UMYWALKA SOFIA GOLD/WHITE - NABLATOWA</t>
  </si>
  <si>
    <t>REA-U8543</t>
  </si>
  <si>
    <t>UMYWALKA SOFIA GREEN - NABLATOWA</t>
  </si>
  <si>
    <t>REA-U5631</t>
  </si>
  <si>
    <t>UMYWALKA SOFIA GREEN MAT - NABLATOWA</t>
  </si>
  <si>
    <t>REA-U8012</t>
  </si>
  <si>
    <t>UMYWALKA SOFIA IN BLACK MARBLE/GOLD - NABLATOWA</t>
  </si>
  <si>
    <t>REA-U4527</t>
  </si>
  <si>
    <t>UMYWALKA SOFIA IN BLACK/GOLD - NABLATOWA</t>
  </si>
  <si>
    <t>REA-U8011</t>
  </si>
  <si>
    <t>UMYWALKA SOFIA IN GOLD/BLACK MARBLE - NABLATOWA</t>
  </si>
  <si>
    <t>REA-U0165</t>
  </si>
  <si>
    <t>UMYWALKA SOFIA LIGHT STONE MATT - NABLATOWA</t>
  </si>
  <si>
    <t>REA-U5630</t>
  </si>
  <si>
    <t>UMYWALKA SOFIA MAT PINK - NABLATOWA</t>
  </si>
  <si>
    <t>REA-U0623</t>
  </si>
  <si>
    <t>UMYWALKA SOFIA MINI - NABLATOWA</t>
  </si>
  <si>
    <t>REA-U8014</t>
  </si>
  <si>
    <t>UMYWALKA SOFIA MINI AIAX SHINY - NABLATOWA</t>
  </si>
  <si>
    <t>REA-U6963</t>
  </si>
  <si>
    <t>UMYWALKA SOFIA MINI BLACK MARBLE SHINY - NABLATOWA</t>
  </si>
  <si>
    <t>REA-U8013</t>
  </si>
  <si>
    <t>UMYWALKA SOFIA MINI BLACK SHINY - NABLATOWA</t>
  </si>
  <si>
    <t>REA-U6334</t>
  </si>
  <si>
    <t>UMYWALKA SOFIA MINI GOLD/WHITE - NABLATOWA</t>
  </si>
  <si>
    <t>REA-U0961</t>
  </si>
  <si>
    <t>UMYWALKA SOFIA MINI GREEN SHINY - NABLATOWA</t>
  </si>
  <si>
    <t>REA-U6335</t>
  </si>
  <si>
    <t>UMYWALKA SOFIA MINI PINK SHINY - NABLATOWA</t>
  </si>
  <si>
    <t>REA-U6605</t>
  </si>
  <si>
    <t>UMYWALKA SOFIA NATURE MARBLE - NABLATOWA</t>
  </si>
  <si>
    <t>REA-U0852</t>
  </si>
  <si>
    <t>UMYWALKA SOFIA SILVER - NABLATOWA</t>
  </si>
  <si>
    <t>REA-U0420</t>
  </si>
  <si>
    <t>UMYWALKA SOFIA SILVER/WHITE - NABLATOWA</t>
  </si>
  <si>
    <t>REA-U9908</t>
  </si>
  <si>
    <t>UMYWALKA SOFIA STONE MATT - NABLATOWA</t>
  </si>
  <si>
    <t>REA-U6932</t>
  </si>
  <si>
    <t>UMYWALKA SOFIA TERAZZO - NABLATOWA</t>
  </si>
  <si>
    <t>REA-U8605</t>
  </si>
  <si>
    <t>UMYWALKA SOL - NABLATOWA</t>
  </si>
  <si>
    <t>REA-U7916</t>
  </si>
  <si>
    <t>UMYWALKA SOLO BLACK MATT - NABLATOWA</t>
  </si>
  <si>
    <t>REA-U1878</t>
  </si>
  <si>
    <t>UMYWALKA STELLA - NABLATOWA</t>
  </si>
  <si>
    <t>REA-U9088</t>
  </si>
  <si>
    <t>UMYWALKA STELLA AIAX SHINY - NABLATOWA</t>
  </si>
  <si>
    <t>REA-U9086</t>
  </si>
  <si>
    <t>UMYWALKA STELLA BLACK MARBLE BRUSH - NABLATOWA</t>
  </si>
  <si>
    <t>REA-U1890</t>
  </si>
  <si>
    <t>UMYWALKA STELLA BLACK MATT - NABLATOWA</t>
  </si>
  <si>
    <t>REA-U1892</t>
  </si>
  <si>
    <t>UMYWALKA STELLA CAPPUCCINO MATT - NABLATOWA</t>
  </si>
  <si>
    <t>REA-U9087</t>
  </si>
  <si>
    <t>UMYWALKA STELLA GOLD BRUSH/WHITE - NABLATOWA</t>
  </si>
  <si>
    <t>REA-U7445</t>
  </si>
  <si>
    <t>UMYWALKA STELLA GOLD EDGE - NABLATOWA</t>
  </si>
  <si>
    <t>REA-U1893</t>
  </si>
  <si>
    <t>UMYWALKA STELLA GREEN MATT - NABLATOWA</t>
  </si>
  <si>
    <t>REA-U1894</t>
  </si>
  <si>
    <t>UMYWALKA STELLA L.CORAL MATT - NABLATOWA</t>
  </si>
  <si>
    <t>REA-U7444</t>
  </si>
  <si>
    <t>UMYWALKA STELLA ROSE GOLD EDGE - NABLATOWA</t>
  </si>
  <si>
    <t>REA-U5610</t>
  </si>
  <si>
    <t>UMYWALKA TANGO - NABLATOWA</t>
  </si>
  <si>
    <t>BEL-00002</t>
  </si>
  <si>
    <t>UMYWALKA TRENDY - NABLATOWA</t>
  </si>
  <si>
    <t>BAS-U1005</t>
  </si>
  <si>
    <t>UMYWALKA UN1005 WESTA - NABLATOWA</t>
  </si>
  <si>
    <t>REA-U1222</t>
  </si>
  <si>
    <t>UMYWALKA UNDER ARTE BLUE - PODBLATOWA</t>
  </si>
  <si>
    <t>REA-U5000</t>
  </si>
  <si>
    <t>UMYWALKA VALERIA N - NABLATOWA</t>
  </si>
  <si>
    <t>REA-U0603</t>
  </si>
  <si>
    <t>UMYWALKA VANDA - NABLATOWA</t>
  </si>
  <si>
    <t>REA-U6526</t>
  </si>
  <si>
    <t>UMYWALKA VANDA 61 - NABLATOWA</t>
  </si>
  <si>
    <t>REA-U1501</t>
  </si>
  <si>
    <t>UMYWALKA VEGA - NABLATOWA</t>
  </si>
  <si>
    <t>REA-U6643</t>
  </si>
  <si>
    <t>UMYWALKA VEGAS - NABLATOWA</t>
  </si>
  <si>
    <t>REA-U0994</t>
  </si>
  <si>
    <t>UMYWALKA VEGAS BLACK MARBLE MATT - NABLATOWA</t>
  </si>
  <si>
    <t>REA-U5603</t>
  </si>
  <si>
    <t>UMYWALKA VEGAS BLACK MARBLE SHINY - NABLATOWA</t>
  </si>
  <si>
    <t>REA-U5602</t>
  </si>
  <si>
    <t>UMYWALKA VEGAS GRANIT SHINY - NABLATOWA</t>
  </si>
  <si>
    <t>REA-U5605</t>
  </si>
  <si>
    <t>UMYWALKA VEGAS ROSE GOLD EDGE - NABLATOWA</t>
  </si>
  <si>
    <t>REA-U5615</t>
  </si>
  <si>
    <t>UMYWALKA VEGAS WHITE GOLD EDGE</t>
  </si>
  <si>
    <t>REA-U3325</t>
  </si>
  <si>
    <t>UMYWALKA VERONA</t>
  </si>
  <si>
    <t>REA-U9668</t>
  </si>
  <si>
    <t>UMYWALKA VILLA COPPER - NABLATOWA</t>
  </si>
  <si>
    <t>REA-U9669</t>
  </si>
  <si>
    <t>UMYWALKA VILLA OLD GOLD - NABLATOWA</t>
  </si>
  <si>
    <t>REA-U4601</t>
  </si>
  <si>
    <t>UMYWALKA VISTA - NABLATOWA</t>
  </si>
  <si>
    <t>REA-U4602</t>
  </si>
  <si>
    <t>UMYWALKA VISTA MAT BLACK - NABLATOWA</t>
  </si>
  <si>
    <t>REA-U5666</t>
  </si>
  <si>
    <t>UMYWALKA VIVIEN - NABLATOWA</t>
  </si>
  <si>
    <t>REA-U0157</t>
  </si>
  <si>
    <t>UMYWALKA WENDY - NABLATOWA</t>
  </si>
  <si>
    <t>REA-U5053</t>
  </si>
  <si>
    <t>UMYWALKA WENDY MARMO - NABLATOWA</t>
  </si>
  <si>
    <t>REA-U3305</t>
  </si>
  <si>
    <t>UMYWALKA WILMA RUSTIC - NABLATOWA</t>
  </si>
  <si>
    <t>REA-U0140</t>
  </si>
  <si>
    <t>UMYWALKA XARA - NABLATOWA/ŚCIENNA</t>
  </si>
  <si>
    <t>REA-W0250</t>
  </si>
  <si>
    <t>WANNA BELLANTO 150 LEWA</t>
  </si>
  <si>
    <t>REA-W0251</t>
  </si>
  <si>
    <t>WANNA BELLANTO 150 PRAWA</t>
  </si>
  <si>
    <t>REA-W0252</t>
  </si>
  <si>
    <t>WANNA BELLANTO 160 LEWA</t>
  </si>
  <si>
    <t>REA-W0253</t>
  </si>
  <si>
    <t>WANNA BELLANTO 160 PRAWA</t>
  </si>
  <si>
    <t>REA-W6901</t>
  </si>
  <si>
    <t>WANNA BELLANTO 170 LEWA</t>
  </si>
  <si>
    <t>REA-W6900</t>
  </si>
  <si>
    <t>WANNA BELLANTO 170 PRAWA</t>
  </si>
  <si>
    <t>REA-W5633</t>
  </si>
  <si>
    <t>WANNA BRASSO S112 CHROME</t>
  </si>
  <si>
    <t>REA-W5631</t>
  </si>
  <si>
    <t>WANNA BRASSO S112 GOLD</t>
  </si>
  <si>
    <t>REA-W9800</t>
  </si>
  <si>
    <t>WANNA CAPRI 150</t>
  </si>
  <si>
    <t>REA-W9801</t>
  </si>
  <si>
    <t>WANNA CAPRI 170</t>
  </si>
  <si>
    <t>REA-W3000</t>
  </si>
  <si>
    <t>WANNA CORI 160</t>
  </si>
  <si>
    <t>REA-W3001</t>
  </si>
  <si>
    <t>WANNA CORI 170</t>
  </si>
  <si>
    <t>REA-W9802</t>
  </si>
  <si>
    <t>WANNA CORSO 170</t>
  </si>
  <si>
    <t>REA-W0099</t>
  </si>
  <si>
    <t>WANNA FERRANO 150</t>
  </si>
  <si>
    <t>REA-W0150</t>
  </si>
  <si>
    <t>WANNA FERRANO 160</t>
  </si>
  <si>
    <t>REA-W0106</t>
  </si>
  <si>
    <t>WANNA FERRANO 170</t>
  </si>
  <si>
    <t>REA-W0098</t>
  </si>
  <si>
    <t>WANNA FERRANO 180</t>
  </si>
  <si>
    <t>REA-W2002</t>
  </si>
  <si>
    <t>WANNA KERRANO 150</t>
  </si>
  <si>
    <t>REA-W2003</t>
  </si>
  <si>
    <t>WANNA KERRANO 170</t>
  </si>
  <si>
    <t>REA-W5690</t>
  </si>
  <si>
    <t>WANNA KORFU 170</t>
  </si>
  <si>
    <t>REA-W3002</t>
  </si>
  <si>
    <t>WANNA MALTA 150</t>
  </si>
  <si>
    <t>REA-W3003</t>
  </si>
  <si>
    <t>WANNA MALTA 170</t>
  </si>
  <si>
    <t>REA-W2000</t>
  </si>
  <si>
    <t>WANNA MILANO 150</t>
  </si>
  <si>
    <t>REA-W2001</t>
  </si>
  <si>
    <t>WANNA MILANO 170</t>
  </si>
  <si>
    <t>REA-W0902</t>
  </si>
  <si>
    <t>WANNA MOLTO 170</t>
  </si>
  <si>
    <t>REA-W0634</t>
  </si>
  <si>
    <t>WANNA OLIMPIA 150</t>
  </si>
  <si>
    <t>REA-W0633</t>
  </si>
  <si>
    <t>WANNA OLIMPIA 170</t>
  </si>
  <si>
    <t>REA-W0650</t>
  </si>
  <si>
    <t>WANNA PORTO 170</t>
  </si>
  <si>
    <t>REA-W0632</t>
  </si>
  <si>
    <t>WANNA SANTANA 170</t>
  </si>
  <si>
    <t>REA-W0105</t>
  </si>
  <si>
    <t>WANNA SILVANO 170</t>
  </si>
  <si>
    <t>REA-W1101</t>
  </si>
  <si>
    <t>WANNA SPARTA 175</t>
  </si>
  <si>
    <t>REA-W8805</t>
  </si>
  <si>
    <t>WANNA SYDNEY 150 LEWA</t>
  </si>
  <si>
    <t>REA-W8804</t>
  </si>
  <si>
    <t>WANNA SYDNEY 150 PRAWA</t>
  </si>
  <si>
    <t>REA-W8800</t>
  </si>
  <si>
    <t>WANNA SYDNEY 160 LEWA</t>
  </si>
  <si>
    <t>REA-W8801</t>
  </si>
  <si>
    <t>WANNA SYDNEY 160 PRAWA</t>
  </si>
  <si>
    <t>REA-W8802</t>
  </si>
  <si>
    <t>WANNA SYDNEY 170 LEWA</t>
  </si>
  <si>
    <t>REA-W8803</t>
  </si>
  <si>
    <t>WANNA SYDNEY 170 PRAWA</t>
  </si>
  <si>
    <t>REA-W0254</t>
  </si>
  <si>
    <t>WANNA VENETA 170</t>
  </si>
  <si>
    <t>REA-W0030</t>
  </si>
  <si>
    <t>WANNA VICTORIA 170</t>
  </si>
  <si>
    <t>REA-C3300</t>
  </si>
  <si>
    <t>WC - CARLO MINI RIML DUR/FLAT/ZM GOLD BRUSH/BLACK</t>
  </si>
  <si>
    <t>REA-C6942</t>
  </si>
  <si>
    <t>WC - CARLO MINI RIML DUR/FLAT/ZM GOLD BRUSH/WHITE</t>
  </si>
  <si>
    <t>REA-C8800</t>
  </si>
  <si>
    <t>WC - CARLO MINI RIMLES DUR/FLAT/ZM BLACK GOLD EDGE</t>
  </si>
  <si>
    <t>REA-C1222</t>
  </si>
  <si>
    <t>WC - CARLO MINI RIMLES DUR/FLAT/ZM WHITE GOLD EDGE</t>
  </si>
  <si>
    <t>REA-C8489</t>
  </si>
  <si>
    <t>WC - CARLO MINI RIMLES DUROPLAST/FLAT/ZM BLACK MAT</t>
  </si>
  <si>
    <t>REA-C8405</t>
  </si>
  <si>
    <t>WC - CARLO MINI RIMLES DUROPLAST/SLIM/ZM BLACK MAT</t>
  </si>
  <si>
    <t>REA-C1000</t>
  </si>
  <si>
    <t>WC - CARLO MINI RIMLESS ABS/ZM</t>
  </si>
  <si>
    <t>REA-C6200</t>
  </si>
  <si>
    <t>WC - CARLO MINI RIMLESS BASIC/ABS/ZM</t>
  </si>
  <si>
    <t>REA-C5000</t>
  </si>
  <si>
    <t>WC - CARLO MINI RIMLESS DUROPL/FLAT/ZM ARTE D.GREY</t>
  </si>
  <si>
    <t>REA-C8990</t>
  </si>
  <si>
    <t>WC - CARLO MINI RIMLESS DUROPLA/FLAT/ZM GOLD/BLACK</t>
  </si>
  <si>
    <t>REA-C0669</t>
  </si>
  <si>
    <t>WC - CARLO MINI RIMLESS DUROPLA/FLAT/ZM GOLD/WHITE</t>
  </si>
  <si>
    <t>REA-C2760</t>
  </si>
  <si>
    <t>WC - CARLO MINI RIMLESS DUROPLAST/FLAT/ZM</t>
  </si>
  <si>
    <t>REA-C8936</t>
  </si>
  <si>
    <t>WC - CARLO MINI RIMLESS DUROPLAST/FLAT/ZM BLACK</t>
  </si>
  <si>
    <t>REA-C1256</t>
  </si>
  <si>
    <t>WC - CARLO MINI RIMLESS/DUROPLAST/SLIM/ZM N</t>
  </si>
  <si>
    <t>REA-C8770</t>
  </si>
  <si>
    <t>WC - CARLO MINI TORNADO PRO/DUROPLAST/FLAT/ZM</t>
  </si>
  <si>
    <t>REA-C1259</t>
  </si>
  <si>
    <t>WC - CARLO MINI TORNADO/DUROPLAST/SLIM/ZM</t>
  </si>
  <si>
    <t>REA-C2761</t>
  </si>
  <si>
    <t>WC - CARLO RIMLESS DUROPLAST/FLAT/ZM  N</t>
  </si>
  <si>
    <t>REA-C4600</t>
  </si>
  <si>
    <t>WC - CARLO RIMLESS STOJĄCY DUROPLAST/SLIM/ZM</t>
  </si>
  <si>
    <t>REA-C2762</t>
  </si>
  <si>
    <t>WC - CARLO TORNADO DUROPLAST/FLAT/ZM</t>
  </si>
  <si>
    <t>Rea-c6385</t>
  </si>
  <si>
    <t>WC - CARLOS DUROPLAST/FLAT/ZM AIAX SHINY</t>
  </si>
  <si>
    <t>REA-C5100</t>
  </si>
  <si>
    <t>WC - CARLOS DUROPLAST/FLAT/ZM DIAMOND</t>
  </si>
  <si>
    <t>REA-C6606</t>
  </si>
  <si>
    <t>WC - CARLOS DUROPLAST/FLAT/ZM NATURE MARBLE</t>
  </si>
  <si>
    <t>REA-C8005</t>
  </si>
  <si>
    <t>WC - CARLOS DUROPLAST/FLAT/ZM TERAZZO</t>
  </si>
  <si>
    <t>REA-C8767</t>
  </si>
  <si>
    <t>WC - CARLOS DUROPLAST/FLAT/ZM WAVE</t>
  </si>
  <si>
    <t>REA-C8003</t>
  </si>
  <si>
    <t>WC - CARLOS DUROPLAST/SLIM/ZM GRANIT MATT</t>
  </si>
  <si>
    <t>REA-C8002</t>
  </si>
  <si>
    <t>WC - CARLOS DUROPLAST/SLIM/ZM GRANIT SHINY</t>
  </si>
  <si>
    <t>REA-C8004</t>
  </si>
  <si>
    <t>WC - CARLOS DUROPLAST/SLIM/ZM LAVA MATT</t>
  </si>
  <si>
    <t>REA-C0536</t>
  </si>
  <si>
    <t>WC - CARLOS DUROPLAST/SLIM/ZM LAVA SHINY</t>
  </si>
  <si>
    <t>REA-C8001</t>
  </si>
  <si>
    <t>WC - CARLOS DUROPLAST/SLIM/ZM MARBLE MATT BLACK</t>
  </si>
  <si>
    <t>REA-C8000</t>
  </si>
  <si>
    <t>WC - CARLOS DUROPLAST/SLIM/ZM MARBLE SHINY BLACK</t>
  </si>
  <si>
    <t>REA-C1450</t>
  </si>
  <si>
    <t>WC - CARTER RIMLESS DUROPLAST/SLIM/ZM (18 CM)</t>
  </si>
  <si>
    <t>REA-C4211</t>
  </si>
  <si>
    <t>WC - CARTER RIMLESS DUROPLAST/SLIM/ZM BLACK</t>
  </si>
  <si>
    <t>REA-C1400</t>
  </si>
  <si>
    <t>WC - CARTER RIMLESS DUROPLAST/SLIM/ZM N</t>
  </si>
  <si>
    <t>REA-C6560</t>
  </si>
  <si>
    <t>WC - EDDY TURBO TORNADO</t>
  </si>
  <si>
    <t>REA-C6578</t>
  </si>
  <si>
    <t>WC - HARY RIMLESS DUROPLAST/SLIM/ZM</t>
  </si>
  <si>
    <t>REA-C9201</t>
  </si>
  <si>
    <t>WC - IVO RIMLESS DUROPLAST/FLAT/ZM</t>
  </si>
  <si>
    <t>REA-C6550</t>
  </si>
  <si>
    <t>WC - JULIO RIMLESS DUROPLAST/FLAT/ZM BLACK MATT</t>
  </si>
  <si>
    <t>REA-C9500</t>
  </si>
  <si>
    <t>WC - LARS RIMLESS DUROPLAST/FLAT/ZM</t>
  </si>
  <si>
    <t>REA-C8006</t>
  </si>
  <si>
    <t>WC - MARTIN RIMLESS DUROPLAST/SLIM/ZM</t>
  </si>
  <si>
    <t>REA-C1258</t>
  </si>
  <si>
    <t>WC - MATEO RIMLESS DUROPLAST/SLIM/ZM</t>
  </si>
  <si>
    <t>REA-C1363</t>
  </si>
  <si>
    <t>WC - OLAF RIMLESS DUROPLAST SLIM</t>
  </si>
  <si>
    <t>REA-C6509</t>
  </si>
  <si>
    <t>WC - OLIVIER DUROPLAST/FLAT/ZM</t>
  </si>
  <si>
    <t>REA-C1401</t>
  </si>
  <si>
    <t>WC - PORTER RIMLESS DUROPLAST/SLIM/ZM</t>
  </si>
  <si>
    <t>REA-C2361</t>
  </si>
  <si>
    <t>WC - PORTER RIMLESS DUROPLAST/SLIM/ZM BLACK</t>
  </si>
  <si>
    <t>REA-C8536</t>
  </si>
  <si>
    <t>WC - RAMON RIMLESS/DUROPLAST/SLIM/ZM</t>
  </si>
  <si>
    <t>REA-C9660</t>
  </si>
  <si>
    <t>WC - RAUL RIMLESS DUROPLAST/SLIM/ZM</t>
  </si>
  <si>
    <t>REA-C1100</t>
  </si>
  <si>
    <t>WC - RAUL RIMLESS DUROPLAST/SLIM/ZM BLACK MATT</t>
  </si>
  <si>
    <t>REA-C6600</t>
  </si>
  <si>
    <t>WC - RICO RIMLESS DUROPLAST/SLIM/ZM</t>
  </si>
  <si>
    <t>REA-C7400</t>
  </si>
  <si>
    <t>WC - RYAN RIMLESS DUROPLAST/SLIM/ZM</t>
  </si>
  <si>
    <t>REA-C1500</t>
  </si>
  <si>
    <t>WC - TITO MINI RIMLESS DUROPLAST/SLIM/ZM</t>
  </si>
  <si>
    <t>REA-C1364</t>
  </si>
  <si>
    <t>WC - TOBI RIMLESS DUROPLAST SLIM</t>
  </si>
  <si>
    <t>REA-C1257</t>
  </si>
  <si>
    <t>WC - TOMAS RIMLESS DUROPLAST/SLIM/ZM</t>
  </si>
  <si>
    <t>REA-C1001</t>
  </si>
  <si>
    <t>WC - TORES  RIMLESS DUROPLAST/SLIM/ZM</t>
  </si>
  <si>
    <t>HOM-00652</t>
  </si>
  <si>
    <t>WIESZAK NA RĘCZNIK/PÓŁKA EVO BLACK</t>
  </si>
  <si>
    <t>HOM-08945</t>
  </si>
  <si>
    <t>WIESZAK NA RĘCZNIK/PÓŁKA EVO CHROME</t>
  </si>
  <si>
    <t>HOM-00653</t>
  </si>
  <si>
    <t>WIESZAK NA RĘCZNIK/PÓŁKA EVO GOLD</t>
  </si>
  <si>
    <t>REA-46000</t>
  </si>
  <si>
    <t>WIESZAK NA RĘCZNIK/PÓŁKA EVO GOLD BRUSH</t>
  </si>
  <si>
    <t>REA-C0749</t>
  </si>
  <si>
    <t>ZESTAW MONTAŻOWY DO MISY WC</t>
  </si>
  <si>
    <t>REA-B9962</t>
  </si>
  <si>
    <t>ZESTAW NATR MY1906-77BGG SOUL ZŁOTY SZCZOTK/CZARNY</t>
  </si>
  <si>
    <t>REA-P8950</t>
  </si>
  <si>
    <t>ZESTAW NATR PODTYNKOWY LUNGO GRIP ZŁOTY SZCZ + BOX</t>
  </si>
  <si>
    <t>REA-P9143</t>
  </si>
  <si>
    <t>ZESTAW NATRY PODTY MILD CZARNY/RÓŻOWE ZŁOTO + BOX</t>
  </si>
  <si>
    <t>REA-P2403</t>
  </si>
  <si>
    <t>ZESTAW NATRY PODTYNK MOBY ZŁOTY SZCZOTKOWANY+ BOX</t>
  </si>
  <si>
    <t>REA-P8763</t>
  </si>
  <si>
    <t>ZESTAW NATRYS-WANNOWY LUNGO CZARNY METALICZNY TERM</t>
  </si>
  <si>
    <t>REA-P9142</t>
  </si>
  <si>
    <t>ZESTAW NATRYSK PODTYNK PARKER NIKIEL SZCZOTK + BOX</t>
  </si>
  <si>
    <t>REA-P6358</t>
  </si>
  <si>
    <t>ZESTAW NATRYSKO FENIX-DAVIS ZŁOTY SZCZO TERMOSTAT</t>
  </si>
  <si>
    <t>REA-P6608</t>
  </si>
  <si>
    <t>ZESTAW NATRYSKOWO-WANNOWY LUNGO BIAŁY TERMOSTAT</t>
  </si>
  <si>
    <t>REA-P6607</t>
  </si>
  <si>
    <t>ZESTAW NATRYSKOWO-WANNOWY LUNGO CHROM TERMOSTAT</t>
  </si>
  <si>
    <t>REA-P4113</t>
  </si>
  <si>
    <t>ZESTAW NATRYSKOWO-WANNOWY LUNGO CZARNY TERMOSTAT</t>
  </si>
  <si>
    <t>REA-P8807</t>
  </si>
  <si>
    <t>ZESTAW NATRYSKOWO-WANNOWY LUNGO MIEDŹ SZCZO TERMOS</t>
  </si>
  <si>
    <t>REA-P6606</t>
  </si>
  <si>
    <t>ZESTAW NATRYSKOWO-WANNOWY LUNGO RÓŻOWE ZŁOTO TERMO</t>
  </si>
  <si>
    <t>REA-P6604</t>
  </si>
  <si>
    <t>ZESTAW NATRYSKOWO-WANNOWY LUNGO ZŁOTY SZCZOTK TERM</t>
  </si>
  <si>
    <t>REA-P4114</t>
  </si>
  <si>
    <t>ZESTAW NATRYSKOWO-WANNOWY LUNGO ZŁOTY TERMOSTAT</t>
  </si>
  <si>
    <t>REA-P7998</t>
  </si>
  <si>
    <t>ZESTAW NATRYSKOWO-WANNOWY Z WYLE LUNGO MIEDŹ + BOX</t>
  </si>
  <si>
    <t>REA-P6611</t>
  </si>
  <si>
    <t>ZESTAW NATRYSKOWO-WANNOWY Z WYLEWKĄ LUNGO BIAŁY</t>
  </si>
  <si>
    <t>REA-P6612</t>
  </si>
  <si>
    <t>ZESTAW NATRYSKOWO-WANNOWY Z WYLEWKĄ LUNGO CHROM</t>
  </si>
  <si>
    <t>REA-P4112</t>
  </si>
  <si>
    <t>ZESTAW NATRYSKOWO-WANNOWY Z WYLEWKĄ LUNGO CZARNY</t>
  </si>
  <si>
    <t>REA-P8810</t>
  </si>
  <si>
    <t>ZESTAW NATRYSKOWO-WANNOWY Z WYLEWKĄ LUNGO MIEDŹ SZ</t>
  </si>
  <si>
    <t>REA-P6610</t>
  </si>
  <si>
    <t>ZESTAW NATRYSKOWO-WANNOWY Z WYLEWKĄ LUNGO RÓŻOWE Z</t>
  </si>
  <si>
    <t>REA-P4125</t>
  </si>
  <si>
    <t>ZESTAW NATRYSKOWO-WANNOWY Z WYLEWKĄ LUNGO ZŁOTY</t>
  </si>
  <si>
    <t>REA-P6609</t>
  </si>
  <si>
    <t>ZESTAW NATRYSKOWO-WANNOWY Z WYLEWKĄ LUNGO ZŁOTY SZ</t>
  </si>
  <si>
    <t>REA-P8801</t>
  </si>
  <si>
    <t>ZESTAW NATRYSKOWY ALDI CHROM</t>
  </si>
  <si>
    <t>REA-P8800</t>
  </si>
  <si>
    <t>ZESTAW NATRYSKOWY ALDI CZARNY</t>
  </si>
  <si>
    <t>REA-P8802</t>
  </si>
  <si>
    <t>ZESTAW NATRYSKOWY ALDI ZŁOTY</t>
  </si>
  <si>
    <t>REA-P8811</t>
  </si>
  <si>
    <t>ZESTAW NATRYSKOWY AVALON CZARNY</t>
  </si>
  <si>
    <t>REA-P2401</t>
  </si>
  <si>
    <t>ZESTAW NATRYSKOWY AVALON TYTAN</t>
  </si>
  <si>
    <t>REA-P8812</t>
  </si>
  <si>
    <t>ZESTAW NATRYSKOWY AVALON ZŁOTY</t>
  </si>
  <si>
    <t>REA-P2400</t>
  </si>
  <si>
    <t>ZESTAW NATRYSKOWY AVALON ZŁOTY SZCZOTKOWANY</t>
  </si>
  <si>
    <t>REA-P4893</t>
  </si>
  <si>
    <t>ZESTAW NATRYSKOWY BENTO ZŁOTY</t>
  </si>
  <si>
    <t>REA-P5002</t>
  </si>
  <si>
    <t>ZESTAW NATRYSKOWY BERGAMO BRĄZ ANTYCZNY</t>
  </si>
  <si>
    <t>REA-P5001</t>
  </si>
  <si>
    <t>ZESTAW NATRYSKOWY BERGAMO CZARNY PRZECIERANY</t>
  </si>
  <si>
    <t>REA-P8805</t>
  </si>
  <si>
    <t>ZESTAW NATRYSKOWY BLISS CHROM</t>
  </si>
  <si>
    <t>REA-P8804</t>
  </si>
  <si>
    <t>ZESTAW NATRYSKOWY BLISS CZARNY</t>
  </si>
  <si>
    <t>REA-P8806</t>
  </si>
  <si>
    <t>ZESTAW NATRYSKOWY BLISS ZŁOTY</t>
  </si>
  <si>
    <t>REA-P8413</t>
  </si>
  <si>
    <t>ZESTAW NATRYSKOWY BLISS ZŁOTY SZCZOTKOWANY</t>
  </si>
  <si>
    <t>REA-P0636</t>
  </si>
  <si>
    <t>ZESTAW NATRYSKOWY BRAVO CZARNY</t>
  </si>
  <si>
    <t>REA-P4120</t>
  </si>
  <si>
    <t>ZESTAW NATRYSKOWY BRAVO ZŁOTY</t>
  </si>
  <si>
    <t>REA-P4121</t>
  </si>
  <si>
    <t>ZESTAW NATRYSKOWY BRAVO ZŁOTY SZCZOTKOWANY</t>
  </si>
  <si>
    <t>REA-P8965</t>
  </si>
  <si>
    <t>ZESTAW NATRYSKOWY CEZAR CHROM TERMOSTAT</t>
  </si>
  <si>
    <t>REA-P8451</t>
  </si>
  <si>
    <t>ZESTAW NATRYSKOWY FENIX CHROM</t>
  </si>
  <si>
    <t>REA-P6920</t>
  </si>
  <si>
    <t>ZESTAW NATRYSKOWY FENIX CZARNY</t>
  </si>
  <si>
    <t>REA-P8401</t>
  </si>
  <si>
    <t>ZESTAW NATRYSKOWY FENIX ZŁOTY</t>
  </si>
  <si>
    <t>REA-P6356</t>
  </si>
  <si>
    <t>ZESTAW NATRYSKOWY FENIX-DAVIS CHROM TERMOSTAT</t>
  </si>
  <si>
    <t>REA-P6357</t>
  </si>
  <si>
    <t>ZESTAW NATRYSKOWY FENIX-DAVIS CZARNY TERMOSTAT</t>
  </si>
  <si>
    <t>REA-P6324</t>
  </si>
  <si>
    <t>ZESTAW NATRYSKOWY FENIX-DAVIS ZŁOTY TERMOSTAT</t>
  </si>
  <si>
    <t>REA-P0652</t>
  </si>
  <si>
    <t>ZESTAW NATRYSKOWY FIZZ TERMOSTAT</t>
  </si>
  <si>
    <t>REA-P4000</t>
  </si>
  <si>
    <t>ZESTAW NATRYSKOWY FLEX BLACK</t>
  </si>
  <si>
    <t>REA-P9861</t>
  </si>
  <si>
    <t>ZESTAW NATRYSKOWY FORT CZARNY</t>
  </si>
  <si>
    <t>REA-P9860</t>
  </si>
  <si>
    <t>ZESTAW NATRYSKOWY GIO BLACK GOLD</t>
  </si>
  <si>
    <t>REA-P6620</t>
  </si>
  <si>
    <t>ZESTAW NATRYSKOWY HELIX CHROM</t>
  </si>
  <si>
    <t>REA-P6618</t>
  </si>
  <si>
    <t>ZESTAW NATRYSKOWY HELIX CZARNY</t>
  </si>
  <si>
    <t>REA-P6622</t>
  </si>
  <si>
    <t>ZESTAW NATRYSKOWY HELIX NIKIEL SZCZOTKOWANY</t>
  </si>
  <si>
    <t>REA-P6619</t>
  </si>
  <si>
    <t>ZESTAW NATRYSKOWY HELIX ZŁOTY</t>
  </si>
  <si>
    <t>REA-P6621</t>
  </si>
  <si>
    <t>ZESTAW NATRYSKOWY HELIX ZŁOTY SZCZOTKOWANY</t>
  </si>
  <si>
    <t>REA-P5000</t>
  </si>
  <si>
    <t>ZESTAW NATRYSKOWY IGOR</t>
  </si>
  <si>
    <t>REA-P7009</t>
  </si>
  <si>
    <t>ZESTAW NATRYSKOWY JACK CZARNY</t>
  </si>
  <si>
    <t>REA-P7008</t>
  </si>
  <si>
    <t>ZESTAW NATRYSKOWY JACK ZŁOTY</t>
  </si>
  <si>
    <t>REA-P7050</t>
  </si>
  <si>
    <t>ZESTAW NATRYSKOWY JACK ZŁOTY SZCZOTKOWANY</t>
  </si>
  <si>
    <t>REA-P9411</t>
  </si>
  <si>
    <t>ZESTAW NATRYSKOWY JET CZARNY TERMOSTAT</t>
  </si>
  <si>
    <t>REA-P7810</t>
  </si>
  <si>
    <t>ZESTAW NATRYSKOWY JS-622711BG ARGON ZŁOTY SZCZOTKO</t>
  </si>
  <si>
    <t>REA-P0223</t>
  </si>
  <si>
    <t>ZESTAW NATRYSKOWY LOFT NEW</t>
  </si>
  <si>
    <t>REA-P0221</t>
  </si>
  <si>
    <t>ZESTAW NATRYSKOWY LUCAS CHROM</t>
  </si>
  <si>
    <t>REA-P9301</t>
  </si>
  <si>
    <t>ZESTAW NATRYSKOWY LUGANO CZARNY</t>
  </si>
  <si>
    <t>REA-P7007</t>
  </si>
  <si>
    <t>ZESTAW NATRYSKOWY LUIS CHROM</t>
  </si>
  <si>
    <t>REA-P7005</t>
  </si>
  <si>
    <t>ZESTAW NATRYSKOWY LUIS CZARNY</t>
  </si>
  <si>
    <t>REA-P7006</t>
  </si>
  <si>
    <t>ZESTAW NATRYSKOWY LUIS ZŁOTY</t>
  </si>
  <si>
    <t>REA-P7051</t>
  </si>
  <si>
    <t>ZESTAW NATRYSKOWY LUIS ZŁOTY SZCZOTKOWANY</t>
  </si>
  <si>
    <t>REA-P8549</t>
  </si>
  <si>
    <t>ZESTAW NATRYSKOWY LUNGO CZARNY TERMOSTAT</t>
  </si>
  <si>
    <t>REA-P6614</t>
  </si>
  <si>
    <t>ZESTAW NATRYSKOWY LUNGO-MILER BIAŁY TERMOSTAT</t>
  </si>
  <si>
    <t>REA-P6715</t>
  </si>
  <si>
    <t>ZESTAW NATRYSKOWY LUNGO-MILER CHROM TERMOSTAT</t>
  </si>
  <si>
    <t>REA-P6713</t>
  </si>
  <si>
    <t>ZESTAW NATRYSKOWY LUNGO-MILER CZARNY TERMOSTAT</t>
  </si>
  <si>
    <t>REA-P6613</t>
  </si>
  <si>
    <t>ZESTAW NATRYSKOWY LUNGO-MILER RÓŻOWE ZŁOTO TERMOST</t>
  </si>
  <si>
    <t>REA-P6716</t>
  </si>
  <si>
    <t>ZESTAW NATRYSKOWY LUNGO-MILER ZŁOTY SZCZO TERMOSTA</t>
  </si>
  <si>
    <t>REA-P6714</t>
  </si>
  <si>
    <t>ZESTAW NATRYSKOWY LUNGO-MILER ZŁOTY TERMOSTAT</t>
  </si>
  <si>
    <t>REA-P8545</t>
  </si>
  <si>
    <t>ZESTAW NATRYSKOWY MARCO CZARNY</t>
  </si>
  <si>
    <t>REA-P8548</t>
  </si>
  <si>
    <t>ZESTAW NATRYSKOWY MARCO ZŁOTY SZCZOTKOWANY</t>
  </si>
  <si>
    <t>REA-P6616</t>
  </si>
  <si>
    <t>ZESTAW NATRYSKOWY MAX CHROM</t>
  </si>
  <si>
    <t>REA-P6615</t>
  </si>
  <si>
    <t>ZESTAW NATRYSKOWY MAX CZARNY</t>
  </si>
  <si>
    <t>REA-P6617</t>
  </si>
  <si>
    <t>ZESTAW NATRYSKOWY MAX ZŁOTY</t>
  </si>
  <si>
    <t>REA-P2411</t>
  </si>
  <si>
    <t>ZESTAW NATRYSKOWY MAXIMUS CHROM</t>
  </si>
  <si>
    <t>REA-P2412</t>
  </si>
  <si>
    <t>ZESTAW NATRYSKOWY MAXIMUS CZARNY</t>
  </si>
  <si>
    <t>REA-P2410</t>
  </si>
  <si>
    <t>ZESTAW NATRYSKOWY MAXIMUS ZŁOTY</t>
  </si>
  <si>
    <t>REA-P2406</t>
  </si>
  <si>
    <t>ZESTAW NATRYSKOWY MELIA BIAŁY/ZŁOTY</t>
  </si>
  <si>
    <t>REA-P0550</t>
  </si>
  <si>
    <t>ZESTAW NATRYSKOWY MIKE CZARNY</t>
  </si>
  <si>
    <t>REA-P0222</t>
  </si>
  <si>
    <t>ZESTAW NATRYSKOWY MILAN CHROM</t>
  </si>
  <si>
    <t>REA-P7000</t>
  </si>
  <si>
    <t>ZESTAW NATRYSKOWY MILAN CZARNY</t>
  </si>
  <si>
    <t>REA-B9976</t>
  </si>
  <si>
    <t>ZESTAW NATRYSKOWY MY1803-77DBR BLADE CZARNY PRZECI</t>
  </si>
  <si>
    <t>REA-P9527</t>
  </si>
  <si>
    <t>ZESTAW NATRYSKOWY MY1805-77CW BLOOM BIAŁY/CHROM</t>
  </si>
  <si>
    <t>REA-P9528</t>
  </si>
  <si>
    <t>ZESTAW NATRYSKOWY MY1805-77G BLOOM ZŁOTY POŁYSK</t>
  </si>
  <si>
    <t>REA-P9529</t>
  </si>
  <si>
    <t>ZESTAW NATRYSKOWY MY1805-77WG BLOOM BIAŁY/ZŁOTY</t>
  </si>
  <si>
    <t>REA-P9532</t>
  </si>
  <si>
    <t>ZESTAW NATRYSKOWY MY1902-77B STORM CZARNY</t>
  </si>
  <si>
    <t>REA-P9530</t>
  </si>
  <si>
    <t>ZESTAW NATRYSKOWY MY1902-77G STORM ZŁOTY</t>
  </si>
  <si>
    <t>REA-P9535</t>
  </si>
  <si>
    <t>ZESTAW NATRYSKOWY MY1902-77GG STORM ZŁOTY SZCZOTKO</t>
  </si>
  <si>
    <t>REA-P9533</t>
  </si>
  <si>
    <t>ZESTAW NATRYSKOWY MY1902-78B STORM CZARNY</t>
  </si>
  <si>
    <t>REA-P9531</t>
  </si>
  <si>
    <t>ZESTAW NATRYSKOWY MY1902-78G STORM ZŁOTY</t>
  </si>
  <si>
    <t>REA-P9536</t>
  </si>
  <si>
    <t>ZESTAW NATRYSKOWY MY1902-78GG STORM ZŁOTY SZCZOTKO</t>
  </si>
  <si>
    <t>REA-P9534</t>
  </si>
  <si>
    <t>ZESTAW NATRYSKOWY MY1902-78H STORM GUN SZARY</t>
  </si>
  <si>
    <t>REA-B9998</t>
  </si>
  <si>
    <t>ZESTAW NATRYSKOWY MY1906-77B SOUL CZARNY</t>
  </si>
  <si>
    <t>REA-P2389</t>
  </si>
  <si>
    <t>ZESTAW NATRYSKOWY MY2021-77B ARGUS CZARNY</t>
  </si>
  <si>
    <t>REA-P7840</t>
  </si>
  <si>
    <t>ZESTAW NATRYSKOWY MY2021-77G ARGUS ZŁOTY POŁYSK</t>
  </si>
  <si>
    <t>REA-P7841</t>
  </si>
  <si>
    <t>ZESTAW NATRYSKOWY MY2021-77GG ARGUS ZŁOTY SZCZOTKO</t>
  </si>
  <si>
    <t>REA-B9968</t>
  </si>
  <si>
    <t>ZESTAW NATRYSKOWY MY2061-77B HASS CZARNY</t>
  </si>
  <si>
    <t>REA-B9972</t>
  </si>
  <si>
    <t>ZESTAW NATRYSKOWY MY2061-77GG HASS ZŁOTY SZCZOTKOW</t>
  </si>
  <si>
    <t>REA-P7843</t>
  </si>
  <si>
    <t>ZESTAW NATRYSKOWY MY2102-78C VENETA CHROM</t>
  </si>
  <si>
    <t>REA-P7842</t>
  </si>
  <si>
    <t>ZESTAW NATRYSKOWY MY2102-78G VENETA ZŁOTY</t>
  </si>
  <si>
    <t>REA-P0802</t>
  </si>
  <si>
    <t>ZESTAW NATRYSKOWY NAVARO CHROM</t>
  </si>
  <si>
    <t>REA-P8463</t>
  </si>
  <si>
    <t>ZESTAW NATRYSKOWY ORIX CHROM + BOX</t>
  </si>
  <si>
    <t>REA-P8465</t>
  </si>
  <si>
    <t>ZESTAW NATRYSKOWY ORIX CZARNY + BOX</t>
  </si>
  <si>
    <t>REA-P8464</t>
  </si>
  <si>
    <t>ZESTAW NATRYSKOWY ORIX ZŁOTY + BOX</t>
  </si>
  <si>
    <t>REA-P2323</t>
  </si>
  <si>
    <t>ZESTAW NATRYSKOWY PAROT ZŁOTY SZCZOTKOWANY TERMOST</t>
  </si>
  <si>
    <t>REA-P8551</t>
  </si>
  <si>
    <t>ZESTAW NATRYSKOWY PODTYN LUNGO ZŁOTY SZCZO TERMOST</t>
  </si>
  <si>
    <t>REA-P4111</t>
  </si>
  <si>
    <t>ZESTAW NATRYSKOWY PODTYNK LUNGO RÓŻOWE ZŁOTO + BOX</t>
  </si>
  <si>
    <t>REA-P9141</t>
  </si>
  <si>
    <t>ZESTAW NATRYSKOWY PODTYNK PARKER ZŁOTY SZCZO + BOX</t>
  </si>
  <si>
    <t>REA-P4800</t>
  </si>
  <si>
    <t>ZESTAW NATRYSKOWY PODTYNK VERSO NIKIEL SZCZO + BOX</t>
  </si>
  <si>
    <t>REA-P4160</t>
  </si>
  <si>
    <t>ZESTAW NATRYSKOWY PODTYNKO LUNGO ZŁOTY SZCZO + BOX</t>
  </si>
  <si>
    <t>REA-P9150</t>
  </si>
  <si>
    <t>ZESTAW NATRYSKOWY PODTYNKO VERSO ZŁOTY SZCZO+ BOX</t>
  </si>
  <si>
    <t>REA-P8550</t>
  </si>
  <si>
    <t>ZESTAW NATRYSKOWY PODTYNKOW LUNGO ZŁOTY TERMOSTAT</t>
  </si>
  <si>
    <t>REA-P8000</t>
  </si>
  <si>
    <t>ZESTAW NATRYSKOWY PODTYNKOWY EXIT CZARNY</t>
  </si>
  <si>
    <t>REA-P2000</t>
  </si>
  <si>
    <t>ZESTAW NATRYSKOWY PODTYNKOWY JS-W018 HYPER CHROM</t>
  </si>
  <si>
    <t>REA-P2002</t>
  </si>
  <si>
    <t>ZESTAW NATRYSKOWY PODTYNKOWY JS-W018B HYPER CZARNY</t>
  </si>
  <si>
    <t>REA-P2001</t>
  </si>
  <si>
    <t>ZESTAW NATRYSKOWY PODTYNKOWY JS-W018G HYPER ZŁOTY</t>
  </si>
  <si>
    <t>REA-P8540</t>
  </si>
  <si>
    <t>ZESTAW NATRYSKOWY PODTYNKOWY LUNGO BIAŁY + BOX</t>
  </si>
  <si>
    <t>REA-P8007</t>
  </si>
  <si>
    <t>ZESTAW NATRYSKOWY PODTYNKOWY LUNGO CHROM + BOX</t>
  </si>
  <si>
    <t>REA-P4100</t>
  </si>
  <si>
    <t>ZESTAW NATRYSKOWY PODTYNKOWY LUNGO CZARNY + BOX</t>
  </si>
  <si>
    <t>REA-P4420</t>
  </si>
  <si>
    <t>ZESTAW NATRYSKOWY PODTYNKOWY LUNGO CZARNY METALICZ</t>
  </si>
  <si>
    <t>REA-P8958</t>
  </si>
  <si>
    <t>ZESTAW NATRYSKOWY PODTYNKOWY LUNGO GRIP TYTAN+ BOX</t>
  </si>
  <si>
    <t>REA-P7999</t>
  </si>
  <si>
    <t>ZESTAW NATRYSKOWY PODTYNKOWY LUNGO MIEDŹ + BOX</t>
  </si>
  <si>
    <t>REA-P8808</t>
  </si>
  <si>
    <t>ZESTAW NATRYSKOWY PODTYNKOWY LUNGO MIEDŹ SZCZ TERM</t>
  </si>
  <si>
    <t>REA-P8809</t>
  </si>
  <si>
    <t>ZESTAW NATRYSKOWY PODTYNKOWY LUNGO MIEDŹ SZCZ+ BOX</t>
  </si>
  <si>
    <t>REA-P4110</t>
  </si>
  <si>
    <t>ZESTAW NATRYSKOWY PODTYNKOWY LUNGO ZŁOTY + BOX</t>
  </si>
  <si>
    <t>REA-P2404</t>
  </si>
  <si>
    <t>ZESTAW NATRYSKOWY PODTYNKOWY MOBY CHROM + BOX</t>
  </si>
  <si>
    <t>REA-P2402</t>
  </si>
  <si>
    <t>ZESTAW NATRYSKOWY PODTYNKOWY MOBY CZARNY + BOX</t>
  </si>
  <si>
    <t>REA-P2405</t>
  </si>
  <si>
    <t>ZESTAW NATRYSKOWY PODTYNKOWY MOBY ZŁOTY + BOX</t>
  </si>
  <si>
    <t>REA-P8415</t>
  </si>
  <si>
    <t>ZESTAW NATRYSKOWY PODTYNKOWY OVAL CHROM + ECO BOX</t>
  </si>
  <si>
    <t>REA-P8467</t>
  </si>
  <si>
    <t>ZESTAW NATRYSKOWY PODTYNKOWY OVAL CZARNY + ECO BOX</t>
  </si>
  <si>
    <t>REA-P8466</t>
  </si>
  <si>
    <t>ZESTAW NATRYSKOWY PODTYNKOWY OVAL ZŁOTY + ECO BOX</t>
  </si>
  <si>
    <t>REA-B1143</t>
  </si>
  <si>
    <t>ZESTAW NATRYSKOWY PODTYNKOWY SERRA CZARNY + BOX</t>
  </si>
  <si>
    <t>REA-B1149</t>
  </si>
  <si>
    <t>ZESTAW NATRYSKOWY PODTYNKOWY SERRA ZŁOTY SZC + BOX</t>
  </si>
  <si>
    <t>REA-P0369</t>
  </si>
  <si>
    <t>ZESTAW NATRYSKOWY PODTYNKOWY SONIC CZARNY + BOX</t>
  </si>
  <si>
    <t>REA-P2415</t>
  </si>
  <si>
    <t>ZESTAW NATRYSKOWY REBEL CHROM</t>
  </si>
  <si>
    <t>REA-P2416</t>
  </si>
  <si>
    <t>ZESTAW NATRYSKOWY REBEL CZARNY</t>
  </si>
  <si>
    <t>REA-P2413</t>
  </si>
  <si>
    <t>ZESTAW NATRYSKOWY REBEL ZŁOTY</t>
  </si>
  <si>
    <t>REA-P2414</t>
  </si>
  <si>
    <t>ZESTAW NATRYSKOWY REBEL ZŁOTY SZCZOTKOWANY</t>
  </si>
  <si>
    <t>REA-P2366</t>
  </si>
  <si>
    <t>ZESTAW NATRYSKOWY RETRO CZARNY PRZECIERANY</t>
  </si>
  <si>
    <t>REA-P6626</t>
  </si>
  <si>
    <t>ZESTAW NATRYSKOWY ROB CHROM TERMOSTAT</t>
  </si>
  <si>
    <t>REA-P6627</t>
  </si>
  <si>
    <t>ZESTAW NATRYSKOWY ROB CZARNY TERMOSTAT</t>
  </si>
  <si>
    <t>REA-P6624</t>
  </si>
  <si>
    <t>ZESTAW NATRYSKOWY ROB NIKIEL SZCZOTKOWANY TERMOSTA</t>
  </si>
  <si>
    <t>REA-P6623</t>
  </si>
  <si>
    <t>ZESTAW NATRYSKOWY ROB ZŁOTY SZCZOTKOWANY TERMOSTAT</t>
  </si>
  <si>
    <t>REA-P6625</t>
  </si>
  <si>
    <t>ZESTAW NATRYSKOWY ROB ZŁOTY TERMOSTAT</t>
  </si>
  <si>
    <t>REA-P8003</t>
  </si>
  <si>
    <t>ZESTAW NATRYSKOWY ROGER CZARNY</t>
  </si>
  <si>
    <t>REA-P0692</t>
  </si>
  <si>
    <t>ZESTAW NATRYSKOWY ROGER ZŁOTY</t>
  </si>
  <si>
    <t>REA-P2408</t>
  </si>
  <si>
    <t>ZESTAW NATRYSKOWY SALTON CHROM</t>
  </si>
  <si>
    <t>REA-P2409</t>
  </si>
  <si>
    <t>ZESTAW NATRYSKOWY SALTON CZARNY</t>
  </si>
  <si>
    <t>REA-P2407</t>
  </si>
  <si>
    <t>ZESTAW NATRYSKOWY SALTON ZŁOTY</t>
  </si>
  <si>
    <t>REA-P8803</t>
  </si>
  <si>
    <t>ZESTAW NATRYSKOWY SANTOS CZARNY</t>
  </si>
  <si>
    <t>REA-P8544</t>
  </si>
  <si>
    <t>ZESTAW NATRYSKOWY SAVIO LED CHROM</t>
  </si>
  <si>
    <t>REA-P8410</t>
  </si>
  <si>
    <t>ZESTAW NATRYSKOWY SAVIO LED CZARNY</t>
  </si>
  <si>
    <t>REA-P8412</t>
  </si>
  <si>
    <t>ZESTAW NATRYSKOWY SAVIO LED TYTAN</t>
  </si>
  <si>
    <t>REA-P5632</t>
  </si>
  <si>
    <t>ZESTAW NATRYSKOWY SOHO BLACK</t>
  </si>
  <si>
    <t>REA-P7100</t>
  </si>
  <si>
    <t>ZESTAW NATRYSKOWY TOM CHROM</t>
  </si>
  <si>
    <t>REA-P7101</t>
  </si>
  <si>
    <t>ZESTAW NATRYSKOWY TOM CZARNY</t>
  </si>
  <si>
    <t>REA-P7102</t>
  </si>
  <si>
    <t>ZESTAW NATRYSKOWY TOM ZŁOTY</t>
  </si>
  <si>
    <t>REA-P5004</t>
  </si>
  <si>
    <t>ZESTAW NATRYSKOWY TOM ZŁOTY SZCZOTKOWANY</t>
  </si>
  <si>
    <t>REA-P9145</t>
  </si>
  <si>
    <t>ZESTAW NATRYSKOWY VERSO CZARNY</t>
  </si>
  <si>
    <t>REA-P9146</t>
  </si>
  <si>
    <t>ZESTAW NATRYSKOWY VERSO ZŁOTY SZCZOTKOWANY</t>
  </si>
  <si>
    <t>REA-P7001</t>
  </si>
  <si>
    <t>ZESTAW NATRYSKOWY VIGO CZARNY</t>
  </si>
  <si>
    <t>REA-P6600</t>
  </si>
  <si>
    <t>ZESTAW NATRYSKOWY VINCENT CZARNY TERMOSTAT</t>
  </si>
  <si>
    <t>REA-P6603</t>
  </si>
  <si>
    <t>ZESTAW NATRYSKOWY VINCENT NIKIEL SZCZOTKOWANY TERM</t>
  </si>
  <si>
    <t>REA-P6602</t>
  </si>
  <si>
    <t>ZESTAW NATRYSKOWY VINCENT ZŁOTY SZCZOTKOWANY TERMO</t>
  </si>
  <si>
    <t>REA-P8005</t>
  </si>
  <si>
    <t>ZESTAW NATRYSKOWY VINCENT ZŁOTY TERMOSTAT</t>
  </si>
  <si>
    <t>REA-P2367</t>
  </si>
  <si>
    <t>ZESTAW NATRYSKOWY VINTAGE CZARNY PRZECIERANY</t>
  </si>
  <si>
    <t>REA-B6440</t>
  </si>
  <si>
    <t>ZESTAW WANNOWY PODTYNKOWY LUNGO BIAŁY + BOX</t>
  </si>
  <si>
    <t>REA-B6990</t>
  </si>
  <si>
    <t>ZESTAW WANNOWY PODTYNKOWY LUNGO CHROM + BOX</t>
  </si>
  <si>
    <t>REA-P6300</t>
  </si>
  <si>
    <t>ZESTAW WANNOWY PODTYNKOWY LUNGO CZARNY + BOX</t>
  </si>
  <si>
    <t>REA-B6930</t>
  </si>
  <si>
    <t>ZESTAW WANNOWY PODTYNKOWY LUNGO RÓŻOWE ZŁOTO + BOX</t>
  </si>
  <si>
    <t>REA-P4563</t>
  </si>
  <si>
    <t>ZESTAW WANNOWY PODTYNKOWY LUNGO ZŁOTY + BOX</t>
  </si>
  <si>
    <t>REA-B7503</t>
  </si>
  <si>
    <t>ZESTAW WANNOWY PODTYNKOWY LUNGO ZŁOTY SZCZOT + BOX</t>
  </si>
  <si>
    <t>ZLE-09084</t>
  </si>
  <si>
    <t>ZLEW ZH4045BS -  LUKE 90</t>
  </si>
  <si>
    <t>ZLE-09035</t>
  </si>
  <si>
    <t>ZLEW ZH4045PVDBLM_3323503PVDB -   LUKE 90 BLACK</t>
  </si>
  <si>
    <t>ZLE-09008</t>
  </si>
  <si>
    <t>ZLEW ZH5045PVDBLM_3323503PVDB - LUKE 100 BLACK</t>
  </si>
  <si>
    <t>ZLE-09011</t>
  </si>
  <si>
    <t>ZLEW ZH5845PVDBLM_3323503PVDB LUKE 110 BLACK METAL</t>
  </si>
  <si>
    <t>ZLE-00133</t>
  </si>
  <si>
    <t>ZLEWOZMYWAK CADDY BIAŁY+ SYFON</t>
  </si>
  <si>
    <t>ZLE-00132</t>
  </si>
  <si>
    <t>ZLEWOZMYWAK CADDY CZARNY+ SYFON</t>
  </si>
  <si>
    <t>ZLE-00134</t>
  </si>
  <si>
    <t>ZLEWOZMYWAK FOX CZARNY + SYFON</t>
  </si>
  <si>
    <t>ZLE-00135</t>
  </si>
  <si>
    <t>ZLEWOZMYWAK FOX CZARNY METALIK+ SYFON</t>
  </si>
  <si>
    <t>ZLE-00105</t>
  </si>
  <si>
    <t>ZLEWOZMYWAK GRANITOWY  RINO BEŻ 52X49+SYFON</t>
  </si>
  <si>
    <t>ZLE-00113</t>
  </si>
  <si>
    <t>ZLEWOZMYWAK GRANITOWY DAG BEŻ 75X44+SYFON</t>
  </si>
  <si>
    <t>ZLE-00111</t>
  </si>
  <si>
    <t>ZLEWOZMYWAK GRANITOWY DAG CZARNY 75X44+SYFON</t>
  </si>
  <si>
    <t>ZLE-00112</t>
  </si>
  <si>
    <t>ZLEWOZMYWAK GRANITOWY DAG CZARNY NAKR.75X44+SYFON</t>
  </si>
  <si>
    <t>HQD5542U1-BS</t>
  </si>
  <si>
    <t>Zlewozmywak granitowy DAVID 50 Biały</t>
  </si>
  <si>
    <t>HQD5542U1-C1</t>
  </si>
  <si>
    <t>HQD5542U7-BS</t>
  </si>
  <si>
    <t>Zlewozmywak granitowy DAVID 50 Czarny</t>
  </si>
  <si>
    <t>HQD5542U7-G1</t>
  </si>
  <si>
    <t>HQD5542U7-C1</t>
  </si>
  <si>
    <t>HQD5542U8-C1</t>
  </si>
  <si>
    <t>Zlewozmywak granitowy DAVID 50 Czarny Metalik z miedzianym korkiem</t>
  </si>
  <si>
    <t>HQD5542U8-BS</t>
  </si>
  <si>
    <t>Zlewozmywak granitowy DAVID 50 Czarny Metalik ze stalowym korkiem</t>
  </si>
  <si>
    <t>HQD5542U8-G1</t>
  </si>
  <si>
    <t>Zlewozmywak granitowy DAVID 50 Czarny Metalik ze złotym korkiem</t>
  </si>
  <si>
    <t>HQD5542U5-G1</t>
  </si>
  <si>
    <t>Zlewozmywak granitowy DAVID 50 Szary Metalik</t>
  </si>
  <si>
    <t>HQD5542U5-C1</t>
  </si>
  <si>
    <t>HCQK5052ST</t>
  </si>
  <si>
    <t>Zlewozmywak granitowy KURT 110 WORKSTATION BEŻ</t>
  </si>
  <si>
    <t>HCQK5052BIK</t>
  </si>
  <si>
    <t>Zlewozmywak granitowy KURT 110 WORKSTATION Biały</t>
  </si>
  <si>
    <t>HCQK5052BLM_PC</t>
  </si>
  <si>
    <t>Zlewozmywak granitowy KURT 110 WORKSTATION Czarny</t>
  </si>
  <si>
    <t>HCQK5052CZK</t>
  </si>
  <si>
    <t>Zlewozmywak granitowy KURT 110 WORKSTATION Czarny Nakrapiany</t>
  </si>
  <si>
    <t>HCQK5052SZK</t>
  </si>
  <si>
    <t>Zlewozmywak granitowy KURT 110 WORKSTATION SZARY Metalik</t>
  </si>
  <si>
    <t>HQJ6045U4_BS_U</t>
  </si>
  <si>
    <t>Zlewozmywak granitowy Logan 100 Beż</t>
  </si>
  <si>
    <t>HQJ6045U4_PVDG1_U</t>
  </si>
  <si>
    <t>HQJ6045U4_PVDC1_U</t>
  </si>
  <si>
    <t>HQJ6045U1_BS_U</t>
  </si>
  <si>
    <t>Zlewozmywak granitowy Logan 100 Biały</t>
  </si>
  <si>
    <t>HQJ6045U1_PVDG1_U</t>
  </si>
  <si>
    <t>HQJ6045U1_PVDC1_U</t>
  </si>
  <si>
    <t>HQJ6045U7_PVDG1_U</t>
  </si>
  <si>
    <t>Zlewozmywak granitowy Logan 100 Czarny</t>
  </si>
  <si>
    <t>HQJ6045U7_PVDC1_U</t>
  </si>
  <si>
    <t>HQJ6045U7_BLM_U</t>
  </si>
  <si>
    <t>HQJ6045U8_BS_U</t>
  </si>
  <si>
    <t>Zlewozmywak granitowy Logan 100 Czarny Metalik</t>
  </si>
  <si>
    <t>HQJ6045U8_PVDG1_U</t>
  </si>
  <si>
    <t>HQJ6045U8_PVDC1_U</t>
  </si>
  <si>
    <t>HQJ6045U5_BS_U</t>
  </si>
  <si>
    <t>Zlewozmywak granitowy Logan 100 Szary Metalik</t>
  </si>
  <si>
    <t>HQJ6045U5_PVDG1_U</t>
  </si>
  <si>
    <t>HQJ6045U5_PVDC1_U</t>
  </si>
  <si>
    <t>HQD7644U4_BS_U</t>
  </si>
  <si>
    <t>Zlewozmywak granitowy Logan 110 Beż</t>
  </si>
  <si>
    <t>HQD7644U4_PVDG1_U</t>
  </si>
  <si>
    <t>HQD7644U4_PVDC1_U</t>
  </si>
  <si>
    <t>HQD7644U1_BS_U</t>
  </si>
  <si>
    <t>Zlewozmywak granitowy Logan 110 Biały</t>
  </si>
  <si>
    <t>HQD7644U1_PVDG1_U</t>
  </si>
  <si>
    <t>HQD7644U1_PVDC1_U</t>
  </si>
  <si>
    <t>HQD7644U7_PVDG1_U</t>
  </si>
  <si>
    <t>Zlewozmywak granitowy Logan 110 Czarny</t>
  </si>
  <si>
    <t>HQD7644U7_PVDC1_U</t>
  </si>
  <si>
    <t>HQD7644U7_BLM_U</t>
  </si>
  <si>
    <t>HQD7644U8_BS_U</t>
  </si>
  <si>
    <t>Zlewozmywak granitowy Logan 110 Czarny Metalik</t>
  </si>
  <si>
    <t>HQD7644U8_PVDG1_U</t>
  </si>
  <si>
    <t>HQD7644U8_PVDC1_U</t>
  </si>
  <si>
    <t>HQD7644U5_BS_U</t>
  </si>
  <si>
    <t>Zlewozmywak granitowy Logan 110 Szary Metalik</t>
  </si>
  <si>
    <t>HQD7644U5_PVDG1_U</t>
  </si>
  <si>
    <t>HQD7644U5_PVDC1_U</t>
  </si>
  <si>
    <t>HCQL5646U4-BS_U</t>
  </si>
  <si>
    <t>Zlewozmywak granitowy Logan 150 Beż</t>
  </si>
  <si>
    <t>HCQL5646U4-G1_U</t>
  </si>
  <si>
    <t>HCQL5646U4-C1_U</t>
  </si>
  <si>
    <t>HCQL5646U1-BS_U</t>
  </si>
  <si>
    <t>Zlewozmywak granitowy Logan 150 Biały</t>
  </si>
  <si>
    <t>HCQL5646U1-G1_U</t>
  </si>
  <si>
    <t>HCQL5646U1-C1_U</t>
  </si>
  <si>
    <t>HCQL5646U7-G1_U</t>
  </si>
  <si>
    <t>Zlewozmywak granitowy Logan 150 Czarny</t>
  </si>
  <si>
    <t>HCQL5646U7-C1_U</t>
  </si>
  <si>
    <t>HCQL5646U7-BLM_U</t>
  </si>
  <si>
    <t>HCQL5646U8-BS_U</t>
  </si>
  <si>
    <t>Zlewozmywak granitowy Logan 150 Czarny Metalik</t>
  </si>
  <si>
    <t>HCQL5646U8-G1_U</t>
  </si>
  <si>
    <t>HCQL5646U8-C1_U</t>
  </si>
  <si>
    <t>HCQL5646U5-BS_U</t>
  </si>
  <si>
    <t>Zlewozmywak granitowy Logan 150 Szary Metalik</t>
  </si>
  <si>
    <t>HCQL5646U5-G1_U</t>
  </si>
  <si>
    <t>HCQL5646U5-C1_U</t>
  </si>
  <si>
    <t>HQM7650U4_BS</t>
  </si>
  <si>
    <t>Zlewozmywak granitowy MARC 110 WORKSTATION beż</t>
  </si>
  <si>
    <t>HQM7650U4_PVDG1</t>
  </si>
  <si>
    <t>HQM7650U4_PVDC1</t>
  </si>
  <si>
    <t>HQM7650U1_BS</t>
  </si>
  <si>
    <t>Zlewozmywak granitowy MARC 110 WORKSTATION biały</t>
  </si>
  <si>
    <t>HQM7650U1_PVDG1</t>
  </si>
  <si>
    <t>HQM7650U1_PVDC1</t>
  </si>
  <si>
    <t>HQM7650U7_BS</t>
  </si>
  <si>
    <t>Zlewozmywak granitowy MARC 110 WORKSTATION Czarny</t>
  </si>
  <si>
    <t>HQM7650U7_PVDG1</t>
  </si>
  <si>
    <t>HQM7650U7_PVDC1</t>
  </si>
  <si>
    <t>HQM7650U8_BS</t>
  </si>
  <si>
    <t>Zlewozmywak granitowy MARC 110 WORKSTATION Czarny Metalik</t>
  </si>
  <si>
    <t>HQM7650U8_PVDG1</t>
  </si>
  <si>
    <t>HQM7650U8_PVDC1</t>
  </si>
  <si>
    <t>HQM7650U5_PVDG1</t>
  </si>
  <si>
    <t>Zlewozmywak granitowy MARC 110 WORKSTATION Szary Metalik</t>
  </si>
  <si>
    <t>HQM7650U5_PVDC1</t>
  </si>
  <si>
    <t>ZLE-00110</t>
  </si>
  <si>
    <t>ZLEWOZMYWAK GRANITOWY NELS BIAŁY 56X46 +SYFON</t>
  </si>
  <si>
    <t>ZLE-00109</t>
  </si>
  <si>
    <t>ZLEWOZMYWAK GRANITOWY NELS CZARNY 56X46 +SYFON</t>
  </si>
  <si>
    <t>ZLE-00114</t>
  </si>
  <si>
    <t>ZLEWOZMYWAK GRANITOWY NELS CZARNY NAKR 56X46+SYFON</t>
  </si>
  <si>
    <t>ZLE-00118</t>
  </si>
  <si>
    <t>ZLEWOZMYWAK GRANITOWY NELS SZARY+SYFON</t>
  </si>
  <si>
    <t>ZLE-00119</t>
  </si>
  <si>
    <t>ZLEWOZMYWAK GRANITOWY NORTH SZARY+ SYFON</t>
  </si>
  <si>
    <t>ZLE-00103</t>
  </si>
  <si>
    <t>ZLEWOZMYWAK GRANITOWY RINO CZARNY 52X49+SYFON</t>
  </si>
  <si>
    <t>ZLE-00104</t>
  </si>
  <si>
    <t>ZLEWOZMYWAK GRANITOWY RINO CZARNY NAKR.52X49+SYFON</t>
  </si>
  <si>
    <t>ZLE-00108</t>
  </si>
  <si>
    <t>ZLEWOZMYWAK GRANITOWY STEN BEŻ 80X48 +SYFON</t>
  </si>
  <si>
    <t>ZLE-00106</t>
  </si>
  <si>
    <t>ZLEWOZMYWAK GRANITOWY STEN CZARNY 80X48 +SYFON</t>
  </si>
  <si>
    <t>ZLE-00107</t>
  </si>
  <si>
    <t>ZLEWOZMYWAK GRANITOWY STEN CZARNY NAKRAP.80X48+SYF</t>
  </si>
  <si>
    <t>ZLE-00115</t>
  </si>
  <si>
    <t>ZLEWOZMYWAK GRANITOWY WEST CZARNY NAKR+ SYFON</t>
  </si>
  <si>
    <t>ZLE-00136</t>
  </si>
  <si>
    <t>ZLEWOZMYWAK GRANITOWY WEST XL CZARNY METALIK+SYFON</t>
  </si>
  <si>
    <t>ZLE-00116</t>
  </si>
  <si>
    <t>ZLEWOZMYWAK GRANITOWY WEST XL CZARNY NAKRAP+SYFON</t>
  </si>
  <si>
    <t>ZLE-00117</t>
  </si>
  <si>
    <t>ZLEWOZMYWAK GRANITOWY WEST XL SZARY+SYFON</t>
  </si>
  <si>
    <t>ZLE-09056</t>
  </si>
  <si>
    <t>ZLEWOZMYWAK HB4050BS - RUSSEL 90</t>
  </si>
  <si>
    <t>ZLE-09032</t>
  </si>
  <si>
    <t>ZLEWOZMYWAK HB4050PVDBSG1 - RUSSEL 90</t>
  </si>
  <si>
    <t>ZLE-09030</t>
  </si>
  <si>
    <t>ZLEWOZMYWAK HB7910BS - RUSSEL 110</t>
  </si>
  <si>
    <t>ZLE-09052</t>
  </si>
  <si>
    <t>ZLEWOZMYWAK HB7910PVDBSC1 - RUSSEL 110 MIEDZIANY</t>
  </si>
  <si>
    <t>ZLE-09007</t>
  </si>
  <si>
    <t>ZLEWOZMYWAK HB7910PVDBSG1 - RUSSEL 110 ZŁOTY</t>
  </si>
  <si>
    <t>ZLE-00969</t>
  </si>
  <si>
    <t>ZLEWOZMYWAK HB7911PVDBSC1 - RUSSEL 116</t>
  </si>
  <si>
    <t>ZLE-09038</t>
  </si>
  <si>
    <t>ZLEWOZMYWAK HB7912PVDBSG1 - RUSSEL 111</t>
  </si>
  <si>
    <t>ZLE-90063</t>
  </si>
  <si>
    <t>ZLEWOZMYWAK HCQK5052BIK - KURT 110 WHITE</t>
  </si>
  <si>
    <t>ZLE-09600</t>
  </si>
  <si>
    <t>ZLEWOZMYWAK HCQK5052BLM_PC- KURT 110 GRANIT</t>
  </si>
  <si>
    <t>ZLE-09010</t>
  </si>
  <si>
    <t>ZLEWOZMYWAK HCQK5052CZK- KURT 110 GRANIT</t>
  </si>
  <si>
    <t>ZLE-09040</t>
  </si>
  <si>
    <t>ZLEWOZMYWAK HCQK5052ST - KURT 110 BEŻ</t>
  </si>
  <si>
    <t>ZLE-09004</t>
  </si>
  <si>
    <t>ZLEWOZMYWAK HCQK5052SZK- KURT 110</t>
  </si>
  <si>
    <t>ZLE-09006</t>
  </si>
  <si>
    <t>ZLEWOZMYWAK HQD5542U1-G1 - DAVID 50 WHITE</t>
  </si>
  <si>
    <t>ZLE-09057</t>
  </si>
  <si>
    <t>ZLEWOZMYWAK HQD5542U5-BS - DAVID 50 GRANIT</t>
  </si>
  <si>
    <t>ZLE-09023</t>
  </si>
  <si>
    <t>ZLEWOZMYWAK HQM7650U5_BS - MARC 110 GRANIT</t>
  </si>
  <si>
    <t>ZLE-00130</t>
  </si>
  <si>
    <t>ZLEWOZMYWAK LIN BIAŁY+ SYFON</t>
  </si>
  <si>
    <t>ZLE-00129</t>
  </si>
  <si>
    <t>ZLEWOZMYWAK LIN CZARNY+ SYFON</t>
  </si>
  <si>
    <t>ZLE-00131</t>
  </si>
  <si>
    <t>ZLEWOZMYWAK LIN SZARY+ SYFON</t>
  </si>
  <si>
    <t>ZLE-06952</t>
  </si>
  <si>
    <t>ZLEWOZMYWAK MF4444PVDBSC1 -  ANTHONY 50 MIEDZIANY</t>
  </si>
  <si>
    <t>ZLE-90024</t>
  </si>
  <si>
    <t>ZLEWOZMYWAK MF4444PVDBSG1 - ANTHONY 50</t>
  </si>
  <si>
    <t>ZLE-09017</t>
  </si>
  <si>
    <t>ZLEWOZMYWAK MF5444BS ANTHONY 60</t>
  </si>
  <si>
    <t>ZLE-09037</t>
  </si>
  <si>
    <t>ZLEWOZMYWAK MF5444PVDBSC1 -  ANTHONY 60 MIEDZIANY</t>
  </si>
  <si>
    <t>ZLE-09039</t>
  </si>
  <si>
    <t>ZLEWOZMYWAK MF5444PVDBSG1 -  ANTHONY 60</t>
  </si>
  <si>
    <t>ZLE-90056</t>
  </si>
  <si>
    <t>ZLEWOZMYWAK MF7444BS - ANTHONY 80</t>
  </si>
  <si>
    <t>ZLE-09069</t>
  </si>
  <si>
    <t>ZLEWOZMYWAK MF7444PVDBSC1 -  ANTHONY 80 MIEDZIANY</t>
  </si>
  <si>
    <t>ZLE-90054</t>
  </si>
  <si>
    <t>ZLEWOZMYWAK MF7444PVDBSG1 - ANTHONY 80</t>
  </si>
  <si>
    <t>ZLE-09014</t>
  </si>
  <si>
    <t>ZLEWOZMYWAK MF76050BS - BURT 110 NIKIEL SZCZOT</t>
  </si>
  <si>
    <t>ZLE-00102</t>
  </si>
  <si>
    <t>ZLEWOZMYWAK NILS BEŻ - ZESTAW</t>
  </si>
  <si>
    <t>ZLE-00100</t>
  </si>
  <si>
    <t>ZLEWOZMYWAK NILS CZARNY NAKRAPIANY - ZESTAW</t>
  </si>
  <si>
    <t>ZLE-00101</t>
  </si>
  <si>
    <t>ZLEWOZMYWAK NILS SZARY METALIK - ZESTAW</t>
  </si>
  <si>
    <t>ZLE-00127</t>
  </si>
  <si>
    <t>ZLEWOZMYWAK NORTH BIAŁY+ SYFON</t>
  </si>
  <si>
    <t>ZLE-00126</t>
  </si>
  <si>
    <t>ZLEWOZMYWAK NORTH CZARNY METALIK+ SYFON</t>
  </si>
  <si>
    <t>ZLE-00125</t>
  </si>
  <si>
    <t>ZLEWOZMYWAK NORTH CZARNY NAKRAPIANY+ SYFON</t>
  </si>
  <si>
    <t>ZLE-00124</t>
  </si>
  <si>
    <t>ZLEWOZMYWAK NORTH CZARNY+ SYFON</t>
  </si>
  <si>
    <t>ZLE-00128</t>
  </si>
  <si>
    <t>ZLEWOZMYWAK NORTH SZARY+ SYFON</t>
  </si>
  <si>
    <t>MF4444PVDBSC1</t>
  </si>
  <si>
    <t>Zlewozmywak stalowy ANTHONY 50 Miedziany</t>
  </si>
  <si>
    <t>MF4444BS</t>
  </si>
  <si>
    <t>Zlewozmywak stalowy ANTHONY 50 Nikiel szczotkowany</t>
  </si>
  <si>
    <t>MF4444PVDBSG1</t>
  </si>
  <si>
    <t>Zlewozmywak stalowy ANTHONY 50 Złoty</t>
  </si>
  <si>
    <t>MF5444PVDBST1</t>
  </si>
  <si>
    <t>Zlewozmywak stalowy ANTHONY 60 Grafitowy</t>
  </si>
  <si>
    <t>MF5444PVDBSC1</t>
  </si>
  <si>
    <t>Zlewozmywak stalowy ANTHONY 60 Miedziany</t>
  </si>
  <si>
    <t>MF5444BS</t>
  </si>
  <si>
    <t>Zlewozmywak stalowy ANTHONY 60 Nikiel szczotkowany</t>
  </si>
  <si>
    <t>MF5444PVDBSG1</t>
  </si>
  <si>
    <t>Zlewozmywak stalowy ANTHONY 60 Złoty</t>
  </si>
  <si>
    <t>MF7444PVDBSC1</t>
  </si>
  <si>
    <t>Zlewozmywak stalowy ANTHONY 80 Miedziany</t>
  </si>
  <si>
    <t>MF7444BS</t>
  </si>
  <si>
    <t>Zlewozmywak stalowy ANTHONY 80 Nikiel szczotkowany</t>
  </si>
  <si>
    <t>MF7444PVDBSG1</t>
  </si>
  <si>
    <t>Zlewozmywak stalowy ANTHONY 80 Złoty</t>
  </si>
  <si>
    <t>MF76050BS</t>
  </si>
  <si>
    <t>Zlewozmywak stalowy BURT 110 WORKSTATION Nikiel szczotkowany</t>
  </si>
  <si>
    <t>ZH5045PVDBLM</t>
  </si>
  <si>
    <t>Zlewozmywak stalowy LUKE 100 Czarny</t>
  </si>
  <si>
    <t>ZH5045PVDBLM_3323503PVDBLM</t>
  </si>
  <si>
    <t>Zlewozmywak stalowy LUKE 100 Czarny z baterią kuchenną</t>
  </si>
  <si>
    <t>ZH5045BS</t>
  </si>
  <si>
    <t>Zlewozmywak stalowy LUKE 100 Nikiel szczotkowany</t>
  </si>
  <si>
    <t>ZH5045BS_3323503BL</t>
  </si>
  <si>
    <t>Zlewozmywak stalowy LUKE 100 Nikiel szczotkowany z baterią kuchenną</t>
  </si>
  <si>
    <t>ZH5845PVDBLM</t>
  </si>
  <si>
    <t>Zlewozmywak stalowy LUKE 110 WORKSTATION Czarny</t>
  </si>
  <si>
    <t>ZH5845PVDBLM_3323503PVDBLM</t>
  </si>
  <si>
    <t>Zlewozmywak stalowy LUKE 110 WORKSTATION Czarny z baterią kuchenną</t>
  </si>
  <si>
    <t>ZH5845BS</t>
  </si>
  <si>
    <t>Zlewozmywak stalowy LUKE 110 WORKSTATION Nikiel szczotkowany</t>
  </si>
  <si>
    <t>ZH5845BS_3323503BL</t>
  </si>
  <si>
    <t>Zlewozmywak stalowy LUKE 110 WORKSTATION Nikiel szczotkowany z baterią kuchenną</t>
  </si>
  <si>
    <t>ZH6048PVDBLM</t>
  </si>
  <si>
    <t>Zlewozmywak stalowy LUKE 116 Czarny</t>
  </si>
  <si>
    <t>ZH6048PVDBLM_3323503PVDBLM</t>
  </si>
  <si>
    <t>Zlewozmywak stalowy LUKE 116 Czarny z baterią kuchenną</t>
  </si>
  <si>
    <t>ZH6048BS</t>
  </si>
  <si>
    <t>Zlewozmywak stalowy LUKE 116 Nikiel szczotkowany</t>
  </si>
  <si>
    <t>ZH6048BS_3323503BL</t>
  </si>
  <si>
    <t>Zlewozmywak stalowy LUKE 116 Nikiel szczotkowany z baterią kuchenną</t>
  </si>
  <si>
    <t>ZH4045PVDBLM</t>
  </si>
  <si>
    <t>Zlewozmywak stalowy LUKE 90 czarny</t>
  </si>
  <si>
    <t>ZH4045PVDBLM_3323503PVDBLM</t>
  </si>
  <si>
    <t>Zlewozmywak stalowy LUKE 90 czarny z baterią kuchenną</t>
  </si>
  <si>
    <t>ZH4045BS</t>
  </si>
  <si>
    <t>Zlewozmywak stalowy LUKE 90 Nikiel szczotkowany</t>
  </si>
  <si>
    <t>ZH4045BS_3323503BL</t>
  </si>
  <si>
    <t>Zlewozmywak stalowy LUKE 90 Nikiel szczotkowany z baterią kuchenną</t>
  </si>
  <si>
    <t>HB7910PVDBSC1</t>
  </si>
  <si>
    <t>Zlewozmywak stalowy RUSSEL 110 Miedziany</t>
  </si>
  <si>
    <t>HB7910BS</t>
  </si>
  <si>
    <t>Zlewozmywak stalowy RUSSEL 110 Nikiel szczotkowany</t>
  </si>
  <si>
    <t>HB7910PVDBSG1</t>
  </si>
  <si>
    <t>Zlewozmywak stalowy RUSSEL 110 Złoty</t>
  </si>
  <si>
    <t>HB7912PVDBSC1</t>
  </si>
  <si>
    <t>Zlewozmywak stalowy RUSSEL 111 Miedziany</t>
  </si>
  <si>
    <t>HB7912BS</t>
  </si>
  <si>
    <t>Zlewozmywak stalowy RUSSEL 111 Nikiel szczotkowany lewy</t>
  </si>
  <si>
    <t>HB7912-RBS</t>
  </si>
  <si>
    <t>Zlewozmywak stalowy RUSSEL 111 Nikiel szczotkowany prawy</t>
  </si>
  <si>
    <t>HB7912PVDBSG1</t>
  </si>
  <si>
    <t>Zlewozmywak stalowy RUSSEL 111 Złoty</t>
  </si>
  <si>
    <t>HB7911PVDBSC1</t>
  </si>
  <si>
    <t>Zlewozmywak stalowy RUSSEL 116 Miedziany</t>
  </si>
  <si>
    <t>HB7911BS</t>
  </si>
  <si>
    <t>Zlewozmywak stalowy RUSSEL 116 Nikiel szczotkowany lewy</t>
  </si>
  <si>
    <t>HB7911-RBS</t>
  </si>
  <si>
    <t>Zlewozmywak stalowy RUSSEL 116 Nikiel szczotkowany prawy</t>
  </si>
  <si>
    <t>HB7911PVDBSG1</t>
  </si>
  <si>
    <t>Zlewozmywak stalowy RUSSEL 116 Złoty</t>
  </si>
  <si>
    <t>HB4050PVDBSC1</t>
  </si>
  <si>
    <t>Zlewozmywak stalowy RUSSEL 90 Miedziany</t>
  </si>
  <si>
    <t>HB4050BS</t>
  </si>
  <si>
    <t>Zlewozmywak stalowy RUSSEL 90 Nikiel szczotkowany</t>
  </si>
  <si>
    <t>HB4050PVDBSG1</t>
  </si>
  <si>
    <t>Zlewozmywak stalowy RUSSEL 90 Złoty</t>
  </si>
  <si>
    <t>ZLE-00123</t>
  </si>
  <si>
    <t>ZLEWOZMYWAK WEST BIAŁY+ SYFON</t>
  </si>
  <si>
    <t>ZLE-00121</t>
  </si>
  <si>
    <t>ZLEWOZMYWAK WEST CZARNY METALIK + SYFON</t>
  </si>
  <si>
    <t>ZLE-00120</t>
  </si>
  <si>
    <t>ZLEWOZMYWAK WEST CZARNY+ SYFON</t>
  </si>
  <si>
    <t>ZLE-00122</t>
  </si>
  <si>
    <t>ZLEWOZMYWAK WEST SZARY+ SYFON</t>
  </si>
  <si>
    <t>ZLE-09012</t>
  </si>
  <si>
    <t>ZLEWOZMYWAK ZH4045BS_3323503BL -  LUKE 90 STAL</t>
  </si>
  <si>
    <t>ZLE-09000</t>
  </si>
  <si>
    <t>ZLEWOZMYWAK ZH4045PVDBLM - LUKE 90 BLACK</t>
  </si>
  <si>
    <t>ZLE-09005</t>
  </si>
  <si>
    <t>ZLEWOZMYWAK ZH5045BS - LUKE 100</t>
  </si>
  <si>
    <t>ZLE-09001</t>
  </si>
  <si>
    <t>ZLEWOZMYWAK ZH5045BS_3323503BL LUKE 100 STAL</t>
  </si>
  <si>
    <t>ZLE-09015</t>
  </si>
  <si>
    <t>ZLEWOZMYWAK ZH5045PVDBLM - LUKE 100 BLACK</t>
  </si>
  <si>
    <t>ZLE-09022</t>
  </si>
  <si>
    <t>ZLEWOZMYWAK ZH5845BS LUKE 110 WORKSTATION STAL</t>
  </si>
  <si>
    <t>ZLE-09009</t>
  </si>
  <si>
    <t>ZLEWOZMYWAK ZH5845BS_3323503BL - LUKE 110 STAL</t>
  </si>
  <si>
    <t>ZLE-09003</t>
  </si>
  <si>
    <t>ZLEWOZMYWAK ZH5845PVDBLM - LUKE 110 BLACK METAL</t>
  </si>
  <si>
    <t>ZLE-09013</t>
  </si>
  <si>
    <t>ZLEWOZMYWAK ZH6048BS - LUKE 116</t>
  </si>
  <si>
    <t>ZLE-09029</t>
  </si>
  <si>
    <t>ZLEWOZMYWAK ZH6048BS_3323503BL - LUKE 116 STAL</t>
  </si>
  <si>
    <t>ZLE-09633</t>
  </si>
  <si>
    <t>ZLEWOZMYWAK ZH6048PVDBLM_3323503PVDB - LUKE 116</t>
  </si>
  <si>
    <t>REA-47005</t>
  </si>
  <si>
    <t>PÓŁKA ŁAZIENKOWA SF07 BRUSH</t>
  </si>
  <si>
    <t>REA-06013</t>
  </si>
  <si>
    <t>PÓŁKA ŁAZIENKOWA SF07-BG BRUSH GOLD</t>
  </si>
  <si>
    <t>REA-06012</t>
  </si>
  <si>
    <t>PÓŁKA ŁAZIENKOWA SF07-B BLACK</t>
  </si>
  <si>
    <t>REA-47004</t>
  </si>
  <si>
    <t>PÓŁKA ŁAZIENKOWA SF04-600 BRUSH</t>
  </si>
  <si>
    <t>REA-06005</t>
  </si>
  <si>
    <t>PÓŁKA ŁAZIENKOWA SF04-600-BG BRUSH GOLD</t>
  </si>
  <si>
    <t>REA-06004</t>
  </si>
  <si>
    <t>PÓŁKA ŁAZIENKOWA SF04-600-B BLACK</t>
  </si>
  <si>
    <t>REA-47003</t>
  </si>
  <si>
    <t>PÓŁKA ŁAZIENKOWA SF03-600 BRUSH</t>
  </si>
  <si>
    <t>REA-06009</t>
  </si>
  <si>
    <t>PÓŁKA ŁAZIENKOWA SF03-600-BG BRUSH GOLD</t>
  </si>
  <si>
    <t>REA-06008</t>
  </si>
  <si>
    <t>PÓŁKA ŁAZIENKOWA SF03-600-B BLACK</t>
  </si>
  <si>
    <t>REA-47002</t>
  </si>
  <si>
    <t>PÓŁKA ŁAZIENKOWA SF03-450 BRUSH</t>
  </si>
  <si>
    <t>REA-06007</t>
  </si>
  <si>
    <t>PÓŁKA ŁAZIENKOWA SF03-450-BG BRUSH GOLD</t>
  </si>
  <si>
    <t>REA-06006</t>
  </si>
  <si>
    <t>PÓŁKA ŁAZIENKOWA SF03-450-B BLACK</t>
  </si>
  <si>
    <t>REA-47001</t>
  </si>
  <si>
    <t>PÓŁKA ŁAZIENKOWA SF02-600 BRUSH</t>
  </si>
  <si>
    <t>REA-06011</t>
  </si>
  <si>
    <t>PÓŁKA ŁAZIENKOWA SF02-600-BG BRUSH GOLD</t>
  </si>
  <si>
    <t>REA-06010</t>
  </si>
  <si>
    <t>PÓŁKA ŁAZIENKOWA SF02-600-B BLACK</t>
  </si>
  <si>
    <t>REA-47000</t>
  </si>
  <si>
    <t>PÓŁKA ŁAZIENKOWA SF01-450 BRUSH</t>
  </si>
  <si>
    <t>REA-06001</t>
  </si>
  <si>
    <t>PÓŁKA ŁAZIENKOWA SF01-450-BG BRUSH GOLD</t>
  </si>
  <si>
    <t>REA-06000</t>
  </si>
  <si>
    <t>PÓŁKA ŁAZIENKOWA SF01-450-B BLACK</t>
  </si>
  <si>
    <t>REA-B7596</t>
  </si>
  <si>
    <t>BATERIA KUCHENNA ECO FRESH ZŁOTA SZCZOTKOWANA</t>
  </si>
  <si>
    <t>REA-G4811</t>
  </si>
  <si>
    <t>ODPŁYW NEOX SLIM PRO SZCZOTKOWANY 900</t>
  </si>
  <si>
    <t>REA-G4810</t>
  </si>
  <si>
    <t>ODPŁYW NEOX SLIM PRO SZCZOTKOWANY 700</t>
  </si>
  <si>
    <t>REA-G4809</t>
  </si>
  <si>
    <t>ODPŁYW NEOX SLIM PRO MIEDŹ SZCZOTKOWANA 1000</t>
  </si>
  <si>
    <t>REA-G4808</t>
  </si>
  <si>
    <t>ODPŁYW NEOX SLIM PRO MIEDŹ SZCZOTKOWANA 900</t>
  </si>
  <si>
    <t>REA-G4807</t>
  </si>
  <si>
    <t>ODPŁYW NEOX SLIM PRO MIEDŹ SZCZOTKOWANA 800</t>
  </si>
  <si>
    <t>REA-G4806</t>
  </si>
  <si>
    <t>ODPŁYW NEOX SLIM PRO MIEDŹ SZCZOTKOWANA 700</t>
  </si>
  <si>
    <t>REA-G4805</t>
  </si>
  <si>
    <t>ODPŁYW NEOX SLIM PRO MIEDŹ SZCZOTKOWANA 600</t>
  </si>
  <si>
    <t>REA-G4804</t>
  </si>
  <si>
    <t>ODPŁYW NEOX PRO MIEDŹ SZCZOTKOWANA 1000</t>
  </si>
  <si>
    <t>REA-G4803</t>
  </si>
  <si>
    <t>ODPŁYW NEOX PRO MIEDŹ SZCZOTKOWANA 900</t>
  </si>
  <si>
    <t>REA-G4802</t>
  </si>
  <si>
    <t>ODPŁYW NEOX PRO MIEDŹ SZCZOTKOWANA 800</t>
  </si>
  <si>
    <t>REA-G4801</t>
  </si>
  <si>
    <t>ODPŁYW NEOX PRO MIEDŹ SZCZOTKOWANA 700</t>
  </si>
  <si>
    <t>REA-G4800</t>
  </si>
  <si>
    <t>ODPŁYW NEOX PRO MIEDŹ SZCZOTKOWANA 600</t>
  </si>
  <si>
    <t>REA-U9237</t>
  </si>
  <si>
    <t>UMYWALKA SOFIA MINI GRIGIO - NABLATOWA</t>
  </si>
  <si>
    <t>REA-P0897</t>
  </si>
  <si>
    <t>ZESTAW NATRYSKOWY PEDRO CZARNY</t>
  </si>
  <si>
    <t>REA-P0896</t>
  </si>
  <si>
    <t>ZESTAW NATRYSKOWY PEDRO TYTAN</t>
  </si>
  <si>
    <t>REA-P0890</t>
  </si>
  <si>
    <t>ZESTAW NATRYSKOWY BARI TYTAN</t>
  </si>
  <si>
    <t>REA-P0891</t>
  </si>
  <si>
    <t>ZESTAW NATRYSKOWY BARI CZARNY</t>
  </si>
  <si>
    <t>REA-P0895</t>
  </si>
  <si>
    <t>ZESTAW NATRYSKOWY BARI BIAŁY</t>
  </si>
  <si>
    <t>ZLE-06000</t>
  </si>
  <si>
    <t>ZLEWOZMYWAK LEO 40 BRUSH SS</t>
  </si>
  <si>
    <t>ZLE-06001</t>
  </si>
  <si>
    <t>ZLEWOZMYWAK LEO 40 BRUSH GOLD</t>
  </si>
  <si>
    <t>ZLE-06002</t>
  </si>
  <si>
    <t>ZLEWOZMYWAK LEO 40 BLACK</t>
  </si>
  <si>
    <t>ZLE-06003</t>
  </si>
  <si>
    <t>ZLEWOZMYWAK LEO 50 BRUSH SS</t>
  </si>
  <si>
    <t>ZLE-06004</t>
  </si>
  <si>
    <t>ZLEWOZMYWAK LEO 50 BRUSH GOLD</t>
  </si>
  <si>
    <t>ZLE-06005</t>
  </si>
  <si>
    <t>ZLEWOZMYWAK LEO 50 BLACK</t>
  </si>
  <si>
    <t>ZLE-06006</t>
  </si>
  <si>
    <t>ZLEWOZMYWAK LIAM BRUSH SS</t>
  </si>
  <si>
    <t>ZLE-06007</t>
  </si>
  <si>
    <t>ZLEWOZMYWAK LIAM BRUSH GOLD</t>
  </si>
  <si>
    <t>ZLE-06008</t>
  </si>
  <si>
    <t>ZLEWOZMYWAK LIAM BLACK</t>
  </si>
  <si>
    <t>ZLE-06009</t>
  </si>
  <si>
    <t>ZLEWOZMYWAK PAUL BRUSH SS</t>
  </si>
  <si>
    <t>ZLE-06010</t>
  </si>
  <si>
    <t>ZLEWOZMYWAK PAUL BRUSH GOLD</t>
  </si>
  <si>
    <t>ZLE-06011</t>
  </si>
  <si>
    <t>ZLEWOZMYWAK PAUL BLACK</t>
  </si>
  <si>
    <t>ZLE-06012</t>
  </si>
  <si>
    <t>ZLEWOZMYWAK FIN BRUSH SS</t>
  </si>
  <si>
    <t>ZLE-06013</t>
  </si>
  <si>
    <t>ZLEWOZMYWAK FIN BRUSH GOLD</t>
  </si>
  <si>
    <t>ZLE-06014</t>
  </si>
  <si>
    <t>ZLEWOZMYWAK FIN BLACK</t>
  </si>
  <si>
    <t>REA-U4700</t>
  </si>
  <si>
    <t>UMYWALKA BELINDA MINI TRAVERTINE MATT - NABLATOWA</t>
  </si>
  <si>
    <t>REA-W9803</t>
  </si>
  <si>
    <t>WANNA CAPRI 160</t>
  </si>
  <si>
    <t>REA-P4880</t>
  </si>
  <si>
    <t>ZESTAW NATRYSKOWY KARL TYTAN</t>
  </si>
  <si>
    <t>REA-B6102</t>
  </si>
  <si>
    <t>BATERIA UMYWALKOWA LUNGIS TYTAN WYSOKA</t>
  </si>
  <si>
    <t>REA-B6101</t>
  </si>
  <si>
    <t>BATERIA UMYWALKOWA LUNGIS ZŁOTA SZCZOTKOWA WYSOKA</t>
  </si>
  <si>
    <t>REA-B6100</t>
  </si>
  <si>
    <t>BATERIA UMYWALKOWA LUNGIS CHROM WYSOKA</t>
  </si>
  <si>
    <t>REA-P4881</t>
  </si>
  <si>
    <t>ZESTAW NATRYSKOWY MY1902-77C STORM CHROM</t>
  </si>
  <si>
    <t>REA-P4882</t>
  </si>
  <si>
    <t>ZESTAW NATRYSKOWY MY1902-78C STORM CHROM</t>
  </si>
  <si>
    <t>REA-B6389</t>
  </si>
  <si>
    <t>BATERIA WANNOWA MY1805-3G BLOOM ZŁOTA</t>
  </si>
  <si>
    <t>REA-U4702</t>
  </si>
  <si>
    <t>UMYWALKA SUE TRANSPARENT - NABLATOWA</t>
  </si>
  <si>
    <t>REA-U4701</t>
  </si>
  <si>
    <t>UMYWALKA NICOLE TRANSPARENT  - NABLATOWA</t>
  </si>
  <si>
    <t>IMP-00001</t>
  </si>
  <si>
    <t>ZESTAW HYDRO FIXER - SHOWER PLUS</t>
  </si>
  <si>
    <t>REA-B7963</t>
  </si>
  <si>
    <t>BATERIA WANNOWA MY1902-3GG STORM ZŁOTA SZCZOTKOWAN</t>
  </si>
  <si>
    <t>REA-B7962</t>
  </si>
  <si>
    <t>BATERIA UMYWA MY1902-21GG STORM ZŁOTA SZCZO WYSOKA</t>
  </si>
  <si>
    <t>REA-B7961</t>
  </si>
  <si>
    <t>BATERIA BIDETOWA MY1902-9GG STORM ZŁOTA SZCZOTKOWA</t>
  </si>
  <si>
    <t>REA-B7960</t>
  </si>
  <si>
    <t>BATERIA UMYWAL MY1902-2GG STORM ZŁOTA SZCZO NISKA</t>
  </si>
  <si>
    <t>REA-K9514</t>
  </si>
  <si>
    <t>KABINA SOLAR BRUSH COPPER 90x120</t>
  </si>
  <si>
    <t>REA-K9513</t>
  </si>
  <si>
    <t>KABINA SOLAR BRUSH COPPER 80x100</t>
  </si>
  <si>
    <t>REA-K9512</t>
  </si>
  <si>
    <t>KABINA SOLAR BRUSH COPPER 90x90</t>
  </si>
  <si>
    <t>REA-K9511</t>
  </si>
  <si>
    <t>KABINA SOLAR BRUSH GOLD 90x120</t>
  </si>
  <si>
    <t>REA-K9509</t>
  </si>
  <si>
    <t>KABINA SOLAR BRUSH GOLD 80x100</t>
  </si>
  <si>
    <t>REA-K9500</t>
  </si>
  <si>
    <t>KABINA SOLAR BRUSH GOLD 90x90</t>
  </si>
  <si>
    <t>REA-C4800</t>
  </si>
  <si>
    <t>WC - CARLO MINI TORNADO/DUR/FLAT/ZM WHITE GOLD EDG</t>
  </si>
  <si>
    <t>MCA-00012</t>
  </si>
  <si>
    <t>SYFON UMYWALKOWY HC1L</t>
  </si>
  <si>
    <t>REA-U9239</t>
  </si>
  <si>
    <t>UMYWALKA NADIA 60 MARRONE - NABLATOWA</t>
  </si>
  <si>
    <t>REA-U9238</t>
  </si>
  <si>
    <t>UMYWALKA SOFIA MINI KASHMIR - NABLATOWA</t>
  </si>
  <si>
    <t>REA-U9236</t>
  </si>
  <si>
    <t>UMYWALKA SOFIA MINI CLOUDY - NABLATOWA</t>
  </si>
  <si>
    <t>REA-U9242</t>
  </si>
  <si>
    <t>UMYWALKA ALTEA CLOUDY - NABLATOWA</t>
  </si>
  <si>
    <t>REA-P8699</t>
  </si>
  <si>
    <t>ZESTAW NATRYSKOWY AVALON CHROM</t>
  </si>
  <si>
    <t>REA-C4803</t>
  </si>
  <si>
    <t>WC - JULIO RIMLESS</t>
  </si>
  <si>
    <t>REA-C4801</t>
  </si>
  <si>
    <t>WC - CARTER TORNADO</t>
  </si>
  <si>
    <t>REA-C4802</t>
  </si>
  <si>
    <t>WC - RICHARD</t>
  </si>
  <si>
    <t>REA-B1178</t>
  </si>
  <si>
    <t>BATERIA UMYWALKOWA AVALON CHROM NISKA</t>
  </si>
  <si>
    <t>REA-B1156</t>
  </si>
  <si>
    <t>BATERIA WANNOWA AVALON CHROM</t>
  </si>
  <si>
    <t>REA-P2418</t>
  </si>
  <si>
    <t>ZESTAW NATRYSKOWY AVALON MIEDŹ SZCZOTKOWANA</t>
  </si>
  <si>
    <t>REA-E0051</t>
  </si>
  <si>
    <t>PRZYCISK DO STELAŻA PODTYNKOWEGO T GLASS BLACK</t>
  </si>
  <si>
    <t>REA-E0052</t>
  </si>
  <si>
    <t>PRZYCISK DO STELAŻA PODTYNKOWEGO T GLASS WHITE</t>
  </si>
  <si>
    <t>REA-E0053</t>
  </si>
  <si>
    <t>PRZYCISK DO STELAŻA PODTYNKO T STEEL BRUSH COPPPER</t>
  </si>
  <si>
    <t>REA-E0055</t>
  </si>
  <si>
    <t>PRZYCISK DO STELAŻA PODTYNKOWEG T STEEL BRUSH GOLD</t>
  </si>
  <si>
    <t>REA-E0056</t>
  </si>
  <si>
    <t>PRZYCISK DO STELAŻA PODTYNKOWEGO T STEEL BLACK</t>
  </si>
  <si>
    <t>REA-E0057</t>
  </si>
  <si>
    <t>PRZYCISK DO STELAŻA PODTYNKOWEGO T STEEL BRUSH</t>
  </si>
  <si>
    <t>REA-E0054</t>
  </si>
  <si>
    <t>STELAŻ PODTYNKOWY WC K011A-Q</t>
  </si>
  <si>
    <t>REA-B0494</t>
  </si>
  <si>
    <t>BATERIA WANNOWA RIVEN ZŁOTA SZCZOTKOWANA</t>
  </si>
  <si>
    <t>REA-B9098</t>
  </si>
  <si>
    <t>WYLEWKA Z PERLATOREM DO FRESH CZARNA</t>
  </si>
  <si>
    <t>REA-B9099</t>
  </si>
  <si>
    <t>WYLEWKA Z PERLATOREM DO FRESH NIKIEL SZCZOTKOWANY</t>
  </si>
  <si>
    <t>REA-B9095</t>
  </si>
  <si>
    <t>WYLEWKA Z PERLATOREM DO FRESH ZŁOTA SZCZOTKOWANA</t>
  </si>
  <si>
    <t>REA-B9096</t>
  </si>
  <si>
    <t>WYLEWKA Z PERLATOREM DO COLIN CZARNA</t>
  </si>
  <si>
    <t>REA-B9097</t>
  </si>
  <si>
    <t>WYLEWKA Z PERLATOREM DO COLIN NIKIEL SZCZOTKOWANY</t>
  </si>
  <si>
    <t>REA-B0492</t>
  </si>
  <si>
    <t>BATERIA WANNOWA AVALON MIEDŹ SZCZOTKOWANA</t>
  </si>
  <si>
    <t>REA-B0493</t>
  </si>
  <si>
    <t>BATERIA UMYWALKOWA AVALON MIEDŹ SZCZOTKOWAN WYSOKA</t>
  </si>
  <si>
    <t>comp. 1
SKU</t>
  </si>
  <si>
    <t>comp. 2
SKU</t>
  </si>
  <si>
    <t>comp. 3
SKU</t>
  </si>
  <si>
    <t>comp. 4
SKU</t>
  </si>
  <si>
    <t>comp. 5
SKU</t>
  </si>
  <si>
    <t>KPL-K2521</t>
  </si>
  <si>
    <t>KABINA NAROŻNA MONTANA 140x100 ZŁOTA SZCZOTKOWANA</t>
  </si>
  <si>
    <t>KPL-K2520</t>
  </si>
  <si>
    <t>KABINA NAROŻNA MONTANA 140x90 ZŁOTA SZCZOTKOWANA</t>
  </si>
  <si>
    <t>KPL-K2519</t>
  </si>
  <si>
    <t>KABINA NAROŻNA MONTANA 140x80 ZŁOTA SZCZOTKOWANA</t>
  </si>
  <si>
    <t>KPL-K2518</t>
  </si>
  <si>
    <t>KABINA NAROŻNA MONTANA 130x100 ZŁOTA SZCZOTKOWANA</t>
  </si>
  <si>
    <t>KPL-K2517</t>
  </si>
  <si>
    <t>KABINA NAROŻNA MONTANA 130x90 ZŁOTA SZCZOTKOWANA</t>
  </si>
  <si>
    <t>KPL-K2516</t>
  </si>
  <si>
    <t>KABINA NAROŻNA MONTANA 130x80 ZŁOTA SZCZOTKOWANA</t>
  </si>
  <si>
    <t>KPL-K2515</t>
  </si>
  <si>
    <t>KABINA NAROŻNA MONTANA 110x100 ZŁOTA SZCZOTKOWANA</t>
  </si>
  <si>
    <t>KPL-K2514</t>
  </si>
  <si>
    <t>KABINA NAROŻNA MONTANA 110x90 ZŁOTA SZCZOTKOWANA</t>
  </si>
  <si>
    <t>KPL-K2513</t>
  </si>
  <si>
    <t>KABINA NAROŻNA MONTANA 110x80 ZŁOTA SZCZOTKOWANA</t>
  </si>
  <si>
    <t>KPL-K6402</t>
  </si>
  <si>
    <t>DRZWI MONTANA 110 GOLD BRUSH + LISTWA MAGN.</t>
  </si>
  <si>
    <t>KPL-K6401</t>
  </si>
  <si>
    <t>DRZWI MONTANA 140 GOLD BRUSH + LISTWA MAGN.</t>
  </si>
  <si>
    <t>KPL-K6400</t>
  </si>
  <si>
    <t>DRZWI MONTANA 130 GOLD BRUSH + LISTWA MAGN.</t>
  </si>
  <si>
    <t>KPL-K6389</t>
  </si>
  <si>
    <t>DRZWI MONTANA 100 GOLD BRUSH + LISTWA MAGN.</t>
  </si>
  <si>
    <t>KPL-K6388</t>
  </si>
  <si>
    <t>DRZWI MONTANA 120 GOLD BRUSH + LISTWA MAGN.</t>
  </si>
  <si>
    <t>KPL-K2512</t>
  </si>
  <si>
    <t>KABINA NAROŻNA MONTANA 120x80 ZŁOTA SZCZOTKOWANA</t>
  </si>
  <si>
    <t>KPL-K2511</t>
  </si>
  <si>
    <t>KABINA NAROŻNA MONTANA 120x90 ZŁOTA SZCZOTKOWANA</t>
  </si>
  <si>
    <t>KPL-K2510</t>
  </si>
  <si>
    <t>KABINA NAROŻNA MONTANA 120x100 ZŁOTA SZCZOTKOWANA</t>
  </si>
  <si>
    <t>KPL-K2509</t>
  </si>
  <si>
    <t>KABINA NAROŻNA MONTANA 100x100 ZŁOTA SZCZOTKOWANA</t>
  </si>
  <si>
    <t>KPL-K2508</t>
  </si>
  <si>
    <t>KABINA NAROŻNA MONTANA 100x90 ZŁOTA SZCZOTKOWANA</t>
  </si>
  <si>
    <t>KPL-K2507</t>
  </si>
  <si>
    <t>KABINA NAROŻNA MONTANA 100x80 ZŁOTA SZCZOTKOWANA</t>
  </si>
  <si>
    <t>KPL-C1400</t>
  </si>
  <si>
    <t>ZESTAW WC CARTER RIMLESS SLIM + BIDET CARTER MINI</t>
  </si>
  <si>
    <t>KPL-K6447</t>
  </si>
  <si>
    <t>KABINA CITY BRUSH GOLD+ BRODZIK SAVOY BLACK 80x80</t>
  </si>
  <si>
    <t>KPL-02525</t>
  </si>
  <si>
    <t>KABINA PRZYŚCIENNA RAPID SWING BRUSH GOLD 100x100</t>
  </si>
  <si>
    <t>KPL-02524</t>
  </si>
  <si>
    <t>KABINA PRZYŚCIENNA RAPID SWING BRUSH GOLD 100x90</t>
  </si>
  <si>
    <t>KPL-02523</t>
  </si>
  <si>
    <t>KABINA PRZYŚCIENNA RAPID SWING BRUSH GOLD 100x80</t>
  </si>
  <si>
    <t>KPL-02522</t>
  </si>
  <si>
    <t>KABINA PRZYŚCIENNA RAPID SWING BRUSH GOLD 90x100</t>
  </si>
  <si>
    <t>KPL-02521</t>
  </si>
  <si>
    <t>KABINA PRZYŚCIENNA RAPID SWING BRUSH GOLD 90x90</t>
  </si>
  <si>
    <t>KPL-02520</t>
  </si>
  <si>
    <t>KABINA PRZYŚCIENNA RAPID SWING BRUSH GOLD 90x80</t>
  </si>
  <si>
    <t>KPL-02505</t>
  </si>
  <si>
    <t>KABINA NAROŻNA RAPID SWING BRUSH GOLD 100x100</t>
  </si>
  <si>
    <t>KPL-02504</t>
  </si>
  <si>
    <t>KABINA NAROŻNA RAPID SWING BRUSH GOLD 100x90</t>
  </si>
  <si>
    <t>KPL-02503</t>
  </si>
  <si>
    <t>KABINA NAROŻNA RAPID SWING BRUSH GOLD 100x80</t>
  </si>
  <si>
    <t>KPL-02502</t>
  </si>
  <si>
    <t>KABINA NAROŻNA RAPID SWING BRUSH GOLD 90x100</t>
  </si>
  <si>
    <t>KPL-02501</t>
  </si>
  <si>
    <t>KABINA NAROŻNA RAPID SWING BRUSH GOLD 90x90</t>
  </si>
  <si>
    <t>KPL-02500</t>
  </si>
  <si>
    <t>KABINA NAROŻNA RAPID SWING BRUSH GOLD 90x80</t>
  </si>
  <si>
    <t>KPL-K4909</t>
  </si>
  <si>
    <t>KABINA FARGO BLACK 80x100 U + BRODZIK SAVOY BLACK</t>
  </si>
  <si>
    <t>KPL-K4906</t>
  </si>
  <si>
    <t>KABINA FARGO BLACK 80x100 U + BRODZIK SAVOY WHITE</t>
  </si>
  <si>
    <t>KPL-K4908</t>
  </si>
  <si>
    <t>KABINA FARGO GOLD 80x100 U + BRODZIK SAVOY BLACK</t>
  </si>
  <si>
    <t>KPL-K4907</t>
  </si>
  <si>
    <t>KABINA FARGO GOLD 80x100 U + BRODZIK SAVOY WHITE</t>
  </si>
  <si>
    <t>KPL-K1903</t>
  </si>
  <si>
    <t>KABINA FARGO GOLD 90x90 U + BRODZIK SAVOY BLACK</t>
  </si>
  <si>
    <t>KPL-K4903</t>
  </si>
  <si>
    <t>KABINA FARGO GOLD 90x90 U + BRODZIK SAVOY WHITE</t>
  </si>
  <si>
    <t>KPL-K7318</t>
  </si>
  <si>
    <t>KABINO FARGO BLACK 90x90 U + BRODZIK SAVOY BLACK</t>
  </si>
  <si>
    <t>KPL-K6318</t>
  </si>
  <si>
    <t>KABINO FARGO BLACK 90x90 U + BRODZIK SAVOY WHITE</t>
  </si>
  <si>
    <t>KPL-K4902</t>
  </si>
  <si>
    <t>KABINA SOLAR GOLD 80x100 + BRODZIK SAVOY BLACK</t>
  </si>
  <si>
    <t>KPL-K4901</t>
  </si>
  <si>
    <t>KABINA SOLAR GOLD 80x100 + BRODZIK SAVOY WHITE</t>
  </si>
  <si>
    <t>KPL-K1900</t>
  </si>
  <si>
    <t>KABINA SOLAR GOLD 90x90 + BRODZIK SAVOY BLACK</t>
  </si>
  <si>
    <t>KPL-K4900</t>
  </si>
  <si>
    <t>KABINA SOLAR GOLD 90x90 + BRODZIK SAVOY WHITE</t>
  </si>
  <si>
    <t>KPL-K6413</t>
  </si>
  <si>
    <t>KABINA SOLAR BLACK 90x90 + BRODZIK SAVOY BLACK</t>
  </si>
  <si>
    <t>KPL-K6412</t>
  </si>
  <si>
    <t>KABINA SOLAR BLACK 90x90 + BRODZIK SAVOY WHITE</t>
  </si>
  <si>
    <t>KPL-K6311</t>
  </si>
  <si>
    <t>KABINA SOLAR BLACK 80x100 + BRODZIK SAVOY BLACK</t>
  </si>
  <si>
    <t>KPL-K6310</t>
  </si>
  <si>
    <t>KABINA SOLAR BLACK 80x100 + BRODZIK SAVOY WHITE</t>
  </si>
  <si>
    <t>KPL-K0882</t>
  </si>
  <si>
    <t>KABINA SPACE IN BLACK 80x100 + BRODZIK SAVOY CZARN</t>
  </si>
  <si>
    <t>KPL-K8882</t>
  </si>
  <si>
    <t>KABINA SPACE IN BLACK 80x100 + BRODZIK SAVOY BIAŁY</t>
  </si>
  <si>
    <t>KPL-K1441</t>
  </si>
  <si>
    <t>KABINA PUNTO GOLD + BRODZIK SAVOY BLACK 80x80</t>
  </si>
  <si>
    <t>KPL-04721</t>
  </si>
  <si>
    <t>KABINA PRZYŚCIENNA RAPID SLIDE BRUSH GOLD 140x90</t>
  </si>
  <si>
    <t>KPL-04720</t>
  </si>
  <si>
    <t>KPL-04719</t>
  </si>
  <si>
    <t>KABINA PRZYŚCIENNA RAPID SLIDE BRUSH GOLD 140x80</t>
  </si>
  <si>
    <t>KPL-04718</t>
  </si>
  <si>
    <t>KABINA PRZYŚCIENNA RAPID SLIDE BRUSH GOLD 130x100</t>
  </si>
  <si>
    <t>KPL-04717</t>
  </si>
  <si>
    <t>KABINA PRZYŚCIENNA RAPID SLIDE BRUSH GOLD 130x90</t>
  </si>
  <si>
    <t>KPL-04716</t>
  </si>
  <si>
    <t>KABINA PRZYŚCIENNA RAPID SLIDE BRUSH GOLD 130x80</t>
  </si>
  <si>
    <t>KPL-04715</t>
  </si>
  <si>
    <t>KABINA PRZYŚCIENNA RAPID SLIDE BRUSH GOLD 120x100</t>
  </si>
  <si>
    <t>KPL-04714</t>
  </si>
  <si>
    <t>KABINA PRZYŚCIENNA RAPID SLIDE BRUSH GOLD 120x90</t>
  </si>
  <si>
    <t>KPL-04713</t>
  </si>
  <si>
    <t>KABINA PRZYŚCIENNA RAPID SLIDE BRUSH GOLD 120x80</t>
  </si>
  <si>
    <t>KPL-04712</t>
  </si>
  <si>
    <t>KABINA PRZYŚCIENNA RAPID SLIDE BRUSH GOLD 110x100</t>
  </si>
  <si>
    <t>KPL-04711</t>
  </si>
  <si>
    <t>KABINA PRZYŚCIENNA RAPID SLIDE BRUSH GOLD 110x90</t>
  </si>
  <si>
    <t>KPL-04710</t>
  </si>
  <si>
    <t>KABINA PRZYŚCIENNA RAPID SLIDE BRUSH GOLD 110x80</t>
  </si>
  <si>
    <t>KPL-04709</t>
  </si>
  <si>
    <t>KABINA PRZYŚCIENNA RAPID SLIDE BRUSH GOLD 100x100</t>
  </si>
  <si>
    <t>KPL-04708</t>
  </si>
  <si>
    <t>KABINA PRZYŚCIENNA RAPID SLIDE BRUSH GOLD 100x90</t>
  </si>
  <si>
    <t>KPL-04707</t>
  </si>
  <si>
    <t>KABINA PRZYŚCIENNA RAPID SLIDE BRUSH GOLD 100x80</t>
  </si>
  <si>
    <t>KPL-K7448</t>
  </si>
  <si>
    <t>KABINA CITY BLACK + BRODZIK SAVOY BLACK 80x80</t>
  </si>
  <si>
    <t>KPL-K6449</t>
  </si>
  <si>
    <t>KABINA CITY BLACK + BRODZIK SAVOY BLACK 80x100</t>
  </si>
  <si>
    <t>KPL-K7449</t>
  </si>
  <si>
    <t>KABINA CITY BLACK + BRODZIK SAVOY WHITE 80x100</t>
  </si>
  <si>
    <t>KPL-K6448</t>
  </si>
  <si>
    <t>KABINA CITY BLACK + BRODZIK SAVOY WHITE 80x80</t>
  </si>
  <si>
    <t>KPL-K6446</t>
  </si>
  <si>
    <t>KABINA CITY BLACK + BRODZIK SAVOY BLACK 90x90</t>
  </si>
  <si>
    <t>KPL-K7446</t>
  </si>
  <si>
    <t>KABINA CITY BLACK + BRODZIK SAVOY WHITE 90x90</t>
  </si>
  <si>
    <t>KPL-K74502</t>
  </si>
  <si>
    <t>KABINA CITY BRUSH GOLD+ BRODZIK SAVOY BLACk 80x100</t>
  </si>
  <si>
    <t>KPL-K74501</t>
  </si>
  <si>
    <t>KABINA CITY BRUSH GOLD+ BRODZIK SAVOY WHITE 80x100</t>
  </si>
  <si>
    <t>KPL-K6445</t>
  </si>
  <si>
    <t>KABINA CITY BRUSH GOLD+ BRODZIK SAVOY BLACK 90x90</t>
  </si>
  <si>
    <t>KPL-K6443</t>
  </si>
  <si>
    <t>KABINA CITY BRUSH GOLD+ BRODZIK SAVOY WHITE 90x90</t>
  </si>
  <si>
    <t>KPL-K6444</t>
  </si>
  <si>
    <t>KABINA CITY BRUSH GOLD+ BRODZIK SAVOY WHITE 80x80</t>
  </si>
  <si>
    <t>KPL-K6441</t>
  </si>
  <si>
    <t>KABINA PUNTO GOLD + BRODZIK SAVOY WHITE 80x80</t>
  </si>
  <si>
    <t>KPL-K2442</t>
  </si>
  <si>
    <t>KABINA PUNTO GOLD + BRODZIK SAVOY BLACK 80x100</t>
  </si>
  <si>
    <t>KPL-K6442</t>
  </si>
  <si>
    <t>KABINA PUNTO GOLD + BRODZIK SAVOY WHITE 80x100</t>
  </si>
  <si>
    <t>KPL-K1440</t>
  </si>
  <si>
    <t>KABINA PUNTO GOLD + BRODZIK SAVOY BLACK 90x90</t>
  </si>
  <si>
    <t>KPL-K6440</t>
  </si>
  <si>
    <t>KABINA PUNTO GOLD + BRODZIK SAVOY WHITE 90x90</t>
  </si>
  <si>
    <t>KPL-K9840</t>
  </si>
  <si>
    <t>ŚCIANKA PRYSZNICOWA AERO GOLD BRUSH 110 +PÓŁKA EVO</t>
  </si>
  <si>
    <t>KPL-K6371</t>
  </si>
  <si>
    <t>DRZWI PRYSZNICOWE MOLIER CHROM 100 + LISTWA MAG</t>
  </si>
  <si>
    <t>KPL-K8539</t>
  </si>
  <si>
    <t>DRZWI PRYSZNICOWE MOLIER CHROM 90 + LISTWA MAG</t>
  </si>
  <si>
    <t>KPL-K6367</t>
  </si>
  <si>
    <t>DRZWI PRYSZNICOWE MOLIER CHROM 80 + LISTWA MAG</t>
  </si>
  <si>
    <t>KPL-02008</t>
  </si>
  <si>
    <t>KABINA PRYSZNICOWA MOLIER BLACK 110X90</t>
  </si>
  <si>
    <t>KPL-K8411</t>
  </si>
  <si>
    <t>KABINA PRYSZNICOWA HUGO GOLD BRUSH 80x80</t>
  </si>
  <si>
    <t>KPL-K8412</t>
  </si>
  <si>
    <t>KABINA PRYSZNICOWA HUGO GOLD BRUSH 80x90</t>
  </si>
  <si>
    <t>KPL-K8413</t>
  </si>
  <si>
    <t>KABINA PRYSZNICOWA HUGO GOLD BRUSH 90x90</t>
  </si>
  <si>
    <t>KPL-K8414</t>
  </si>
  <si>
    <t>KABINA PRYSZNICOWA HUGO GOLD BRUSH 90x80</t>
  </si>
  <si>
    <t>KPL-K8415</t>
  </si>
  <si>
    <t>KABINA PRYSZNICOWA HUGO GOLD BRUSH 100x80</t>
  </si>
  <si>
    <t>KPL-K8416</t>
  </si>
  <si>
    <t>KABINA PRYSZNICOWA HUGO GOLD BRUSH 100x90</t>
  </si>
  <si>
    <t>KPL-K8410</t>
  </si>
  <si>
    <t>KABINA HUGO DOUBLE GOLD BRUSH 80x90</t>
  </si>
  <si>
    <t>KPL-K0410</t>
  </si>
  <si>
    <t>KABINA HUGO DOUBLE GOLD BRUSH 80x100</t>
  </si>
  <si>
    <t>KPL-K0841</t>
  </si>
  <si>
    <t>KABINA HUGO DOUBLE GOLD BRUSH 90X100</t>
  </si>
  <si>
    <t>KPL-45225</t>
  </si>
  <si>
    <t>KABINA HUGO BLACK 100x90</t>
  </si>
  <si>
    <t>KPL-45223</t>
  </si>
  <si>
    <t>KPL-45221</t>
  </si>
  <si>
    <t>KABINA HUGO BLACK 80x90</t>
  </si>
  <si>
    <t>KPL-45224</t>
  </si>
  <si>
    <t>KABINA HUGO BLACK 100x80</t>
  </si>
  <si>
    <t>KPL-45222</t>
  </si>
  <si>
    <t>KABINA HUGO BLACK 90x80</t>
  </si>
  <si>
    <t>KPL-45220</t>
  </si>
  <si>
    <t>KPL-45233</t>
  </si>
  <si>
    <t>KABINA HUGO DOUBLE 80x100</t>
  </si>
  <si>
    <t>KPL-45232</t>
  </si>
  <si>
    <t>KABINA HUGO DOUBLE 80x90</t>
  </si>
  <si>
    <t>KPL-45234</t>
  </si>
  <si>
    <t>KABINA HUGO DOUBLE 90x100</t>
  </si>
  <si>
    <t>KPL-K8881</t>
  </si>
  <si>
    <t>KABINA SPACE IN BLACK 90X90 + BRODZIK SAVOY BLACK</t>
  </si>
  <si>
    <t>KPL-K0881</t>
  </si>
  <si>
    <t>KABINA SPACE IN BLACK 90X90 + BRODZIK SAVOY WHITE</t>
  </si>
  <si>
    <t>KPL-09139</t>
  </si>
  <si>
    <t>ŚCIANKA PRYSZ AERO INTIMO GOLD BRUSH 90 PÓŁKA EVO</t>
  </si>
  <si>
    <t>KPL-09138</t>
  </si>
  <si>
    <t>ŚCIANKA PRYSZ AERO INTIMO GOLD BRUSH 100 PÓŁKA EVO</t>
  </si>
  <si>
    <t>KPL-09137</t>
  </si>
  <si>
    <t>ŚCIANKA PRYSZ AERO INTIMO GOLD BRUSH 120 PÓŁKA EVO</t>
  </si>
  <si>
    <t>KPL-09134</t>
  </si>
  <si>
    <t>ŚCIANKA PRYSZNICOWA AERO GOLD BRUSH 100 +PÓŁKA EVO</t>
  </si>
  <si>
    <t>KPL-09133</t>
  </si>
  <si>
    <t>ŚCIANKA PRYSZNICOWA AERO GOLD BRUSH 90 + PÓŁKA EVO</t>
  </si>
  <si>
    <t>KPL-09136</t>
  </si>
  <si>
    <t>ŚCIANKA PRYSZNICOWA AERO GOLD BRUSH 120 +PÓŁKA EVO</t>
  </si>
  <si>
    <t>KPL-09123</t>
  </si>
  <si>
    <t>KABINA PRZYŚCIENNA RAPID SWING CHROM 100 x 100</t>
  </si>
  <si>
    <t>KPL-09122</t>
  </si>
  <si>
    <t>KABINA PRZYŚCIENNA RAPID SWING CHROM 100 x 90</t>
  </si>
  <si>
    <t>KPL-09121</t>
  </si>
  <si>
    <t>KABINA PRZYŚCIENNA RAPID SWING CHROM 100 x 80</t>
  </si>
  <si>
    <t>KPL-09120</t>
  </si>
  <si>
    <t>KABINA PRZYŚCIENNA RAPID SWING CHROM 90 x 100</t>
  </si>
  <si>
    <t>KPL-09119</t>
  </si>
  <si>
    <t>KABINA PRZYŚCIENNA RAPID SWING CHROM 90 x 90</t>
  </si>
  <si>
    <t>KPL-09118</t>
  </si>
  <si>
    <t>KABINA PRZYŚCIENNA RAPID SWING CHROM 90 x 80</t>
  </si>
  <si>
    <t>KPL-09415</t>
  </si>
  <si>
    <t>KABINA PRZYŚCIENNA RAPID SWING GOLD 100x100</t>
  </si>
  <si>
    <t>KPL-09414</t>
  </si>
  <si>
    <t>KABINA PRZYŚCIENNA RAPID SWING GOLD 100x90</t>
  </si>
  <si>
    <t>KPL-09413</t>
  </si>
  <si>
    <t>KABINA PRZYŚCIENNA RAPID SWING GOLD 100x80</t>
  </si>
  <si>
    <t>KPL-09412</t>
  </si>
  <si>
    <t>KABINA PRZYŚCIENNA RAPID SWING GOLD 90x100</t>
  </si>
  <si>
    <t>KPL-09411</t>
  </si>
  <si>
    <t>KABINA PRZYŚCIENNA RAPID SWING GOLD 90x90</t>
  </si>
  <si>
    <t>KPL-09410</t>
  </si>
  <si>
    <t>KABINA PRZYŚCIENNA RAPID SWING GOLD 90x80</t>
  </si>
  <si>
    <t>KPL-09117</t>
  </si>
  <si>
    <t>KABINA PRZYŚCIENNA RAPID SLIDE CHROM 150 x 100</t>
  </si>
  <si>
    <t>KPL-09116</t>
  </si>
  <si>
    <t>KABINA PRZYŚCIENNA RAPID SLIDE CHROM 150 x 90</t>
  </si>
  <si>
    <t>KPL-09115</t>
  </si>
  <si>
    <t>KABINA PRZYŚCIENNA RAPID SLIDE CHROM 150 x 80</t>
  </si>
  <si>
    <t>KPL-09114</t>
  </si>
  <si>
    <t>KABINA PRZYŚCIENNA RAPID SLIDE CHROM 140 x 100</t>
  </si>
  <si>
    <t>KPL-09113</t>
  </si>
  <si>
    <t>KABINA PRZYŚCIENNA RAPID SLIDE CHROM 140 x 90</t>
  </si>
  <si>
    <t>KPL-09112</t>
  </si>
  <si>
    <t>KABINA PRZYŚCIENNA RAPID SLIDE CHROM 140 x 80</t>
  </si>
  <si>
    <t>KPL-09111</t>
  </si>
  <si>
    <t>KABINA PRZYŚCIENNA RAPID SLIDE CHROM 130 x 100</t>
  </si>
  <si>
    <t>KPL-09110</t>
  </si>
  <si>
    <t>KABINA PRZYŚCIENNA RAPID SLIDE CHROM 130 x 90</t>
  </si>
  <si>
    <t>KPL-09109</t>
  </si>
  <si>
    <t>KABINA PRZYŚCIENNA RAPID SLIDE CHROM 130 x 80</t>
  </si>
  <si>
    <t>KPL-09108</t>
  </si>
  <si>
    <t>KABINA PRZYŚCIENNA RAPID SLIDE CHROM 120 x 100</t>
  </si>
  <si>
    <t>KPL-09107</t>
  </si>
  <si>
    <t>KABINA PRZYŚCIENNA RAPID SLIDE CHROM 120 x 90</t>
  </si>
  <si>
    <t>KPL-09106</t>
  </si>
  <si>
    <t>KABINA PRZYŚCIENNA RAPID SLIDE CHROM 120 x 80</t>
  </si>
  <si>
    <t>KPL-09105</t>
  </si>
  <si>
    <t>KABINA PRZYŚCIENNA RAPID SLIDE CHROM 110 x 100</t>
  </si>
  <si>
    <t>KPL-09104</t>
  </si>
  <si>
    <t>KABINA PRZYŚCIENNA RAPID SLIDE CHROM 110 x 90</t>
  </si>
  <si>
    <t>KPL-09103</t>
  </si>
  <si>
    <t>KABINA PRZYŚCIENNA RAPID SLIDE CHROM 110 x 80</t>
  </si>
  <si>
    <t>KPL-09102</t>
  </si>
  <si>
    <t>KABINA PRZYŚCIENNA RAPID SLIDE CHROM 100 x 100</t>
  </si>
  <si>
    <t>KPL-09101</t>
  </si>
  <si>
    <t>KABINA PRZYŚCIENNA RAPID SLIDE CHROM 100 x 90</t>
  </si>
  <si>
    <t>KPL-09100</t>
  </si>
  <si>
    <t>KABINA PRZYŚCIENNA RAPID SLIDE CHROM 100 x 80</t>
  </si>
  <si>
    <t>KPL-09433</t>
  </si>
  <si>
    <t>KABINA PRZYŚCIENNA RAPID SLIDE GOLD 150x100</t>
  </si>
  <si>
    <t>KPL-09432</t>
  </si>
  <si>
    <t>KABINA PRZYŚCIENNA RAPID SLIDE GOLD 150x90</t>
  </si>
  <si>
    <t>KPL-09431</t>
  </si>
  <si>
    <t>KABINA PRZYŚCIENNA RAPID SLIDE GOLD 150x80</t>
  </si>
  <si>
    <t>KPL-09430</t>
  </si>
  <si>
    <t>KABINA PRZYŚCIENNA RAPID SLIDE GOLD 140x100</t>
  </si>
  <si>
    <t>KPL-09429</t>
  </si>
  <si>
    <t>KABINA PRZYŚCIENNA RAPID SLIDE GOLD 140x90</t>
  </si>
  <si>
    <t>KPL-09428</t>
  </si>
  <si>
    <t>KABINA PRZYŚCIENNA RAPID SLIDE GOLD 140x80</t>
  </si>
  <si>
    <t>KPL-09427</t>
  </si>
  <si>
    <t>KABINA PRZYŚCIENNA RAPID SLIDE GOLD 130x100</t>
  </si>
  <si>
    <t>KPL-09426</t>
  </si>
  <si>
    <t>KABINA PRZYŚCIENNA RAPID SLIDE GOLD 130x90</t>
  </si>
  <si>
    <t>KPL-09425</t>
  </si>
  <si>
    <t>KABINA PRZYŚCIENNA RAPID SLIDE GOLD 130x80</t>
  </si>
  <si>
    <t>KPL-09424</t>
  </si>
  <si>
    <t>KABINA PRZYŚCIENNA RAPID SLIDE GOLD 120x100</t>
  </si>
  <si>
    <t>KPL-09423</t>
  </si>
  <si>
    <t>KABINA PRZYŚCIENNA RAPID SLIDE GOLD 120x90</t>
  </si>
  <si>
    <t>KPL-09422</t>
  </si>
  <si>
    <t>KABINA PRZYŚCIENNA RAPID SLIDE GOLD 120x80</t>
  </si>
  <si>
    <t>KPL-09421</t>
  </si>
  <si>
    <t>KABINA PRZYŚCIENNA RAPID SLIDE GOLD 110x100</t>
  </si>
  <si>
    <t>KPL-09420</t>
  </si>
  <si>
    <t>KABINA PRZYŚCIENNA RAPID SLIDE GOLD 110x90</t>
  </si>
  <si>
    <t>KPL-09419</t>
  </si>
  <si>
    <t>KABINA PRZYŚCIENNA RAPID SLIDE GOLD 110x80</t>
  </si>
  <si>
    <t>KPL-09418</t>
  </si>
  <si>
    <t>KABINA PRZYŚCIENNA RAPID SLIDE GOLD 100x100</t>
  </si>
  <si>
    <t>KPL-09417</t>
  </si>
  <si>
    <t>KABINA PRZYŚCIENNA RAPID SLIDE GOLD 100x90</t>
  </si>
  <si>
    <t>KPL-09416</t>
  </si>
  <si>
    <t>KABINA PRZYŚCIENNA RAPID SLIDE GOLD 100x80</t>
  </si>
  <si>
    <t>KPL-09408</t>
  </si>
  <si>
    <t>KABINA PRZYŚCIENNA RAPID FOLD GOLD 100x100</t>
  </si>
  <si>
    <t>KPL-09407</t>
  </si>
  <si>
    <t>KABINA PRZYŚCIENNA RAPID FOLD GOLD 100x90</t>
  </si>
  <si>
    <t>KPL-09406</t>
  </si>
  <si>
    <t>KABINA PRZYŚCIENNA RAPID FOLD GOLD 100x80</t>
  </si>
  <si>
    <t>KPL-09405</t>
  </si>
  <si>
    <t>KABINA PRZYŚCIENNA RAPID FOLD GOLD 90x100</t>
  </si>
  <si>
    <t>KPL-09404</t>
  </si>
  <si>
    <t>KABINA PRZYŚCIENNA RAPID FOLD GOLD 90x90</t>
  </si>
  <si>
    <t>KPL-09403</t>
  </si>
  <si>
    <t>KABINA PRZYŚCIENNA RAPID FOLD GOLD 90x80</t>
  </si>
  <si>
    <t>KPL-09402</t>
  </si>
  <si>
    <t>KABINA PRZYŚCIENNA RAPID FOLD GOLD 80x100</t>
  </si>
  <si>
    <t>KPL-09401</t>
  </si>
  <si>
    <t>KABINA PRZYŚCIENNA RAPID FOLD GOLD 80x90</t>
  </si>
  <si>
    <t>KPL-09400</t>
  </si>
  <si>
    <t>KABINA PRZYŚCIENNA RAPID FOLD GOLD 80x80</t>
  </si>
  <si>
    <t>KPL-009963</t>
  </si>
  <si>
    <t>KABINA PRYSZNICOWA PRZYŚCIENNA RAPID SWING 120x100</t>
  </si>
  <si>
    <t>KPL-009962</t>
  </si>
  <si>
    <t>KABINA PRYSZNICOWA PRZYŚCIENNA RAPID SWING 120x90</t>
  </si>
  <si>
    <t>KPL-009961</t>
  </si>
  <si>
    <t>KABINA PRYSZNICOWA PRZYŚCIENNA RAPID SWING 120x80</t>
  </si>
  <si>
    <t>KPL-009957</t>
  </si>
  <si>
    <t>KABINA PRYSZNICOWA PRZYŚCIENNA RAPID SWING 100x100</t>
  </si>
  <si>
    <t>KPL-009956</t>
  </si>
  <si>
    <t>KABINA PRYSZNICOWA PRZYŚCIENNA RAPID SWING 100x90</t>
  </si>
  <si>
    <t>KPL-009955</t>
  </si>
  <si>
    <t>KABINA PRYSZNICOWA PRZYŚCIENNA RAPID SWING 100x80</t>
  </si>
  <si>
    <t>KPL-009954</t>
  </si>
  <si>
    <t>KABINA PRYSZNICOWA PRZYŚCIENNA RAPID SWING 90x100</t>
  </si>
  <si>
    <t>KPL-009953</t>
  </si>
  <si>
    <t>KABINA PRYSZNICOWA PRZYŚCIENNA RAPID SWING 90x90</t>
  </si>
  <si>
    <t>KPL-009952</t>
  </si>
  <si>
    <t>KABINA PRYSZNICOWA PRZYŚCIENNA RAPID SWING 90x80</t>
  </si>
  <si>
    <t>KPL-009951</t>
  </si>
  <si>
    <t>KABINA PRYSZNICOWA PRZYŚCIENNA RAPID SWING 80x100</t>
  </si>
  <si>
    <t>KPL-009950</t>
  </si>
  <si>
    <t>KABINA PRYSZNICOWA PRZYŚCIENNA RAPID SWING 80x90</t>
  </si>
  <si>
    <t>KPL-009949</t>
  </si>
  <si>
    <t>KABINA PRYSZNICOWA PRZYŚCIENNA RAPID SWING 80x80</t>
  </si>
  <si>
    <t>KPL-009948</t>
  </si>
  <si>
    <t>KABINA PRYSZNICOWA PRZYŚCIENNA RAPID SWING 70x100</t>
  </si>
  <si>
    <t>KPL-009947</t>
  </si>
  <si>
    <t>KABINA PRYSZNICOWA PRZYŚCIENNA RAPID SWING 70x90</t>
  </si>
  <si>
    <t>KPL-009946</t>
  </si>
  <si>
    <t>KABINA PRYSZNICOWA PRZYŚCIENNA RAPID SWING 70x80</t>
  </si>
  <si>
    <t>KPL-09126</t>
  </si>
  <si>
    <t>KABINA PRYSZNICOWA NAROŻNA RAPID FOLD GOLD 100x100</t>
  </si>
  <si>
    <t>KPL-09125</t>
  </si>
  <si>
    <t>KABINA PRYSZNICOWA NAROŻNA RAPID FOLD GOLD 100x90</t>
  </si>
  <si>
    <t>KPL-09124</t>
  </si>
  <si>
    <t>KABINA PRYSZNICOWA NAROŻNA RAPID FOLD GOLD 100x80</t>
  </si>
  <si>
    <t>KPL-09129</t>
  </si>
  <si>
    <t>KABINA PRYSZNICOWA NAROŻNA RAPID FOLD GOLD 90x100</t>
  </si>
  <si>
    <t>KPL-09128</t>
  </si>
  <si>
    <t>KABINA PRYSZNICOWA NAROŻNA RAPID FOLD GOLD 90x90</t>
  </si>
  <si>
    <t>KPL-09127</t>
  </si>
  <si>
    <t>KABINA PRYSZNICOWA NAROŻNA RAPID FOLD GOLD 90x80</t>
  </si>
  <si>
    <t>KPL-09132</t>
  </si>
  <si>
    <t>KABINA PRYSZNICOWA NAROŻNA RAPID FOLD GOLD 80x100</t>
  </si>
  <si>
    <t>KPL-09131</t>
  </si>
  <si>
    <t>KABINA PRYSZNICOWA NAROŻNA RAPID FOLD GOLD 80x90</t>
  </si>
  <si>
    <t>KPL-09130</t>
  </si>
  <si>
    <t>KABINA PRYSZNICOWA NAROŻNA RAPID FOLD GOLD 80x80</t>
  </si>
  <si>
    <t>KPL-02014</t>
  </si>
  <si>
    <t>KABINA PRYSZNICOWA MOLIER BLACK DOUBLE 110X110</t>
  </si>
  <si>
    <t>KPL-02013</t>
  </si>
  <si>
    <t>KABINA PRYSZNICOWA MOLIER BLACK DOUBLE 100X110</t>
  </si>
  <si>
    <t>KPL-02012</t>
  </si>
  <si>
    <t>KABINA PRYSZNICOWA MOLIER BLACK DOUBLE 90x110</t>
  </si>
  <si>
    <t>KPL-02011</t>
  </si>
  <si>
    <t>KABINA PRYSZNICOWA MOLIER BLACK DOUBLE 80x110</t>
  </si>
  <si>
    <t>KPL-02007</t>
  </si>
  <si>
    <t>KABINA PRYSZNICOWA MOLIER BLACK 110X80</t>
  </si>
  <si>
    <t>KPL-02015</t>
  </si>
  <si>
    <t>Drzwi MOLIER 110 Black + listwa magnetyczna</t>
  </si>
  <si>
    <t>KPL-K12013</t>
  </si>
  <si>
    <t>KABINA PRYSZNICOWA MOLIER BLACK 100X100</t>
  </si>
  <si>
    <t>KPL-12012</t>
  </si>
  <si>
    <t>KABINA PRYSZNICOWA MOLIER BLACK DOUBLE 90x100</t>
  </si>
  <si>
    <t>KPL-22012</t>
  </si>
  <si>
    <t>KABINA PRYSZNICOWA MOLIER BLACK DOUBLE 90X90</t>
  </si>
  <si>
    <t>KPL-K2011</t>
  </si>
  <si>
    <t>KABINA PRYSZNICOWA MOLIER BLACK DOUBLE 80x100</t>
  </si>
  <si>
    <t>KPL-K1011</t>
  </si>
  <si>
    <t>KABINA PRYSZNICOWA MOLIER BLACK DOUBLE 80X90</t>
  </si>
  <si>
    <t>KPL-K3011</t>
  </si>
  <si>
    <t>KABINA PRYSZNICOWA MOLIER BLACK DOUBLE 80X80</t>
  </si>
  <si>
    <t>KPL-K6374</t>
  </si>
  <si>
    <t>KABINA PRYSZNICOWA MOLIER CHROM DOUBLE 100X100</t>
  </si>
  <si>
    <t>KPL-K6373</t>
  </si>
  <si>
    <t>KABINA PRYSZNICOWA MOLIER CHROM DOUBLE 90X100</t>
  </si>
  <si>
    <t>KPL-K6372</t>
  </si>
  <si>
    <t>KABINA PRYSZNICOWA MOLIER CHROM DOUBLE 90X90</t>
  </si>
  <si>
    <t>KPL-K6370</t>
  </si>
  <si>
    <t>KABINA PRYSZNICOWA MOLIER CHROM DOUBLE 80X100</t>
  </si>
  <si>
    <t>KPL-K6369</t>
  </si>
  <si>
    <t>KABINA PRYSZNICOWA MOLIER CHROM DOUBLE 80X90</t>
  </si>
  <si>
    <t>KPL-K6368</t>
  </si>
  <si>
    <t>KABINA PRYSZNICOWA MOLIER CHROM DOUBLE 80X80</t>
  </si>
  <si>
    <t>KPL-K0371</t>
  </si>
  <si>
    <t>KABINA PRYSZNICOWA MOLIER CHROM 100x90</t>
  </si>
  <si>
    <t>KPL-K1371</t>
  </si>
  <si>
    <t>KABINA PRYSZNICOWA MOLIER CHROM 100x80</t>
  </si>
  <si>
    <t>KPL-K0539</t>
  </si>
  <si>
    <t>KABINA PRYSZNICOWA MOLIER CHROM 90x90</t>
  </si>
  <si>
    <t>KPL-K1539</t>
  </si>
  <si>
    <t>KABINA PRYSZNICOWA MOLIER CHROM 90x80</t>
  </si>
  <si>
    <t>KPL-K0367</t>
  </si>
  <si>
    <t>KABINA PRYSZNICOWA MOLIER CHROM 80x90</t>
  </si>
  <si>
    <t>KPL-K2367</t>
  </si>
  <si>
    <t>KABINA PRYSZNICOWA MOLIER CHROM 80x80</t>
  </si>
  <si>
    <t>KPL-K6963</t>
  </si>
  <si>
    <t>KABINA PRYSZNICOWA MOLIER BLACK 100X90</t>
  </si>
  <si>
    <t>KPL-K0963</t>
  </si>
  <si>
    <t>KABINA PRYSZNICOWA MOLIER BLACK 100X80</t>
  </si>
  <si>
    <t>KPL-K8538</t>
  </si>
  <si>
    <t>KABINA PRYSZNICOWA MOLIER BLACK 90X90</t>
  </si>
  <si>
    <t>KPL-K8555</t>
  </si>
  <si>
    <t>KABINA PRYSZNICOWA MOLIER BLACK 90X80</t>
  </si>
  <si>
    <t>KPL-K0537</t>
  </si>
  <si>
    <t>KABINA PRYSZNICOWA MOLIER BLACK 80X90</t>
  </si>
  <si>
    <t>KPL-K8537</t>
  </si>
  <si>
    <t>KABINA PRYSZNICOWA MOLIER BLACK 80X80</t>
  </si>
  <si>
    <t>KPL-K5657</t>
  </si>
  <si>
    <t>KABINA NAROŻNA RAPID SLIDE BRUSH GOLD 140x100</t>
  </si>
  <si>
    <t>KPL-K5656</t>
  </si>
  <si>
    <t>KABINA NAROŻNA RAPID SLIDE BRUSH GOLD 140x90</t>
  </si>
  <si>
    <t>KPL-K5655</t>
  </si>
  <si>
    <t>KABINA NAROŻNA RAPID SLIDE BRUSH GOLD 140x80</t>
  </si>
  <si>
    <t>KPL-K5654</t>
  </si>
  <si>
    <t>KABINA NAROŻNA RAPID SLIDE BRUSH GOLD 130x100</t>
  </si>
  <si>
    <t>KPL-K5653</t>
  </si>
  <si>
    <t>KABINA NAROŻNA RAPID SLIDE BRUSH GOLD 130x90</t>
  </si>
  <si>
    <t>KPL-K5652</t>
  </si>
  <si>
    <t>KABINA NAROŻNA RAPID SLIDE BRUSH GOLD 130x80</t>
  </si>
  <si>
    <t>KPL-K5651</t>
  </si>
  <si>
    <t>KABINA NAROŻNA RAPID SLIDE GOLD BRUSH 120x100</t>
  </si>
  <si>
    <t>KPL-K5650</t>
  </si>
  <si>
    <t>KABINA NAROŻNA RAPID SLIDE GOLD BRUSH 120x90</t>
  </si>
  <si>
    <t>KPL-K5649</t>
  </si>
  <si>
    <t>KABINA NAROŻNA RAPID SLIDE GOLD BRUSH 120x80</t>
  </si>
  <si>
    <t>KPL-K5648</t>
  </si>
  <si>
    <t>KABINA NAROŻNA RAPID SLIDE GOLD BRUSH 110x100</t>
  </si>
  <si>
    <t>KPL-K5647</t>
  </si>
  <si>
    <t>KABINA NAROŻNA RAPID SLIDE GOLD BRUSH 110x90</t>
  </si>
  <si>
    <t>KPL-K5646</t>
  </si>
  <si>
    <t>KABINA NAROŻNA RAPID SLIDE GOLD BRUSH 110x80</t>
  </si>
  <si>
    <t>KPL-K5645</t>
  </si>
  <si>
    <t>KABINA NAROŻNA RAPID SLIDE GOLD BRUSH 100x100</t>
  </si>
  <si>
    <t>KPL-K5644</t>
  </si>
  <si>
    <t>KABINA NAROŻNA RAPID SLIDE GOLD BRUSH 100x90</t>
  </si>
  <si>
    <t>KPL-K5643</t>
  </si>
  <si>
    <t>KABINA NAROŻNA RAPID SLIDE GOLD BRUSH 100x80</t>
  </si>
  <si>
    <t>KPL-K7900</t>
  </si>
  <si>
    <t>KABINA LOOK BLACK 80x100 + BRODZIK PRAWY</t>
  </si>
  <si>
    <t>KPL-K7901</t>
  </si>
  <si>
    <t>KABINA LOOK BLACK 80x100 + BRODZIK LEWY</t>
  </si>
  <si>
    <t>KPL-10002</t>
  </si>
  <si>
    <t>KABINA LOOK CHROME 80x100 + BRODZIK PRAWY</t>
  </si>
  <si>
    <t>KPL-10003</t>
  </si>
  <si>
    <t>KABINA LOOK CHROME 80x100 + BRODZIK LEWY</t>
  </si>
  <si>
    <t>KPL-10007</t>
  </si>
  <si>
    <t>KABINA LOOK CHROME 90x90 + BRODZIK</t>
  </si>
  <si>
    <t>KPL-10005</t>
  </si>
  <si>
    <t>KABINA LOOK CHROME 80x80 + BRODZIK</t>
  </si>
  <si>
    <t>KPL-10004</t>
  </si>
  <si>
    <t>KABINA LOOK BLACK 90x90 + BRODZIK</t>
  </si>
  <si>
    <t>KPL-10006</t>
  </si>
  <si>
    <t>KABINA LOOK BLACK 80x80 + BRODZIK</t>
  </si>
  <si>
    <t>KPL-K5642</t>
  </si>
  <si>
    <t>KABINA NAROŻNA RAPID SLIDE GOLD 150x100</t>
  </si>
  <si>
    <t>KPL-K5641</t>
  </si>
  <si>
    <t>KABINA NAROŻNA RAPID SLIDE GOLD 150x90</t>
  </si>
  <si>
    <t>KPL-K5640</t>
  </si>
  <si>
    <t>KABINA NAROŻNA RAPID SLIDE GOLD 150x80</t>
  </si>
  <si>
    <t>KPL-K5639</t>
  </si>
  <si>
    <t>KABINA NAROŻNA RAPID SLIDE GOLD 140x100</t>
  </si>
  <si>
    <t>KPL-K5638</t>
  </si>
  <si>
    <t>KABINA NAROŻNA RAPID SLIDE GOLD 140x90</t>
  </si>
  <si>
    <t>KPL-K5637</t>
  </si>
  <si>
    <t>KABINA NAROŻNA RAPID SLIDE GOLD 140x80</t>
  </si>
  <si>
    <t>KPL-K5636</t>
  </si>
  <si>
    <t>KABINA NAROŻNA RAPID SLIDE GOLD 130x100</t>
  </si>
  <si>
    <t>KPL-K5635</t>
  </si>
  <si>
    <t>KABINA NAROŻNA RAPID SLIDE GOLD 130x90</t>
  </si>
  <si>
    <t>KPL-K5634</t>
  </si>
  <si>
    <t>KABINA NAROŻNA RAPID SLIDE GOLD 130x80</t>
  </si>
  <si>
    <t>KPL-K5633</t>
  </si>
  <si>
    <t>KABINA NAROŻNA RAPID SLIDE GOLD 120x100</t>
  </si>
  <si>
    <t>KPL-K5632</t>
  </si>
  <si>
    <t>KABINA NAROŻNA RAPID SLIDE GOLD 120x90</t>
  </si>
  <si>
    <t>KPL-K5631</t>
  </si>
  <si>
    <t>KABINA NAROŻNA RAPID SLIDE GOLD 120x80</t>
  </si>
  <si>
    <t>KPL-K5630</t>
  </si>
  <si>
    <t>KABINA NAROŻNA RAPID SLIDE GOLD 110x100</t>
  </si>
  <si>
    <t>KPL-K5629</t>
  </si>
  <si>
    <t>KABINA NAROŻNA RAPID SLIDE GOLD 110x90</t>
  </si>
  <si>
    <t>KPL-K5628</t>
  </si>
  <si>
    <t>KABINA NAROŻNA RAPID SLIDE GOLD 110x80</t>
  </si>
  <si>
    <t>KPL-K5627</t>
  </si>
  <si>
    <t>KABINA NAROŻNA RAPID SLIDE GOLD 100x100</t>
  </si>
  <si>
    <t>KPL-K5626</t>
  </si>
  <si>
    <t>KABINA NAROŻNA RAPID SLIDE GOLD 100x90</t>
  </si>
  <si>
    <t>KPL-K5625</t>
  </si>
  <si>
    <t>KABINA NAROŻNA RAPID SLIDE GOLD 100x80</t>
  </si>
  <si>
    <t>KPL-K5624</t>
  </si>
  <si>
    <t>KABINA NAROŻNA RAPID SLIDE CHROM 150x100</t>
  </si>
  <si>
    <t>KPL-K5617</t>
  </si>
  <si>
    <t>KABINA NAROŻNA RAPID SLIDE CHROM 150x90</t>
  </si>
  <si>
    <t>KPL-K5616</t>
  </si>
  <si>
    <t>KABINA NAROŻNA RAPID SLIDE CHROM 150x80</t>
  </si>
  <si>
    <t>KPL-K5615</t>
  </si>
  <si>
    <t>KABINA NAROŻNA RAPID SLIDE CHROM 140x100</t>
  </si>
  <si>
    <t>KPL-K5614</t>
  </si>
  <si>
    <t>KABINA NAROŻNA RAPID SLIDE CHROM 140x90</t>
  </si>
  <si>
    <t>KPL-K5613</t>
  </si>
  <si>
    <t>KABINA NAROŻNA RAPID SLIDE CHROM 140x80</t>
  </si>
  <si>
    <t>KPL-K5612</t>
  </si>
  <si>
    <t>KABINA NAROŻNA RAPID SLIDE CHROM 130x100</t>
  </si>
  <si>
    <t>KPL-K5611</t>
  </si>
  <si>
    <t>KABINA NAROŻNA RAPID SLIDE CHROM 130x90</t>
  </si>
  <si>
    <t>KPL-K5610</t>
  </si>
  <si>
    <t>KABINA NAROŻNA RAPID SLIDE CHROM 130x80</t>
  </si>
  <si>
    <t>KPL-K5609</t>
  </si>
  <si>
    <t>KABINA NAROŻNA RAPID SLIDE CHROM 120x100</t>
  </si>
  <si>
    <t>KPL-K5608</t>
  </si>
  <si>
    <t>KABINA NAROŻNA RAPID SLIDE CHROM 120x90</t>
  </si>
  <si>
    <t>KPL-K5607</t>
  </si>
  <si>
    <t>KABINA NAROŻNA RAPID SLIDE CHROM 120x80</t>
  </si>
  <si>
    <t>KPL-K5605</t>
  </si>
  <si>
    <t>KABINA NAROŻNA RAPID SLIDE CHROM 110x100</t>
  </si>
  <si>
    <t>KPL-K5604</t>
  </si>
  <si>
    <t>KABINA NAROŻNA RAPID SLIDE CHROM 110x90</t>
  </si>
  <si>
    <t>KPL-K5603</t>
  </si>
  <si>
    <t>KABINA NAROŻNA RAPID SLIDE CHROM 110x80</t>
  </si>
  <si>
    <t>KPL-K5602</t>
  </si>
  <si>
    <t>KABINA NAROŻNA RAPID SLIDE CHROM 100x100</t>
  </si>
  <si>
    <t>KPL-K5601</t>
  </si>
  <si>
    <t>KABINA NAROŻNA RAPID SLIDE CHROM 100x90</t>
  </si>
  <si>
    <t>KPL-K5600</t>
  </si>
  <si>
    <t>KABINA NAROŻNA RAPID SLIDE CHROM 100x80</t>
  </si>
  <si>
    <t>KPL-K6606</t>
  </si>
  <si>
    <t>KABINA NAROŻNA RAPID SWING CHROM 100 x 100</t>
  </si>
  <si>
    <t>KPL-K5606</t>
  </si>
  <si>
    <t>KABINA NAROŻNA RAPID SWING CHROM 100 x 90</t>
  </si>
  <si>
    <t>KPL-K4606</t>
  </si>
  <si>
    <t>KABINA NAROŻNA RAPID SWING CHROM 100 x 80</t>
  </si>
  <si>
    <t>KPL-K3606</t>
  </si>
  <si>
    <t>KABINA NAROŻNA RAPID SWING CHROM 90 x 100</t>
  </si>
  <si>
    <t>KPL-K2606</t>
  </si>
  <si>
    <t>KABINA NAROŻNA RAPID SWING CHROM 90 x 90</t>
  </si>
  <si>
    <t>KPL-K1606</t>
  </si>
  <si>
    <t>KABINA NAROŻNA RAPID SWING CHROM 90 x 80</t>
  </si>
  <si>
    <t>KPL-45211</t>
  </si>
  <si>
    <t>DRZWI PRYSZNICOWE HUGO BLACK 100 + ŚCIANKA 30</t>
  </si>
  <si>
    <t>KPL-45210</t>
  </si>
  <si>
    <t>DRZWI PRYSZNICOWE HUGO BLACK 90 + ŚCIANKA 30</t>
  </si>
  <si>
    <t>KPL-45209</t>
  </si>
  <si>
    <t>DRZWI PRYSZNICOWE HUGO BLACK 80 + ŚCIANKA 30</t>
  </si>
  <si>
    <t>KPL-K5623</t>
  </si>
  <si>
    <t>KABINA NAROŻNA RAPID SWING GOLD 100x100</t>
  </si>
  <si>
    <t>KPL-K5622</t>
  </si>
  <si>
    <t>KABINA NAROŻNA RAPID SWING GOLD 100x90</t>
  </si>
  <si>
    <t>KPL-K5621</t>
  </si>
  <si>
    <t>KABINA NAROŻNA RAPID SWING GOLD 100x80</t>
  </si>
  <si>
    <t>KPL-K5620</t>
  </si>
  <si>
    <t>KABINA NAROŻNA RAPID SWING GOLD 90x100</t>
  </si>
  <si>
    <t>KPL-K5619</t>
  </si>
  <si>
    <t>KABINA NAROŻNA RAPID SWING GOLD 90x90</t>
  </si>
  <si>
    <t>KPL-K5618</t>
  </si>
  <si>
    <t>KABINA NAROŻNA RAPID SWING GOLD 90x80</t>
  </si>
  <si>
    <t>KPL-45208</t>
  </si>
  <si>
    <t>KPL-45207</t>
  </si>
  <si>
    <t>KPL-45206</t>
  </si>
  <si>
    <t>KPL-45203</t>
  </si>
  <si>
    <t>DRZWI PRYSZNICOWE HUGO GOLD BRUSH 80 + ŚCIANKA 30</t>
  </si>
  <si>
    <t>KPL-45204</t>
  </si>
  <si>
    <t>DRZWI PRYSZNICOWE HUGO GOLD BRUSH 90 + ŚCIANKA 30</t>
  </si>
  <si>
    <t>KPL-45205</t>
  </si>
  <si>
    <t>DRZWI PRYSZNICOWE HUGO GOLD BRUSH 100 + ŚCIANKA 30</t>
  </si>
  <si>
    <t>KPL-45202</t>
  </si>
  <si>
    <t>KPL-45201</t>
  </si>
  <si>
    <t>KPL-45200</t>
  </si>
  <si>
    <t>KPL-09140</t>
  </si>
  <si>
    <t>KABINA DIAMOND GOLD+ BRODZIK DIAMOND WHITE 80X80</t>
  </si>
  <si>
    <t>KPL-K1963</t>
  </si>
  <si>
    <t>DRZWI PRYSZNICOWE MOLIER BLACK 100 + LISTWA MAG</t>
  </si>
  <si>
    <t>KPL-K1538</t>
  </si>
  <si>
    <t>DRZWI PRYSZNICOWE MOLIER BLACK 90 + LISTWA MAG</t>
  </si>
  <si>
    <t>KPL-K9537</t>
  </si>
  <si>
    <t>DRZWI PRYSZNICOWE MOLIER BLACK 80 + LISTWA MAGN</t>
  </si>
  <si>
    <t>KPL-C1222</t>
  </si>
  <si>
    <t>ZESTAW MISA WC CARLO + BIDET WHITE GOLD EDGE</t>
  </si>
  <si>
    <t>KPL-C2288</t>
  </si>
  <si>
    <t>ZESTAW WC + BIDET CARLO MINI GOLD/WHITE</t>
  </si>
  <si>
    <t>KPL-K0581</t>
  </si>
  <si>
    <t>ŚCIANKA PRYSZNICOWA AERO BLACK 80 + Półka Evo</t>
  </si>
  <si>
    <t>KPL-K8443</t>
  </si>
  <si>
    <t>ŚCIANKA PRYSZNICOWA AERO GOLD 120 + PÓŁKA EVO</t>
  </si>
  <si>
    <t>KPL-09998</t>
  </si>
  <si>
    <t>Royal Gold Edge+ Lungo L.gold wysoka+Korek L.gold</t>
  </si>
  <si>
    <t>KPL-09992</t>
  </si>
  <si>
    <t>Vegas Marble Black Mat+ Duet L.G.Wysoka+ Korek L.G</t>
  </si>
  <si>
    <t>KPL-09993</t>
  </si>
  <si>
    <t>Belinda marble mat+Mayson Black wysoka+Korek black</t>
  </si>
  <si>
    <t>KPL-09995</t>
  </si>
  <si>
    <t>Sofia Black White+ Lungo wysoka black+Korek black</t>
  </si>
  <si>
    <t>KPL-09996</t>
  </si>
  <si>
    <t>Pamela+ Lungo wysoka Black+ Korek Black</t>
  </si>
  <si>
    <t>KPL-09997</t>
  </si>
  <si>
    <t>Umywalka Shila + Lungo wysoka Black+ Korek black</t>
  </si>
  <si>
    <t>KPL-09994</t>
  </si>
  <si>
    <t>Sofia black marble+Lungo L.gold wysoka+Korek L.g</t>
  </si>
  <si>
    <t>KPL-09999</t>
  </si>
  <si>
    <t>Linda Stone+Lungo l.gold wysoka+Korek l.gold</t>
  </si>
  <si>
    <t>KPL-10000</t>
  </si>
  <si>
    <t>Sofia Gold Edge+Lungo L.gold wysoka+ Korek L.gold</t>
  </si>
  <si>
    <t>KPL-10001</t>
  </si>
  <si>
    <t>Pearl Black Gold Edge+Lungo wysoka l.g.+ Korek l.g</t>
  </si>
  <si>
    <t>KPL-C2760</t>
  </si>
  <si>
    <t>ZESTAW MISA WC CARLO MINI FLAT + BIDET CARLO MINI</t>
  </si>
  <si>
    <t>KPL-K1004</t>
  </si>
  <si>
    <t>KABINA CONCEPT BLACK 80x80 + BRODZIK SAVOY CZARNY</t>
  </si>
  <si>
    <t>KPL-K1003</t>
  </si>
  <si>
    <t>KABINA CONCEPT BLACK 80x80 + BRODZIK SAVOY BIAŁY</t>
  </si>
  <si>
    <t>KPL-K1979</t>
  </si>
  <si>
    <t>KABINA HEX BLACK 90x90 + BRODZIK DIAMOND CZARNY</t>
  </si>
  <si>
    <t>KPL-K0979</t>
  </si>
  <si>
    <t>KABINA HEX BLACK 90x90 + BRODZIK DIAMOND BIAŁY</t>
  </si>
  <si>
    <t>KPL-K8969</t>
  </si>
  <si>
    <t>KABINA HEX BLACK 80x80 + BRODZIK DIAMOND BIAŁY</t>
  </si>
  <si>
    <t>KPL-K8778</t>
  </si>
  <si>
    <t>KABINA AXIN CHORM 80x80 + BRODZIK DIAMOND BIAŁY</t>
  </si>
  <si>
    <t>KPL-K1779</t>
  </si>
  <si>
    <t>KABINA AXIN CHROM 90x90 + BRODZIK DIAMOND CZARNY</t>
  </si>
  <si>
    <t>KPL-K8779</t>
  </si>
  <si>
    <t>KABINA AXIN CHROM 90x90 + BRODZIK DIAMOND BIAŁY</t>
  </si>
  <si>
    <t>KPL-K1006</t>
  </si>
  <si>
    <t>KABINA CONCEPT BLACK 80x100 + BRODZIK SAVOY CZARNY</t>
  </si>
  <si>
    <t>KPL-K1005</t>
  </si>
  <si>
    <t>KABINA CONCEPT BLACK 80x100 + BRODZIK SAVOY BIAŁY</t>
  </si>
  <si>
    <t>KPL-K1002</t>
  </si>
  <si>
    <t>KABINA CONCEPT BLACK 90x90 + BRODZIK SAVOY CZARNY</t>
  </si>
  <si>
    <t>KPL-K1001</t>
  </si>
  <si>
    <t>KABINA CONCEPT BLACK 90x90 + BRODZIK SAVOY BIAŁY</t>
  </si>
  <si>
    <t>KPL-K1010</t>
  </si>
  <si>
    <t>KABINA PUNTO CHROM 80x100 + BRODZIK SAVOY CZARNY</t>
  </si>
  <si>
    <t>KPL-K1008</t>
  </si>
  <si>
    <t>KABINA PUNTO CHROM 90x90 + BRODZIK SAVOY CZARNY</t>
  </si>
  <si>
    <t>KPL-K1017</t>
  </si>
  <si>
    <t>KABINA PUNTO BLACK 80x100 + BRODZIK SAVOY CZARNY</t>
  </si>
  <si>
    <t>KPL-K1015</t>
  </si>
  <si>
    <t>KABINA PUNTO BLACK 90x90 + BRODZIK SAVOY CZARNY</t>
  </si>
  <si>
    <t>KPL-K1013</t>
  </si>
  <si>
    <t>KABINA PUNTO BLACK 80x80 + BRODZIK SAVOY CZARNY</t>
  </si>
  <si>
    <t>KPL-K1863</t>
  </si>
  <si>
    <t>KABINA PUNTO CHROM 80x80 + BRODZIK SAVOY BLACK</t>
  </si>
  <si>
    <t>KPL-U8900</t>
  </si>
  <si>
    <t>UMYWALKA GOYA WHITE + RAMA 50</t>
  </si>
  <si>
    <t>KPL-U8902</t>
  </si>
  <si>
    <t>UMYWALKA GOYA WHITE + RAMA 70</t>
  </si>
  <si>
    <t>KPL-U8778</t>
  </si>
  <si>
    <t>UMYWALKA GOYA BLACK + RAMA 50</t>
  </si>
  <si>
    <t>KPL-U8802</t>
  </si>
  <si>
    <t>UMYWALKA GOYA BLACK + RAMA 70</t>
  </si>
  <si>
    <t>KPL-K8441</t>
  </si>
  <si>
    <t>ŚCIANKA PRYSZNICOWA AERO GOLD 110 + PÓŁKA EVO</t>
  </si>
  <si>
    <t>KPL-K8440</t>
  </si>
  <si>
    <t>ŚCIANKA PRYSZNICOWA AERO GOLD 100 + PÓŁKA EVO</t>
  </si>
  <si>
    <t>KPL-K8439</t>
  </si>
  <si>
    <t>ŚCIANKA PRYSZNICOWA AERO GOLD 80 + PÓŁKA EVO</t>
  </si>
  <si>
    <t>KPL-K8442</t>
  </si>
  <si>
    <t>ŚCIANKA PRYSZNICOWA AERO GOLD 90 + PÓŁKA EVO</t>
  </si>
  <si>
    <t>KPL-K0863</t>
  </si>
  <si>
    <t>KABINA PUNTO CHROM 80x80 + BRODZIK SAVOY BIAŁY</t>
  </si>
  <si>
    <t>KPL-K1007</t>
  </si>
  <si>
    <t>KABINA PUNTO CHROM 90x90 + BRODZIK SAVOY BIAŁY</t>
  </si>
  <si>
    <t>KPL-K1009</t>
  </si>
  <si>
    <t>KABINA PUNTO CHROM 80x100 + BRODZIK SAVOY BIAŁY</t>
  </si>
  <si>
    <t>KPL-K7550</t>
  </si>
  <si>
    <t>ŚCIANKA PRYSZNICOWA AERO CHROM "N" 120 + Półka Evo</t>
  </si>
  <si>
    <t>KPL-K0612</t>
  </si>
  <si>
    <t>ŚCIANKA PRYSZNICOWA AERO 110 + PÓŁKA EVO</t>
  </si>
  <si>
    <t>KPL-K0613</t>
  </si>
  <si>
    <t>ŚCIANKA PRYSZNICOWA AERO 100 + PÓŁKA EVO</t>
  </si>
  <si>
    <t>KPL-K0553</t>
  </si>
  <si>
    <t>ŚCIANKA PRYSZNICOWA AERO CHROM "N" 90 + Półka Evo</t>
  </si>
  <si>
    <t>KPL-K0615</t>
  </si>
  <si>
    <t>ŚCIANKA PRYSZNICOWA AERO 80 + PÓŁKA EVO</t>
  </si>
  <si>
    <t>KPL-K7840</t>
  </si>
  <si>
    <t>ŚCIANKA PRYSZNICOWA AERO 70 + PÓŁKA EVO</t>
  </si>
  <si>
    <t>KPL-06900</t>
  </si>
  <si>
    <t>KABINA DIAMOND BLACK+ BRODZIK DIAMOND WHITE 80X80</t>
  </si>
  <si>
    <t>KPL-15622</t>
  </si>
  <si>
    <t>KABINA DIAMOND BLACK+ BRODZIK DIAMOND BLACK 90X90</t>
  </si>
  <si>
    <t>KPL-05622</t>
  </si>
  <si>
    <t>KABINA DIAMOND BLACK+ BRODZIK DIAMOND WHITE 90X90</t>
  </si>
  <si>
    <t>KPL-14904</t>
  </si>
  <si>
    <t>KABINA DIAMOND GOLD+ BRODZIK DIAMOND BLACK 90X90</t>
  </si>
  <si>
    <t>KPL-04904</t>
  </si>
  <si>
    <t>KABINA DIAMOND GOLD+ BRODZIK DIAMOND WHITE 90X90</t>
  </si>
  <si>
    <t>KPL-90008</t>
  </si>
  <si>
    <t>STELAŻ PODTYNKOWY WC + PRZYCISK H GOLD</t>
  </si>
  <si>
    <t>KPL-U8779</t>
  </si>
  <si>
    <t>UMYWALKA GOYA BLACK + RAMA 60</t>
  </si>
  <si>
    <t>KPL-K7631</t>
  </si>
  <si>
    <t>ŚCIANKA PRYSZNICOWA BLER 120 + PÓŁKA EVO</t>
  </si>
  <si>
    <t>KPL-K7630</t>
  </si>
  <si>
    <t>ŚCIANKA PRYSZNICOWA BLER 110 + PÓŁKA EVO</t>
  </si>
  <si>
    <t>KPL-K7634</t>
  </si>
  <si>
    <t>ŚCIANKA PRYSZNICOWA BLER 100 + PÓŁKA EVO</t>
  </si>
  <si>
    <t>KPL-K7638</t>
  </si>
  <si>
    <t>ŚCIANKA PRYSZNICOWA BLER 90 + PÓŁKA EVO</t>
  </si>
  <si>
    <t>KPL-K7637</t>
  </si>
  <si>
    <t>ŚCIANKA PRYSZNICOWA BLER 80 + PÓŁKA EVO</t>
  </si>
  <si>
    <t>KPL-K7636</t>
  </si>
  <si>
    <t>ŚCIANKA PRYSZNICOWA BLER 70 + PÓŁKA EVO</t>
  </si>
  <si>
    <t>KPL-K7957</t>
  </si>
  <si>
    <t>ŚCIANKA PRYSZNICOWA BLER-1 120 + PÓŁKA EVO</t>
  </si>
  <si>
    <t>KPL-K7956</t>
  </si>
  <si>
    <t>ŚCIANKA PRYSZNICOWA BLER-1 110 + PÓŁKA EVO</t>
  </si>
  <si>
    <t>KPL-K7955</t>
  </si>
  <si>
    <t>ŚCIANKA PRYSZNICOWA BLER-1 100 + PÓŁKA EVO</t>
  </si>
  <si>
    <t>KPL-K7953</t>
  </si>
  <si>
    <t>ŚCIANKA PRYSZNICOWA BLER-1 90 + PÓŁKA EVO</t>
  </si>
  <si>
    <t>KPL-K7952</t>
  </si>
  <si>
    <t>ŚCIANKA PRYSZNICOWA BLER-1 80 + PÓŁKA EVO</t>
  </si>
  <si>
    <t>KPL-K0599</t>
  </si>
  <si>
    <t>ŚCIANKA PRYSZNICOWA AERO BLACK 120 + PÓŁKA EVO</t>
  </si>
  <si>
    <t>KPL-K0597</t>
  </si>
  <si>
    <t>ŚCIANKA PRYSZNICOWA AERO BLACK 110 + Półka Evo</t>
  </si>
  <si>
    <t>KPL-K0596</t>
  </si>
  <si>
    <t>ŚCIANKA PRYSZNICOWA AERO BLACK 100 + Półka Evo</t>
  </si>
  <si>
    <t>KPL-K7581</t>
  </si>
  <si>
    <t>ŚCIANKA PRYSZNICOWA AERO BLACK 90 + Półka Evo</t>
  </si>
  <si>
    <t>KPL-K1016</t>
  </si>
  <si>
    <t>KABINA PUNTO BLACK 80x100 + BRODZIK SAVOY BIAŁY</t>
  </si>
  <si>
    <t>KPL-90009</t>
  </si>
  <si>
    <t>STELAŻ PODTYNKOWY WC + PRZYCISK F GOLD</t>
  </si>
  <si>
    <t>KPL-K1014</t>
  </si>
  <si>
    <t>KABINA PUNTO BLACK 90x90 + BRODZIK SAVOY BIAŁY</t>
  </si>
  <si>
    <t>KPL-K1012</t>
  </si>
  <si>
    <t>KABINA PUNTO BLACK 80x80 + BRODZIK SAVOY BIAŁY</t>
  </si>
  <si>
    <t>KPL-U8901</t>
  </si>
  <si>
    <t>UMYWALKA GOYA WHITE + RAMA 60</t>
  </si>
  <si>
    <t>KPL-90006</t>
  </si>
  <si>
    <t>STELAŻ PODTYNKOWY WC + PRZYCISK H BLACK</t>
  </si>
  <si>
    <t>KPL-90007</t>
  </si>
  <si>
    <t>STELAŻ PODTYNKOWY WC + PRZYCISK F BLACK</t>
  </si>
  <si>
    <t>KPL-009945</t>
  </si>
  <si>
    <t>KABINA PRYSZNICOWA NAROŻNA RAPID SWING 150X100</t>
  </si>
  <si>
    <t>REA-K6416</t>
  </si>
  <si>
    <t>KPL-009936</t>
  </si>
  <si>
    <t>KABINA PRYSZNICOWA NAROŻNA RAPID SWING 120X100</t>
  </si>
  <si>
    <t>KPL-009935</t>
  </si>
  <si>
    <t>KABINA PRYSZNICOWA NAROŻNA RAPID SWING 120X90</t>
  </si>
  <si>
    <t>KPL-009934</t>
  </si>
  <si>
    <t>KABINA PRYSZNICOWA NAROŻNA RAPID SWING 120X80</t>
  </si>
  <si>
    <t>KPL-009930</t>
  </si>
  <si>
    <t>KABINA PRYSZNICOWA NAROŻNA RAPID SWING 100X100</t>
  </si>
  <si>
    <t>KPL-009929</t>
  </si>
  <si>
    <t>KABINA PRYSZNICOWA NAROŻNA RAPID SWING 100X90</t>
  </si>
  <si>
    <t>KPL-009928</t>
  </si>
  <si>
    <t>KABINA PRYSZNICOWA NAROŻNA RAPID SWING 100X80</t>
  </si>
  <si>
    <t>KPL-009927</t>
  </si>
  <si>
    <t>KABINA PRYSZNICOWA NAROŻNA RAPID SWING 90X100</t>
  </si>
  <si>
    <t>KPL-009926</t>
  </si>
  <si>
    <t>KABINA PRYSZNICOWA NAROŻNA RAPID SWING 90X90</t>
  </si>
  <si>
    <t>KPL-009925</t>
  </si>
  <si>
    <t>KABINA PRYSZNICOWA NAROŻNA RAPID SWING 90X80</t>
  </si>
  <si>
    <t>KPL-009924</t>
  </si>
  <si>
    <t>KABINA PRYSZNICOWA NAROŻNA RAPID SWING 80X100</t>
  </si>
  <si>
    <t>KPL-009923</t>
  </si>
  <si>
    <t>KABINA PRYSZNICOWA NAROŻNA RAPID SWING 80X90</t>
  </si>
  <si>
    <t>KPL-009922</t>
  </si>
  <si>
    <t>KABINA PRYSZNICOWA NAROŻNA RAPID SWING 80X80</t>
  </si>
  <si>
    <t>KPL-009921</t>
  </si>
  <si>
    <t>KABINA PRYSZNICOWA NAROŻNA RAPID SWING 70X100</t>
  </si>
  <si>
    <t>KPL-009920</t>
  </si>
  <si>
    <t>KABINA PRYSZNICOWA NAROŻNA RAPID SWING 70X90</t>
  </si>
  <si>
    <t>KPL-009919</t>
  </si>
  <si>
    <t>KABINA PRYSZNICOWA NAROŻNA RAPID SWING 70x80</t>
  </si>
  <si>
    <t>KPL-09918</t>
  </si>
  <si>
    <t>KABINA PRYSZNICOWA PRZYŚCIENNA RAPID FOLD 100x100</t>
  </si>
  <si>
    <t>KPL-09917</t>
  </si>
  <si>
    <t>KABINA PRYSZNICOWA PRZYŚCIENNA RAPID FOLD 100 x 90</t>
  </si>
  <si>
    <t>KPL-09916</t>
  </si>
  <si>
    <t>KABINA PRYSZNICOWA PRZYŚCIENNA RAPID FOLD 100 x 80</t>
  </si>
  <si>
    <t>KPL-09915</t>
  </si>
  <si>
    <t>KABINA PRYSZNICOWA PRZYŚCIENNA RAPID FOLD 90 x 100</t>
  </si>
  <si>
    <t>KPL-09914</t>
  </si>
  <si>
    <t>KABINA PRYSZNICOWA PRZYŚCIENNA RAPID FOLD 90 x 90</t>
  </si>
  <si>
    <t>KPL-09913</t>
  </si>
  <si>
    <t>KABINA PRYSZNICOWA PRZYŚCIENNA RAPID FOLD 90 x 80</t>
  </si>
  <si>
    <t>KPL-09912</t>
  </si>
  <si>
    <t>KABINA PRYSZNICOWA PRZYŚCIENNA RAPID FOLD 80 x 100</t>
  </si>
  <si>
    <t>KPL-09911</t>
  </si>
  <si>
    <t>KABINA PRYSZNICOWA PRZYŚCIENNA RAPID FOLD 80 x 90</t>
  </si>
  <si>
    <t>KPL-09910</t>
  </si>
  <si>
    <t>KABINA PRYSZNICOWA PRZYŚCIENNA RAPID FOLD 80 x 80</t>
  </si>
  <si>
    <t>KPL-09906</t>
  </si>
  <si>
    <t>KABINA PRYSZNICOWA NAROŻNA RAPID FOLD 100 x 100</t>
  </si>
  <si>
    <t>KPL-09905</t>
  </si>
  <si>
    <t>KABINA PRYSZNICOWA NAROŻNA RAPID FOLD 100 x 90</t>
  </si>
  <si>
    <t>KPL-09904</t>
  </si>
  <si>
    <t>KABINA PRYSZNICOWA NAROŻNA RAPID FOLD 100 x 80</t>
  </si>
  <si>
    <t>KPL-09903</t>
  </si>
  <si>
    <t>KABINA PRYSZNICOWA NAROŻNA RAPID FOLD 90 x 100</t>
  </si>
  <si>
    <t>KPL-09902</t>
  </si>
  <si>
    <t>KABINA PRYSZNICOWA NAROŻNA RAPID FOLD 90 x 90</t>
  </si>
  <si>
    <t>KPL-09901</t>
  </si>
  <si>
    <t>KABINA PRYSZNICOWA NAROŻNA RAPID FOLD 90 x 80</t>
  </si>
  <si>
    <t>KPL-09900</t>
  </si>
  <si>
    <t>KABINA PRYSZNICOWA NAROŻNA RAPID FOLD 80 x 100</t>
  </si>
  <si>
    <t>KPL-09899</t>
  </si>
  <si>
    <t>KABINA PRYSZNICOWA NAROŻNA RAPID FOLD 80 x 90</t>
  </si>
  <si>
    <t>KPL-09898</t>
  </si>
  <si>
    <t>KABINA PRYSZNICOWA NAROŻNA RAPID FOLD 80 x 80</t>
  </si>
  <si>
    <t>KPL-09894</t>
  </si>
  <si>
    <t>KABINA PRYSZNICOWA PRZYŚCIENNA RAPID SLIDE 160x100</t>
  </si>
  <si>
    <t>KPL-09874</t>
  </si>
  <si>
    <t>KABINA PRYSZNICOWA PRZYŚCIENNA RAPID SLIDE 100x80</t>
  </si>
  <si>
    <t>KPL-09893</t>
  </si>
  <si>
    <t>KABINA PRYSZNICOWA PRZYŚCIENNA RAPID SLIDE 160x90</t>
  </si>
  <si>
    <t>KPL-09892</t>
  </si>
  <si>
    <t>KABINA PRYSZNICOWA PRZYŚCIENNA RAPID SLIDE 160x80</t>
  </si>
  <si>
    <t>KPL-09891</t>
  </si>
  <si>
    <t>KABINA PRYSZNICOWA PRZYŚCIENNA RAPID SLIDE 150x100</t>
  </si>
  <si>
    <t>KPL-09890</t>
  </si>
  <si>
    <t>KABINA PRYSZNICOWA PRZYŚCIENNA RAPID SLIDE 150x90</t>
  </si>
  <si>
    <t>KPL-09889</t>
  </si>
  <si>
    <t>KABINA PRYSZNICOWA PRZYŚCIENNA RAPID SLIDE 150x80</t>
  </si>
  <si>
    <t>KPL-09888</t>
  </si>
  <si>
    <t>KABINA PRYSZNICOWA PRZYŚCIENNA RAPID SLIDE 140x100</t>
  </si>
  <si>
    <t>KPL-09887</t>
  </si>
  <si>
    <t>KABINA PRYSZNICOWA PRZYŚCIENNA RAPID SLIDE 140x90</t>
  </si>
  <si>
    <t>KPL-09886</t>
  </si>
  <si>
    <t>KABINA PRYSZNICOWA PRZYŚCIENNA RAPID SLIDE 140x80</t>
  </si>
  <si>
    <t>KPL-09885</t>
  </si>
  <si>
    <t>KABINA PRYSZNICOWA PRZYŚCIENNA RAPID SLIDE 130x100</t>
  </si>
  <si>
    <t>KPL-09884</t>
  </si>
  <si>
    <t>KABINA PRYSZNICOWA PRZYŚCIENNA RAPID SLIDE 130x90</t>
  </si>
  <si>
    <t>KPL-09883</t>
  </si>
  <si>
    <t>KABINA PRYSZNICOWA PRZYŚCIENNA RAPID SLIDE 130x80</t>
  </si>
  <si>
    <t>KPL-09882</t>
  </si>
  <si>
    <t>KABINA PRYSZNICOWA PRZYŚCIENNA RAPID SLIDE 120x100</t>
  </si>
  <si>
    <t>KPL-09881</t>
  </si>
  <si>
    <t>KABINA PRYSZNICOWA PRZYŚCIENNA RAPID SLIDE 120x90</t>
  </si>
  <si>
    <t>KPL-09880</t>
  </si>
  <si>
    <t>KABINA PRYSZNICOWA PRZYŚCIENNA RAPID SLIDE 120x80</t>
  </si>
  <si>
    <t>KPL-09879</t>
  </si>
  <si>
    <t>KABINA PRYSZNICOWA PRZYŚCIENNA RAPID SLIDE 110x100</t>
  </si>
  <si>
    <t>KPL-09878</t>
  </si>
  <si>
    <t>KABINA PRYSZNICOWA PRZYŚCIENNA RAPID SLIDE 110x90</t>
  </si>
  <si>
    <t>KPL-09877</t>
  </si>
  <si>
    <t>KABINA PRYSZNICOWA PRZYŚCIENNA RAPID SLIDE 110x80</t>
  </si>
  <si>
    <t>KPL-09876</t>
  </si>
  <si>
    <t>KABINA PRYSZNICOWA PRZYŚCIENNA RAPID SLIDE 100x100</t>
  </si>
  <si>
    <t>KPL-09875</t>
  </si>
  <si>
    <t>KABINA PRYSZNICOWA PRZYŚCIENNA RAPID SLIDE 100x90</t>
  </si>
  <si>
    <t>KPL-09873</t>
  </si>
  <si>
    <t>KABINA PRYSZNICOWA NAROŻNA RAPID SLIDE 160 x 100</t>
  </si>
  <si>
    <t>KPL-09853</t>
  </si>
  <si>
    <t>KABINA PRYSZNICOWA NAROŻNA RAPID SLIDE 100 x 80</t>
  </si>
  <si>
    <t>KPL-09872</t>
  </si>
  <si>
    <t>KABINA PRYSZNICOWA NAROŻNA RAPID SLIDE 160 x 90</t>
  </si>
  <si>
    <t>KPL-09871</t>
  </si>
  <si>
    <t>KABINA PRYSZNICOWA NAROŻNA RAPID SLIDE 160 x 80</t>
  </si>
  <si>
    <t>KPL-09870</t>
  </si>
  <si>
    <t>KABINA PRYSZNICOWA NAROŻNA RAPID SLIDE 150 x 100</t>
  </si>
  <si>
    <t>KPL-09869</t>
  </si>
  <si>
    <t>KABINA PRYSZNICOWA NAROŻNA RAPID SLIDE 150 x 90</t>
  </si>
  <si>
    <t>KPL-09868</t>
  </si>
  <si>
    <t>KABINA PRYSZNICOWA NAROŻNA RAPID SLIDE 150 x 80</t>
  </si>
  <si>
    <t>KPL-09867</t>
  </si>
  <si>
    <t>KABINA PRYSZNICOWA NAROŻNA RAPID SLIDE 140 x 100</t>
  </si>
  <si>
    <t>KPL-09866</t>
  </si>
  <si>
    <t>KABINA PRYSZNICOWA NAROŻNA RAPID SLIDE 140x90</t>
  </si>
  <si>
    <t>KPL-09865</t>
  </si>
  <si>
    <t>KABINA PRYSZNICOWA NAROŻNA RAPID SLIDE 140 x 80</t>
  </si>
  <si>
    <t>KPL-09864</t>
  </si>
  <si>
    <t>KABINA PRYSZNICOWA NAROŻNA RAPID SLIDE 130 x 100</t>
  </si>
  <si>
    <t>KPL-09863</t>
  </si>
  <si>
    <t>KABINA PRYSZNICOWA NAROŻNA RAPID SLIDE 130 x 90</t>
  </si>
  <si>
    <t>KPL-09862</t>
  </si>
  <si>
    <t>KABINA PRYSZNICOWA NAROŻNA RAPID SLIDE 130 X 80</t>
  </si>
  <si>
    <t>KPL-09861</t>
  </si>
  <si>
    <t>KABINA PRYSZNICOWA NAROŻNA RAPID SLIDE 120 x 100</t>
  </si>
  <si>
    <t>KPL-09860</t>
  </si>
  <si>
    <t>KABINA PRYSZNICOWA NAROŻNA RAPID SLIDE 120 x 90</t>
  </si>
  <si>
    <t>KPL-09859</t>
  </si>
  <si>
    <t>KABINA PRYSZNICOWA NAROŻNA RAPID SLIDE 120 x 80</t>
  </si>
  <si>
    <t>KPL-09858</t>
  </si>
  <si>
    <t>KABINA PRYSZNICOWA NAROŻNA RAPID SLIDE 110 x 100</t>
  </si>
  <si>
    <t>KPL-09857</t>
  </si>
  <si>
    <t>KABINA PRYSZNICOWA NAROŻNA RAPID SLIDE 110 x 90</t>
  </si>
  <si>
    <t>KPL-09856</t>
  </si>
  <si>
    <t>KABINA PRYSZNICOWA NAROŻNA RAPID SLIDE 110 x 80</t>
  </si>
  <si>
    <t>KPL-09855</t>
  </si>
  <si>
    <t>KABINA PRYSZNICOWA NAROŻNA RAPID SLIDE 100 x 100</t>
  </si>
  <si>
    <t>KPL-09854</t>
  </si>
  <si>
    <t>KABINA PRYSZNICOWA NAROŻNA RAPID SLIDE 100 x 90</t>
  </si>
  <si>
    <t>KPL-00438</t>
  </si>
  <si>
    <t>KABINA PRYSZ. NIXON-2 100x150 PRAWA</t>
  </si>
  <si>
    <t>KPL-00437</t>
  </si>
  <si>
    <t>KABINA PRYSZ. NIXON-2 100x150 LEWA</t>
  </si>
  <si>
    <t>KPL-00672</t>
  </si>
  <si>
    <t>ZESTAW WC + BIDET CARLO MINI RIML/DURO  BLACK MAT</t>
  </si>
  <si>
    <t>KPL-00436</t>
  </si>
  <si>
    <t>KABINA PRYSZ. NIXON-2 100x140 PRAWA</t>
  </si>
  <si>
    <t>KPL-00435</t>
  </si>
  <si>
    <t>KABINA PRYSZ. NIXON-2 100x140 LEWA</t>
  </si>
  <si>
    <t>KPL-00434</t>
  </si>
  <si>
    <t>KABINA PRYSZ. NIXON-2 100x130 PRAWA</t>
  </si>
  <si>
    <t>KPL-00433</t>
  </si>
  <si>
    <t>KABINA PRYSZ. NIXON-2 100x130 LEWA</t>
  </si>
  <si>
    <t>KPL-00432</t>
  </si>
  <si>
    <t>KABINA PRYSZ. NIXON-2 100x120 PRAWA</t>
  </si>
  <si>
    <t>KPL-00431</t>
  </si>
  <si>
    <t>KABINA PRYSZ. NIXON-2 100x120 LEWA</t>
  </si>
  <si>
    <t>KPL-00428</t>
  </si>
  <si>
    <t>KABINA PRYSZ. NIXON-2 100x100 PRAWA</t>
  </si>
  <si>
    <t>KPL-00427</t>
  </si>
  <si>
    <t>KABINA PRYSZ. NIXON-2 100x100 LEWA</t>
  </si>
  <si>
    <t>KPL-00426</t>
  </si>
  <si>
    <t>KABINA PRYSZ. NIXON-2 90x150 PRAWA</t>
  </si>
  <si>
    <t>KPL-00425</t>
  </si>
  <si>
    <t>KABINA PRYSZ. NIXON-2 90x150 LEWA</t>
  </si>
  <si>
    <t>KPL-00424</t>
  </si>
  <si>
    <t>KABINA PRYSZ. NIXON-2 90x140 PRAWA</t>
  </si>
  <si>
    <t>KPL-00423</t>
  </si>
  <si>
    <t>KABINA PRYSZ. NIXON-2 90x140 LEWA</t>
  </si>
  <si>
    <t>KPL-00422</t>
  </si>
  <si>
    <t>KABINA PRYSZ. NIXON-2 90x130 PRAWA</t>
  </si>
  <si>
    <t>KPL-00421</t>
  </si>
  <si>
    <t>KABINA PRYSZ. NIXON-2 90x130 LEWA</t>
  </si>
  <si>
    <t>KPL-00420</t>
  </si>
  <si>
    <t>KABINA PRYSZ. NIXON-2 90x120 PRAWA</t>
  </si>
  <si>
    <t>KPL-00419</t>
  </si>
  <si>
    <t>KABINA PRYSZ. NIXON-2 90x120 LEWA</t>
  </si>
  <si>
    <t>KPL-00416</t>
  </si>
  <si>
    <t>KABINA PRYSZ. NIXON-2 90x100 PRAWA</t>
  </si>
  <si>
    <t>KPL-00415</t>
  </si>
  <si>
    <t>KABINA PRYSZ. NIXON-2 90x100 LEWA</t>
  </si>
  <si>
    <t>KPL-00414</t>
  </si>
  <si>
    <t>KABINA PRYSZ. NIXON-2 80x150 PRAWA</t>
  </si>
  <si>
    <t>KPL-00413</t>
  </si>
  <si>
    <t>KABINA PRYSZ. NIXON-2 80x150 LEWA</t>
  </si>
  <si>
    <t>KPL-00412</t>
  </si>
  <si>
    <t>KABINA PRYSZ. NIXON-2 80x140 PRAWA</t>
  </si>
  <si>
    <t>KPL-00411</t>
  </si>
  <si>
    <t>KABINA PRYSZ. NIXON-2 80x140 LEWA</t>
  </si>
  <si>
    <t>KPL-00410</t>
  </si>
  <si>
    <t>KABINA PRYSZ. NIXON-2 80x130 PRAWA</t>
  </si>
  <si>
    <t>KPL-00409</t>
  </si>
  <si>
    <t>KABINA PRYSZ. NIXON-2 80x130 LEWA</t>
  </si>
  <si>
    <t>KPL-00408</t>
  </si>
  <si>
    <t>KABINA PRYSZ. NIXON-2 80x120 PRAWA</t>
  </si>
  <si>
    <t>KPL-00407</t>
  </si>
  <si>
    <t>KABINA PRYSZ. NIXON-2 80x120 LEWA</t>
  </si>
  <si>
    <t>KPL-00404</t>
  </si>
  <si>
    <t>KABINA PRYSZ. NIXON-2 80x100 PRAWA</t>
  </si>
  <si>
    <t>KPL-00403</t>
  </si>
  <si>
    <t>KABINA PRYSZ. NIXON-2 80x100 LEWA</t>
  </si>
  <si>
    <t>KPL-07462</t>
  </si>
  <si>
    <t>KABINA PRYSZNICOWA SKŁADANA FOLD N2 120x120</t>
  </si>
  <si>
    <t>KPL-07461</t>
  </si>
  <si>
    <t>KABINA PRYSZNICOWA SKŁADANA FOLD N2 110x120</t>
  </si>
  <si>
    <t>KPL-07460</t>
  </si>
  <si>
    <t>KABINA PRYSZNICOWA SKŁADANA FOLD N2 110x110</t>
  </si>
  <si>
    <t>KPL-07459</t>
  </si>
  <si>
    <t>KABINA PRYSZNICOWA SKŁADANA FOLD N2 100x120</t>
  </si>
  <si>
    <t>KPL-07458</t>
  </si>
  <si>
    <t>KABINA PRYSZNICOWA SKŁADANA FOLD N2 100x110</t>
  </si>
  <si>
    <t>KPL-07457</t>
  </si>
  <si>
    <t>KABINA PRYSZNICOWA SKŁADANA FOLD N2 100x100</t>
  </si>
  <si>
    <t>KPL-07456</t>
  </si>
  <si>
    <t>KABINA PRYSZNICOWA SKŁADANA FOLD N2 90x120</t>
  </si>
  <si>
    <t>KPL-07455</t>
  </si>
  <si>
    <t>KABINA PRYSZNICOWA SKŁADANA FOLD N2 90x110</t>
  </si>
  <si>
    <t>KPL-07454</t>
  </si>
  <si>
    <t>KABINA PRYSZNICOWA SKŁADANA FOLD N2 90x100</t>
  </si>
  <si>
    <t>KPL-07444</t>
  </si>
  <si>
    <t>KABINA PRYSZNICOWA SKŁADANA FOLD N2 70x70</t>
  </si>
  <si>
    <t>KPL-07453</t>
  </si>
  <si>
    <t>KABINA PRYSZNICOWA SKŁADANA FOLD N2 80x120</t>
  </si>
  <si>
    <t>KPL-07452</t>
  </si>
  <si>
    <t>KABINA PRYSZNICOWA SKŁADANA FOLD N2 80x110</t>
  </si>
  <si>
    <t>KPL-07451</t>
  </si>
  <si>
    <t>KABINA PRYSZNICOWA SKŁADANA FOLD N2 80x100</t>
  </si>
  <si>
    <t>KPL-07448</t>
  </si>
  <si>
    <t>KABINA PRYSZNICOWA SKŁADANA FOLD N2 80x90</t>
  </si>
  <si>
    <t>KPL-K7443</t>
  </si>
  <si>
    <t>KABINA PRYSZNICOWA SKŁADANA FOLD N2 80x80</t>
  </si>
  <si>
    <t>KPL-07450</t>
  </si>
  <si>
    <t>KABINA PRYSZNICOWA SKŁADANA FOLD N2 70x120</t>
  </si>
  <si>
    <t>KPL-07449</t>
  </si>
  <si>
    <t>KABINA PRYSZNICOWA SKŁADANA FOLD N2 70x110</t>
  </si>
  <si>
    <t>KPL-07447</t>
  </si>
  <si>
    <t>KABINA PRYSZNICOWA SKŁADANA FOLD N2 70x100</t>
  </si>
  <si>
    <t>KPL-07446</t>
  </si>
  <si>
    <t>KABINA PRYSZNICOWA SKŁADANA FOLD N2 70x90</t>
  </si>
  <si>
    <t>KPL-07445</t>
  </si>
  <si>
    <t>KABINA PRYSZNICOWA SKŁADANA FOLD N2 70x80</t>
  </si>
  <si>
    <t>KPL-90011</t>
  </si>
  <si>
    <t>STELAŻ PODTYNKOWY WC + PRZYCISK H CHROM</t>
  </si>
  <si>
    <t>KPL-90010</t>
  </si>
  <si>
    <t>STELAŻ PODTYNKOWY WC + PRZYCISK F CHROM</t>
  </si>
  <si>
    <t>KPL-W1101</t>
  </si>
  <si>
    <t>WANNA SPARTA 175 + KOREK WANNOWY</t>
  </si>
  <si>
    <t>REA-77043</t>
  </si>
  <si>
    <t>322197 DOZOWNIK DO MYDŁA CZARNY HILL</t>
  </si>
  <si>
    <t>REA-77067</t>
  </si>
  <si>
    <t>322197A DOZOWNIK DO MYDŁA ZŁOTY HILL</t>
  </si>
  <si>
    <t>REA-77041</t>
  </si>
  <si>
    <t>322212 DOZOWNIK DO MYDŁA CZARNY</t>
  </si>
  <si>
    <t>REA-80046</t>
  </si>
  <si>
    <t>OSTE 06 CHROME DOZOWNIK</t>
  </si>
  <si>
    <t>REA-77052</t>
  </si>
  <si>
    <t>322217A DOZOWNIK DO MYDŁA CZARNY DUO</t>
  </si>
  <si>
    <t>REA-80047</t>
  </si>
  <si>
    <t>OSTE 06 BLACK DOZOWNIK</t>
  </si>
  <si>
    <t>REA-77075</t>
  </si>
  <si>
    <t>322217 DOZOWNIK DO MYDŁA NIKIEL SZCZOTKOWANY DUO</t>
  </si>
  <si>
    <t>REA-77069</t>
  </si>
  <si>
    <t>322212A DOZOWNIK DO MYDŁA ZŁOTY</t>
  </si>
  <si>
    <t>REA-77026</t>
  </si>
  <si>
    <t>322217B DOZOWNIK DO MYDŁA ZŁOTY</t>
  </si>
  <si>
    <t>REA-K6933</t>
  </si>
  <si>
    <t>322102D DOZOWNIK CHROM</t>
  </si>
  <si>
    <t>REA-06932</t>
  </si>
  <si>
    <t>322102 DOZOWNIK CZARNY</t>
  </si>
  <si>
    <t>BAT-05010</t>
  </si>
  <si>
    <t>DOZOWNIK DO MYDŁA KWADRAT BIAŁY 330 ML</t>
  </si>
  <si>
    <t>BAT-05011</t>
  </si>
  <si>
    <t>DOZOWNIK DO MYDŁA KWADRAT CHROM 330 ML</t>
  </si>
  <si>
    <t>REA-06931</t>
  </si>
  <si>
    <t>322103 DOZOWNIK CZARNY</t>
  </si>
  <si>
    <t>BAT-05013</t>
  </si>
  <si>
    <t>DOZOWNIK DO MYDŁA KWADRAT MIEDŹ 330 ML</t>
  </si>
  <si>
    <t>BAT-05012</t>
  </si>
  <si>
    <t>DOZOWNIK DO MYDŁA KWADRAT SZCZOTKOWANY NIKIEL330ML</t>
  </si>
  <si>
    <t>BAT-05008</t>
  </si>
  <si>
    <t>DOZOWNIK DO MYDŁA KWADRAT ZŁOTY 330 ML</t>
  </si>
  <si>
    <t>BAT-05009</t>
  </si>
  <si>
    <t>DOZOWNIK DO MYDŁA KWADRAT SZCZOTKOWANY ZŁOTY 330ML</t>
  </si>
  <si>
    <t>BAT-05003</t>
  </si>
  <si>
    <t>DOZOWNIK DO MYDŁA OKRĄGŁY BIAŁY 330 ML</t>
  </si>
  <si>
    <t>BAT-05004</t>
  </si>
  <si>
    <t>DOZOWNIK DO MYDŁA OKRAGŁY CHROM 330 ML</t>
  </si>
  <si>
    <t>BAT-05000</t>
  </si>
  <si>
    <t>DOZOWNIK DO MYDŁA OKRAGŁY CZARNY 330 ML</t>
  </si>
  <si>
    <t>BAT-05006</t>
  </si>
  <si>
    <t>DOZOWNIK DO MYDŁA OKRĄGŁY MIEDŹ 330 ML</t>
  </si>
  <si>
    <t>BAT-05005</t>
  </si>
  <si>
    <t>DOZOWNIK DO MYDŁA OKRĄGŁY SZCZOTKOWAN NIKIEL 330ML</t>
  </si>
  <si>
    <t>BAT-05001</t>
  </si>
  <si>
    <t>DOZOWNIK DO MYDŁA OKRĄGŁY ZŁOTY 330 ML</t>
  </si>
  <si>
    <t>BAT-05002</t>
  </si>
  <si>
    <t>DOZOWNIK DO MYDŁA OKRĄGŁY SZCZOTKOWANY ZŁOTY 330ML</t>
  </si>
  <si>
    <t>REA-77091</t>
  </si>
  <si>
    <t>322233B KUBEK ŁAZIENKOWY WISZĄCY BIAŁY LEO</t>
  </si>
  <si>
    <t>REA-77049</t>
  </si>
  <si>
    <t>322185 KUBEK ŁAZIENKOWY WISZĄCY CZARNY TIL</t>
  </si>
  <si>
    <t>REA-77070</t>
  </si>
  <si>
    <t>322189A KUBEK ŁAZIENKOWY WISZĄCY CZARNY MOON</t>
  </si>
  <si>
    <t>REA-77039</t>
  </si>
  <si>
    <t>322211 KUBEK ŁAZIENKOWY WISZĄCY CZARNY</t>
  </si>
  <si>
    <t>REA-77094</t>
  </si>
  <si>
    <t>322233C KUBEK ŁAZIENKOWY WISZĄCY CZARNY LEO</t>
  </si>
  <si>
    <t>REA-77089</t>
  </si>
  <si>
    <t>322233A KUBEK ŁAZIENKOWY WISZĄCY TYTAN  LEO</t>
  </si>
  <si>
    <t>REA-77036</t>
  </si>
  <si>
    <t>322224 KUBEK ŁAZIENKOWY WISZĄCY CHROM CRIS</t>
  </si>
  <si>
    <t>REA-77092</t>
  </si>
  <si>
    <t>322185A KUBEK ŁAZIENKOWY WISZĄCY ZŁOTY TIL</t>
  </si>
  <si>
    <t>REA-77063</t>
  </si>
  <si>
    <t>322189 KUBEK ŁAZIENKOWY WISZĄCY ZŁOTY MOON</t>
  </si>
  <si>
    <t>REA-77085</t>
  </si>
  <si>
    <t>322211A KUBEK ŁAZIENKOWY WISZĄCY ZŁOTY</t>
  </si>
  <si>
    <t>REA-77040</t>
  </si>
  <si>
    <t>322224B KUBEK ŁAZIENKOWY WISZĄCY ZŁOTY CRIS</t>
  </si>
  <si>
    <t>REA-77087</t>
  </si>
  <si>
    <t>322233 KUBEK ŁAZIENKOWY WISZĄCY ZŁOTY SZCZOTKOWANY</t>
  </si>
  <si>
    <t>REA-77053</t>
  </si>
  <si>
    <t>322218 MYDELNICZKA WISZĄCA NIKIEL SZCZOTK DUO</t>
  </si>
  <si>
    <t>REA-77038</t>
  </si>
  <si>
    <t>322190A MYDELNICZKA WISZĄCA CZARNA</t>
  </si>
  <si>
    <t>REA-77078</t>
  </si>
  <si>
    <t>322218A MYDELNICZKA WISZĄCA CZARNA DUO</t>
  </si>
  <si>
    <t>REA-77042</t>
  </si>
  <si>
    <t>322225 MYDELNICZKA CHROM CRIST</t>
  </si>
  <si>
    <t>REA-77037</t>
  </si>
  <si>
    <t>322190 MYDELNICZKA WISZĄCA ZŁOTA</t>
  </si>
  <si>
    <t>REA-77054</t>
  </si>
  <si>
    <t>322218B MYDELNICZKA WISZĄCA ZŁOTY</t>
  </si>
  <si>
    <t>REA-77045</t>
  </si>
  <si>
    <t>322225B MYDELNICZKA ZŁOTA CRIS</t>
  </si>
  <si>
    <t>HOM-07012</t>
  </si>
  <si>
    <t>REA 322737 POJEMNIK BAMBUSOWY</t>
  </si>
  <si>
    <t>REA-07016</t>
  </si>
  <si>
    <t>322743B POJEMNIK NA PAPIER CHROM</t>
  </si>
  <si>
    <t>REA-07014</t>
  </si>
  <si>
    <t>322743A POJEMNIK NA PAPIER CZARNY</t>
  </si>
  <si>
    <t>REA-07013</t>
  </si>
  <si>
    <t>322743 POJEMNIK NA PAPIER MIEDZIANY</t>
  </si>
  <si>
    <t>REA-07017</t>
  </si>
  <si>
    <t>322743C POJEMNIK NA PAPIER ZŁOTY</t>
  </si>
  <si>
    <t>REA-06014</t>
  </si>
  <si>
    <t>PÓŁKA ŁAZIENKOWA SF05-B BLACK</t>
  </si>
  <si>
    <t>REA-06015</t>
  </si>
  <si>
    <t>PÓŁKA ŁAZIENKOWA SF05-BG BRUSH GOLD</t>
  </si>
  <si>
    <t>REA-06002</t>
  </si>
  <si>
    <t>PÓŁKA ŁAZIENKOWA SF01-600-B BLACK</t>
  </si>
  <si>
    <t>REA-06003</t>
  </si>
  <si>
    <t>PÓŁKA ŁAZIENKOWA SF01-600-BG BRUSH GOLD</t>
  </si>
  <si>
    <t>REA-K7700</t>
  </si>
  <si>
    <t>PRZEDŁUŻKA 30cm CHROM</t>
  </si>
  <si>
    <t>REA-K7701</t>
  </si>
  <si>
    <t>PRZEDŁUŻKA 30cm CZARNY</t>
  </si>
  <si>
    <t>REA-K7702</t>
  </si>
  <si>
    <t>PRZEDŁUŻKA 30cm ZŁOTY</t>
  </si>
  <si>
    <t>HOM-07500</t>
  </si>
  <si>
    <t>REA STOJAK WC CHROM BAMBUSOWY 390228</t>
  </si>
  <si>
    <t>HOM-04859</t>
  </si>
  <si>
    <t>REA STOJAK WC 332871 ZŁOTY</t>
  </si>
  <si>
    <t>HOM-04860</t>
  </si>
  <si>
    <t>REA STOJAK WC 332872 ZŁOTY</t>
  </si>
  <si>
    <t>HOM-00015</t>
  </si>
  <si>
    <t>REA STOJAK BAMBUSOWY WC 381757</t>
  </si>
  <si>
    <t>REA-77028</t>
  </si>
  <si>
    <t>322200 SZCZOTKA WC CZARNA HILL</t>
  </si>
  <si>
    <t>REA-77097</t>
  </si>
  <si>
    <t>322265A SZCZOTKA WC ZŁOTA TIL</t>
  </si>
  <si>
    <t>REA-77101</t>
  </si>
  <si>
    <t>322234B SZCZOTKA WC BIAŁA LEO</t>
  </si>
  <si>
    <t>REA-06916</t>
  </si>
  <si>
    <t>322265B SZCZOTKA WC CHROME</t>
  </si>
  <si>
    <t>REA-80012</t>
  </si>
  <si>
    <t>ERLO 05 CHROME SZCZOTKA WC</t>
  </si>
  <si>
    <t>REA-80030</t>
  </si>
  <si>
    <t>MIST 06 CHROME SZCZOTKA WC</t>
  </si>
  <si>
    <t>REA-80049</t>
  </si>
  <si>
    <t>OSTE 07 CHROME SZCZOTKA WC</t>
  </si>
  <si>
    <t>REA-07200</t>
  </si>
  <si>
    <t>322120 SZCZOTKA WC BLACK/GOLD</t>
  </si>
  <si>
    <t>REA-77076</t>
  </si>
  <si>
    <t>322195A SZCZOTKA WC CZARNA MOON</t>
  </si>
  <si>
    <t>REA-77044</t>
  </si>
  <si>
    <t>322214 SZCZOTKA WC CZARNA</t>
  </si>
  <si>
    <t>REA-77013</t>
  </si>
  <si>
    <t>322222A SZCZOTKA WC CZARNA DUO</t>
  </si>
  <si>
    <t>REA-77103</t>
  </si>
  <si>
    <t>322234C SZCZOTKA WC CZARNA LEO</t>
  </si>
  <si>
    <t>REA-77093</t>
  </si>
  <si>
    <t>322265 SZCZOTKA WC CZARNA</t>
  </si>
  <si>
    <t>REA-06910</t>
  </si>
  <si>
    <t>332918 ERLO 05 BLAaCK SZCZOTKA WC</t>
  </si>
  <si>
    <t>REA-80013</t>
  </si>
  <si>
    <t>ERLO 05 BLACK SZCZOTKA WC</t>
  </si>
  <si>
    <t>REA-80031</t>
  </si>
  <si>
    <t>MIST 06 BLACK SZCZOTKA WC</t>
  </si>
  <si>
    <t>REA-80050</t>
  </si>
  <si>
    <t>OSTE 07 BLACK SZCZOTKA WC</t>
  </si>
  <si>
    <t>REA-77099</t>
  </si>
  <si>
    <t>322234A SZCZOTKA WC LEO TYTAN</t>
  </si>
  <si>
    <t>REA-77011</t>
  </si>
  <si>
    <t>322222 SZCZOTKA WC NIKIEL SZCZOTKOWANY DUO</t>
  </si>
  <si>
    <t>REA-77061</t>
  </si>
  <si>
    <t>322229 SZCZOTKA WC CHROM CRIST</t>
  </si>
  <si>
    <t>REA-07201</t>
  </si>
  <si>
    <t>322120A SZCZOTKA WC WHITE/GOLD</t>
  </si>
  <si>
    <t>REA-77051</t>
  </si>
  <si>
    <t>322195 SZCZOTKA WC ZŁOTA</t>
  </si>
  <si>
    <t>REA-77083</t>
  </si>
  <si>
    <t>322200A SZCZOTKA WC ZŁOTY HILL</t>
  </si>
  <si>
    <t>REA-77104</t>
  </si>
  <si>
    <t>322214A SZCZOTKA WC ZŁOTA</t>
  </si>
  <si>
    <t>REA-77032</t>
  </si>
  <si>
    <t>322222B SZCZOTKA WC ZŁOTY DUO</t>
  </si>
  <si>
    <t>REA-77062</t>
  </si>
  <si>
    <t>322229B SZCZOTKA WC ZŁOTY CRIS</t>
  </si>
  <si>
    <t>REA-77096</t>
  </si>
  <si>
    <t>322234 SZCZOTKA WC ZŁOTA SZCZOTKOWANA</t>
  </si>
  <si>
    <t>REA-06911</t>
  </si>
  <si>
    <t>332918A ERLO 05 BRUSH GOLD SZCZOTKA WC</t>
  </si>
  <si>
    <t>REA-80014</t>
  </si>
  <si>
    <t>ERLO 05 L.GOLD SZCZOTKA WC</t>
  </si>
  <si>
    <t>REA-80032</t>
  </si>
  <si>
    <t>MIST 06 L.GOLD SZCZOTKA WC</t>
  </si>
  <si>
    <t>REA-70000</t>
  </si>
  <si>
    <t>ŚCIĄGACZKA YZ-G04 CHROM</t>
  </si>
  <si>
    <t>REA-70001</t>
  </si>
  <si>
    <t>ŚCIĄGACZKA YZ-G04 BLACK</t>
  </si>
  <si>
    <t>REA-72000</t>
  </si>
  <si>
    <t>ŚCIĄGACZKA YZ-G04 GOLD</t>
  </si>
  <si>
    <t>REA-80026</t>
  </si>
  <si>
    <t>MIST 04 L.GOLD WIESZAK NA PAPIER</t>
  </si>
  <si>
    <t>REA-77105</t>
  </si>
  <si>
    <t>322191A UCHWYT NA PAPIER CZARNY MOON</t>
  </si>
  <si>
    <t>REA-77000</t>
  </si>
  <si>
    <t>322199 UCHWYT NA PAPIER CZARNY HILL</t>
  </si>
  <si>
    <t>REA-77001</t>
  </si>
  <si>
    <t>322199A UCHWYT NA PAPIER ZŁOTY HILL</t>
  </si>
  <si>
    <t>REA-06917</t>
  </si>
  <si>
    <t>322199B UCHWYT NA PAPIER ZŁOTY</t>
  </si>
  <si>
    <t>REA-77014</t>
  </si>
  <si>
    <t>322203 UCHWYT NA PAPIER CZARNY NER</t>
  </si>
  <si>
    <t>REA-77066</t>
  </si>
  <si>
    <t>322203A UCHWYT NA PAPIER ZŁOTY</t>
  </si>
  <si>
    <t>REA-77033</t>
  </si>
  <si>
    <t>322204 UCHWYT NA PAPIER CZARNY NER</t>
  </si>
  <si>
    <t>REA-77090</t>
  </si>
  <si>
    <t>322219 UCHWYT NA PAPIER NIKIEL SZCZOTKOWANY DUZO</t>
  </si>
  <si>
    <t>REA-77058</t>
  </si>
  <si>
    <t>322220 UCHWYT NA PAPIER CHROM DUO</t>
  </si>
  <si>
    <t>REA-07010</t>
  </si>
  <si>
    <t>322747 UCHWYT NA PAPIER</t>
  </si>
  <si>
    <t>REA-07011</t>
  </si>
  <si>
    <t>322747A UCHWYT NA PAPIER</t>
  </si>
  <si>
    <t>REA-07015</t>
  </si>
  <si>
    <t>322750 UCHWYT NA PAPIER</t>
  </si>
  <si>
    <t>REA-07020</t>
  </si>
  <si>
    <t>322752 UCHWYT NA PAPIER</t>
  </si>
  <si>
    <t>REA-07006</t>
  </si>
  <si>
    <t>322753 UCHWYT NA PAPIER</t>
  </si>
  <si>
    <t>REA-06920</t>
  </si>
  <si>
    <t>332869 UCHWYT NA PAPIER ZŁOTY RETRO</t>
  </si>
  <si>
    <t>REA-06925</t>
  </si>
  <si>
    <t>332869A UCHWYT NA PAPIER CZARNY RETRO</t>
  </si>
  <si>
    <t>REA-06928</t>
  </si>
  <si>
    <t>332869B UCHWYT NA PAPIER ANTYCZNY BRĄZ RETRO</t>
  </si>
  <si>
    <t>REA-06912</t>
  </si>
  <si>
    <t>332921 OSTE 04 BLACK WIESZAK NA PAPIER</t>
  </si>
  <si>
    <t>REA-06913</t>
  </si>
  <si>
    <t>332921A OSTE 04 GOLD WIESZAK NA PAPIER</t>
  </si>
  <si>
    <t>HOM-00013</t>
  </si>
  <si>
    <t>REA UCHWYT NA PAPIER 381698 CHROM</t>
  </si>
  <si>
    <t>HOM-00554</t>
  </si>
  <si>
    <t>REA UCHWYT NA PAPIER 381698 BLACK</t>
  </si>
  <si>
    <t>REA-77077</t>
  </si>
  <si>
    <t>322231B UCHWYT NA PAPIER BIAŁY</t>
  </si>
  <si>
    <t>REA-07007</t>
  </si>
  <si>
    <t>322736 UCHWYT NA PAPIER</t>
  </si>
  <si>
    <t>REA-80009</t>
  </si>
  <si>
    <t>ERLO 04 CHROME WIESZAK NA PAPIER</t>
  </si>
  <si>
    <t>REA-80024</t>
  </si>
  <si>
    <t>MIST 04 CHROME WIESZAK NA PAPIER</t>
  </si>
  <si>
    <t>REA-80041</t>
  </si>
  <si>
    <t>OSTE 04 CHROME WIESZAK NA PAPIER</t>
  </si>
  <si>
    <t>REA-80044</t>
  </si>
  <si>
    <t>OSTE 05 CHROME WIESZAK NA PAPIER</t>
  </si>
  <si>
    <t>REA-77047</t>
  </si>
  <si>
    <t>322186 UCHWYT NA PAPIER CZARNY TIL</t>
  </si>
  <si>
    <t>REA-77004</t>
  </si>
  <si>
    <t>322213 UCHWYT NA PAPIER CZARNY</t>
  </si>
  <si>
    <t>REA-77002</t>
  </si>
  <si>
    <t>322213B UCHWYT NA PAPIER CZARNY</t>
  </si>
  <si>
    <t>REA-77057</t>
  </si>
  <si>
    <t>322219A UCHWYT NA PAPIER CZARNY DUO</t>
  </si>
  <si>
    <t>REA-77102</t>
  </si>
  <si>
    <t>322220A UCHWYT NA PAPIER CZARNY DUO</t>
  </si>
  <si>
    <t>REA-77079</t>
  </si>
  <si>
    <t>322231C UCHWYT NA PAPIER CZARNY</t>
  </si>
  <si>
    <t>HOM-02001</t>
  </si>
  <si>
    <t>REA UCHWYT NA PAPIER 392599</t>
  </si>
  <si>
    <t>HOM-02000</t>
  </si>
  <si>
    <t>REA UCHWYT NA PAPIER 392602</t>
  </si>
  <si>
    <t>REA-80010</t>
  </si>
  <si>
    <t>ERLO 04 BLACK WIESZAK NA PAPIER</t>
  </si>
  <si>
    <t>REA-80025</t>
  </si>
  <si>
    <t>MIST 04 BLACK WIESZAK NA PAPIER</t>
  </si>
  <si>
    <t>REA-80042</t>
  </si>
  <si>
    <t>OSTE 04 BLACK WIESZAK NA PAPIER</t>
  </si>
  <si>
    <t>REA-80045</t>
  </si>
  <si>
    <t>OSTE 05 BLACK WIESZAK NA PAPIER</t>
  </si>
  <si>
    <t>REA-77074</t>
  </si>
  <si>
    <t>322231A UCHWYT NA PAPIER TYTAN LEO</t>
  </si>
  <si>
    <t>REA-77046</t>
  </si>
  <si>
    <t>322226 UCHWYT NA PAPIER NIKIEL SZCZOTKOWANY FAR</t>
  </si>
  <si>
    <t>HOM-00552</t>
  </si>
  <si>
    <t>REA UCHWYT NA PAPIER BLACK 390226</t>
  </si>
  <si>
    <t>HOM-00551</t>
  </si>
  <si>
    <t>REA UCHWYT NA PAPIER CHROM 390175A</t>
  </si>
  <si>
    <t>REA-77012</t>
  </si>
  <si>
    <t>322186A UCHWYT NA PAPIER ZŁOTY TIL</t>
  </si>
  <si>
    <t>REA-77034</t>
  </si>
  <si>
    <t>322191 UCHWYT NA PAPIER ZŁOTY MOON</t>
  </si>
  <si>
    <t>REA-77088</t>
  </si>
  <si>
    <t>322204A UCHWYT NA PAPIER ZŁOTY</t>
  </si>
  <si>
    <t>REA-77005</t>
  </si>
  <si>
    <t>322213A UCHWYT NA PAPIER ZŁOTY</t>
  </si>
  <si>
    <t>REA-77003</t>
  </si>
  <si>
    <t>322213C UCHWYT NA PAPIER ZŁOTY</t>
  </si>
  <si>
    <t>REA-77060</t>
  </si>
  <si>
    <t>322220B UCHWYT NA PAPIER ZŁOTY DUO</t>
  </si>
  <si>
    <t>REA-80011</t>
  </si>
  <si>
    <t>ERLO 04 L.GOLD WIESZAK NA PAPIER</t>
  </si>
  <si>
    <t>REA-80043</t>
  </si>
  <si>
    <t>OSTE 04 L.GOLD WIESZAK NA PAPIER</t>
  </si>
  <si>
    <t>REA-80080</t>
  </si>
  <si>
    <t>OSTE 05 L.GOLD WIESZAK NA PAPIER</t>
  </si>
  <si>
    <t>REA-77080</t>
  </si>
  <si>
    <t>322219B UCHWYT NA PAPIER ZŁOTY</t>
  </si>
  <si>
    <t>REA-77050</t>
  </si>
  <si>
    <t>322226B UCHWYT NA PAPIER ZŁOTY SZCZOTKOWANY FAR</t>
  </si>
  <si>
    <t>REA-77071</t>
  </si>
  <si>
    <t>322231 UCHWYT NA PAPIER ZŁOTY SZCZOTKOWANY</t>
  </si>
  <si>
    <t>REA-77072</t>
  </si>
  <si>
    <t>322188A WIESZAK ŁAZIENKOWY CZARNY MOON</t>
  </si>
  <si>
    <t>REA-77023</t>
  </si>
  <si>
    <t>322210 WIESZAK ŁAZIENKOWY CZARNY</t>
  </si>
  <si>
    <t>REA-A0909</t>
  </si>
  <si>
    <t>WIESZAK NA RĘCZNIK 4-RAMIENNY BLACK</t>
  </si>
  <si>
    <t>REA-77020</t>
  </si>
  <si>
    <t>322230B WIESZAK ŁAZIENKOWY BIAŁY</t>
  </si>
  <si>
    <t>REA-77024</t>
  </si>
  <si>
    <t>322196 WIESZAK ŁAZIENKOWY CZARNY</t>
  </si>
  <si>
    <t>REA-77017</t>
  </si>
  <si>
    <t>322230C WIESZAK ŁAZIENKOWY CZARNY</t>
  </si>
  <si>
    <t>REA-77021</t>
  </si>
  <si>
    <t>322184 WIESZAK ŁAZIENKOWY CZARNY TIL</t>
  </si>
  <si>
    <t>REA-77022</t>
  </si>
  <si>
    <t>322184A WIESZAK ŁAZIENKOWY ZŁOTY TIL</t>
  </si>
  <si>
    <t>REA-77008</t>
  </si>
  <si>
    <t>322216 WIESZAK ŁAZIENKOWY CHROM</t>
  </si>
  <si>
    <t>REA-06919</t>
  </si>
  <si>
    <t>332868 WIESZAK ŁAZIENKOWY ZŁOTY</t>
  </si>
  <si>
    <t>REA-06924</t>
  </si>
  <si>
    <t>332868A WIESZAK ŁAZIENKOWY CZARNY RETRO</t>
  </si>
  <si>
    <t>REA-06929</t>
  </si>
  <si>
    <t>332868B WIESZAK ŁAZIENKOWY ANTYCZNY BRĄZ RETRO</t>
  </si>
  <si>
    <t>REA-06900</t>
  </si>
  <si>
    <t>332914 MIST 02 BRUSH NICKIEL WIESZAK PODWÓJNY</t>
  </si>
  <si>
    <t>REA-06901</t>
  </si>
  <si>
    <t>332914A MIST 02 BLACK WIESZAK PODWÓJNY</t>
  </si>
  <si>
    <t>REA-06902</t>
  </si>
  <si>
    <t>332914B MIST 02 BRUSH GOLD WIESZAK PODWÓJNY</t>
  </si>
  <si>
    <t>REA-77015</t>
  </si>
  <si>
    <t>322202 WIESZAK ŁAZIENKOWY CZARNY</t>
  </si>
  <si>
    <t>REA-77006</t>
  </si>
  <si>
    <t>322216A WIESZAK ŁAZIENKOWY CZARNY</t>
  </si>
  <si>
    <t>REA-77016</t>
  </si>
  <si>
    <t>322202A WIESZAK ŁAZIENKOWY ZŁOTY</t>
  </si>
  <si>
    <t>REA-77007</t>
  </si>
  <si>
    <t>322216B WIESZAK ŁAZIENKOWY ZŁOTY</t>
  </si>
  <si>
    <t>REA-77019</t>
  </si>
  <si>
    <t>322230A WIESZAK ŁAZIENKOWY TYTAN LEO</t>
  </si>
  <si>
    <t>REA-77098</t>
  </si>
  <si>
    <t>322187 WIESZAK ŁAZIENKOWY CZARNY TIL</t>
  </si>
  <si>
    <t>REA-77035</t>
  </si>
  <si>
    <t>322187A WIESZAK ŁAZIENKOWY ZŁOTY TIL</t>
  </si>
  <si>
    <t>REA-77095</t>
  </si>
  <si>
    <t>322194A WIESZAK ŁAZIENKOWY CZARNY MOON</t>
  </si>
  <si>
    <t>REA-77031</t>
  </si>
  <si>
    <t>322201 WIESZAK ŁAZIENKOWY CZARNY HILL</t>
  </si>
  <si>
    <t>REA-77064</t>
  </si>
  <si>
    <t>322201A WIESZAK ŁAZIENKOWY ZŁOTY HILL</t>
  </si>
  <si>
    <t>REA-77048</t>
  </si>
  <si>
    <t>322215 WIESZAK ŁAZIENKOWY CZARNY TOM</t>
  </si>
  <si>
    <t>REA-77073</t>
  </si>
  <si>
    <t>322215A WIESZAK ŁAZIENKOWY ZŁOTY TOM</t>
  </si>
  <si>
    <t>REA-77027</t>
  </si>
  <si>
    <t>322221 WIESZAK ŁAZIENKOWY 60cm NIKIEL SZCZOT DUO</t>
  </si>
  <si>
    <t>REA-06921</t>
  </si>
  <si>
    <t>332870 WIESZAK NA RĘCZNIK ZŁOTY RETRO</t>
  </si>
  <si>
    <t>REA-06926</t>
  </si>
  <si>
    <t>332870A WIESZAK NA RĘCZNIK CZARNY RETRO</t>
  </si>
  <si>
    <t>REA-06927</t>
  </si>
  <si>
    <t>332870B WIESZAK NA RĘCZNIK ANTYCZNY BRĄZ RETRO</t>
  </si>
  <si>
    <t>REA-77084</t>
  </si>
  <si>
    <t>322232B WIESZAK ŁAZIENKOWY BIAŁY LEO</t>
  </si>
  <si>
    <t>REA-77029</t>
  </si>
  <si>
    <t>322221A WIESZAK ŁAZIENKOWY 60cm CZARNY DUO</t>
  </si>
  <si>
    <t>REA-77086</t>
  </si>
  <si>
    <t>322232C WIESZAK ŁAZIENKOWY CZARNY LEO</t>
  </si>
  <si>
    <t>REA-77082</t>
  </si>
  <si>
    <t>322232A WIESZAK ŁAZIENKOWY TYTAN LEO</t>
  </si>
  <si>
    <t>REA-77056</t>
  </si>
  <si>
    <t>322228 WIESZAK ŁAZIENKOWY CHROM  FAR</t>
  </si>
  <si>
    <t>REA-77055</t>
  </si>
  <si>
    <t>322194 WIESZAK ŁAZIENKOWY ZŁOTY MOON</t>
  </si>
  <si>
    <t>REA-77030</t>
  </si>
  <si>
    <t>322221B WIESZAK ŁAZIENKOWY 60cm ZŁOTY DUO</t>
  </si>
  <si>
    <t>REA-77059</t>
  </si>
  <si>
    <t>322228B WIESZAK ŁAZIENKOWY FAR</t>
  </si>
  <si>
    <t>REA-77081</t>
  </si>
  <si>
    <t>322232 WIESZAK ŁAZIENKOWY ZŁOTY SZCZOTKOWANY LEO</t>
  </si>
  <si>
    <t>REA-06914</t>
  </si>
  <si>
    <t>332916A BRUSH GOLD WIESZAK</t>
  </si>
  <si>
    <t>REA-06930</t>
  </si>
  <si>
    <t>332920 WIESZAK ŁAZIENKOWY CZARNY</t>
  </si>
  <si>
    <t>REA-06915</t>
  </si>
  <si>
    <t>332920A OSTE 03 GOLD WIESZAK PODWÓJNY</t>
  </si>
  <si>
    <t>REA-80019</t>
  </si>
  <si>
    <t>MIST 02 BLACK WIESZAK NA RĘCZNIK PODWÓJNY</t>
  </si>
  <si>
    <t>REA-80036</t>
  </si>
  <si>
    <t>OSTE 02 BLACK WIESZAK NA RĘCZNIK PODWÓJNY</t>
  </si>
  <si>
    <t>REA-80039</t>
  </si>
  <si>
    <t>OSTE 03 BLACK WIESZAK ŁAZIENKOWY PODWÓJNY</t>
  </si>
  <si>
    <t>REA-80003</t>
  </si>
  <si>
    <t>ERLO 02 CHROME WIESZAK NA RĘCZNIK PODWÓJNY</t>
  </si>
  <si>
    <t>REA-80018</t>
  </si>
  <si>
    <t>MIST 02 CHROME WIESZAK NA RĘCZNIK PODWÓJNY</t>
  </si>
  <si>
    <t>REA-80035</t>
  </si>
  <si>
    <t>OSTE 02 CHROME WIESZAK NA RĘCZNIK PODWÓJNY</t>
  </si>
  <si>
    <t>REA-80038</t>
  </si>
  <si>
    <t>OSTE 03 CHROME WIESZAK ŁAZIENKOWY PODWÓJNY</t>
  </si>
  <si>
    <t>REA-06908</t>
  </si>
  <si>
    <t>332919 ERLO 02 BLACK WIESZAK PODWÓJNY</t>
  </si>
  <si>
    <t>REA-80004</t>
  </si>
  <si>
    <t>ERLO 02 BLACK WIESZAK NA RĘCZNIK PODWÓJNY</t>
  </si>
  <si>
    <t>REA-80020</t>
  </si>
  <si>
    <t>MIST 02 L.GOLD WIESZAK NA RĘCZNIK PODWÓJNY</t>
  </si>
  <si>
    <t>REA-80040</t>
  </si>
  <si>
    <t>OSTE 03 L.GOLD WIESZAK ŁAZIENKOWY PODWÓJNY</t>
  </si>
  <si>
    <t>REA-80005</t>
  </si>
  <si>
    <t>ERLO 02 L.GOLD WIESZAK NA RĘCZNIK PODWÓJNY</t>
  </si>
  <si>
    <t>REA-06909</t>
  </si>
  <si>
    <t>332919A ERLO 02 BRUSH GOLD WIESZAK PODWÓJNY</t>
  </si>
  <si>
    <t>REA-80007</t>
  </si>
  <si>
    <t>ERLO 03 BLACK WIESZAK ŁAZIENKOWY</t>
  </si>
  <si>
    <t>REA-80022</t>
  </si>
  <si>
    <t>MIST 03 BLACK WIESZAK ŁAZIENKOWY POJEDYŃCZY</t>
  </si>
  <si>
    <t>REA-80000</t>
  </si>
  <si>
    <t>ERLO 01 CHROME WIESZAK NA RĘCZNIK POJEDYŃCZY</t>
  </si>
  <si>
    <t>REA-80006</t>
  </si>
  <si>
    <t>ERLO 03 CHROME WIESZAK ŁAZIENKOWY</t>
  </si>
  <si>
    <t>REA-80015</t>
  </si>
  <si>
    <t>MIST 01 CHROME WIESZAK NA RĘCZNIK POJEDYŃCZY</t>
  </si>
  <si>
    <t>REA-80021</t>
  </si>
  <si>
    <t>MIST 03 CHROME WIESZAK ŁAZIENKOWY POJEDYŃCZY</t>
  </si>
  <si>
    <t>REA-80033</t>
  </si>
  <si>
    <t>OSTE 01 CHROME WIESZAK NA RĘCZNIK POJEDYŃCZY</t>
  </si>
  <si>
    <t>REA-06906</t>
  </si>
  <si>
    <t>332917 ERLO 01 BLACK WIESZAK POJEDYNCZY</t>
  </si>
  <si>
    <t>REA-80001</t>
  </si>
  <si>
    <t>ERLO 01 BLACK WIESZAK NA RĘCZNIK POJEDYŃCZY</t>
  </si>
  <si>
    <t>REA-80016</t>
  </si>
  <si>
    <t>MIST 01 BLACK WIESZAK NA RĘCZNIK POJEDYŃCZY</t>
  </si>
  <si>
    <t>REA-80034</t>
  </si>
  <si>
    <t>OSTE 01 BLACK WIESZAK NA RĘCZNIK POJEDYŃCZY</t>
  </si>
  <si>
    <t>REA-80008</t>
  </si>
  <si>
    <t>ERLO 03 L.GOLD WIESZAK ŁAZIENKOWY</t>
  </si>
  <si>
    <t>REA-80023</t>
  </si>
  <si>
    <t>MIST 03 L.GOLD WIESZAK ŁAZIENKOWY POJEDYŃCZY</t>
  </si>
  <si>
    <t>REA-06907</t>
  </si>
  <si>
    <t>332917A ERLO 01 BRUSH GOLD WIESZAK POJEDYNCZY</t>
  </si>
  <si>
    <t>REA-80002</t>
  </si>
  <si>
    <t>ERLO 01 L.GOLD WIESZAK NA RĘCZNIK POJEDYŃCZY</t>
  </si>
  <si>
    <t>REA-80017</t>
  </si>
  <si>
    <t>MIST 01 L.GOLD WIESZAK NA RĘCZNIK POJEDYŃCZY</t>
  </si>
  <si>
    <t>REA-80029</t>
  </si>
  <si>
    <t>MIST 05 L.GOLD WIESZAK NA RĘCZNIK</t>
  </si>
  <si>
    <t>REA-80028</t>
  </si>
  <si>
    <t>MIST 05 BLACK WIESZAK NA RĘCZNIK</t>
  </si>
  <si>
    <t>REA-80027</t>
  </si>
  <si>
    <t>MIST 05 CHROME WIESZAK NA RĘCZNIK</t>
  </si>
  <si>
    <t>REA-77010</t>
  </si>
  <si>
    <t>322223 WIESZAK ŁAZIENKOWY NIKIEL SZCZOTKOWANY FAR</t>
  </si>
  <si>
    <t>REA-06918</t>
  </si>
  <si>
    <t>332867 WIESZAK NA RĘCZNIK ZŁOTY RETRO</t>
  </si>
  <si>
    <t>REA-06922</t>
  </si>
  <si>
    <t>332867A WIESZAK NA RĘCZNIK CZARNY RETRO</t>
  </si>
  <si>
    <t>REA-06923</t>
  </si>
  <si>
    <t>332867B WIESZAK NA RĘCZNIK ANTYCZNY BRĄZ RETRO</t>
  </si>
  <si>
    <t>REA-06903</t>
  </si>
  <si>
    <t>332915 MIST 05 BRUSH NICKIEL WIESZAK NA RĘCZNIK</t>
  </si>
  <si>
    <t>REA-06904</t>
  </si>
  <si>
    <t>332915A MIST 05 BLACK WIESZAK NA RĘCZNIK</t>
  </si>
  <si>
    <t>REA-06905</t>
  </si>
  <si>
    <t>332915B MIST 05 BRUSH GOLD WIESZAK NA RĘCZNIK</t>
  </si>
  <si>
    <t>REA-77068</t>
  </si>
  <si>
    <t>322188 WIESZAK ŁAZIENKOWY ZŁOTY MOON</t>
  </si>
  <si>
    <t>REA-77025</t>
  </si>
  <si>
    <t>322196A WIESZAK ŁAZIENKOWY ZŁOTY HILL</t>
  </si>
  <si>
    <t>REA-77065</t>
  </si>
  <si>
    <t>322210A WIESZAK ŁAZIENKOWY ZŁOTY</t>
  </si>
  <si>
    <t>REA-77009</t>
  </si>
  <si>
    <t>322223B WIESZAK ŁAZIENKOWY ZŁOTY SZCZOTKOWANY FAR</t>
  </si>
  <si>
    <t>REA-77018</t>
  </si>
  <si>
    <t>322230 WIESZAK ŁAZIENKOWY ZŁOTY SZCZOTKOWANY</t>
  </si>
  <si>
    <t>HOM-07501</t>
  </si>
  <si>
    <t>REA WIESZAK NA PAPIER BAMBUSOWY 390227</t>
  </si>
  <si>
    <t>HOM-01107</t>
  </si>
  <si>
    <t>REA 322125 ZESTAW ŁAZIENKOWY CERAMICZNY CZARNY</t>
  </si>
  <si>
    <t>HOM-01108</t>
  </si>
  <si>
    <t>REA 322127 ZESTAW ŁAZIENKOWY CERAMICZNY ZŁOTY</t>
  </si>
  <si>
    <t>HOM-05502</t>
  </si>
  <si>
    <t>LUSTRO P11229 LED CLOUD B 100x70cm</t>
  </si>
  <si>
    <t>HOM-05500</t>
  </si>
  <si>
    <t>LUSTRO P11386  LED CLOUD A 100x60cm</t>
  </si>
  <si>
    <t>HOM-05517</t>
  </si>
  <si>
    <t>LUSTRO P11239 LED BAS 50cm</t>
  </si>
  <si>
    <t>HOM-02836</t>
  </si>
  <si>
    <t>LUSTRO LED FFJ 50CM</t>
  </si>
  <si>
    <t>HOM-02820</t>
  </si>
  <si>
    <t>LUSTRO LED HZJ 50CM</t>
  </si>
  <si>
    <t>HOM-02500</t>
  </si>
  <si>
    <t>LUSTRO LED MMJ GOLD 50CM</t>
  </si>
  <si>
    <t>HOM-05505</t>
  </si>
  <si>
    <t>LUSTRO LED MMJ BRUSH GOLD 50cm</t>
  </si>
  <si>
    <t>HOM-05511</t>
  </si>
  <si>
    <t>LUSTRO P11394 LED MMJ BLACK 50cm</t>
  </si>
  <si>
    <t>HOM-05490</t>
  </si>
  <si>
    <t>LUSTRO P11394 LED MMJ MIEDŹ SZCZOTKOWANA 50cm</t>
  </si>
  <si>
    <t>HOM-06502</t>
  </si>
  <si>
    <t>LUSTRO LED WWA 50X120CM</t>
  </si>
  <si>
    <t>HOM-05518</t>
  </si>
  <si>
    <t>LUSTRO P11240 LED BAS 60cm</t>
  </si>
  <si>
    <t>HOM-02837</t>
  </si>
  <si>
    <t>LUSTRO LED FFJ 60CM</t>
  </si>
  <si>
    <t>HOM-02826</t>
  </si>
  <si>
    <t>LUSTRO LED HZJ 60CM</t>
  </si>
  <si>
    <t>HOM-02501</t>
  </si>
  <si>
    <t>LUSTRO LED MMJ GOLD 60CM</t>
  </si>
  <si>
    <t>HOM-05512</t>
  </si>
  <si>
    <t>LUSTRO P11395 LED MMJ BLACK 60cm</t>
  </si>
  <si>
    <t>HOM-05506</t>
  </si>
  <si>
    <t>LUSTRO LED MMJ BRUSH GOLD 60cm</t>
  </si>
  <si>
    <t>HOM-05491</t>
  </si>
  <si>
    <t>LUSTRO P11395 LED MMJ MIEDŹ SZCZOTKOWANA 60cm</t>
  </si>
  <si>
    <t>HOM-06505</t>
  </si>
  <si>
    <t>LUSTRO LED MMJ BRUSH SS 60CM</t>
  </si>
  <si>
    <t>HOM-06504</t>
  </si>
  <si>
    <t>LUSTRO LED DASH BLACK 60X100CM</t>
  </si>
  <si>
    <t>HOM-06503</t>
  </si>
  <si>
    <t>LUSTRO LED WWA 60X80CM</t>
  </si>
  <si>
    <t>HOM-05519</t>
  </si>
  <si>
    <t>LUSTRO P11241 LED BAS 70cm</t>
  </si>
  <si>
    <t>HOM-02823</t>
  </si>
  <si>
    <t>LUSTRO LED FFJ 70CM</t>
  </si>
  <si>
    <t>HOM-02827</t>
  </si>
  <si>
    <t>LUSTRO LED HZJ 70CM</t>
  </si>
  <si>
    <t>HOM-02502</t>
  </si>
  <si>
    <t>LUSTRO LED MMJ GOLD 70CM</t>
  </si>
  <si>
    <t>HOM-05513</t>
  </si>
  <si>
    <t>LUSTRO P11396 LED MMJ BLACK 70cm</t>
  </si>
  <si>
    <t>HOM-05507</t>
  </si>
  <si>
    <t>LUSTRO P11396 LED MMJ BRUSH ROSE GOLD 70cm</t>
  </si>
  <si>
    <t>HOM-05492</t>
  </si>
  <si>
    <t>LUSTRO P11396 LED MMJ MIEDŹ SZCZOTKOWANA 70cm</t>
  </si>
  <si>
    <t>HOM-06506</t>
  </si>
  <si>
    <t>LUSTRO LED MMJ BRUSH SS 70CM</t>
  </si>
  <si>
    <t>HOM-05520</t>
  </si>
  <si>
    <t>LUSTRO P11242 LED BAS 80cm</t>
  </si>
  <si>
    <t>HOM-02824</t>
  </si>
  <si>
    <t>LUSTRO LED FFJ 80CM</t>
  </si>
  <si>
    <t>HOM-02801</t>
  </si>
  <si>
    <t>LUSTRO LED HZJ 80CM</t>
  </si>
  <si>
    <t>HOM-02503</t>
  </si>
  <si>
    <t>LUSTRO LED MMJ GOLD 80CM</t>
  </si>
  <si>
    <t>HOM-05514</t>
  </si>
  <si>
    <t>LUSTRO LED MMJ BLACK 80cm</t>
  </si>
  <si>
    <t>HOM-05509</t>
  </si>
  <si>
    <t>LUSTRO LED MMJ BRUSH GOLD 80cm</t>
  </si>
  <si>
    <t>HOM-05493</t>
  </si>
  <si>
    <t>LUSTRO P11397 LED MMJ MIEDŹ SZCZOTKOWANA 80cm</t>
  </si>
  <si>
    <t>HOM-06507</t>
  </si>
  <si>
    <t>LUSTRO LED MMJ BRUSH SS 80CM</t>
  </si>
  <si>
    <t>HOM-05504</t>
  </si>
  <si>
    <t>LUSTRO P11230 LED CLOUD C 80x60cm</t>
  </si>
  <si>
    <t>HOM-02829</t>
  </si>
  <si>
    <t>LUSTRO LED SQUARE 80X60CM</t>
  </si>
  <si>
    <t>HOM-05521</t>
  </si>
  <si>
    <t>LUSTRO P11416 LED BAS 90cm</t>
  </si>
  <si>
    <t>HOM-04400</t>
  </si>
  <si>
    <t>LUSTRO LED FFJ 90CM</t>
  </si>
  <si>
    <t>HOM-02822</t>
  </si>
  <si>
    <t>LUSTRO LED HZJ 90CM</t>
  </si>
  <si>
    <t>HOM-02504</t>
  </si>
  <si>
    <t>LUSTRO LED MMJ GOLD 90CM</t>
  </si>
  <si>
    <t>HOM-05515</t>
  </si>
  <si>
    <t>LUSTRO P11398 LED MMJ BLACK 90cm</t>
  </si>
  <si>
    <t>HOM-05510</t>
  </si>
  <si>
    <t>LUSTRO LED MMJ BRUSH GOLD 90cm</t>
  </si>
  <si>
    <t>HOM-05494</t>
  </si>
  <si>
    <t>LUSTRO P11398 LED MMJ MIEDŹ SZCZOTKOWANA 90cm</t>
  </si>
  <si>
    <t>HOM-06501</t>
  </si>
  <si>
    <t>LUSTRO LED BLUETOOTH FFJ 60CM</t>
  </si>
  <si>
    <t>HOM-06500</t>
  </si>
  <si>
    <t>LUSTRO LED BLUETOOTH FFJ 80CM</t>
  </si>
  <si>
    <t>HOM-02835</t>
  </si>
  <si>
    <t>LUSTRO LED OVAL 80X60CM</t>
  </si>
  <si>
    <t>HOM-05522</t>
  </si>
  <si>
    <t>LUSTRO P11427 LED EGG 50x90cm</t>
  </si>
  <si>
    <t>HOM-05523</t>
  </si>
  <si>
    <t>LUSTRO P11428 LED EGG 60x80cm</t>
  </si>
  <si>
    <t>HOM-05524</t>
  </si>
  <si>
    <t>LUSTRO P11429 LED EGJ 50x90cm</t>
  </si>
  <si>
    <t>HOM-05525</t>
  </si>
  <si>
    <t>LUSTRO P11430 LED EGJ 60x80cm</t>
  </si>
  <si>
    <t>HOM-02509</t>
  </si>
  <si>
    <t>LUSTRO LED OLL BRUSH GOLD 60X90CM</t>
  </si>
  <si>
    <t>HOM-02505</t>
  </si>
  <si>
    <t>LUSTRO LED OVL BLACK 50X100CM</t>
  </si>
  <si>
    <t>HOM-02606</t>
  </si>
  <si>
    <t>LUSTRO LED OVL GOLD 50X100CM</t>
  </si>
  <si>
    <t>HOM-02506</t>
  </si>
  <si>
    <t>LUSTRO LED OVL BRUSH GOLD 50X100CM</t>
  </si>
  <si>
    <t>HOM-02507</t>
  </si>
  <si>
    <t>LUSTRO LED SQR 50X100CM</t>
  </si>
  <si>
    <t>HOM-06509</t>
  </si>
  <si>
    <t>LUSTRO LED ROUND ACRYL 60CM</t>
  </si>
  <si>
    <t>HOM-06528</t>
  </si>
  <si>
    <t>LUSTRO LED ROUND AKRYL 80CM</t>
  </si>
  <si>
    <t>HOM-06508</t>
  </si>
  <si>
    <t>LUSTRO LED PRO SQR 90X60CM</t>
  </si>
  <si>
    <t>HOM-05516</t>
  </si>
  <si>
    <t>LUSTRO LED FOG 70x100cm</t>
  </si>
  <si>
    <t>MOC bez DPH</t>
  </si>
  <si>
    <t>MOC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</si>
</sst>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&quot;.&quot;mm&quot;.&quot;yyyy"/>
    <numFmt numFmtId="165" formatCode="dd\.mm\.yyyy"/>
    <numFmt numFmtId="166" formatCode="yyyy\-mm\-dd"/>
    <numFmt numFmtId="167" formatCode="#,##0.00\ [$zł-415]"/>
    <numFmt numFmtId="168" formatCode="#,##0.00&quot;zł&quot;"/>
    <numFmt numFmtId="169" formatCode="#,##0.00\ &quot;€&quot;;[Red]#,##0.00\ &quot;€&quot;"/>
  </numFmts>
  <fonts count="10" x14ac:knownFonts="1">
    <font>
      <sz val="11"/>
      <color theme="1"/>
      <name val="Arial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434343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232323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0" fontId="8" fillId="0" borderId="0" xfId="0" applyFont="1"/>
    <xf numFmtId="167" fontId="8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/>
    <xf numFmtId="168" fontId="8" fillId="0" borderId="0" xfId="0" applyNumberFormat="1" applyFont="1" applyAlignment="1">
      <alignment horizontal="center"/>
    </xf>
    <xf numFmtId="169" fontId="1" fillId="2" borderId="0" xfId="0" applyNumberFormat="1" applyFont="1" applyFill="1" applyAlignment="1">
      <alignment horizontal="center" vertical="center"/>
    </xf>
    <xf numFmtId="169" fontId="9" fillId="0" borderId="0" xfId="0" applyNumberFormat="1" applyFont="1" applyAlignment="1">
      <alignment horizontal="center"/>
    </xf>
  </cellXfs>
  <cellStyles count="1">
    <cellStyle name="Normálna" xfId="0" builtinId="0"/>
  </cellStyles>
  <dxfs count="4">
    <dxf>
      <fill>
        <patternFill patternType="solid">
          <fgColor rgb="FFF6F682"/>
          <bgColor rgb="FFF6F682"/>
        </patternFill>
      </fill>
    </dxf>
    <dxf>
      <fill>
        <patternFill patternType="solid">
          <fgColor rgb="FFF6F682"/>
          <bgColor rgb="FFF6F682"/>
        </patternFill>
      </fill>
    </dxf>
    <dxf>
      <fill>
        <patternFill patternType="solid">
          <fgColor rgb="FFF6F682"/>
          <bgColor rgb="FFF6F682"/>
        </patternFill>
      </fill>
    </dxf>
    <dxf>
      <fill>
        <patternFill patternType="solid">
          <fgColor rgb="FFF6F682"/>
          <bgColor rgb="FFF6F68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67"/>
  <sheetViews>
    <sheetView tabSelected="1" workbookViewId="0">
      <pane ySplit="1" topLeftCell="A1370" activePane="bottomLeft" state="frozen"/>
      <selection pane="bottomLeft" activeCell="H1386" sqref="H1386"/>
    </sheetView>
  </sheetViews>
  <sheetFormatPr defaultColWidth="12.625" defaultRowHeight="15" customHeight="1" x14ac:dyDescent="0.25"/>
  <cols>
    <col min="1" max="1" width="19.5" customWidth="1"/>
    <col min="2" max="2" width="12.625" customWidth="1"/>
    <col min="3" max="3" width="15.125" customWidth="1"/>
    <col min="4" max="4" width="70.125" customWidth="1"/>
    <col min="5" max="6" width="12.625" style="31"/>
  </cols>
  <sheetData>
    <row r="1" spans="1:6" ht="33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30" t="s">
        <v>6370</v>
      </c>
      <c r="F1" s="30" t="s">
        <v>6371</v>
      </c>
    </row>
    <row r="2" spans="1:6" ht="18.75" customHeight="1" x14ac:dyDescent="0.25">
      <c r="A2" s="2" t="str">
        <f ca="1">IFERROR(__xludf.DUMMYFUNCTION("QUERY({'Rea - SK'!A2:F3369;'KPL - SK'!A2:F3369;'AKCESORIA - SK'!A2:F3369})"),"REA-K7770")</f>
        <v>REA-K7770</v>
      </c>
      <c r="B2" s="3">
        <f ca="1">IFERROR(__xludf.DUMMYFUNCTION("""COMPUTED_VALUE"""),49188)</f>
        <v>49188</v>
      </c>
      <c r="C2" s="3">
        <f ca="1">IFERROR(__xludf.DUMMYFUNCTION("""COMPUTED_VALUE"""),5902557376650)</f>
        <v>5902557376650</v>
      </c>
      <c r="D2" s="4" t="str">
        <f ca="1">IFERROR(__xludf.DUMMYFUNCTION("""COMPUTED_VALUE"""),"ADAPTER MAGNETYCZNY HUGO BLACK")</f>
        <v>ADAPTER MAGNETYCZNY HUGO BLACK</v>
      </c>
      <c r="E2" s="31">
        <v>41.512195121951223</v>
      </c>
      <c r="F2" s="31">
        <f>E2*1.23</f>
        <v>51.06</v>
      </c>
    </row>
    <row r="3" spans="1:6" ht="18.75" customHeight="1" x14ac:dyDescent="0.25">
      <c r="A3" s="2" t="str">
        <f ca="1">IFERROR(__xludf.DUMMYFUNCTION("""COMPUTED_VALUE"""),"REA-K7771")</f>
        <v>REA-K7771</v>
      </c>
      <c r="B3" s="3">
        <f ca="1">IFERROR(__xludf.DUMMYFUNCTION("""COMPUTED_VALUE"""),49033)</f>
        <v>49033</v>
      </c>
      <c r="C3" s="3">
        <f ca="1">IFERROR(__xludf.DUMMYFUNCTION("""COMPUTED_VALUE"""),5902557376759)</f>
        <v>5902557376759</v>
      </c>
      <c r="D3" s="4" t="str">
        <f ca="1">IFERROR(__xludf.DUMMYFUNCTION("""COMPUTED_VALUE"""),"ADAPTER MAGNETYCZNY HUGO GOLD BRUSH")</f>
        <v>ADAPTER MAGNETYCZNY HUGO GOLD BRUSH</v>
      </c>
      <c r="E3" s="31">
        <v>41.512195121951223</v>
      </c>
      <c r="F3" s="31">
        <f t="shared" ref="F3:F66" si="0">E3*1.23</f>
        <v>51.06</v>
      </c>
    </row>
    <row r="4" spans="1:6" ht="18.75" customHeight="1" x14ac:dyDescent="0.25">
      <c r="A4" s="2" t="str">
        <f ca="1">IFERROR(__xludf.DUMMYFUNCTION("""COMPUTED_VALUE"""),"REA-K6395")</f>
        <v>REA-K6395</v>
      </c>
      <c r="B4" s="3">
        <f ca="1">IFERROR(__xludf.DUMMYFUNCTION("""COMPUTED_VALUE"""),42177)</f>
        <v>42177</v>
      </c>
      <c r="C4" s="3">
        <f ca="1">IFERROR(__xludf.DUMMYFUNCTION("""COMPUTED_VALUE"""),5902557357444)</f>
        <v>5902557357444</v>
      </c>
      <c r="D4" s="4" t="str">
        <f ca="1">IFERROR(__xludf.DUMMYFUNCTION("""COMPUTED_VALUE"""),"ADAPTER MAGNETYCZNY MOLIER BLACK 190 cm")</f>
        <v>ADAPTER MAGNETYCZNY MOLIER BLACK 190 cm</v>
      </c>
      <c r="E4" s="31">
        <v>41.512195121951223</v>
      </c>
      <c r="F4" s="31">
        <f t="shared" si="0"/>
        <v>51.06</v>
      </c>
    </row>
    <row r="5" spans="1:6" ht="18.75" customHeight="1" x14ac:dyDescent="0.25">
      <c r="A5" s="2" t="str">
        <f ca="1">IFERROR(__xludf.DUMMYFUNCTION("""COMPUTED_VALUE"""),"REA-K3261")</f>
        <v>REA-K3261</v>
      </c>
      <c r="B5" s="3">
        <f ca="1">IFERROR(__xludf.DUMMYFUNCTION("""COMPUTED_VALUE"""),42176)</f>
        <v>42176</v>
      </c>
      <c r="C5" s="3">
        <f ca="1">IFERROR(__xludf.DUMMYFUNCTION("""COMPUTED_VALUE"""),5902557357437)</f>
        <v>5902557357437</v>
      </c>
      <c r="D5" s="4" t="str">
        <f ca="1">IFERROR(__xludf.DUMMYFUNCTION("""COMPUTED_VALUE"""),"ADAPTER MAGNETYCZNY MOLIER CHROM")</f>
        <v>ADAPTER MAGNETYCZNY MOLIER CHROM</v>
      </c>
      <c r="E5" s="31">
        <v>34.292682926829272</v>
      </c>
      <c r="F5" s="31">
        <f t="shared" si="0"/>
        <v>42.180000000000007</v>
      </c>
    </row>
    <row r="6" spans="1:6" ht="18.75" customHeight="1" x14ac:dyDescent="0.25">
      <c r="A6" s="2" t="str">
        <f ca="1">IFERROR(__xludf.DUMMYFUNCTION("""COMPUTED_VALUE"""),"REA-K6351")</f>
        <v>REA-K6351</v>
      </c>
      <c r="B6" s="3">
        <f ca="1">IFERROR(__xludf.DUMMYFUNCTION("""COMPUTED_VALUE"""),33426)</f>
        <v>33426</v>
      </c>
      <c r="C6" s="3">
        <f ca="1">IFERROR(__xludf.DUMMYFUNCTION("""COMPUTED_VALUE"""),5902557377169)</f>
        <v>5902557377169</v>
      </c>
      <c r="D6" s="4" t="str">
        <f ca="1">IFERROR(__xludf.DUMMYFUNCTION("""COMPUTED_VALUE"""),"ADAPTER POSZERZA BLACK RAPID FARGO SOLAR 195 cm")</f>
        <v>ADAPTER POSZERZA BLACK RAPID FARGO SOLAR 195 cm</v>
      </c>
      <c r="E6" s="31">
        <v>41.512195121951223</v>
      </c>
      <c r="F6" s="31">
        <f t="shared" si="0"/>
        <v>51.06</v>
      </c>
    </row>
    <row r="7" spans="1:6" ht="18.75" customHeight="1" x14ac:dyDescent="0.25">
      <c r="A7" s="2" t="str">
        <f ca="1">IFERROR(__xludf.DUMMYFUNCTION("""COMPUTED_VALUE"""),"REA-K7773")</f>
        <v>REA-K7773</v>
      </c>
      <c r="B7" s="3">
        <f ca="1">IFERROR(__xludf.DUMMYFUNCTION("""COMPUTED_VALUE"""),49341)</f>
        <v>49341</v>
      </c>
      <c r="C7" s="3">
        <f ca="1">IFERROR(__xludf.DUMMYFUNCTION("""COMPUTED_VALUE"""),5902557377039)</f>
        <v>5902557377039</v>
      </c>
      <c r="D7" s="4" t="str">
        <f ca="1">IFERROR(__xludf.DUMMYFUNCTION("""COMPUTED_VALUE"""),"ADAPTER POSZERZA CHROM RAPID 195 cm")</f>
        <v>ADAPTER POSZERZA CHROM RAPID 195 cm</v>
      </c>
      <c r="E7" s="31">
        <v>42.41463414634147</v>
      </c>
      <c r="F7" s="31">
        <f t="shared" si="0"/>
        <v>52.170000000000009</v>
      </c>
    </row>
    <row r="8" spans="1:6" ht="18.75" customHeight="1" x14ac:dyDescent="0.25">
      <c r="A8" s="2" t="str">
        <f ca="1">IFERROR(__xludf.DUMMYFUNCTION("""COMPUTED_VALUE"""),"REA-K6000")</f>
        <v>REA-K6000</v>
      </c>
      <c r="B8" s="3">
        <f ca="1">IFERROR(__xludf.DUMMYFUNCTION("""COMPUTED_VALUE"""),42399)</f>
        <v>42399</v>
      </c>
      <c r="C8" s="3">
        <f ca="1">IFERROR(__xludf.DUMMYFUNCTION("""COMPUTED_VALUE"""),5902557359059)</f>
        <v>5902557359059</v>
      </c>
      <c r="D8" s="4" t="str">
        <f ca="1">IFERROR(__xludf.DUMMYFUNCTION("""COMPUTED_VALUE"""),"ADAPTER POSZERZA DO KABIN/DRZWI MOLIER BLACK 190cm")</f>
        <v>ADAPTER POSZERZA DO KABIN/DRZWI MOLIER BLACK 190cm</v>
      </c>
      <c r="E8" s="31">
        <v>41.512195121951223</v>
      </c>
      <c r="F8" s="31">
        <f t="shared" si="0"/>
        <v>51.06</v>
      </c>
    </row>
    <row r="9" spans="1:6" ht="18.75" customHeight="1" x14ac:dyDescent="0.25">
      <c r="A9" s="2" t="str">
        <f ca="1">IFERROR(__xludf.DUMMYFUNCTION("""COMPUTED_VALUE"""),"REA-K7772")</f>
        <v>REA-K7772</v>
      </c>
      <c r="B9" s="3">
        <f ca="1">IFERROR(__xludf.DUMMYFUNCTION("""COMPUTED_VALUE"""),49340)</f>
        <v>49340</v>
      </c>
      <c r="C9" s="3">
        <f ca="1">IFERROR(__xludf.DUMMYFUNCTION("""COMPUTED_VALUE"""),5902557377152)</f>
        <v>5902557377152</v>
      </c>
      <c r="D9" s="4" t="str">
        <f ca="1">IFERROR(__xludf.DUMMYFUNCTION("""COMPUTED_VALUE"""),"ADAPTER POSZERZA GOLD RAPID FARGO SOLAR 195 cm")</f>
        <v>ADAPTER POSZERZA GOLD RAPID FARGO SOLAR 195 cm</v>
      </c>
      <c r="E9" s="31">
        <v>52.341463414634156</v>
      </c>
      <c r="F9" s="31">
        <f t="shared" si="0"/>
        <v>64.38000000000001</v>
      </c>
    </row>
    <row r="10" spans="1:6" ht="18.75" customHeight="1" x14ac:dyDescent="0.25">
      <c r="A10" s="2" t="str">
        <f ca="1">IFERROR(__xludf.DUMMYFUNCTION("""COMPUTED_VALUE"""),"REA-K7512")</f>
        <v>REA-K7512</v>
      </c>
      <c r="B10" s="3">
        <f ca="1">IFERROR(__xludf.DUMMYFUNCTION("""COMPUTED_VALUE"""),14845)</f>
        <v>14845</v>
      </c>
      <c r="C10" s="3">
        <f ca="1">IFERROR(__xludf.DUMMYFUNCTION("""COMPUTED_VALUE"""),5902557341375)</f>
        <v>5902557341375</v>
      </c>
      <c r="D10" s="4" t="str">
        <f ca="1">IFERROR(__xludf.DUMMYFUNCTION("""COMPUTED_VALUE"""),"ADAPTER POSZERZA SLIM N - DO KABIN/DRZWI N 190 cm")</f>
        <v>ADAPTER POSZERZA SLIM N - DO KABIN/DRZWI N 190 cm</v>
      </c>
      <c r="E10" s="31">
        <v>42.41463414634147</v>
      </c>
      <c r="F10" s="31">
        <f t="shared" si="0"/>
        <v>52.170000000000009</v>
      </c>
    </row>
    <row r="11" spans="1:6" ht="18.75" customHeight="1" x14ac:dyDescent="0.25">
      <c r="A11" s="2" t="str">
        <f ca="1">IFERROR(__xludf.DUMMYFUNCTION("""COMPUTED_VALUE"""),"REA-K7703")</f>
        <v>REA-K7703</v>
      </c>
      <c r="B11" s="3">
        <f ca="1">IFERROR(__xludf.DUMMYFUNCTION("""COMPUTED_VALUE"""),49496)</f>
        <v>49496</v>
      </c>
      <c r="C11" s="3">
        <f ca="1">IFERROR(__xludf.DUMMYFUNCTION("""COMPUTED_VALUE"""),5902557378074)</f>
        <v>5902557378074</v>
      </c>
      <c r="D11" s="4" t="str">
        <f ca="1">IFERROR(__xludf.DUMMYFUNCTION("""COMPUTED_VALUE"""),"ADAPTER PRZEDŁUŻAJĄCY 30cm NIKIEL SZCZOTKOWANY")</f>
        <v>ADAPTER PRZEDŁUŻAJĄCY 30cm NIKIEL SZCZOTKOWANY</v>
      </c>
      <c r="E11" s="31">
        <v>16.243902439024392</v>
      </c>
      <c r="F11" s="31">
        <f t="shared" si="0"/>
        <v>19.98</v>
      </c>
    </row>
    <row r="12" spans="1:6" ht="18.75" customHeight="1" x14ac:dyDescent="0.25">
      <c r="A12" s="2" t="str">
        <f ca="1">IFERROR(__xludf.DUMMYFUNCTION("""COMPUTED_VALUE"""),"REA-K7704")</f>
        <v>REA-K7704</v>
      </c>
      <c r="B12" s="3">
        <f ca="1">IFERROR(__xludf.DUMMYFUNCTION("""COMPUTED_VALUE"""),49494)</f>
        <v>49494</v>
      </c>
      <c r="C12" s="3">
        <f ca="1">IFERROR(__xludf.DUMMYFUNCTION("""COMPUTED_VALUE"""),5902557378081)</f>
        <v>5902557378081</v>
      </c>
      <c r="D12" s="4" t="str">
        <f ca="1">IFERROR(__xludf.DUMMYFUNCTION("""COMPUTED_VALUE"""),"ADAPTER PRZEDŁUŻAJĄCY 30cm ZŁOTY SZCZOTKOWANY")</f>
        <v>ADAPTER PRZEDŁUŻAJĄCY 30cm ZŁOTY SZCZOTKOWANY</v>
      </c>
      <c r="E12" s="31">
        <v>16.243902439024392</v>
      </c>
      <c r="F12" s="31">
        <f t="shared" si="0"/>
        <v>19.98</v>
      </c>
    </row>
    <row r="13" spans="1:6" ht="18.75" customHeight="1" x14ac:dyDescent="0.25">
      <c r="A13" s="2" t="str">
        <f ca="1">IFERROR(__xludf.DUMMYFUNCTION("""COMPUTED_VALUE"""),"REA-K4120")</f>
        <v>REA-K4120</v>
      </c>
      <c r="B13" s="3"/>
      <c r="C13" s="3">
        <f ca="1">IFERROR(__xludf.DUMMYFUNCTION("""COMPUTED_VALUE"""),5902557328550)</f>
        <v>5902557328550</v>
      </c>
      <c r="D13" s="4" t="str">
        <f ca="1">IFERROR(__xludf.DUMMYFUNCTION("""COMPUTED_VALUE"""),"ADAPTER PRZYŚCIENNY/ŁĄCZĄCY A66  MY/UP SPACE ""N""")</f>
        <v>ADAPTER PRZYŚCIENNY/ŁĄCZĄCY A66  MY/UP SPACE "N"</v>
      </c>
      <c r="E13" s="31">
        <v>23.463414634146343</v>
      </c>
      <c r="F13" s="31">
        <f t="shared" si="0"/>
        <v>28.86</v>
      </c>
    </row>
    <row r="14" spans="1:6" ht="18.75" customHeight="1" x14ac:dyDescent="0.25">
      <c r="A14" s="2" t="str">
        <f ca="1">IFERROR(__xludf.DUMMYFUNCTION("""COMPUTED_VALUE"""),"REA-B9901")</f>
        <v>REA-B9901</v>
      </c>
      <c r="B14" s="3">
        <f ca="1">IFERROR(__xludf.DUMMYFUNCTION("""COMPUTED_VALUE"""),44588)</f>
        <v>44588</v>
      </c>
      <c r="C14" s="3">
        <f ca="1">IFERROR(__xludf.DUMMYFUNCTION("""COMPUTED_VALUE"""),5902557368679)</f>
        <v>5902557368679</v>
      </c>
      <c r="D14" s="4" t="str">
        <f ca="1">IFERROR(__xludf.DUMMYFUNCTION("""COMPUTED_VALUE"""),"BAT BIDETOWA MY1709-9DBR ROMANO CZARNA PRZECIERANA")</f>
        <v>BAT BIDETOWA MY1709-9DBR ROMANO CZARNA PRZECIERANA</v>
      </c>
      <c r="E14" s="31">
        <v>61.365853658536594</v>
      </c>
      <c r="F14" s="31">
        <f t="shared" si="0"/>
        <v>75.48</v>
      </c>
    </row>
    <row r="15" spans="1:6" ht="18.75" customHeight="1" x14ac:dyDescent="0.25">
      <c r="A15" s="2" t="str">
        <f ca="1">IFERROR(__xludf.DUMMYFUNCTION("""COMPUTED_VALUE"""),"REA-B2026")</f>
        <v>REA-B2026</v>
      </c>
      <c r="B15" s="3">
        <f ca="1">IFERROR(__xludf.DUMMYFUNCTION("""COMPUTED_VALUE"""),44990)</f>
        <v>44990</v>
      </c>
      <c r="C15" s="3">
        <f ca="1">IFERROR(__xludf.DUMMYFUNCTION("""COMPUTED_VALUE"""),5902557370375)</f>
        <v>5902557370375</v>
      </c>
      <c r="D15" s="4" t="str">
        <f ca="1">IFERROR(__xludf.DUMMYFUNCTION("""COMPUTED_VALUE"""),"BAT JS-634901-1RGB VIRAL CZARNA/RÓŻ ZŁOTO WYSOKA")</f>
        <v>BAT JS-634901-1RGB VIRAL CZARNA/RÓŻ ZŁOTO WYSOKA</v>
      </c>
      <c r="E15" s="31">
        <v>69.487804878048792</v>
      </c>
      <c r="F15" s="31">
        <f t="shared" si="0"/>
        <v>85.470000000000013</v>
      </c>
    </row>
    <row r="16" spans="1:6" ht="18.75" customHeight="1" x14ac:dyDescent="0.25">
      <c r="A16" s="2" t="str">
        <f ca="1">IFERROR(__xludf.DUMMYFUNCTION("""COMPUTED_VALUE"""),"REA-B2025")</f>
        <v>REA-B2025</v>
      </c>
      <c r="B16" s="3">
        <f ca="1">IFERROR(__xludf.DUMMYFUNCTION("""COMPUTED_VALUE"""),44998)</f>
        <v>44998</v>
      </c>
      <c r="C16" s="3">
        <f ca="1">IFERROR(__xludf.DUMMYFUNCTION("""COMPUTED_VALUE"""),5902557370368)</f>
        <v>5902557370368</v>
      </c>
      <c r="D16" s="4" t="str">
        <f ca="1">IFERROR(__xludf.DUMMYFUNCTION("""COMPUTED_VALUE"""),"BAT JS-634901RGB VIRAL CZARNA/RÓŻOWE ZŁOTO NISKA")</f>
        <v>BAT JS-634901RGB VIRAL CZARNA/RÓŻOWE ZŁOTO NISKA</v>
      </c>
      <c r="E16" s="31">
        <v>55.951219512195124</v>
      </c>
      <c r="F16" s="31">
        <f t="shared" si="0"/>
        <v>68.820000000000007</v>
      </c>
    </row>
    <row r="17" spans="1:6" ht="18.75" customHeight="1" x14ac:dyDescent="0.25">
      <c r="A17" s="2" t="str">
        <f ca="1">IFERROR(__xludf.DUMMYFUNCTION("""COMPUTED_VALUE"""),"REA-B6205")</f>
        <v>REA-B6205</v>
      </c>
      <c r="B17" s="3">
        <f ca="1">IFERROR(__xludf.DUMMYFUNCTION("""COMPUTED_VALUE"""),44904)</f>
        <v>44904</v>
      </c>
      <c r="C17" s="3">
        <f ca="1">IFERROR(__xludf.DUMMYFUNCTION("""COMPUTED_VALUE"""),5902557373680)</f>
        <v>5902557373680</v>
      </c>
      <c r="D17" s="4" t="str">
        <f ca="1">IFERROR(__xludf.DUMMYFUNCTION("""COMPUTED_VALUE"""),"BAT KUCHENNA MY1906-5BGG SOUL ZŁOTA SZCZOTK/CZARNA")</f>
        <v>BAT KUCHENNA MY1906-5BGG SOUL ZŁOTA SZCZOTK/CZARNA</v>
      </c>
      <c r="E17" s="31">
        <v>92.951219512195124</v>
      </c>
      <c r="F17" s="31">
        <f t="shared" si="0"/>
        <v>114.33</v>
      </c>
    </row>
    <row r="18" spans="1:6" ht="18.75" customHeight="1" x14ac:dyDescent="0.25">
      <c r="A18" s="2" t="str">
        <f ca="1">IFERROR(__xludf.DUMMYFUNCTION("""COMPUTED_VALUE"""),"REA-B9902")</f>
        <v>REA-B9902</v>
      </c>
      <c r="B18" s="3">
        <f ca="1">IFERROR(__xludf.DUMMYFUNCTION("""COMPUTED_VALUE"""),44587)</f>
        <v>44587</v>
      </c>
      <c r="C18" s="3">
        <f ca="1">IFERROR(__xludf.DUMMYFUNCTION("""COMPUTED_VALUE"""),5902557368686)</f>
        <v>5902557368686</v>
      </c>
      <c r="D18" s="4" t="str">
        <f ca="1">IFERROR(__xludf.DUMMYFUNCTION("""COMPUTED_VALUE"""),"BAT UMY MY1709-21DBR ROMANO CZARNA PRZECIER WYSOKA")</f>
        <v>BAT UMY MY1709-21DBR ROMANO CZARNA PRZECIER WYSOKA</v>
      </c>
      <c r="E18" s="31">
        <v>91.146341463414643</v>
      </c>
      <c r="F18" s="31">
        <f t="shared" si="0"/>
        <v>112.11000000000001</v>
      </c>
    </row>
    <row r="19" spans="1:6" ht="18.75" customHeight="1" x14ac:dyDescent="0.25">
      <c r="A19" s="2" t="str">
        <f ca="1">IFERROR(__xludf.DUMMYFUNCTION("""COMPUTED_VALUE"""),"REA-B9900")</f>
        <v>REA-B9900</v>
      </c>
      <c r="B19" s="3">
        <f ca="1">IFERROR(__xludf.DUMMYFUNCTION("""COMPUTED_VALUE"""),44586)</f>
        <v>44586</v>
      </c>
      <c r="C19" s="3">
        <f ca="1">IFERROR(__xludf.DUMMYFUNCTION("""COMPUTED_VALUE"""),5902557368662)</f>
        <v>5902557368662</v>
      </c>
      <c r="D19" s="4" t="str">
        <f ca="1">IFERROR(__xludf.DUMMYFUNCTION("""COMPUTED_VALUE"""),"BAT UMY MY1709-2DBR ROMANO CZARNA PRZECIERAN NISKA")</f>
        <v>BAT UMY MY1709-2DBR ROMANO CZARNA PRZECIERAN NISKA</v>
      </c>
      <c r="E19" s="31">
        <v>61.365853658536594</v>
      </c>
      <c r="F19" s="31">
        <f t="shared" si="0"/>
        <v>75.48</v>
      </c>
    </row>
    <row r="20" spans="1:6" ht="18.75" customHeight="1" x14ac:dyDescent="0.25">
      <c r="A20" s="2" t="str">
        <f ca="1">IFERROR(__xludf.DUMMYFUNCTION("""COMPUTED_VALUE"""),"REA-B9974")</f>
        <v>REA-B9974</v>
      </c>
      <c r="B20" s="3">
        <f ca="1">IFERROR(__xludf.DUMMYFUNCTION("""COMPUTED_VALUE"""),44622)</f>
        <v>44622</v>
      </c>
      <c r="C20" s="3">
        <f ca="1">IFERROR(__xludf.DUMMYFUNCTION("""COMPUTED_VALUE"""),5902557369362)</f>
        <v>5902557369362</v>
      </c>
      <c r="D20" s="4" t="str">
        <f ca="1">IFERROR(__xludf.DUMMYFUNCTION("""COMPUTED_VALUE"""),"BAT UMY MY1803-21DBR BLADE CZARNA PRZECIERA WYSOKA")</f>
        <v>BAT UMY MY1803-21DBR BLADE CZARNA PRZECIERA WYSOKA</v>
      </c>
      <c r="E20" s="31">
        <v>66.780487804878049</v>
      </c>
      <c r="F20" s="31">
        <f t="shared" si="0"/>
        <v>82.14</v>
      </c>
    </row>
    <row r="21" spans="1:6" ht="18.75" customHeight="1" x14ac:dyDescent="0.25">
      <c r="A21" s="2" t="str">
        <f ca="1">IFERROR(__xludf.DUMMYFUNCTION("""COMPUTED_VALUE"""),"REA-B9973")</f>
        <v>REA-B9973</v>
      </c>
      <c r="B21" s="3">
        <f ca="1">IFERROR(__xludf.DUMMYFUNCTION("""COMPUTED_VALUE"""),44624)</f>
        <v>44624</v>
      </c>
      <c r="C21" s="3">
        <f ca="1">IFERROR(__xludf.DUMMYFUNCTION("""COMPUTED_VALUE"""),5902557369355)</f>
        <v>5902557369355</v>
      </c>
      <c r="D21" s="4" t="str">
        <f ca="1">IFERROR(__xludf.DUMMYFUNCTION("""COMPUTED_VALUE"""),"BAT UMY MY1803-2DBR BLADE CZARNA PRZECIERANA NISKA")</f>
        <v>BAT UMY MY1803-2DBR BLADE CZARNA PRZECIERANA NISKA</v>
      </c>
      <c r="E21" s="31">
        <v>51.439024390243908</v>
      </c>
      <c r="F21" s="31">
        <f t="shared" si="0"/>
        <v>63.27</v>
      </c>
    </row>
    <row r="22" spans="1:6" ht="18.75" customHeight="1" x14ac:dyDescent="0.25">
      <c r="A22" s="2" t="str">
        <f ca="1">IFERROR(__xludf.DUMMYFUNCTION("""COMPUTED_VALUE"""),"REA-B9961")</f>
        <v>REA-B9961</v>
      </c>
      <c r="B22" s="3">
        <f ca="1">IFERROR(__xludf.DUMMYFUNCTION("""COMPUTED_VALUE"""),44621)</f>
        <v>44621</v>
      </c>
      <c r="C22" s="3">
        <f ca="1">IFERROR(__xludf.DUMMYFUNCTION("""COMPUTED_VALUE"""),5902557369249)</f>
        <v>5902557369249</v>
      </c>
      <c r="D22" s="4" t="str">
        <f ca="1">IFERROR(__xludf.DUMMYFUNCTION("""COMPUTED_VALUE"""),"BAT UMY MY1906-21BGG SOUL ZŁOTA SZCZ/CZARNA WYSOKA")</f>
        <v>BAT UMY MY1906-21BGG SOUL ZŁOTA SZCZ/CZARNA WYSOKA</v>
      </c>
      <c r="E22" s="31">
        <v>115.51219512195122</v>
      </c>
      <c r="F22" s="31">
        <f t="shared" si="0"/>
        <v>142.08000000000001</v>
      </c>
    </row>
    <row r="23" spans="1:6" ht="18.75" customHeight="1" x14ac:dyDescent="0.25">
      <c r="A23" s="2" t="str">
        <f ca="1">IFERROR(__xludf.DUMMYFUNCTION("""COMPUTED_VALUE"""),"REA-B9960")</f>
        <v>REA-B9960</v>
      </c>
      <c r="B23" s="3">
        <f ca="1">IFERROR(__xludf.DUMMYFUNCTION("""COMPUTED_VALUE"""),44623)</f>
        <v>44623</v>
      </c>
      <c r="C23" s="3">
        <f ca="1">IFERROR(__xludf.DUMMYFUNCTION("""COMPUTED_VALUE"""),5902557369232)</f>
        <v>5902557369232</v>
      </c>
      <c r="D23" s="4" t="str">
        <f ca="1">IFERROR(__xludf.DUMMYFUNCTION("""COMPUTED_VALUE"""),"BAT UMY MY1906-2BGG SOUL ZŁOTA SZCZOT/CZARNA NISKA")</f>
        <v>BAT UMY MY1906-2BGG SOUL ZŁOTA SZCZOT/CZARNA NISKA</v>
      </c>
      <c r="E23" s="31">
        <v>72.195121951219519</v>
      </c>
      <c r="F23" s="31">
        <f t="shared" si="0"/>
        <v>88.800000000000011</v>
      </c>
    </row>
    <row r="24" spans="1:6" ht="18.75" customHeight="1" x14ac:dyDescent="0.25">
      <c r="A24" s="2" t="str">
        <f ca="1">IFERROR(__xludf.DUMMYFUNCTION("""COMPUTED_VALUE"""),"REA-B2027")</f>
        <v>REA-B2027</v>
      </c>
      <c r="B24" s="3">
        <f ca="1">IFERROR(__xludf.DUMMYFUNCTION("""COMPUTED_VALUE"""),45050)</f>
        <v>45050</v>
      </c>
      <c r="C24" s="3">
        <f ca="1">IFERROR(__xludf.DUMMYFUNCTION("""COMPUTED_VALUE"""),5902557370382)</f>
        <v>5902557370382</v>
      </c>
      <c r="D24" s="4" t="str">
        <f ca="1">IFERROR(__xludf.DUMMYFUNCTION("""COMPUTED_VALUE"""),"BAT WANN JS-634903RGB VIRAL CZARNA/RÓŻOWE ZŁOTO")</f>
        <v>BAT WANN JS-634903RGB VIRAL CZARNA/RÓŻOWE ZŁOTO</v>
      </c>
      <c r="E24" s="31">
        <v>74.902439024390262</v>
      </c>
      <c r="F24" s="31">
        <f t="shared" si="0"/>
        <v>92.130000000000024</v>
      </c>
    </row>
    <row r="25" spans="1:6" ht="18.75" customHeight="1" x14ac:dyDescent="0.25">
      <c r="A25" s="2" t="str">
        <f ca="1">IFERROR(__xludf.DUMMYFUNCTION("""COMPUTED_VALUE"""),"REA-B9970")</f>
        <v>REA-B9970</v>
      </c>
      <c r="B25" s="3">
        <f ca="1">IFERROR(__xludf.DUMMYFUNCTION("""COMPUTED_VALUE"""),44625)</f>
        <v>44625</v>
      </c>
      <c r="C25" s="3">
        <f ca="1">IFERROR(__xludf.DUMMYFUNCTION("""COMPUTED_VALUE"""),5902557369324)</f>
        <v>5902557369324</v>
      </c>
      <c r="D25" s="4" t="str">
        <f ca="1">IFERROR(__xludf.DUMMYFUNCTION("""COMPUTED_VALUE"""),"BATERIA BIDETOW MY2061-9GG HASS ZŁOTA SZCZOTKOWANA")</f>
        <v>BATERIA BIDETOW MY2061-9GG HASS ZŁOTA SZCZOTKOWANA</v>
      </c>
      <c r="E25" s="31">
        <v>79.41463414634147</v>
      </c>
      <c r="F25" s="31">
        <f t="shared" si="0"/>
        <v>97.68</v>
      </c>
    </row>
    <row r="26" spans="1:6" ht="18.75" customHeight="1" x14ac:dyDescent="0.25">
      <c r="A26" s="2" t="str">
        <f ca="1">IFERROR(__xludf.DUMMYFUNCTION("""COMPUTED_VALUE"""),"REA-B1119")</f>
        <v>REA-B1119</v>
      </c>
      <c r="B26" s="3">
        <f ca="1">IFERROR(__xludf.DUMMYFUNCTION("""COMPUTED_VALUE"""),53894)</f>
        <v>53894</v>
      </c>
      <c r="C26" s="3">
        <f ca="1">IFERROR(__xludf.DUMMYFUNCTION("""COMPUTED_VALUE"""),5906366002724)</f>
        <v>5906366002724</v>
      </c>
      <c r="D26" s="4" t="str">
        <f ca="1">IFERROR(__xludf.DUMMYFUNCTION("""COMPUTED_VALUE"""),"BATERIA BIDETOWA AVALON CZARNA")</f>
        <v>BATERIA BIDETOWA AVALON CZARNA</v>
      </c>
      <c r="E26" s="31">
        <v>55.048780487804883</v>
      </c>
      <c r="F26" s="31">
        <f t="shared" si="0"/>
        <v>67.710000000000008</v>
      </c>
    </row>
    <row r="27" spans="1:6" ht="18.75" customHeight="1" x14ac:dyDescent="0.25">
      <c r="A27" s="2" t="str">
        <f ca="1">IFERROR(__xludf.DUMMYFUNCTION("""COMPUTED_VALUE"""),"REA-B2700")</f>
        <v>REA-B2700</v>
      </c>
      <c r="B27" s="3">
        <f ca="1">IFERROR(__xludf.DUMMYFUNCTION("""COMPUTED_VALUE"""),52106)</f>
        <v>52106</v>
      </c>
      <c r="C27" s="3">
        <f ca="1">IFERROR(__xludf.DUMMYFUNCTION("""COMPUTED_VALUE"""),5902557391905)</f>
        <v>5902557391905</v>
      </c>
      <c r="D27" s="4" t="str">
        <f ca="1">IFERROR(__xludf.DUMMYFUNCTION("""COMPUTED_VALUE"""),"BATERIA BIDETOWA AVALON TYTAN")</f>
        <v>BATERIA BIDETOWA AVALON TYTAN</v>
      </c>
      <c r="E27" s="31">
        <v>57.756097560975611</v>
      </c>
      <c r="F27" s="31">
        <f t="shared" si="0"/>
        <v>71.040000000000006</v>
      </c>
    </row>
    <row r="28" spans="1:6" ht="18.75" customHeight="1" x14ac:dyDescent="0.25">
      <c r="A28" s="2" t="str">
        <f ca="1">IFERROR(__xludf.DUMMYFUNCTION("""COMPUTED_VALUE"""),"REA-B1125")</f>
        <v>REA-B1125</v>
      </c>
      <c r="B28" s="3">
        <f ca="1">IFERROR(__xludf.DUMMYFUNCTION("""COMPUTED_VALUE"""),53893)</f>
        <v>53893</v>
      </c>
      <c r="C28" s="3">
        <f ca="1">IFERROR(__xludf.DUMMYFUNCTION("""COMPUTED_VALUE"""),5906366002731)</f>
        <v>5906366002731</v>
      </c>
      <c r="D28" s="4" t="str">
        <f ca="1">IFERROR(__xludf.DUMMYFUNCTION("""COMPUTED_VALUE"""),"BATERIA BIDETOWA AVALON ZŁOTA")</f>
        <v>BATERIA BIDETOWA AVALON ZŁOTA</v>
      </c>
      <c r="E28" s="31">
        <v>59.560975609756099</v>
      </c>
      <c r="F28" s="31">
        <f t="shared" si="0"/>
        <v>73.260000000000005</v>
      </c>
    </row>
    <row r="29" spans="1:6" ht="18.75" customHeight="1" x14ac:dyDescent="0.25">
      <c r="A29" s="2" t="str">
        <f ca="1">IFERROR(__xludf.DUMMYFUNCTION("""COMPUTED_VALUE"""),"REA-B2701")</f>
        <v>REA-B2701</v>
      </c>
      <c r="B29" s="3">
        <f ca="1">IFERROR(__xludf.DUMMYFUNCTION("""COMPUTED_VALUE"""),52105)</f>
        <v>52105</v>
      </c>
      <c r="C29" s="3">
        <f ca="1">IFERROR(__xludf.DUMMYFUNCTION("""COMPUTED_VALUE"""),5902557391912)</f>
        <v>5902557391912</v>
      </c>
      <c r="D29" s="4" t="str">
        <f ca="1">IFERROR(__xludf.DUMMYFUNCTION("""COMPUTED_VALUE"""),"BATERIA BIDETOWA AVALON ZŁOTA SZCZOTKOWANA")</f>
        <v>BATERIA BIDETOWA AVALON ZŁOTA SZCZOTKOWANA</v>
      </c>
      <c r="E29" s="31">
        <v>57.756097560975611</v>
      </c>
      <c r="F29" s="31">
        <f t="shared" si="0"/>
        <v>71.040000000000006</v>
      </c>
    </row>
    <row r="30" spans="1:6" ht="18.75" customHeight="1" x14ac:dyDescent="0.25">
      <c r="A30" s="2" t="str">
        <f ca="1">IFERROR(__xludf.DUMMYFUNCTION("""COMPUTED_VALUE"""),"REA-B5126")</f>
        <v>REA-B5126</v>
      </c>
      <c r="B30" s="3">
        <f ca="1">IFERROR(__xludf.DUMMYFUNCTION("""COMPUTED_VALUE"""),45255)</f>
        <v>45255</v>
      </c>
      <c r="C30" s="3">
        <f ca="1">IFERROR(__xludf.DUMMYFUNCTION("""COMPUTED_VALUE"""),5902557370023)</f>
        <v>5902557370023</v>
      </c>
      <c r="D30" s="4" t="str">
        <f ca="1">IFERROR(__xludf.DUMMYFUNCTION("""COMPUTED_VALUE"""),"BATERIA BIDETOWA FENIX CHROM")</f>
        <v>BATERIA BIDETOWA FENIX CHROM</v>
      </c>
      <c r="E30" s="31">
        <v>85.731707317073173</v>
      </c>
      <c r="F30" s="31">
        <f t="shared" si="0"/>
        <v>105.45</v>
      </c>
    </row>
    <row r="31" spans="1:6" ht="18.75" customHeight="1" x14ac:dyDescent="0.25">
      <c r="A31" s="2" t="str">
        <f ca="1">IFERROR(__xludf.DUMMYFUNCTION("""COMPUTED_VALUE"""),"REA-B5687")</f>
        <v>REA-B5687</v>
      </c>
      <c r="B31" s="3">
        <f ca="1">IFERROR(__xludf.DUMMYFUNCTION("""COMPUTED_VALUE"""),37974)</f>
        <v>37974</v>
      </c>
      <c r="C31" s="3">
        <f ca="1">IFERROR(__xludf.DUMMYFUNCTION("""COMPUTED_VALUE"""),5902557349692)</f>
        <v>5902557349692</v>
      </c>
      <c r="D31" s="4" t="str">
        <f ca="1">IFERROR(__xludf.DUMMYFUNCTION("""COMPUTED_VALUE"""),"BATERIA BIDETOWA FENIX CZARNA")</f>
        <v>BATERIA BIDETOWA FENIX CZARNA</v>
      </c>
      <c r="E31" s="31">
        <v>85.731707317073173</v>
      </c>
      <c r="F31" s="31">
        <f t="shared" si="0"/>
        <v>105.45</v>
      </c>
    </row>
    <row r="32" spans="1:6" ht="18.75" customHeight="1" x14ac:dyDescent="0.25">
      <c r="A32" s="2" t="str">
        <f ca="1">IFERROR(__xludf.DUMMYFUNCTION("""COMPUTED_VALUE"""),"REA-B5771")</f>
        <v>REA-B5771</v>
      </c>
      <c r="B32" s="3">
        <f ca="1">IFERROR(__xludf.DUMMYFUNCTION("""COMPUTED_VALUE"""),43229)</f>
        <v>43229</v>
      </c>
      <c r="C32" s="3">
        <f ca="1">IFERROR(__xludf.DUMMYFUNCTION("""COMPUTED_VALUE"""),5902557364084)</f>
        <v>5902557364084</v>
      </c>
      <c r="D32" s="4" t="str">
        <f ca="1">IFERROR(__xludf.DUMMYFUNCTION("""COMPUTED_VALUE"""),"BATERIA BIDETOWA FENIX ZŁOTA")</f>
        <v>BATERIA BIDETOWA FENIX ZŁOTA</v>
      </c>
      <c r="E32" s="31">
        <v>101.97560975609757</v>
      </c>
      <c r="F32" s="31">
        <f t="shared" si="0"/>
        <v>125.43</v>
      </c>
    </row>
    <row r="33" spans="1:6" ht="18.75" customHeight="1" x14ac:dyDescent="0.25">
      <c r="A33" s="2" t="str">
        <f ca="1">IFERROR(__xludf.DUMMYFUNCTION("""COMPUTED_VALUE"""),"REA-B0255")</f>
        <v>REA-B0255</v>
      </c>
      <c r="B33" s="3">
        <f ca="1">IFERROR(__xludf.DUMMYFUNCTION("""COMPUTED_VALUE"""),46471)</f>
        <v>46471</v>
      </c>
      <c r="C33" s="3">
        <f ca="1">IFERROR(__xludf.DUMMYFUNCTION("""COMPUTED_VALUE"""),5902557375554)</f>
        <v>5902557375554</v>
      </c>
      <c r="D33" s="4" t="str">
        <f ca="1">IFERROR(__xludf.DUMMYFUNCTION("""COMPUTED_VALUE"""),"BATERIA BIDETOWA LOOP LUNGO BIAŁA")</f>
        <v>BATERIA BIDETOWA LOOP LUNGO BIAŁA</v>
      </c>
      <c r="E33" s="31">
        <v>83.024390243902445</v>
      </c>
      <c r="F33" s="31">
        <f t="shared" si="0"/>
        <v>102.12</v>
      </c>
    </row>
    <row r="34" spans="1:6" ht="18.75" customHeight="1" x14ac:dyDescent="0.25">
      <c r="A34" s="2" t="str">
        <f ca="1">IFERROR(__xludf.DUMMYFUNCTION("""COMPUTED_VALUE"""),"REA-B4106")</f>
        <v>REA-B4106</v>
      </c>
      <c r="B34" s="3">
        <f ca="1">IFERROR(__xludf.DUMMYFUNCTION("""COMPUTED_VALUE"""),24178)</f>
        <v>24178</v>
      </c>
      <c r="C34" s="3">
        <f ca="1">IFERROR(__xludf.DUMMYFUNCTION("""COMPUTED_VALUE"""),5902557332908)</f>
        <v>5902557332908</v>
      </c>
      <c r="D34" s="4" t="str">
        <f ca="1">IFERROR(__xludf.DUMMYFUNCTION("""COMPUTED_VALUE"""),"BATERIA BIDETOWA LOOP LUNGO CHROM")</f>
        <v>BATERIA BIDETOWA LOOP LUNGO CHROM</v>
      </c>
      <c r="E34" s="31">
        <v>66.780487804878049</v>
      </c>
      <c r="F34" s="31">
        <f t="shared" si="0"/>
        <v>82.14</v>
      </c>
    </row>
    <row r="35" spans="1:6" ht="18.75" customHeight="1" x14ac:dyDescent="0.25">
      <c r="A35" s="2" t="str">
        <f ca="1">IFERROR(__xludf.DUMMYFUNCTION("""COMPUTED_VALUE"""),"REA-B8978")</f>
        <v>REA-B8978</v>
      </c>
      <c r="B35" s="3">
        <f ca="1">IFERROR(__xludf.DUMMYFUNCTION("""COMPUTED_VALUE"""),35384)</f>
        <v>35384</v>
      </c>
      <c r="C35" s="3">
        <f ca="1">IFERROR(__xludf.DUMMYFUNCTION("""COMPUTED_VALUE"""),5902557344826)</f>
        <v>5902557344826</v>
      </c>
      <c r="D35" s="4" t="str">
        <f ca="1">IFERROR(__xludf.DUMMYFUNCTION("""COMPUTED_VALUE"""),"BATERIA BIDETOWA LOOP LUNGO CZARNA")</f>
        <v>BATERIA BIDETOWA LOOP LUNGO CZARNA</v>
      </c>
      <c r="E35" s="31">
        <v>83.024390243902445</v>
      </c>
      <c r="F35" s="31">
        <f t="shared" si="0"/>
        <v>102.12</v>
      </c>
    </row>
    <row r="36" spans="1:6" ht="18.75" customHeight="1" x14ac:dyDescent="0.25">
      <c r="A36" s="2" t="str">
        <f ca="1">IFERROR(__xludf.DUMMYFUNCTION("""COMPUTED_VALUE"""),"REA-B5656")</f>
        <v>REA-B5656</v>
      </c>
      <c r="B36" s="3">
        <f ca="1">IFERROR(__xludf.DUMMYFUNCTION("""COMPUTED_VALUE"""),51422)</f>
        <v>51422</v>
      </c>
      <c r="C36" s="3">
        <f ca="1">IFERROR(__xludf.DUMMYFUNCTION("""COMPUTED_VALUE"""),5902557391707)</f>
        <v>5902557391707</v>
      </c>
      <c r="D36" s="4" t="str">
        <f ca="1">IFERROR(__xludf.DUMMYFUNCTION("""COMPUTED_VALUE"""),"BATERIA BIDETOWA LOOP LUNGO CZARNA METALICZNA")</f>
        <v>BATERIA BIDETOWA LOOP LUNGO CZARNA METALICZNA</v>
      </c>
      <c r="E36" s="31">
        <v>93.853658536585371</v>
      </c>
      <c r="F36" s="31">
        <f t="shared" si="0"/>
        <v>115.44</v>
      </c>
    </row>
    <row r="37" spans="1:6" ht="18.75" customHeight="1" x14ac:dyDescent="0.25">
      <c r="A37" s="2" t="str">
        <f ca="1">IFERROR(__xludf.DUMMYFUNCTION("""COMPUTED_VALUE"""),"REA-B6523")</f>
        <v>REA-B6523</v>
      </c>
      <c r="B37" s="3">
        <f ca="1">IFERROR(__xludf.DUMMYFUNCTION("""COMPUTED_VALUE"""),44671)</f>
        <v>44671</v>
      </c>
      <c r="C37" s="3">
        <f ca="1">IFERROR(__xludf.DUMMYFUNCTION("""COMPUTED_VALUE"""),5902557366798)</f>
        <v>5902557366798</v>
      </c>
      <c r="D37" s="4" t="str">
        <f ca="1">IFERROR(__xludf.DUMMYFUNCTION("""COMPUTED_VALUE"""),"BATERIA BIDETOWA LOOP LUNGO RÓŻOWE ZŁOTO")</f>
        <v>BATERIA BIDETOWA LOOP LUNGO RÓŻOWE ZŁOTO</v>
      </c>
      <c r="E37" s="31">
        <v>83.024390243902445</v>
      </c>
      <c r="F37" s="31">
        <f t="shared" si="0"/>
        <v>102.12</v>
      </c>
    </row>
    <row r="38" spans="1:6" ht="18.75" customHeight="1" x14ac:dyDescent="0.25">
      <c r="A38" s="2" t="str">
        <f ca="1">IFERROR(__xludf.DUMMYFUNCTION("""COMPUTED_VALUE"""),"REA-B8979")</f>
        <v>REA-B8979</v>
      </c>
      <c r="B38" s="3">
        <f ca="1">IFERROR(__xludf.DUMMYFUNCTION("""COMPUTED_VALUE"""),35385)</f>
        <v>35385</v>
      </c>
      <c r="C38" s="3">
        <f ca="1">IFERROR(__xludf.DUMMYFUNCTION("""COMPUTED_VALUE"""),5902557345335)</f>
        <v>5902557345335</v>
      </c>
      <c r="D38" s="4" t="str">
        <f ca="1">IFERROR(__xludf.DUMMYFUNCTION("""COMPUTED_VALUE"""),"BATERIA BIDETOWA LOOP LUNGO ZŁOTA")</f>
        <v>BATERIA BIDETOWA LOOP LUNGO ZŁOTA</v>
      </c>
      <c r="E38" s="31">
        <v>83.024390243902445</v>
      </c>
      <c r="F38" s="31">
        <f t="shared" si="0"/>
        <v>102.12</v>
      </c>
    </row>
    <row r="39" spans="1:6" ht="18.75" customHeight="1" x14ac:dyDescent="0.25">
      <c r="A39" s="2" t="str">
        <f ca="1">IFERROR(__xludf.DUMMYFUNCTION("""COMPUTED_VALUE"""),"REA-B6311")</f>
        <v>REA-B6311</v>
      </c>
      <c r="B39" s="3">
        <f ca="1">IFERROR(__xludf.DUMMYFUNCTION("""COMPUTED_VALUE"""),44954)</f>
        <v>44954</v>
      </c>
      <c r="C39" s="3">
        <f ca="1">IFERROR(__xludf.DUMMYFUNCTION("""COMPUTED_VALUE"""),5902557369973)</f>
        <v>5902557369973</v>
      </c>
      <c r="D39" s="4" t="str">
        <f ca="1">IFERROR(__xludf.DUMMYFUNCTION("""COMPUTED_VALUE"""),"BATERIA BIDETOWA LOOP LUNGO ZŁOTA SZCZOTKOWANA")</f>
        <v>BATERIA BIDETOWA LOOP LUNGO ZŁOTA SZCZOTKOWANA</v>
      </c>
      <c r="E39" s="31">
        <v>93.853658536585371</v>
      </c>
      <c r="F39" s="31">
        <f t="shared" si="0"/>
        <v>115.44</v>
      </c>
    </row>
    <row r="40" spans="1:6" ht="18.75" customHeight="1" x14ac:dyDescent="0.25">
      <c r="A40" s="2" t="str">
        <f ca="1">IFERROR(__xludf.DUMMYFUNCTION("""COMPUTED_VALUE"""),"REA-B4701")</f>
        <v>REA-B4701</v>
      </c>
      <c r="B40" s="3">
        <f ca="1">IFERROR(__xludf.DUMMYFUNCTION("""COMPUTED_VALUE"""),51031)</f>
        <v>51031</v>
      </c>
      <c r="C40" s="3">
        <f ca="1">IFERROR(__xludf.DUMMYFUNCTION("""COMPUTED_VALUE"""),5902557391806)</f>
        <v>5902557391806</v>
      </c>
      <c r="D40" s="4" t="str">
        <f ca="1">IFERROR(__xludf.DUMMYFUNCTION("""COMPUTED_VALUE"""),"BATERIA BIDETOWA LUNGO BIAŁA")</f>
        <v>BATERIA BIDETOWA LUNGO BIAŁA</v>
      </c>
      <c r="E40" s="31">
        <v>47.829268292682933</v>
      </c>
      <c r="F40" s="31">
        <f t="shared" si="0"/>
        <v>58.830000000000005</v>
      </c>
    </row>
    <row r="41" spans="1:6" ht="18.75" customHeight="1" x14ac:dyDescent="0.25">
      <c r="A41" s="2" t="str">
        <f ca="1">IFERROR(__xludf.DUMMYFUNCTION("""COMPUTED_VALUE"""),"REA-B0666")</f>
        <v>REA-B0666</v>
      </c>
      <c r="B41" s="3">
        <f ca="1">IFERROR(__xludf.DUMMYFUNCTION("""COMPUTED_VALUE"""),50950)</f>
        <v>50950</v>
      </c>
      <c r="C41" s="3">
        <f ca="1">IFERROR(__xludf.DUMMYFUNCTION("""COMPUTED_VALUE"""),5902557391776)</f>
        <v>5902557391776</v>
      </c>
      <c r="D41" s="4" t="str">
        <f ca="1">IFERROR(__xludf.DUMMYFUNCTION("""COMPUTED_VALUE"""),"BATERIA BIDETOWA LUNGO CHROM")</f>
        <v>BATERIA BIDETOWA LUNGO CHROM</v>
      </c>
      <c r="E41" s="31">
        <v>43.31707317073171</v>
      </c>
      <c r="F41" s="31">
        <f t="shared" si="0"/>
        <v>53.28</v>
      </c>
    </row>
    <row r="42" spans="1:6" ht="18.75" customHeight="1" x14ac:dyDescent="0.25">
      <c r="A42" s="2" t="str">
        <f ca="1">IFERROR(__xludf.DUMMYFUNCTION("""COMPUTED_VALUE"""),"REA-B0667")</f>
        <v>REA-B0667</v>
      </c>
      <c r="B42" s="3">
        <f ca="1">IFERROR(__xludf.DUMMYFUNCTION("""COMPUTED_VALUE"""),50954)</f>
        <v>50954</v>
      </c>
      <c r="C42" s="3">
        <f ca="1">IFERROR(__xludf.DUMMYFUNCTION("""COMPUTED_VALUE"""),5902557391783)</f>
        <v>5902557391783</v>
      </c>
      <c r="D42" s="4" t="str">
        <f ca="1">IFERROR(__xludf.DUMMYFUNCTION("""COMPUTED_VALUE"""),"BATERIA BIDETOWA LUNGO CZARNA")</f>
        <v>BATERIA BIDETOWA LUNGO CZARNA</v>
      </c>
      <c r="E42" s="31">
        <v>46.024390243902438</v>
      </c>
      <c r="F42" s="31">
        <f t="shared" si="0"/>
        <v>56.61</v>
      </c>
    </row>
    <row r="43" spans="1:6" ht="18.75" customHeight="1" x14ac:dyDescent="0.25">
      <c r="A43" s="2" t="str">
        <f ca="1">IFERROR(__xludf.DUMMYFUNCTION("""COMPUTED_VALUE"""),"REA-B0665")</f>
        <v>REA-B0665</v>
      </c>
      <c r="B43" s="3">
        <f ca="1">IFERROR(__xludf.DUMMYFUNCTION("""COMPUTED_VALUE"""),50953)</f>
        <v>50953</v>
      </c>
      <c r="C43" s="3">
        <f ca="1">IFERROR(__xludf.DUMMYFUNCTION("""COMPUTED_VALUE"""),5902557391790)</f>
        <v>5902557391790</v>
      </c>
      <c r="D43" s="4" t="str">
        <f ca="1">IFERROR(__xludf.DUMMYFUNCTION("""COMPUTED_VALUE"""),"BATERIA BIDETOWA LUNGO CZARNA/CHROM")</f>
        <v>BATERIA BIDETOWA LUNGO CZARNA/CHROM</v>
      </c>
      <c r="E43" s="31">
        <v>55.951219512195124</v>
      </c>
      <c r="F43" s="31">
        <f t="shared" si="0"/>
        <v>68.820000000000007</v>
      </c>
    </row>
    <row r="44" spans="1:6" ht="18.75" customHeight="1" x14ac:dyDescent="0.25">
      <c r="A44" s="2" t="str">
        <f ca="1">IFERROR(__xludf.DUMMYFUNCTION("""COMPUTED_VALUE"""),"REA-B9855")</f>
        <v>REA-B9855</v>
      </c>
      <c r="B44" s="3">
        <f ca="1">IFERROR(__xludf.DUMMYFUNCTION("""COMPUTED_VALUE"""),54090)</f>
        <v>54090</v>
      </c>
      <c r="C44" s="3">
        <f ca="1">IFERROR(__xludf.DUMMYFUNCTION("""COMPUTED_VALUE"""),5906366008733)</f>
        <v>5906366008733</v>
      </c>
      <c r="D44" s="4" t="str">
        <f ca="1">IFERROR(__xludf.DUMMYFUNCTION("""COMPUTED_VALUE"""),"BATERIA BIDETOWA LUNGO MIEDŹ")</f>
        <v>BATERIA BIDETOWA LUNGO MIEDŹ</v>
      </c>
      <c r="E44" s="31">
        <v>53.243902439024396</v>
      </c>
      <c r="F44" s="31">
        <f t="shared" si="0"/>
        <v>65.490000000000009</v>
      </c>
    </row>
    <row r="45" spans="1:6" ht="18.75" customHeight="1" x14ac:dyDescent="0.25">
      <c r="A45" s="2" t="str">
        <f ca="1">IFERROR(__xludf.DUMMYFUNCTION("""COMPUTED_VALUE"""),"REA-B1116")</f>
        <v>REA-B1116</v>
      </c>
      <c r="B45" s="3">
        <f ca="1">IFERROR(__xludf.DUMMYFUNCTION("""COMPUTED_VALUE"""),53886)</f>
        <v>53886</v>
      </c>
      <c r="C45" s="3">
        <f ca="1">IFERROR(__xludf.DUMMYFUNCTION("""COMPUTED_VALUE"""),5906366006845)</f>
        <v>5906366006845</v>
      </c>
      <c r="D45" s="4" t="str">
        <f ca="1">IFERROR(__xludf.DUMMYFUNCTION("""COMPUTED_VALUE"""),"BATERIA BIDETOWA LUNGO MIEDŹ SZCZOTKOWANA")</f>
        <v>BATERIA BIDETOWA LUNGO MIEDŹ SZCZOTKOWANA</v>
      </c>
      <c r="E45" s="31">
        <v>56.853658536585371</v>
      </c>
      <c r="F45" s="31">
        <f t="shared" si="0"/>
        <v>69.930000000000007</v>
      </c>
    </row>
    <row r="46" spans="1:6" ht="18.75" customHeight="1" x14ac:dyDescent="0.25">
      <c r="A46" s="2" t="str">
        <f ca="1">IFERROR(__xludf.DUMMYFUNCTION("""COMPUTED_VALUE"""),"REA-B4700")</f>
        <v>REA-B4700</v>
      </c>
      <c r="B46" s="3">
        <f ca="1">IFERROR(__xludf.DUMMYFUNCTION("""COMPUTED_VALUE"""),51025)</f>
        <v>51025</v>
      </c>
      <c r="C46" s="3">
        <f ca="1">IFERROR(__xludf.DUMMYFUNCTION("""COMPUTED_VALUE"""),5902557391813)</f>
        <v>5902557391813</v>
      </c>
      <c r="D46" s="4" t="str">
        <f ca="1">IFERROR(__xludf.DUMMYFUNCTION("""COMPUTED_VALUE"""),"BATERIA BIDETOWA LUNGO RÓŻÓWE ZŁOTO")</f>
        <v>BATERIA BIDETOWA LUNGO RÓŻÓWE ZŁOTO</v>
      </c>
      <c r="E46" s="31">
        <v>56.853658536585371</v>
      </c>
      <c r="F46" s="31">
        <f t="shared" si="0"/>
        <v>69.930000000000007</v>
      </c>
    </row>
    <row r="47" spans="1:6" ht="18.75" customHeight="1" x14ac:dyDescent="0.25">
      <c r="A47" s="2" t="str">
        <f ca="1">IFERROR(__xludf.DUMMYFUNCTION("""COMPUTED_VALUE"""),"REA-B0668")</f>
        <v>REA-B0668</v>
      </c>
      <c r="B47" s="3">
        <f ca="1">IFERROR(__xludf.DUMMYFUNCTION("""COMPUTED_VALUE"""),50949)</f>
        <v>50949</v>
      </c>
      <c r="C47" s="3">
        <f ca="1">IFERROR(__xludf.DUMMYFUNCTION("""COMPUTED_VALUE"""),5902557391820)</f>
        <v>5902557391820</v>
      </c>
      <c r="D47" s="4" t="str">
        <f ca="1">IFERROR(__xludf.DUMMYFUNCTION("""COMPUTED_VALUE"""),"BATERIA BIDETOWA LUNGO ZŁOTA")</f>
        <v>BATERIA BIDETOWA LUNGO ZŁOTA</v>
      </c>
      <c r="E47" s="31">
        <v>55.951219512195124</v>
      </c>
      <c r="F47" s="31">
        <f t="shared" si="0"/>
        <v>68.820000000000007</v>
      </c>
    </row>
    <row r="48" spans="1:6" ht="18.75" customHeight="1" x14ac:dyDescent="0.25">
      <c r="A48" s="2" t="str">
        <f ca="1">IFERROR(__xludf.DUMMYFUNCTION("""COMPUTED_VALUE"""),"REA-B4702")</f>
        <v>REA-B4702</v>
      </c>
      <c r="B48" s="3">
        <f ca="1">IFERROR(__xludf.DUMMYFUNCTION("""COMPUTED_VALUE"""),51085)</f>
        <v>51085</v>
      </c>
      <c r="C48" s="3">
        <f ca="1">IFERROR(__xludf.DUMMYFUNCTION("""COMPUTED_VALUE"""),5902557391837)</f>
        <v>5902557391837</v>
      </c>
      <c r="D48" s="4" t="str">
        <f ca="1">IFERROR(__xludf.DUMMYFUNCTION("""COMPUTED_VALUE"""),"BATERIA BIDETOWA LUNGO ZŁOTA SZCZOTKOWANA")</f>
        <v>BATERIA BIDETOWA LUNGO ZŁOTA SZCZOTKOWANA</v>
      </c>
      <c r="E48" s="31">
        <v>55.951219512195124</v>
      </c>
      <c r="F48" s="31">
        <f t="shared" si="0"/>
        <v>68.820000000000007</v>
      </c>
    </row>
    <row r="49" spans="1:6" ht="18.75" customHeight="1" x14ac:dyDescent="0.25">
      <c r="A49" s="2" t="str">
        <f ca="1">IFERROR(__xludf.DUMMYFUNCTION("""COMPUTED_VALUE"""),"REA-B9935")</f>
        <v>REA-B9935</v>
      </c>
      <c r="B49" s="3">
        <f ca="1">IFERROR(__xludf.DUMMYFUNCTION("""COMPUTED_VALUE"""),44598)</f>
        <v>44598</v>
      </c>
      <c r="C49" s="3">
        <f ca="1">IFERROR(__xludf.DUMMYFUNCTION("""COMPUTED_VALUE"""),5902557368907)</f>
        <v>5902557368907</v>
      </c>
      <c r="D49" s="4" t="str">
        <f ca="1">IFERROR(__xludf.DUMMYFUNCTION("""COMPUTED_VALUE"""),"BATERIA BIDETOWA MY1805-9BG BLOOM CZARNA/ZŁOTA")</f>
        <v>BATERIA BIDETOWA MY1805-9BG BLOOM CZARNA/ZŁOTA</v>
      </c>
      <c r="E49" s="31">
        <v>66.780487804878049</v>
      </c>
      <c r="F49" s="31">
        <f t="shared" si="0"/>
        <v>82.14</v>
      </c>
    </row>
    <row r="50" spans="1:6" ht="18.75" customHeight="1" x14ac:dyDescent="0.25">
      <c r="A50" s="2" t="str">
        <f ca="1">IFERROR(__xludf.DUMMYFUNCTION("""COMPUTED_VALUE"""),"REA-B9916")</f>
        <v>REA-B9916</v>
      </c>
      <c r="B50" s="3">
        <f ca="1">IFERROR(__xludf.DUMMYFUNCTION("""COMPUTED_VALUE"""),44602)</f>
        <v>44602</v>
      </c>
      <c r="C50" s="3">
        <f ca="1">IFERROR(__xludf.DUMMYFUNCTION("""COMPUTED_VALUE"""),5902557368822)</f>
        <v>5902557368822</v>
      </c>
      <c r="D50" s="4" t="str">
        <f ca="1">IFERROR(__xludf.DUMMYFUNCTION("""COMPUTED_VALUE"""),"BATERIA BIDETOWA MY1805-9CW BLOOM BIAŁA/CHROM")</f>
        <v>BATERIA BIDETOWA MY1805-9CW BLOOM BIAŁA/CHROM</v>
      </c>
      <c r="E50" s="31">
        <v>54.146341463414643</v>
      </c>
      <c r="F50" s="31">
        <f t="shared" si="0"/>
        <v>66.600000000000009</v>
      </c>
    </row>
    <row r="51" spans="1:6" ht="18.75" customHeight="1" x14ac:dyDescent="0.25">
      <c r="A51" s="2" t="str">
        <f ca="1">IFERROR(__xludf.DUMMYFUNCTION("""COMPUTED_VALUE"""),"REA-B9930")</f>
        <v>REA-B9930</v>
      </c>
      <c r="B51" s="3">
        <f ca="1">IFERROR(__xludf.DUMMYFUNCTION("""COMPUTED_VALUE"""),44601)</f>
        <v>44601</v>
      </c>
      <c r="C51" s="3">
        <f ca="1">IFERROR(__xludf.DUMMYFUNCTION("""COMPUTED_VALUE"""),5902557368860)</f>
        <v>5902557368860</v>
      </c>
      <c r="D51" s="4" t="str">
        <f ca="1">IFERROR(__xludf.DUMMYFUNCTION("""COMPUTED_VALUE"""),"BATERIA BIDETOWA MY1805-9WG BLOOM BIAŁA/ZŁOTA")</f>
        <v>BATERIA BIDETOWA MY1805-9WG BLOOM BIAŁA/ZŁOTA</v>
      </c>
      <c r="E51" s="31">
        <v>67.682926829268297</v>
      </c>
      <c r="F51" s="31">
        <f t="shared" si="0"/>
        <v>83.25</v>
      </c>
    </row>
    <row r="52" spans="1:6" ht="18.75" customHeight="1" x14ac:dyDescent="0.25">
      <c r="A52" s="2" t="str">
        <f ca="1">IFERROR(__xludf.DUMMYFUNCTION("""COMPUTED_VALUE"""),"REA-B4120")</f>
        <v>REA-B4120</v>
      </c>
      <c r="B52" s="3">
        <f ca="1">IFERROR(__xludf.DUMMYFUNCTION("""COMPUTED_VALUE"""),51072)</f>
        <v>51072</v>
      </c>
      <c r="C52" s="3">
        <f ca="1">IFERROR(__xludf.DUMMYFUNCTION("""COMPUTED_VALUE"""),5902557392919)</f>
        <v>5902557392919</v>
      </c>
      <c r="D52" s="4" t="str">
        <f ca="1">IFERROR(__xludf.DUMMYFUNCTION("""COMPUTED_VALUE"""),"BATERIA BIDETOWA MY1902-9B STORM CZARNA")</f>
        <v>BATERIA BIDETOWA MY1902-9B STORM CZARNA</v>
      </c>
      <c r="E52" s="31">
        <v>49.634146341463421</v>
      </c>
      <c r="F52" s="31">
        <f t="shared" si="0"/>
        <v>61.050000000000004</v>
      </c>
    </row>
    <row r="53" spans="1:6" ht="18.75" customHeight="1" x14ac:dyDescent="0.25">
      <c r="A53" s="2" t="str">
        <f ca="1">IFERROR(__xludf.DUMMYFUNCTION("""COMPUTED_VALUE"""),"REA-B8039")</f>
        <v>REA-B8039</v>
      </c>
      <c r="B53" s="3">
        <f ca="1">IFERROR(__xludf.DUMMYFUNCTION("""COMPUTED_VALUE"""),54277)</f>
        <v>54277</v>
      </c>
      <c r="C53" s="3">
        <f ca="1">IFERROR(__xludf.DUMMYFUNCTION("""COMPUTED_VALUE"""),5906366007767)</f>
        <v>5906366007767</v>
      </c>
      <c r="D53" s="4" t="str">
        <f ca="1">IFERROR(__xludf.DUMMYFUNCTION("""COMPUTED_VALUE"""),"BATERIA BIDETOWA MY1902-9C STORM CHROM")</f>
        <v>BATERIA BIDETOWA MY1902-9C STORM CHROM</v>
      </c>
      <c r="E53" s="31">
        <v>50.536585365853668</v>
      </c>
      <c r="F53" s="31">
        <f t="shared" si="0"/>
        <v>62.160000000000011</v>
      </c>
    </row>
    <row r="54" spans="1:6" ht="18.75" customHeight="1" x14ac:dyDescent="0.25">
      <c r="A54" s="2" t="str">
        <f ca="1">IFERROR(__xludf.DUMMYFUNCTION("""COMPUTED_VALUE"""),"REA-B9982")</f>
        <v>REA-B9982</v>
      </c>
      <c r="B54" s="3">
        <f ca="1">IFERROR(__xludf.DUMMYFUNCTION("""COMPUTED_VALUE"""),44663)</f>
        <v>44663</v>
      </c>
      <c r="C54" s="3">
        <f ca="1">IFERROR(__xludf.DUMMYFUNCTION("""COMPUTED_VALUE"""),5902557369034)</f>
        <v>5902557369034</v>
      </c>
      <c r="D54" s="4" t="str">
        <f ca="1">IFERROR(__xludf.DUMMYFUNCTION("""COMPUTED_VALUE"""),"BATERIA BIDETOWA MY1902-9G STORM ZŁOTA")</f>
        <v>BATERIA BIDETOWA MY1902-9G STORM ZŁOTA</v>
      </c>
      <c r="E54" s="31">
        <v>62.268292682926841</v>
      </c>
      <c r="F54" s="31">
        <f t="shared" si="0"/>
        <v>76.590000000000018</v>
      </c>
    </row>
    <row r="55" spans="1:6" ht="18.75" customHeight="1" x14ac:dyDescent="0.25">
      <c r="A55" s="2" t="str">
        <f ca="1">IFERROR(__xludf.DUMMYFUNCTION("""COMPUTED_VALUE"""),"REA-B4583")</f>
        <v>REA-B4583</v>
      </c>
      <c r="B55" s="3">
        <f ca="1">IFERROR(__xludf.DUMMYFUNCTION("""COMPUTED_VALUE"""),51094)</f>
        <v>51094</v>
      </c>
      <c r="C55" s="3">
        <f ca="1">IFERROR(__xludf.DUMMYFUNCTION("""COMPUTED_VALUE"""),5902557392964)</f>
        <v>5902557392964</v>
      </c>
      <c r="D55" s="4" t="str">
        <f ca="1">IFERROR(__xludf.DUMMYFUNCTION("""COMPUTED_VALUE"""),"BATERIA BIDETOWA MY1902-9H STORM GUN SZARY")</f>
        <v>BATERIA BIDETOWA MY1902-9H STORM GUN SZARY</v>
      </c>
      <c r="E55" s="31">
        <v>63.170731707317081</v>
      </c>
      <c r="F55" s="31">
        <f t="shared" si="0"/>
        <v>77.7</v>
      </c>
    </row>
    <row r="56" spans="1:6" ht="18.75" customHeight="1" x14ac:dyDescent="0.25">
      <c r="A56" s="2" t="str">
        <f ca="1">IFERROR(__xludf.DUMMYFUNCTION("""COMPUTED_VALUE"""),"REA-B9995")</f>
        <v>REA-B9995</v>
      </c>
      <c r="B56" s="3">
        <f ca="1">IFERROR(__xludf.DUMMYFUNCTION("""COMPUTED_VALUE"""),44647)</f>
        <v>44647</v>
      </c>
      <c r="C56" s="3">
        <f ca="1">IFERROR(__xludf.DUMMYFUNCTION("""COMPUTED_VALUE"""),5902557369157)</f>
        <v>5902557369157</v>
      </c>
      <c r="D56" s="4" t="str">
        <f ca="1">IFERROR(__xludf.DUMMYFUNCTION("""COMPUTED_VALUE"""),"BATERIA BIDETOWA MY1906-9B SOUL CZARNA")</f>
        <v>BATERIA BIDETOWA MY1906-9B SOUL CZARNA</v>
      </c>
      <c r="E56" s="31">
        <v>58.658536585365859</v>
      </c>
      <c r="F56" s="31">
        <f t="shared" si="0"/>
        <v>72.150000000000006</v>
      </c>
    </row>
    <row r="57" spans="1:6" ht="18.75" customHeight="1" x14ac:dyDescent="0.25">
      <c r="A57" s="2" t="str">
        <f ca="1">IFERROR(__xludf.DUMMYFUNCTION("""COMPUTED_VALUE"""),"REA-B9991")</f>
        <v>REA-B9991</v>
      </c>
      <c r="B57" s="3">
        <f ca="1">IFERROR(__xludf.DUMMYFUNCTION("""COMPUTED_VALUE"""),44646)</f>
        <v>44646</v>
      </c>
      <c r="C57" s="3">
        <f ca="1">IFERROR(__xludf.DUMMYFUNCTION("""COMPUTED_VALUE"""),5902557369126)</f>
        <v>5902557369126</v>
      </c>
      <c r="D57" s="4" t="str">
        <f ca="1">IFERROR(__xludf.DUMMYFUNCTION("""COMPUTED_VALUE"""),"BATERIA BIDETOWA MY1906-9C SOUL CHROM")</f>
        <v>BATERIA BIDETOWA MY1906-9C SOUL CHROM</v>
      </c>
      <c r="E57" s="31">
        <v>54.146341463414643</v>
      </c>
      <c r="F57" s="31">
        <f t="shared" si="0"/>
        <v>66.600000000000009</v>
      </c>
    </row>
    <row r="58" spans="1:6" ht="18.75" customHeight="1" x14ac:dyDescent="0.25">
      <c r="A58" s="2" t="str">
        <f ca="1">IFERROR(__xludf.DUMMYFUNCTION("""COMPUTED_VALUE"""),"REA-B9958")</f>
        <v>REA-B9958</v>
      </c>
      <c r="B58" s="3">
        <f ca="1">IFERROR(__xludf.DUMMYFUNCTION("""COMPUTED_VALUE"""),44651)</f>
        <v>44651</v>
      </c>
      <c r="C58" s="3">
        <f ca="1">IFERROR(__xludf.DUMMYFUNCTION("""COMPUTED_VALUE"""),5902557369201)</f>
        <v>5902557369201</v>
      </c>
      <c r="D58" s="4" t="str">
        <f ca="1">IFERROR(__xludf.DUMMYFUNCTION("""COMPUTED_VALUE"""),"BATERIA BIDETOWA MY1906-9G SOUL ZŁOTA")</f>
        <v>BATERIA BIDETOWA MY1906-9G SOUL ZŁOTA</v>
      </c>
      <c r="E58" s="31">
        <v>70.390243902439025</v>
      </c>
      <c r="F58" s="31">
        <f t="shared" si="0"/>
        <v>86.58</v>
      </c>
    </row>
    <row r="59" spans="1:6" ht="18.75" customHeight="1" x14ac:dyDescent="0.25">
      <c r="A59" s="2" t="str">
        <f ca="1">IFERROR(__xludf.DUMMYFUNCTION("""COMPUTED_VALUE"""),"REA-B6405")</f>
        <v>REA-B6405</v>
      </c>
      <c r="B59" s="3">
        <f ca="1">IFERROR(__xludf.DUMMYFUNCTION("""COMPUTED_VALUE"""),51088)</f>
        <v>51088</v>
      </c>
      <c r="C59" s="3">
        <f ca="1">IFERROR(__xludf.DUMMYFUNCTION("""COMPUTED_VALUE"""),5902557393015)</f>
        <v>5902557393015</v>
      </c>
      <c r="D59" s="4" t="str">
        <f ca="1">IFERROR(__xludf.DUMMYFUNCTION("""COMPUTED_VALUE"""),"BATERIA BIDETOWA MY2021-9B ARGUS CZARNA")</f>
        <v>BATERIA BIDETOWA MY2021-9B ARGUS CZARNA</v>
      </c>
      <c r="E59" s="31">
        <v>46.024390243902438</v>
      </c>
      <c r="F59" s="31">
        <f t="shared" si="0"/>
        <v>56.61</v>
      </c>
    </row>
    <row r="60" spans="1:6" ht="18.75" customHeight="1" x14ac:dyDescent="0.25">
      <c r="A60" s="2" t="str">
        <f ca="1">IFERROR(__xludf.DUMMYFUNCTION("""COMPUTED_VALUE"""),"REA-B9660")</f>
        <v>REA-B9660</v>
      </c>
      <c r="B60" s="3">
        <f ca="1">IFERROR(__xludf.DUMMYFUNCTION("""COMPUTED_VALUE"""),51318)</f>
        <v>51318</v>
      </c>
      <c r="C60" s="3">
        <f ca="1">IFERROR(__xludf.DUMMYFUNCTION("""COMPUTED_VALUE"""),5902557393053)</f>
        <v>5902557393053</v>
      </c>
      <c r="D60" s="4" t="str">
        <f ca="1">IFERROR(__xludf.DUMMYFUNCTION("""COMPUTED_VALUE"""),"BATERIA BIDETOWA MY2021-9G ARGUS ZŁOTA")</f>
        <v>BATERIA BIDETOWA MY2021-9G ARGUS ZŁOTA</v>
      </c>
      <c r="E60" s="31">
        <v>55.951219512195124</v>
      </c>
      <c r="F60" s="31">
        <f t="shared" si="0"/>
        <v>68.820000000000007</v>
      </c>
    </row>
    <row r="61" spans="1:6" ht="18.75" customHeight="1" x14ac:dyDescent="0.25">
      <c r="A61" s="2" t="str">
        <f ca="1">IFERROR(__xludf.DUMMYFUNCTION("""COMPUTED_VALUE"""),"REA-B6411")</f>
        <v>REA-B6411</v>
      </c>
      <c r="B61" s="3">
        <f ca="1">IFERROR(__xludf.DUMMYFUNCTION("""COMPUTED_VALUE"""),51090)</f>
        <v>51090</v>
      </c>
      <c r="C61" s="3">
        <f ca="1">IFERROR(__xludf.DUMMYFUNCTION("""COMPUTED_VALUE"""),5902557393091)</f>
        <v>5902557393091</v>
      </c>
      <c r="D61" s="4" t="str">
        <f ca="1">IFERROR(__xludf.DUMMYFUNCTION("""COMPUTED_VALUE"""),"BATERIA BIDETOWA MY2021-9GG ARGUS ZŁOTA SZCZOTK")</f>
        <v>BATERIA BIDETOWA MY2021-9GG ARGUS ZŁOTA SZCZOTK</v>
      </c>
      <c r="E61" s="31">
        <v>62.268292682926841</v>
      </c>
      <c r="F61" s="31">
        <f t="shared" si="0"/>
        <v>76.590000000000018</v>
      </c>
    </row>
    <row r="62" spans="1:6" ht="18.75" customHeight="1" x14ac:dyDescent="0.25">
      <c r="A62" s="2" t="str">
        <f ca="1">IFERROR(__xludf.DUMMYFUNCTION("""COMPUTED_VALUE"""),"REA-B9965")</f>
        <v>REA-B9965</v>
      </c>
      <c r="B62" s="3">
        <f ca="1">IFERROR(__xludf.DUMMYFUNCTION("""COMPUTED_VALUE"""),44626)</f>
        <v>44626</v>
      </c>
      <c r="C62" s="3">
        <f ca="1">IFERROR(__xludf.DUMMYFUNCTION("""COMPUTED_VALUE"""),5902557369270)</f>
        <v>5902557369270</v>
      </c>
      <c r="D62" s="4" t="str">
        <f ca="1">IFERROR(__xludf.DUMMYFUNCTION("""COMPUTED_VALUE"""),"BATERIA BIDETOWA MY2061-9B HASS CZARNA")</f>
        <v>BATERIA BIDETOWA MY2061-9B HASS CZARNA</v>
      </c>
      <c r="E62" s="31">
        <v>62.268292682926841</v>
      </c>
      <c r="F62" s="31">
        <f t="shared" si="0"/>
        <v>76.590000000000018</v>
      </c>
    </row>
    <row r="63" spans="1:6" ht="18.75" customHeight="1" x14ac:dyDescent="0.25">
      <c r="A63" s="2" t="str">
        <f ca="1">IFERROR(__xludf.DUMMYFUNCTION("""COMPUTED_VALUE"""),"REA-B8805")</f>
        <v>REA-B8805</v>
      </c>
      <c r="B63" s="3">
        <f ca="1">IFERROR(__xludf.DUMMYFUNCTION("""COMPUTED_VALUE"""),14102)</f>
        <v>14102</v>
      </c>
      <c r="C63" s="3">
        <f ca="1">IFERROR(__xludf.DUMMYFUNCTION("""COMPUTED_VALUE"""),5902557330232)</f>
        <v>5902557330232</v>
      </c>
      <c r="D63" s="4" t="str">
        <f ca="1">IFERROR(__xludf.DUMMYFUNCTION("""COMPUTED_VALUE"""),"BATERIA BIDETOWA TESS CHROM")</f>
        <v>BATERIA BIDETOWA TESS CHROM</v>
      </c>
      <c r="E63" s="31">
        <v>49.634146341463421</v>
      </c>
      <c r="F63" s="31">
        <f t="shared" si="0"/>
        <v>61.050000000000004</v>
      </c>
    </row>
    <row r="64" spans="1:6" ht="18.75" customHeight="1" x14ac:dyDescent="0.25">
      <c r="A64" s="2" t="str">
        <f ca="1">IFERROR(__xludf.DUMMYFUNCTION("""COMPUTED_VALUE"""),"REA-B5006")</f>
        <v>REA-B5006</v>
      </c>
      <c r="B64" s="3">
        <f ca="1">IFERROR(__xludf.DUMMYFUNCTION("""COMPUTED_VALUE"""),32609)</f>
        <v>32609</v>
      </c>
      <c r="C64" s="3">
        <f ca="1">IFERROR(__xludf.DUMMYFUNCTION("""COMPUTED_VALUE"""),5902557345113)</f>
        <v>5902557345113</v>
      </c>
      <c r="D64" s="4" t="str">
        <f ca="1">IFERROR(__xludf.DUMMYFUNCTION("""COMPUTED_VALUE"""),"BATERIA BIDETOWA TESS CZARNA")</f>
        <v>BATERIA BIDETOWA TESS CZARNA</v>
      </c>
      <c r="E64" s="31">
        <v>47.829268292682933</v>
      </c>
      <c r="F64" s="31">
        <f t="shared" si="0"/>
        <v>58.830000000000005</v>
      </c>
    </row>
    <row r="65" spans="1:6" ht="18.75" customHeight="1" x14ac:dyDescent="0.25">
      <c r="A65" s="2" t="str">
        <f ca="1">IFERROR(__xludf.DUMMYFUNCTION("""COMPUTED_VALUE"""),"REA-B8807")</f>
        <v>REA-B8807</v>
      </c>
      <c r="B65" s="3">
        <f ca="1">IFERROR(__xludf.DUMMYFUNCTION("""COMPUTED_VALUE"""),37963)</f>
        <v>37963</v>
      </c>
      <c r="C65" s="3">
        <f ca="1">IFERROR(__xludf.DUMMYFUNCTION("""COMPUTED_VALUE"""),5902557349500)</f>
        <v>5902557349500</v>
      </c>
      <c r="D65" s="4" t="str">
        <f ca="1">IFERROR(__xludf.DUMMYFUNCTION("""COMPUTED_VALUE"""),"BATERIA BIDETOWA TESS ZŁOTA")</f>
        <v>BATERIA BIDETOWA TESS ZŁOTA</v>
      </c>
      <c r="E65" s="31">
        <v>55.951219512195124</v>
      </c>
      <c r="F65" s="31">
        <f t="shared" si="0"/>
        <v>68.820000000000007</v>
      </c>
    </row>
    <row r="66" spans="1:6" ht="18.75" customHeight="1" x14ac:dyDescent="0.25">
      <c r="A66" s="2" t="str">
        <f ca="1">IFERROR(__xludf.DUMMYFUNCTION("""COMPUTED_VALUE"""),"REA-B7010")</f>
        <v>REA-B7010</v>
      </c>
      <c r="B66" s="3">
        <f ca="1">IFERROR(__xludf.DUMMYFUNCTION("""COMPUTED_VALUE"""),51030)</f>
        <v>51030</v>
      </c>
      <c r="C66" s="3">
        <f ca="1">IFERROR(__xludf.DUMMYFUNCTION("""COMPUTED_VALUE"""),5902557391752)</f>
        <v>5902557391752</v>
      </c>
      <c r="D66" s="4" t="str">
        <f ca="1">IFERROR(__xludf.DUMMYFUNCTION("""COMPUTED_VALUE"""),"BATERIA BIDETOWA TESS ZŁOTA SZCZOTKOWANA")</f>
        <v>BATERIA BIDETOWA TESS ZŁOTA SZCZOTKOWANA</v>
      </c>
      <c r="E66" s="31">
        <v>62.268292682926841</v>
      </c>
      <c r="F66" s="31">
        <f t="shared" si="0"/>
        <v>76.590000000000018</v>
      </c>
    </row>
    <row r="67" spans="1:6" ht="18.75" customHeight="1" x14ac:dyDescent="0.25">
      <c r="A67" s="2" t="str">
        <f ca="1">IFERROR(__xludf.DUMMYFUNCTION("""COMPUTED_VALUE"""),"REA-B0859")</f>
        <v>REA-B0859</v>
      </c>
      <c r="B67" s="3">
        <f ca="1">IFERROR(__xludf.DUMMYFUNCTION("""COMPUTED_VALUE"""),51432)</f>
        <v>51432</v>
      </c>
      <c r="C67" s="3">
        <f ca="1">IFERROR(__xludf.DUMMYFUNCTION("""COMPUTED_VALUE"""),5902557391868)</f>
        <v>5902557391868</v>
      </c>
      <c r="D67" s="4" t="str">
        <f ca="1">IFERROR(__xludf.DUMMYFUNCTION("""COMPUTED_VALUE"""),"BATERIA COLE BRUSH SS")</f>
        <v>BATERIA COLE BRUSH SS</v>
      </c>
      <c r="E67" s="31">
        <v>55.951219512195124</v>
      </c>
      <c r="F67" s="31">
        <f t="shared" ref="F67:F130" si="1">E67*1.23</f>
        <v>68.820000000000007</v>
      </c>
    </row>
    <row r="68" spans="1:6" ht="18.75" customHeight="1" x14ac:dyDescent="0.25">
      <c r="A68" s="2" t="str">
        <f ca="1">IFERROR(__xludf.DUMMYFUNCTION("""COMPUTED_VALUE"""),"REA-B8503")</f>
        <v>REA-B8503</v>
      </c>
      <c r="B68" s="3"/>
      <c r="C68" s="3">
        <f ca="1">IFERROR(__xludf.DUMMYFUNCTION("""COMPUTED_VALUE"""),5902557349562)</f>
        <v>5902557349562</v>
      </c>
      <c r="D68" s="4" t="str">
        <f ca="1">IFERROR(__xludf.DUMMYFUNCTION("""COMPUTED_VALUE"""),"BATERIA CREEK NISKA BLACK/L.GOLD")</f>
        <v>BATERIA CREEK NISKA BLACK/L.GOLD</v>
      </c>
      <c r="E68" s="31">
        <v>54.146341463414643</v>
      </c>
      <c r="F68" s="31">
        <f t="shared" si="1"/>
        <v>66.600000000000009</v>
      </c>
    </row>
    <row r="69" spans="1:6" ht="18.75" customHeight="1" x14ac:dyDescent="0.25">
      <c r="A69" s="2" t="str">
        <f ca="1">IFERROR(__xludf.DUMMYFUNCTION("""COMPUTED_VALUE"""),"BAT-00035")</f>
        <v>BAT-00035</v>
      </c>
      <c r="B69" s="3">
        <f ca="1">IFERROR(__xludf.DUMMYFUNCTION("""COMPUTED_VALUE"""),1845)</f>
        <v>1845</v>
      </c>
      <c r="C69" s="3">
        <f ca="1">IFERROR(__xludf.DUMMYFUNCTION("""COMPUTED_VALUE"""),5902557301768)</f>
        <v>5902557301768</v>
      </c>
      <c r="D69" s="4" t="str">
        <f ca="1">IFERROR(__xludf.DUMMYFUNCTION("""COMPUTED_VALUE"""),"BATERIA EGGO 2381")</f>
        <v>BATERIA EGGO 2381</v>
      </c>
      <c r="E69" s="31">
        <v>35.195121951219512</v>
      </c>
      <c r="F69" s="31">
        <f t="shared" si="1"/>
        <v>43.29</v>
      </c>
    </row>
    <row r="70" spans="1:6" ht="18.75" customHeight="1" x14ac:dyDescent="0.25">
      <c r="A70" s="2" t="str">
        <f ca="1">IFERROR(__xludf.DUMMYFUNCTION("""COMPUTED_VALUE"""),"REA-B1654")</f>
        <v>REA-B1654</v>
      </c>
      <c r="B70" s="3"/>
      <c r="C70" s="3">
        <f ca="1">IFERROR(__xludf.DUMMYFUNCTION("""COMPUTED_VALUE"""),5902557342686)</f>
        <v>5902557342686</v>
      </c>
      <c r="D70" s="4" t="str">
        <f ca="1">IFERROR(__xludf.DUMMYFUNCTION("""COMPUTED_VALUE"""),"BATERIA GUSTO ONE NISKA BLACK")</f>
        <v>BATERIA GUSTO ONE NISKA BLACK</v>
      </c>
      <c r="E70" s="31">
        <v>64.975609756097569</v>
      </c>
      <c r="F70" s="31">
        <f t="shared" si="1"/>
        <v>79.92</v>
      </c>
    </row>
    <row r="71" spans="1:6" ht="18.75" customHeight="1" x14ac:dyDescent="0.25">
      <c r="A71" s="2" t="str">
        <f ca="1">IFERROR(__xludf.DUMMYFUNCTION("""COMPUTED_VALUE"""),"REA-B8406")</f>
        <v>REA-B8406</v>
      </c>
      <c r="B71" s="3"/>
      <c r="C71" s="3">
        <f ca="1">IFERROR(__xludf.DUMMYFUNCTION("""COMPUTED_VALUE"""),5902557342747)</f>
        <v>5902557342747</v>
      </c>
      <c r="D71" s="4" t="str">
        <f ca="1">IFERROR(__xludf.DUMMYFUNCTION("""COMPUTED_VALUE"""),"BATERIA GUSTO ONE WYSOKA CZARNA")</f>
        <v>BATERIA GUSTO ONE WYSOKA CZARNA</v>
      </c>
      <c r="E71" s="31">
        <v>90.243902439024396</v>
      </c>
      <c r="F71" s="31">
        <f t="shared" si="1"/>
        <v>111</v>
      </c>
    </row>
    <row r="72" spans="1:6" ht="18.75" customHeight="1" x14ac:dyDescent="0.25">
      <c r="A72" s="2" t="str">
        <f ca="1">IFERROR(__xludf.DUMMYFUNCTION("""COMPUTED_VALUE"""),"REA-B8405")</f>
        <v>REA-B8405</v>
      </c>
      <c r="B72" s="3"/>
      <c r="C72" s="3">
        <f ca="1">IFERROR(__xludf.DUMMYFUNCTION("""COMPUTED_VALUE"""),5902557342723)</f>
        <v>5902557342723</v>
      </c>
      <c r="D72" s="4" t="str">
        <f ca="1">IFERROR(__xludf.DUMMYFUNCTION("""COMPUTED_VALUE"""),"BATERIA GUSTO ONE WYSOKA GOLD")</f>
        <v>BATERIA GUSTO ONE WYSOKA GOLD</v>
      </c>
      <c r="E72" s="31">
        <v>86.634146341463421</v>
      </c>
      <c r="F72" s="31">
        <f t="shared" si="1"/>
        <v>106.56</v>
      </c>
    </row>
    <row r="73" spans="1:6" ht="18.75" customHeight="1" x14ac:dyDescent="0.25">
      <c r="A73" s="2" t="str">
        <f ca="1">IFERROR(__xludf.DUMMYFUNCTION("""COMPUTED_VALUE"""),"REA-B2001")</f>
        <v>REA-B2001</v>
      </c>
      <c r="B73" s="3"/>
      <c r="C73" s="3"/>
      <c r="D73" s="4" t="str">
        <f ca="1">IFERROR(__xludf.DUMMYFUNCTION("""COMPUTED_VALUE"""),"BATERIA JS-D001B  AMAR BLACK")</f>
        <v>BATERIA JS-D001B  AMAR BLACK</v>
      </c>
      <c r="E73" s="31">
        <v>102.87804878048782</v>
      </c>
      <c r="F73" s="31">
        <f t="shared" si="1"/>
        <v>126.54</v>
      </c>
    </row>
    <row r="74" spans="1:6" ht="18.75" customHeight="1" x14ac:dyDescent="0.25">
      <c r="A74" s="2" t="str">
        <f ca="1">IFERROR(__xludf.DUMMYFUNCTION("""COMPUTED_VALUE"""),"REA-B9608")</f>
        <v>REA-B9608</v>
      </c>
      <c r="B74" s="3">
        <f ca="1">IFERROR(__xludf.DUMMYFUNCTION("""COMPUTED_VALUE"""),53217)</f>
        <v>53217</v>
      </c>
      <c r="C74" s="3">
        <f ca="1">IFERROR(__xludf.DUMMYFUNCTION("""COMPUTED_VALUE"""),5904310999953)</f>
        <v>5904310999953</v>
      </c>
      <c r="D74" s="4" t="str">
        <f ca="1">IFERROR(__xludf.DUMMYFUNCTION("""COMPUTED_VALUE"""),"BATERIA KUCHENNA 3623512_BLM - CAREN CARBON")</f>
        <v>BATERIA KUCHENNA 3623512_BLM - CAREN CARBON</v>
      </c>
      <c r="E74" s="31">
        <v>174.17073170731709</v>
      </c>
      <c r="F74" s="31">
        <f t="shared" si="1"/>
        <v>214.23000000000002</v>
      </c>
    </row>
    <row r="75" spans="1:6" ht="18.75" customHeight="1" x14ac:dyDescent="0.25">
      <c r="A75" s="2" t="str">
        <f ca="1">IFERROR(__xludf.DUMMYFUNCTION("""COMPUTED_VALUE"""),"REA-B9607")</f>
        <v>REA-B9607</v>
      </c>
      <c r="B75" s="3">
        <f ca="1">IFERROR(__xludf.DUMMYFUNCTION("""COMPUTED_VALUE"""),53219)</f>
        <v>53219</v>
      </c>
      <c r="C75" s="3">
        <f ca="1">IFERROR(__xludf.DUMMYFUNCTION("""COMPUTED_VALUE"""),5904310999939)</f>
        <v>5904310999939</v>
      </c>
      <c r="D75" s="4" t="str">
        <f ca="1">IFERROR(__xludf.DUMMYFUNCTION("""COMPUTED_VALUE"""),"BATERIA KUCHENNA 3623512_PVDG1 - CAREN ZŁOTA")</f>
        <v>BATERIA KUCHENNA 3623512_PVDG1 - CAREN ZŁOTA</v>
      </c>
      <c r="E75" s="31">
        <v>200.34146341463418</v>
      </c>
      <c r="F75" s="31">
        <f t="shared" si="1"/>
        <v>246.42000000000004</v>
      </c>
    </row>
    <row r="76" spans="1:6" ht="18.75" customHeight="1" x14ac:dyDescent="0.25">
      <c r="A76" s="2" t="str">
        <f ca="1">IFERROR(__xludf.DUMMYFUNCTION("""COMPUTED_VALUE"""),"REA-B9600")</f>
        <v>REA-B9600</v>
      </c>
      <c r="B76" s="3">
        <f ca="1">IFERROR(__xludf.DUMMYFUNCTION("""COMPUTED_VALUE"""),27355)</f>
        <v>27355</v>
      </c>
      <c r="C76" s="3">
        <f ca="1">IFERROR(__xludf.DUMMYFUNCTION("""COMPUTED_VALUE"""),5902557335015)</f>
        <v>5902557335015</v>
      </c>
      <c r="D76" s="4" t="str">
        <f ca="1">IFERROR(__xludf.DUMMYFUNCTION("""COMPUTED_VALUE"""),"BATERIA KUCHENNA APOLLO CZARNA/RÓŻOWE ZŁOTO")</f>
        <v>BATERIA KUCHENNA APOLLO CZARNA/RÓŻOWE ZŁOTO</v>
      </c>
      <c r="E76" s="31">
        <v>96.560975609756113</v>
      </c>
      <c r="F76" s="31">
        <f t="shared" si="1"/>
        <v>118.77000000000002</v>
      </c>
    </row>
    <row r="77" spans="1:6" ht="18.75" customHeight="1" x14ac:dyDescent="0.25">
      <c r="A77" s="2" t="str">
        <f ca="1">IFERROR(__xludf.DUMMYFUNCTION("""COMPUTED_VALUE"""),"REA-B6935")</f>
        <v>REA-B6935</v>
      </c>
      <c r="B77" s="3">
        <f ca="1">IFERROR(__xludf.DUMMYFUNCTION("""COMPUTED_VALUE"""),41717)</f>
        <v>41717</v>
      </c>
      <c r="C77" s="3">
        <f ca="1">IFERROR(__xludf.DUMMYFUNCTION("""COMPUTED_VALUE"""),5902557357543)</f>
        <v>5902557357543</v>
      </c>
      <c r="D77" s="4" t="str">
        <f ca="1">IFERROR(__xludf.DUMMYFUNCTION("""COMPUTED_VALUE"""),"BATERIA KUCHENNA CASTOR CZARNA")</f>
        <v>BATERIA KUCHENNA CASTOR CZARNA</v>
      </c>
      <c r="E77" s="31">
        <v>109.19512195121952</v>
      </c>
      <c r="F77" s="31">
        <f t="shared" si="1"/>
        <v>134.31</v>
      </c>
    </row>
    <row r="78" spans="1:6" ht="18.75" customHeight="1" x14ac:dyDescent="0.25">
      <c r="A78" s="2" t="str">
        <f ca="1">IFERROR(__xludf.DUMMYFUNCTION("""COMPUTED_VALUE"""),"REA-B6936")</f>
        <v>REA-B6936</v>
      </c>
      <c r="B78" s="3">
        <f ca="1">IFERROR(__xludf.DUMMYFUNCTION("""COMPUTED_VALUE"""),44823)</f>
        <v>44823</v>
      </c>
      <c r="C78" s="3">
        <f ca="1">IFERROR(__xludf.DUMMYFUNCTION("""COMPUTED_VALUE"""),5902557369997)</f>
        <v>5902557369997</v>
      </c>
      <c r="D78" s="4" t="str">
        <f ca="1">IFERROR(__xludf.DUMMYFUNCTION("""COMPUTED_VALUE"""),"BATERIA KUCHENNA CASTOR CZARNA/ZŁOTA")</f>
        <v>BATERIA KUCHENNA CASTOR CZARNA/ZŁOTA</v>
      </c>
      <c r="E78" s="31">
        <v>127.24390243902441</v>
      </c>
      <c r="F78" s="31">
        <f t="shared" si="1"/>
        <v>156.51000000000002</v>
      </c>
    </row>
    <row r="79" spans="1:6" ht="18.75" customHeight="1" x14ac:dyDescent="0.25">
      <c r="A79" s="2" t="str">
        <f ca="1">IFERROR(__xludf.DUMMYFUNCTION("""COMPUTED_VALUE"""),"REA-B5698")</f>
        <v>REA-B5698</v>
      </c>
      <c r="B79" s="3">
        <f ca="1">IFERROR(__xludf.DUMMYFUNCTION("""COMPUTED_VALUE"""),1769)</f>
        <v>1769</v>
      </c>
      <c r="C79" s="3">
        <f ca="1">IFERROR(__xludf.DUMMYFUNCTION("""COMPUTED_VALUE"""),5902557323838)</f>
        <v>5902557323838</v>
      </c>
      <c r="D79" s="4" t="str">
        <f ca="1">IFERROR(__xludf.DUMMYFUNCTION("""COMPUTED_VALUE"""),"BATERIA KUCHENNA CLEVER CZARNA/CHROM")</f>
        <v>BATERIA KUCHENNA CLEVER CZARNA/CHROM</v>
      </c>
      <c r="E79" s="31">
        <v>31.585365853658541</v>
      </c>
      <c r="F79" s="31">
        <f t="shared" si="1"/>
        <v>38.85</v>
      </c>
    </row>
    <row r="80" spans="1:6" ht="18.75" customHeight="1" x14ac:dyDescent="0.25">
      <c r="A80" s="2" t="str">
        <f ca="1">IFERROR(__xludf.DUMMYFUNCTION("""COMPUTED_VALUE"""),"REA-B5219")</f>
        <v>REA-B5219</v>
      </c>
      <c r="B80" s="3">
        <f ca="1">IFERROR(__xludf.DUMMYFUNCTION("""COMPUTED_VALUE"""),39795)</f>
        <v>39795</v>
      </c>
      <c r="C80" s="3">
        <f ca="1">IFERROR(__xludf.DUMMYFUNCTION("""COMPUTED_VALUE"""),5902557354702)</f>
        <v>5902557354702</v>
      </c>
      <c r="D80" s="4" t="str">
        <f ca="1">IFERROR(__xludf.DUMMYFUNCTION("""COMPUTED_VALUE"""),"BATERIA KUCHENNA CLEVER CZARNA/ZŁOTA")</f>
        <v>BATERIA KUCHENNA CLEVER CZARNA/ZŁOTA</v>
      </c>
      <c r="E80" s="31">
        <v>41.512195121951223</v>
      </c>
      <c r="F80" s="31">
        <f t="shared" si="1"/>
        <v>51.06</v>
      </c>
    </row>
    <row r="81" spans="1:6" ht="18.75" customHeight="1" x14ac:dyDescent="0.25">
      <c r="A81" s="2" t="str">
        <f ca="1">IFERROR(__xludf.DUMMYFUNCTION("""COMPUTED_VALUE"""),"REA-B2720")</f>
        <v>REA-B2720</v>
      </c>
      <c r="B81" s="3">
        <f ca="1">IFERROR(__xludf.DUMMYFUNCTION("""COMPUTED_VALUE"""),51660)</f>
        <v>51660</v>
      </c>
      <c r="C81" s="3">
        <f ca="1">IFERROR(__xludf.DUMMYFUNCTION("""COMPUTED_VALUE"""),5902557391851)</f>
        <v>5902557391851</v>
      </c>
      <c r="D81" s="4" t="str">
        <f ca="1">IFERROR(__xludf.DUMMYFUNCTION("""COMPUTED_VALUE"""),"BATERIA KUCHENNA COLE ZŁOTY SZCZOTKOWANY")</f>
        <v>BATERIA KUCHENNA COLE ZŁOTY SZCZOTKOWANY</v>
      </c>
      <c r="E81" s="31">
        <v>63.170731707317081</v>
      </c>
      <c r="F81" s="31">
        <f t="shared" si="1"/>
        <v>77.7</v>
      </c>
    </row>
    <row r="82" spans="1:6" ht="18.75" customHeight="1" x14ac:dyDescent="0.25">
      <c r="A82" s="2" t="str">
        <f ca="1">IFERROR(__xludf.DUMMYFUNCTION("""COMPUTED_VALUE"""),"REA-B4820")</f>
        <v>REA-B4820</v>
      </c>
      <c r="B82" s="3">
        <f ca="1">IFERROR(__xludf.DUMMYFUNCTION("""COMPUTED_VALUE"""),50296)</f>
        <v>50296</v>
      </c>
      <c r="C82" s="3">
        <f ca="1">IFERROR(__xludf.DUMMYFUNCTION("""COMPUTED_VALUE"""),5902557385775)</f>
        <v>5902557385775</v>
      </c>
      <c r="D82" s="4" t="str">
        <f ca="1">IFERROR(__xludf.DUMMYFUNCTION("""COMPUTED_VALUE"""),"BATERIA KUCHENNA COLIN CZARNA")</f>
        <v>BATERIA KUCHENNA COLIN CZARNA</v>
      </c>
      <c r="E82" s="31">
        <v>62.268292682926841</v>
      </c>
      <c r="F82" s="31">
        <f t="shared" si="1"/>
        <v>76.590000000000018</v>
      </c>
    </row>
    <row r="83" spans="1:6" ht="18.75" customHeight="1" x14ac:dyDescent="0.25">
      <c r="A83" s="2" t="str">
        <f ca="1">IFERROR(__xludf.DUMMYFUNCTION("""COMPUTED_VALUE"""),"REA-B0417")</f>
        <v>REA-B0417</v>
      </c>
      <c r="B83" s="3">
        <f ca="1">IFERROR(__xludf.DUMMYFUNCTION("""COMPUTED_VALUE"""),50451)</f>
        <v>50451</v>
      </c>
      <c r="C83" s="3">
        <f ca="1">IFERROR(__xludf.DUMMYFUNCTION("""COMPUTED_VALUE"""),5902557385782)</f>
        <v>5902557385782</v>
      </c>
      <c r="D83" s="4" t="str">
        <f ca="1">IFERROR(__xludf.DUMMYFUNCTION("""COMPUTED_VALUE"""),"BATERIA KUCHENNA COLIN NIKIEL SZCZOTKOWANY")</f>
        <v>BATERIA KUCHENNA COLIN NIKIEL SZCZOTKOWANY</v>
      </c>
      <c r="E83" s="31">
        <v>60.463414634146346</v>
      </c>
      <c r="F83" s="31">
        <f t="shared" si="1"/>
        <v>74.37</v>
      </c>
    </row>
    <row r="84" spans="1:6" ht="18.75" customHeight="1" x14ac:dyDescent="0.25">
      <c r="A84" s="2" t="str">
        <f ca="1">IFERROR(__xludf.DUMMYFUNCTION("""COMPUTED_VALUE"""),"REA-B4821")</f>
        <v>REA-B4821</v>
      </c>
      <c r="B84" s="3">
        <f ca="1">IFERROR(__xludf.DUMMYFUNCTION("""COMPUTED_VALUE"""),50295)</f>
        <v>50295</v>
      </c>
      <c r="C84" s="3">
        <f ca="1">IFERROR(__xludf.DUMMYFUNCTION("""COMPUTED_VALUE"""),5902557385768)</f>
        <v>5902557385768</v>
      </c>
      <c r="D84" s="4" t="str">
        <f ca="1">IFERROR(__xludf.DUMMYFUNCTION("""COMPUTED_VALUE"""),"BATERIA KUCHENNA COLIN ZŁOTA SZCZOTKOWANA")</f>
        <v>BATERIA KUCHENNA COLIN ZŁOTA SZCZOTKOWANA</v>
      </c>
      <c r="E84" s="31">
        <v>71.292682926829286</v>
      </c>
      <c r="F84" s="31">
        <f t="shared" si="1"/>
        <v>87.690000000000026</v>
      </c>
    </row>
    <row r="85" spans="1:6" ht="18.75" customHeight="1" x14ac:dyDescent="0.25">
      <c r="A85" s="2" t="str">
        <f ca="1">IFERROR(__xludf.DUMMYFUNCTION("""COMPUTED_VALUE"""),"REA-B0182")</f>
        <v>REA-B0182</v>
      </c>
      <c r="B85" s="3">
        <f ca="1">IFERROR(__xludf.DUMMYFUNCTION("""COMPUTED_VALUE"""),18917)</f>
        <v>18917</v>
      </c>
      <c r="C85" s="3">
        <f ca="1">IFERROR(__xludf.DUMMYFUNCTION("""COMPUTED_VALUE"""),5902557331680)</f>
        <v>5902557331680</v>
      </c>
      <c r="D85" s="4" t="str">
        <f ca="1">IFERROR(__xludf.DUMMYFUNCTION("""COMPUTED_VALUE"""),"BATERIA KUCHENNA DECO CZARNA PRZECIERANA")</f>
        <v>BATERIA KUCHENNA DECO CZARNA PRZECIERANA</v>
      </c>
      <c r="E85" s="31">
        <v>104.68292682926831</v>
      </c>
      <c r="F85" s="31">
        <f t="shared" si="1"/>
        <v>128.76000000000002</v>
      </c>
    </row>
    <row r="86" spans="1:6" ht="18.75" customHeight="1" x14ac:dyDescent="0.25">
      <c r="A86" s="2" t="str">
        <f ca="1">IFERROR(__xludf.DUMMYFUNCTION("""COMPUTED_VALUE"""),"REA-B7564")</f>
        <v>REA-B7564</v>
      </c>
      <c r="B86" s="3">
        <f ca="1">IFERROR(__xludf.DUMMYFUNCTION("""COMPUTED_VALUE"""),54280)</f>
        <v>54280</v>
      </c>
      <c r="C86" s="3">
        <f ca="1">IFERROR(__xludf.DUMMYFUNCTION("""COMPUTED_VALUE"""),5906366008054)</f>
        <v>5906366008054</v>
      </c>
      <c r="D86" s="4" t="str">
        <f ca="1">IFERROR(__xludf.DUMMYFUNCTION("""COMPUTED_VALUE"""),"BATERIA KUCHENNA ECO FRESH CZARNA")</f>
        <v>BATERIA KUCHENNA ECO FRESH CZARNA</v>
      </c>
      <c r="E86" s="31">
        <v>61.365853658536594</v>
      </c>
      <c r="F86" s="31">
        <f t="shared" si="1"/>
        <v>75.48</v>
      </c>
    </row>
    <row r="87" spans="1:6" ht="18.75" customHeight="1" x14ac:dyDescent="0.25">
      <c r="A87" s="2" t="str">
        <f ca="1">IFERROR(__xludf.DUMMYFUNCTION("""COMPUTED_VALUE"""),"REA-B7563")</f>
        <v>REA-B7563</v>
      </c>
      <c r="B87" s="3">
        <f ca="1">IFERROR(__xludf.DUMMYFUNCTION("""COMPUTED_VALUE"""),54281)</f>
        <v>54281</v>
      </c>
      <c r="C87" s="3">
        <f ca="1">IFERROR(__xludf.DUMMYFUNCTION("""COMPUTED_VALUE"""),5906366008047)</f>
        <v>5906366008047</v>
      </c>
      <c r="D87" s="4" t="str">
        <f ca="1">IFERROR(__xludf.DUMMYFUNCTION("""COMPUTED_VALUE"""),"BATERIA KUCHENNA ECO FRESH NIKIEL SZCZOTKOWANY")</f>
        <v>BATERIA KUCHENNA ECO FRESH NIKIEL SZCZOTKOWANY</v>
      </c>
      <c r="E87" s="31">
        <v>55.048780487804883</v>
      </c>
      <c r="F87" s="31">
        <f t="shared" si="1"/>
        <v>67.710000000000008</v>
      </c>
    </row>
    <row r="88" spans="1:6" ht="18.75" customHeight="1" x14ac:dyDescent="0.25">
      <c r="A88" s="2" t="str">
        <f ca="1">IFERROR(__xludf.DUMMYFUNCTION("""COMPUTED_VALUE"""),"REA-B9147")</f>
        <v>REA-B9147</v>
      </c>
      <c r="B88" s="3">
        <f ca="1">IFERROR(__xludf.DUMMYFUNCTION("""COMPUTED_VALUE"""),47476)</f>
        <v>47476</v>
      </c>
      <c r="C88" s="3">
        <f ca="1">IFERROR(__xludf.DUMMYFUNCTION("""COMPUTED_VALUE"""),5902557376377)</f>
        <v>5902557376377</v>
      </c>
      <c r="D88" s="4" t="str">
        <f ca="1">IFERROR(__xludf.DUMMYFUNCTION("""COMPUTED_VALUE"""),"BATERIA KUCHENNA FRESH CZARNA")</f>
        <v>BATERIA KUCHENNA FRESH CZARNA</v>
      </c>
      <c r="E88" s="31">
        <v>48.73170731707318</v>
      </c>
      <c r="F88" s="31">
        <f t="shared" si="1"/>
        <v>59.940000000000012</v>
      </c>
    </row>
    <row r="89" spans="1:6" ht="18.75" customHeight="1" x14ac:dyDescent="0.25">
      <c r="A89" s="2" t="str">
        <f ca="1">IFERROR(__xludf.DUMMYFUNCTION("""COMPUTED_VALUE"""),"REA-B9146")</f>
        <v>REA-B9146</v>
      </c>
      <c r="B89" s="3">
        <f ca="1">IFERROR(__xludf.DUMMYFUNCTION("""COMPUTED_VALUE"""),47477)</f>
        <v>47477</v>
      </c>
      <c r="C89" s="3">
        <f ca="1">IFERROR(__xludf.DUMMYFUNCTION("""COMPUTED_VALUE"""),5902557376360)</f>
        <v>5902557376360</v>
      </c>
      <c r="D89" s="4" t="str">
        <f ca="1">IFERROR(__xludf.DUMMYFUNCTION("""COMPUTED_VALUE"""),"BATERIA KUCHENNA FRESH NIKIEL SZCZOTKOWANY")</f>
        <v>BATERIA KUCHENNA FRESH NIKIEL SZCZOTKOWANY</v>
      </c>
      <c r="E89" s="31">
        <v>43.31707317073171</v>
      </c>
      <c r="F89" s="31">
        <f t="shared" si="1"/>
        <v>53.28</v>
      </c>
    </row>
    <row r="90" spans="1:6" ht="18.75" customHeight="1" x14ac:dyDescent="0.25">
      <c r="A90" s="2" t="str">
        <f ca="1">IFERROR(__xludf.DUMMYFUNCTION("""COMPUTED_VALUE"""),"REA-B0669")</f>
        <v>REA-B0669</v>
      </c>
      <c r="B90" s="3">
        <f ca="1">IFERROR(__xludf.DUMMYFUNCTION("""COMPUTED_VALUE"""),51348)</f>
        <v>51348</v>
      </c>
      <c r="C90" s="3">
        <f ca="1">IFERROR(__xludf.DUMMYFUNCTION("""COMPUTED_VALUE"""),5902557387212)</f>
        <v>5902557387212</v>
      </c>
      <c r="D90" s="4" t="str">
        <f ca="1">IFERROR(__xludf.DUMMYFUNCTION("""COMPUTED_VALUE"""),"BATERIA KUCHENNA FRESH ZŁOTA")</f>
        <v>BATERIA KUCHENNA FRESH ZŁOTA</v>
      </c>
      <c r="E90" s="31">
        <v>63.170731707317081</v>
      </c>
      <c r="F90" s="31">
        <f t="shared" si="1"/>
        <v>77.7</v>
      </c>
    </row>
    <row r="91" spans="1:6" ht="18.75" customHeight="1" x14ac:dyDescent="0.25">
      <c r="A91" s="2" t="str">
        <f ca="1">IFERROR(__xludf.DUMMYFUNCTION("""COMPUTED_VALUE"""),"REA-B9148")</f>
        <v>REA-B9148</v>
      </c>
      <c r="B91" s="3">
        <f ca="1">IFERROR(__xludf.DUMMYFUNCTION("""COMPUTED_VALUE"""),47610)</f>
        <v>47610</v>
      </c>
      <c r="C91" s="3">
        <f ca="1">IFERROR(__xludf.DUMMYFUNCTION("""COMPUTED_VALUE"""),5902557376391)</f>
        <v>5902557376391</v>
      </c>
      <c r="D91" s="4" t="str">
        <f ca="1">IFERROR(__xludf.DUMMYFUNCTION("""COMPUTED_VALUE"""),"BATERIA KUCHENNA FRESH ZŁOTA SZCZOTKOWANA")</f>
        <v>BATERIA KUCHENNA FRESH ZŁOTA SZCZOTKOWANA</v>
      </c>
      <c r="E91" s="31">
        <v>53.243902439024396</v>
      </c>
      <c r="F91" s="31">
        <f t="shared" si="1"/>
        <v>65.490000000000009</v>
      </c>
    </row>
    <row r="92" spans="1:6" ht="18.75" customHeight="1" x14ac:dyDescent="0.25">
      <c r="A92" s="2" t="str">
        <f ca="1">IFERROR(__xludf.DUMMYFUNCTION("""COMPUTED_VALUE"""),"REA-B0233")</f>
        <v>REA-B0233</v>
      </c>
      <c r="B92" s="3">
        <f ca="1">IFERROR(__xludf.DUMMYFUNCTION("""COMPUTED_VALUE"""),17814)</f>
        <v>17814</v>
      </c>
      <c r="C92" s="3">
        <f ca="1">IFERROR(__xludf.DUMMYFUNCTION("""COMPUTED_VALUE"""),5902557331642)</f>
        <v>5902557331642</v>
      </c>
      <c r="D92" s="4" t="str">
        <f ca="1">IFERROR(__xludf.DUMMYFUNCTION("""COMPUTED_VALUE"""),"BATERIA KUCHENNA GASPAR CZARNA")</f>
        <v>BATERIA KUCHENNA GASPAR CZARNA</v>
      </c>
      <c r="E92" s="31">
        <v>100.17073170731709</v>
      </c>
      <c r="F92" s="31">
        <f t="shared" si="1"/>
        <v>123.21000000000002</v>
      </c>
    </row>
    <row r="93" spans="1:6" ht="18.75" customHeight="1" x14ac:dyDescent="0.25">
      <c r="A93" s="2" t="str">
        <f ca="1">IFERROR(__xludf.DUMMYFUNCTION("""COMPUTED_VALUE"""),"REA-B1019")</f>
        <v>REA-B1019</v>
      </c>
      <c r="B93" s="3">
        <f ca="1">IFERROR(__xludf.DUMMYFUNCTION("""COMPUTED_VALUE"""),32176)</f>
        <v>32176</v>
      </c>
      <c r="C93" s="3">
        <f ca="1">IFERROR(__xludf.DUMMYFUNCTION("""COMPUTED_VALUE"""),5902557344796)</f>
        <v>5902557344796</v>
      </c>
      <c r="D93" s="4" t="str">
        <f ca="1">IFERROR(__xludf.DUMMYFUNCTION("""COMPUTED_VALUE"""),"BATERIA KUCHENNA GASPAR CZARNA/ZŁOTA")</f>
        <v>BATERIA KUCHENNA GASPAR CZARNA/ZŁOTA</v>
      </c>
      <c r="E93" s="31">
        <v>93.853658536585371</v>
      </c>
      <c r="F93" s="31">
        <f t="shared" si="1"/>
        <v>115.44</v>
      </c>
    </row>
    <row r="94" spans="1:6" ht="18.75" customHeight="1" x14ac:dyDescent="0.25">
      <c r="A94" s="2" t="str">
        <f ca="1">IFERROR(__xludf.DUMMYFUNCTION("""COMPUTED_VALUE"""),"REA-B5682")</f>
        <v>REA-B5682</v>
      </c>
      <c r="B94" s="3">
        <f ca="1">IFERROR(__xludf.DUMMYFUNCTION("""COMPUTED_VALUE"""),42796)</f>
        <v>42796</v>
      </c>
      <c r="C94" s="3">
        <f ca="1">IFERROR(__xludf.DUMMYFUNCTION("""COMPUTED_VALUE"""),5902557357512)</f>
        <v>5902557357512</v>
      </c>
      <c r="D94" s="4" t="str">
        <f ca="1">IFERROR(__xludf.DUMMYFUNCTION("""COMPUTED_VALUE"""),"BATERIA KUCHENNA ICON CZARNA/ZŁOTA")</f>
        <v>BATERIA KUCHENNA ICON CZARNA/ZŁOTA</v>
      </c>
      <c r="E94" s="31">
        <v>56.853658536585371</v>
      </c>
      <c r="F94" s="31">
        <f t="shared" si="1"/>
        <v>69.930000000000007</v>
      </c>
    </row>
    <row r="95" spans="1:6" ht="18.75" customHeight="1" x14ac:dyDescent="0.25">
      <c r="A95" s="2" t="str">
        <f ca="1">IFERROR(__xludf.DUMMYFUNCTION("""COMPUTED_VALUE"""),"REA-B5313")</f>
        <v>REA-B5313</v>
      </c>
      <c r="B95" s="3">
        <f ca="1">IFERROR(__xludf.DUMMYFUNCTION("""COMPUTED_VALUE"""),51190)</f>
        <v>51190</v>
      </c>
      <c r="C95" s="3">
        <f ca="1">IFERROR(__xludf.DUMMYFUNCTION("""COMPUTED_VALUE"""),5902557391448)</f>
        <v>5902557391448</v>
      </c>
      <c r="D95" s="4" t="str">
        <f ca="1">IFERROR(__xludf.DUMMYFUNCTION("""COMPUTED_VALUE"""),"BATERIA KUCHENNA JS-K087B ROSS CZARNA")</f>
        <v>BATERIA KUCHENNA JS-K087B ROSS CZARNA</v>
      </c>
      <c r="E95" s="31">
        <v>50.536585365853668</v>
      </c>
      <c r="F95" s="31">
        <f t="shared" si="1"/>
        <v>62.160000000000011</v>
      </c>
    </row>
    <row r="96" spans="1:6" ht="18.75" customHeight="1" x14ac:dyDescent="0.25">
      <c r="A96" s="2" t="str">
        <f ca="1">IFERROR(__xludf.DUMMYFUNCTION("""COMPUTED_VALUE"""),"REA-B5312")</f>
        <v>REA-B5312</v>
      </c>
      <c r="B96" s="3">
        <f ca="1">IFERROR(__xludf.DUMMYFUNCTION("""COMPUTED_VALUE"""),51192)</f>
        <v>51192</v>
      </c>
      <c r="C96" s="3">
        <f ca="1">IFERROR(__xludf.DUMMYFUNCTION("""COMPUTED_VALUE"""),5902557391431)</f>
        <v>5902557391431</v>
      </c>
      <c r="D96" s="4" t="str">
        <f ca="1">IFERROR(__xludf.DUMMYFUNCTION("""COMPUTED_VALUE"""),"BATERIA KUCHENNA JS-K087BG ROSS ZŁOTA SZCZOTKOWANA")</f>
        <v>BATERIA KUCHENNA JS-K087BG ROSS ZŁOTA SZCZOTKOWANA</v>
      </c>
      <c r="E96" s="31">
        <v>57.756097560975611</v>
      </c>
      <c r="F96" s="31">
        <f t="shared" si="1"/>
        <v>71.040000000000006</v>
      </c>
    </row>
    <row r="97" spans="1:6" ht="18.75" customHeight="1" x14ac:dyDescent="0.25">
      <c r="A97" s="2" t="str">
        <f ca="1">IFERROR(__xludf.DUMMYFUNCTION("""COMPUTED_VALUE"""),"REA-B5314")</f>
        <v>REA-B5314</v>
      </c>
      <c r="B97" s="3">
        <f ca="1">IFERROR(__xludf.DUMMYFUNCTION("""COMPUTED_VALUE"""),51193)</f>
        <v>51193</v>
      </c>
      <c r="C97" s="3">
        <f ca="1">IFERROR(__xludf.DUMMYFUNCTION("""COMPUTED_VALUE"""),5902557391455)</f>
        <v>5902557391455</v>
      </c>
      <c r="D97" s="4" t="str">
        <f ca="1">IFERROR(__xludf.DUMMYFUNCTION("""COMPUTED_VALUE"""),"BATERIA KUCHENNA JS-K087N ROSS NIKIEL SZCZOTKOWANY")</f>
        <v>BATERIA KUCHENNA JS-K087N ROSS NIKIEL SZCZOTKOWANY</v>
      </c>
      <c r="E97" s="31">
        <v>42.41463414634147</v>
      </c>
      <c r="F97" s="31">
        <f t="shared" si="1"/>
        <v>52.170000000000009</v>
      </c>
    </row>
    <row r="98" spans="1:6" ht="18.75" customHeight="1" x14ac:dyDescent="0.25">
      <c r="A98" s="2" t="str">
        <f ca="1">IFERROR(__xludf.DUMMYFUNCTION("""COMPUTED_VALUE"""),"REA-B6312")</f>
        <v>REA-B6312</v>
      </c>
      <c r="B98" s="3">
        <f ca="1">IFERROR(__xludf.DUMMYFUNCTION("""COMPUTED_VALUE"""),51321)</f>
        <v>51321</v>
      </c>
      <c r="C98" s="3">
        <f ca="1">IFERROR(__xludf.DUMMYFUNCTION("""COMPUTED_VALUE"""),5902557391462)</f>
        <v>5902557391462</v>
      </c>
      <c r="D98" s="4" t="str">
        <f ca="1">IFERROR(__xludf.DUMMYFUNCTION("""COMPUTED_VALUE"""),"BATERIA KUCHENNA JS-K112BG CONOR ZŁOTA SZCZOTKOWAN")</f>
        <v>BATERIA KUCHENNA JS-K112BG CONOR ZŁOTA SZCZOTKOWAN</v>
      </c>
      <c r="E98" s="31">
        <v>83.926829268292693</v>
      </c>
      <c r="F98" s="31">
        <f t="shared" si="1"/>
        <v>103.23</v>
      </c>
    </row>
    <row r="99" spans="1:6" ht="18.75" customHeight="1" x14ac:dyDescent="0.25">
      <c r="A99" s="2" t="str">
        <f ca="1">IFERROR(__xludf.DUMMYFUNCTION("""COMPUTED_VALUE"""),"REA-B6313")</f>
        <v>REA-B6313</v>
      </c>
      <c r="B99" s="3">
        <f ca="1">IFERROR(__xludf.DUMMYFUNCTION("""COMPUTED_VALUE"""),51333)</f>
        <v>51333</v>
      </c>
      <c r="C99" s="3">
        <f ca="1">IFERROR(__xludf.DUMMYFUNCTION("""COMPUTED_VALUE"""),5902557391479)</f>
        <v>5902557391479</v>
      </c>
      <c r="D99" s="4" t="str">
        <f ca="1">IFERROR(__xludf.DUMMYFUNCTION("""COMPUTED_VALUE"""),"BATERIA KUCHENNA JS-K112N CONOR NIKIEL SZCZOTKOWAN")</f>
        <v>BATERIA KUCHENNA JS-K112N CONOR NIKIEL SZCZOTKOWAN</v>
      </c>
      <c r="E99" s="31">
        <v>73.097560975609767</v>
      </c>
      <c r="F99" s="31">
        <f t="shared" si="1"/>
        <v>89.910000000000011</v>
      </c>
    </row>
    <row r="100" spans="1:6" ht="18.75" customHeight="1" x14ac:dyDescent="0.25">
      <c r="A100" s="2" t="str">
        <f ca="1">IFERROR(__xludf.DUMMYFUNCTION("""COMPUTED_VALUE"""),"REA-B2056")</f>
        <v>REA-B2056</v>
      </c>
      <c r="B100" s="3">
        <f ca="1">IFERROR(__xludf.DUMMYFUNCTION("""COMPUTED_VALUE"""),45053)</f>
        <v>45053</v>
      </c>
      <c r="C100" s="3">
        <f ca="1">IFERROR(__xludf.DUMMYFUNCTION("""COMPUTED_VALUE"""),5902557370672)</f>
        <v>5902557370672</v>
      </c>
      <c r="D100" s="4" t="str">
        <f ca="1">IFERROR(__xludf.DUMMYFUNCTION("""COMPUTED_VALUE"""),"BATERIA KUCHENNA JS-K801 NEST CHROM")</f>
        <v>BATERIA KUCHENNA JS-K801 NEST CHROM</v>
      </c>
      <c r="E100" s="31">
        <v>70.390243902439025</v>
      </c>
      <c r="F100" s="31">
        <f t="shared" si="1"/>
        <v>86.58</v>
      </c>
    </row>
    <row r="101" spans="1:6" ht="18.75" customHeight="1" x14ac:dyDescent="0.25">
      <c r="A101" s="2" t="str">
        <f ca="1">IFERROR(__xludf.DUMMYFUNCTION("""COMPUTED_VALUE"""),"REA-B2057")</f>
        <v>REA-B2057</v>
      </c>
      <c r="B101" s="3">
        <f ca="1">IFERROR(__xludf.DUMMYFUNCTION("""COMPUTED_VALUE"""),45051)</f>
        <v>45051</v>
      </c>
      <c r="C101" s="3">
        <f ca="1">IFERROR(__xludf.DUMMYFUNCTION("""COMPUTED_VALUE"""),5902557370689)</f>
        <v>5902557370689</v>
      </c>
      <c r="D101" s="4" t="str">
        <f ca="1">IFERROR(__xludf.DUMMYFUNCTION("""COMPUTED_VALUE"""),"BATERIA KUCHENNA JS-K801B NEST CZARNA")</f>
        <v>BATERIA KUCHENNA JS-K801B NEST CZARNA</v>
      </c>
      <c r="E101" s="31">
        <v>78.512195121951223</v>
      </c>
      <c r="F101" s="31">
        <f t="shared" si="1"/>
        <v>96.570000000000007</v>
      </c>
    </row>
    <row r="102" spans="1:6" ht="18.75" customHeight="1" x14ac:dyDescent="0.25">
      <c r="A102" s="2" t="str">
        <f ca="1">IFERROR(__xludf.DUMMYFUNCTION("""COMPUTED_VALUE"""),"REA-B2058")</f>
        <v>REA-B2058</v>
      </c>
      <c r="B102" s="3">
        <f ca="1">IFERROR(__xludf.DUMMYFUNCTION("""COMPUTED_VALUE"""),45052)</f>
        <v>45052</v>
      </c>
      <c r="C102" s="3">
        <f ca="1">IFERROR(__xludf.DUMMYFUNCTION("""COMPUTED_VALUE"""),5902557370696)</f>
        <v>5902557370696</v>
      </c>
      <c r="D102" s="4" t="str">
        <f ca="1">IFERROR(__xludf.DUMMYFUNCTION("""COMPUTED_VALUE"""),"BATERIA KUCHENNA JS-K801G NEST ZŁOTA")</f>
        <v>BATERIA KUCHENNA JS-K801G NEST ZŁOTA</v>
      </c>
      <c r="E102" s="31">
        <v>81.219512195121965</v>
      </c>
      <c r="F102" s="31">
        <f t="shared" si="1"/>
        <v>99.90000000000002</v>
      </c>
    </row>
    <row r="103" spans="1:6" ht="18.75" customHeight="1" x14ac:dyDescent="0.25">
      <c r="A103" s="2" t="str">
        <f ca="1">IFERROR(__xludf.DUMMYFUNCTION("""COMPUTED_VALUE"""),"REA-B5309")</f>
        <v>REA-B5309</v>
      </c>
      <c r="B103" s="3">
        <f ca="1">IFERROR(__xludf.DUMMYFUNCTION("""COMPUTED_VALUE"""),51196)</f>
        <v>51196</v>
      </c>
      <c r="C103" s="3">
        <f ca="1">IFERROR(__xludf.DUMMYFUNCTION("""COMPUTED_VALUE"""),5902557391400)</f>
        <v>5902557391400</v>
      </c>
      <c r="D103" s="4" t="str">
        <f ca="1">IFERROR(__xludf.DUMMYFUNCTION("""COMPUTED_VALUE"""),"BATERIA KUCHENNA JS-SS008B CROSS CZARNA")</f>
        <v>BATERIA KUCHENNA JS-SS008B CROSS CZARNA</v>
      </c>
      <c r="E103" s="31">
        <v>47.829268292682933</v>
      </c>
      <c r="F103" s="31">
        <f t="shared" si="1"/>
        <v>58.830000000000005</v>
      </c>
    </row>
    <row r="104" spans="1:6" ht="18.75" customHeight="1" x14ac:dyDescent="0.25">
      <c r="A104" s="2" t="str">
        <f ca="1">IFERROR(__xludf.DUMMYFUNCTION("""COMPUTED_VALUE"""),"REA-B5311")</f>
        <v>REA-B5311</v>
      </c>
      <c r="B104" s="3">
        <f ca="1">IFERROR(__xludf.DUMMYFUNCTION("""COMPUTED_VALUE"""),51194)</f>
        <v>51194</v>
      </c>
      <c r="C104" s="3">
        <f ca="1">IFERROR(__xludf.DUMMYFUNCTION("""COMPUTED_VALUE"""),5902557391424)</f>
        <v>5902557391424</v>
      </c>
      <c r="D104" s="4" t="str">
        <f ca="1">IFERROR(__xludf.DUMMYFUNCTION("""COMPUTED_VALUE"""),"BATERIA KUCHENNA JS-SS008BG CROSS ZŁOTA SZCZOTKOWA")</f>
        <v>BATERIA KUCHENNA JS-SS008BG CROSS ZŁOTA SZCZOTKOWA</v>
      </c>
      <c r="E104" s="31">
        <v>54.146341463414643</v>
      </c>
      <c r="F104" s="31">
        <f t="shared" si="1"/>
        <v>66.600000000000009</v>
      </c>
    </row>
    <row r="105" spans="1:6" ht="18.75" customHeight="1" x14ac:dyDescent="0.25">
      <c r="A105" s="2" t="str">
        <f ca="1">IFERROR(__xludf.DUMMYFUNCTION("""COMPUTED_VALUE"""),"REA-B5310")</f>
        <v>REA-B5310</v>
      </c>
      <c r="B105" s="3">
        <f ca="1">IFERROR(__xludf.DUMMYFUNCTION("""COMPUTED_VALUE"""),51198)</f>
        <v>51198</v>
      </c>
      <c r="C105" s="3">
        <f ca="1">IFERROR(__xludf.DUMMYFUNCTION("""COMPUTED_VALUE"""),5902557391417)</f>
        <v>5902557391417</v>
      </c>
      <c r="D105" s="4" t="str">
        <f ca="1">IFERROR(__xludf.DUMMYFUNCTION("""COMPUTED_VALUE"""),"BATERIA KUCHENNA JS-SS008C CROSS CHROM")</f>
        <v>BATERIA KUCHENNA JS-SS008C CROSS CHROM</v>
      </c>
      <c r="E105" s="31">
        <v>49.634146341463421</v>
      </c>
      <c r="F105" s="31">
        <f t="shared" si="1"/>
        <v>61.050000000000004</v>
      </c>
    </row>
    <row r="106" spans="1:6" ht="18.75" customHeight="1" x14ac:dyDescent="0.25">
      <c r="A106" s="2" t="str">
        <f ca="1">IFERROR(__xludf.DUMMYFUNCTION("""COMPUTED_VALUE"""),"REA-B5308")</f>
        <v>REA-B5308</v>
      </c>
      <c r="B106" s="3">
        <f ca="1">IFERROR(__xludf.DUMMYFUNCTION("""COMPUTED_VALUE"""),51195)</f>
        <v>51195</v>
      </c>
      <c r="C106" s="3">
        <f ca="1">IFERROR(__xludf.DUMMYFUNCTION("""COMPUTED_VALUE"""),5902557391394)</f>
        <v>5902557391394</v>
      </c>
      <c r="D106" s="4" t="str">
        <f ca="1">IFERROR(__xludf.DUMMYFUNCTION("""COMPUTED_VALUE"""),"BATERIA KUCHENNA JS-SS008N CROSS NIKIEL SZCZOTKOWA")</f>
        <v>BATERIA KUCHENNA JS-SS008N CROSS NIKIEL SZCZOTKOWA</v>
      </c>
      <c r="E106" s="31">
        <v>41.512195121951223</v>
      </c>
      <c r="F106" s="31">
        <f t="shared" si="1"/>
        <v>51.06</v>
      </c>
    </row>
    <row r="107" spans="1:6" ht="18.75" customHeight="1" x14ac:dyDescent="0.25">
      <c r="A107" s="2" t="str">
        <f ca="1">IFERROR(__xludf.DUMMYFUNCTION("""COMPUTED_VALUE"""),"REA-B9144")</f>
        <v>REA-B9144</v>
      </c>
      <c r="B107" s="3">
        <f ca="1">IFERROR(__xludf.DUMMYFUNCTION("""COMPUTED_VALUE"""),47606)</f>
        <v>47606</v>
      </c>
      <c r="C107" s="3">
        <f ca="1">IFERROR(__xludf.DUMMYFUNCTION("""COMPUTED_VALUE"""),5902557376353)</f>
        <v>5902557376353</v>
      </c>
      <c r="D107" s="4" t="str">
        <f ca="1">IFERROR(__xludf.DUMMYFUNCTION("""COMPUTED_VALUE"""),"BATERIA KUCHENNA MILD CHROM")</f>
        <v>BATERIA KUCHENNA MILD CHROM</v>
      </c>
      <c r="E107" s="31">
        <v>70.390243902439025</v>
      </c>
      <c r="F107" s="31">
        <f t="shared" si="1"/>
        <v>86.58</v>
      </c>
    </row>
    <row r="108" spans="1:6" ht="18.75" customHeight="1" x14ac:dyDescent="0.25">
      <c r="A108" s="2" t="str">
        <f ca="1">IFERROR(__xludf.DUMMYFUNCTION("""COMPUTED_VALUE"""),"REA-B4800")</f>
        <v>REA-B4800</v>
      </c>
      <c r="B108" s="3">
        <f ca="1">IFERROR(__xludf.DUMMYFUNCTION("""COMPUTED_VALUE"""),48756)</f>
        <v>48756</v>
      </c>
      <c r="C108" s="3">
        <f ca="1">IFERROR(__xludf.DUMMYFUNCTION("""COMPUTED_VALUE"""),5902557376322)</f>
        <v>5902557376322</v>
      </c>
      <c r="D108" s="4" t="str">
        <f ca="1">IFERROR(__xludf.DUMMYFUNCTION("""COMPUTED_VALUE"""),"BATERIA KUCHENNA MILD CZARNA")</f>
        <v>BATERIA KUCHENNA MILD CZARNA</v>
      </c>
      <c r="E108" s="31">
        <v>68.585365853658544</v>
      </c>
      <c r="F108" s="31">
        <f t="shared" si="1"/>
        <v>84.360000000000014</v>
      </c>
    </row>
    <row r="109" spans="1:6" ht="18.75" customHeight="1" x14ac:dyDescent="0.25">
      <c r="A109" s="2" t="str">
        <f ca="1">IFERROR(__xludf.DUMMYFUNCTION("""COMPUTED_VALUE"""),"REA-B4801")</f>
        <v>REA-B4801</v>
      </c>
      <c r="B109" s="3">
        <f ca="1">IFERROR(__xludf.DUMMYFUNCTION("""COMPUTED_VALUE"""),48763)</f>
        <v>48763</v>
      </c>
      <c r="C109" s="3">
        <f ca="1">IFERROR(__xludf.DUMMYFUNCTION("""COMPUTED_VALUE"""),5902557376315)</f>
        <v>5902557376315</v>
      </c>
      <c r="D109" s="4" t="str">
        <f ca="1">IFERROR(__xludf.DUMMYFUNCTION("""COMPUTED_VALUE"""),"BATERIA KUCHENNA MILD CZARNA/RÓŻOWE ZŁOTO")</f>
        <v>BATERIA KUCHENNA MILD CZARNA/RÓŻOWE ZŁOTO</v>
      </c>
      <c r="E109" s="31">
        <v>74.902439024390262</v>
      </c>
      <c r="F109" s="31">
        <f t="shared" si="1"/>
        <v>92.130000000000024</v>
      </c>
    </row>
    <row r="110" spans="1:6" ht="18.75" customHeight="1" x14ac:dyDescent="0.25">
      <c r="A110" s="2" t="str">
        <f ca="1">IFERROR(__xludf.DUMMYFUNCTION("""COMPUTED_VALUE"""),"REA-B4802")</f>
        <v>REA-B4802</v>
      </c>
      <c r="B110" s="3">
        <f ca="1">IFERROR(__xludf.DUMMYFUNCTION("""COMPUTED_VALUE"""),48764)</f>
        <v>48764</v>
      </c>
      <c r="C110" s="3">
        <f ca="1">IFERROR(__xludf.DUMMYFUNCTION("""COMPUTED_VALUE"""),5902557376339)</f>
        <v>5902557376339</v>
      </c>
      <c r="D110" s="4" t="str">
        <f ca="1">IFERROR(__xludf.DUMMYFUNCTION("""COMPUTED_VALUE"""),"BATERIA KUCHENNA MILD ZŁOTA")</f>
        <v>BATERIA KUCHENNA MILD ZŁOTA</v>
      </c>
      <c r="E110" s="31">
        <v>78.512195121951223</v>
      </c>
      <c r="F110" s="31">
        <f t="shared" si="1"/>
        <v>96.570000000000007</v>
      </c>
    </row>
    <row r="111" spans="1:6" ht="18.75" customHeight="1" x14ac:dyDescent="0.25">
      <c r="A111" s="2" t="str">
        <f ca="1">IFERROR(__xludf.DUMMYFUNCTION("""COMPUTED_VALUE"""),"REA-B4803")</f>
        <v>REA-B4803</v>
      </c>
      <c r="B111" s="3">
        <f ca="1">IFERROR(__xludf.DUMMYFUNCTION("""COMPUTED_VALUE"""),48752)</f>
        <v>48752</v>
      </c>
      <c r="C111" s="3">
        <f ca="1">IFERROR(__xludf.DUMMYFUNCTION("""COMPUTED_VALUE"""),5902557376346)</f>
        <v>5902557376346</v>
      </c>
      <c r="D111" s="4" t="str">
        <f ca="1">IFERROR(__xludf.DUMMYFUNCTION("""COMPUTED_VALUE"""),"BATERIA KUCHENNA MILD ZŁOTA SZCZOTKOWANA")</f>
        <v>BATERIA KUCHENNA MILD ZŁOTA SZCZOTKOWANA</v>
      </c>
      <c r="E111" s="31">
        <v>83.024390243902445</v>
      </c>
      <c r="F111" s="31">
        <f t="shared" si="1"/>
        <v>102.12</v>
      </c>
    </row>
    <row r="112" spans="1:6" ht="18.75" customHeight="1" x14ac:dyDescent="0.25">
      <c r="A112" s="2" t="str">
        <f ca="1">IFERROR(__xludf.DUMMYFUNCTION("""COMPUTED_VALUE"""),"REA-B9980")</f>
        <v>REA-B9980</v>
      </c>
      <c r="B112" s="3">
        <f ca="1">IFERROR(__xludf.DUMMYFUNCTION("""COMPUTED_VALUE"""),44610)</f>
        <v>44610</v>
      </c>
      <c r="C112" s="3">
        <f ca="1">IFERROR(__xludf.DUMMYFUNCTION("""COMPUTED_VALUE"""),5902557369010)</f>
        <v>5902557369010</v>
      </c>
      <c r="D112" s="4" t="str">
        <f ca="1">IFERROR(__xludf.DUMMYFUNCTION("""COMPUTED_VALUE"""),"BATERIA KUCHENNA MY1806-42RBG POLO CZARNA/ZŁOTA")</f>
        <v>BATERIA KUCHENNA MY1806-42RBG POLO CZARNA/ZŁOTA</v>
      </c>
      <c r="E112" s="31">
        <v>62.268292682926841</v>
      </c>
      <c r="F112" s="31">
        <f t="shared" si="1"/>
        <v>76.590000000000018</v>
      </c>
    </row>
    <row r="113" spans="1:6" ht="18.75" customHeight="1" x14ac:dyDescent="0.25">
      <c r="A113" s="2" t="str">
        <f ca="1">IFERROR(__xludf.DUMMYFUNCTION("""COMPUTED_VALUE"""),"REA-B9940")</f>
        <v>REA-B9940</v>
      </c>
      <c r="B113" s="3">
        <f ca="1">IFERROR(__xludf.DUMMYFUNCTION("""COMPUTED_VALUE"""),44589)</f>
        <v>44589</v>
      </c>
      <c r="C113" s="3">
        <f ca="1">IFERROR(__xludf.DUMMYFUNCTION("""COMPUTED_VALUE"""),5902557368945)</f>
        <v>5902557368945</v>
      </c>
      <c r="D113" s="4" t="str">
        <f ca="1">IFERROR(__xludf.DUMMYFUNCTION("""COMPUTED_VALUE"""),"BATERIA KUCHENNA MY1806-42RC POLO CHROM")</f>
        <v>BATERIA KUCHENNA MY1806-42RC POLO CHROM</v>
      </c>
      <c r="E113" s="31">
        <v>53.243902439024396</v>
      </c>
      <c r="F113" s="31">
        <f t="shared" si="1"/>
        <v>65.490000000000009</v>
      </c>
    </row>
    <row r="114" spans="1:6" ht="18.75" customHeight="1" x14ac:dyDescent="0.25">
      <c r="A114" s="2" t="str">
        <f ca="1">IFERROR(__xludf.DUMMYFUNCTION("""COMPUTED_VALUE"""),"REA-B6601")</f>
        <v>REA-B6601</v>
      </c>
      <c r="B114" s="3">
        <f ca="1">IFERROR(__xludf.DUMMYFUNCTION("""COMPUTED_VALUE"""),49892)</f>
        <v>49892</v>
      </c>
      <c r="C114" s="3">
        <f ca="1">IFERROR(__xludf.DUMMYFUNCTION("""COMPUTED_VALUE"""),5902557381012)</f>
        <v>5902557381012</v>
      </c>
      <c r="D114" s="4" t="str">
        <f ca="1">IFERROR(__xludf.DUMMYFUNCTION("""COMPUTED_VALUE"""),"BATERIA KUCHENNA NEST NIKIEL SZCZOTKOWANY")</f>
        <v>BATERIA KUCHENNA NEST NIKIEL SZCZOTKOWANY</v>
      </c>
      <c r="E114" s="31">
        <v>49.634146341463421</v>
      </c>
      <c r="F114" s="31">
        <f t="shared" si="1"/>
        <v>61.050000000000004</v>
      </c>
    </row>
    <row r="115" spans="1:6" ht="18.75" customHeight="1" x14ac:dyDescent="0.25">
      <c r="A115" s="2" t="str">
        <f ca="1">IFERROR(__xludf.DUMMYFUNCTION("""COMPUTED_VALUE"""),"REA-B6600")</f>
        <v>REA-B6600</v>
      </c>
      <c r="B115" s="3">
        <f ca="1">IFERROR(__xludf.DUMMYFUNCTION("""COMPUTED_VALUE"""),49891)</f>
        <v>49891</v>
      </c>
      <c r="C115" s="3">
        <f ca="1">IFERROR(__xludf.DUMMYFUNCTION("""COMPUTED_VALUE"""),5902557381005)</f>
        <v>5902557381005</v>
      </c>
      <c r="D115" s="4" t="str">
        <f ca="1">IFERROR(__xludf.DUMMYFUNCTION("""COMPUTED_VALUE"""),"BATERIA KUCHENNA NEST ZŁOTA SZCZOTKOWANA")</f>
        <v>BATERIA KUCHENNA NEST ZŁOTA SZCZOTKOWANA</v>
      </c>
      <c r="E115" s="31">
        <v>63.170731707317081</v>
      </c>
      <c r="F115" s="31">
        <f t="shared" si="1"/>
        <v>77.7</v>
      </c>
    </row>
    <row r="116" spans="1:6" ht="18.75" customHeight="1" x14ac:dyDescent="0.25">
      <c r="A116" s="2" t="str">
        <f ca="1">IFERROR(__xludf.DUMMYFUNCTION("""COMPUTED_VALUE"""),"REA-B0536")</f>
        <v>REA-B0536</v>
      </c>
      <c r="B116" s="3">
        <f ca="1">IFERROR(__xludf.DUMMYFUNCTION("""COMPUTED_VALUE"""),50780)</f>
        <v>50780</v>
      </c>
      <c r="C116" s="3">
        <f ca="1">IFERROR(__xludf.DUMMYFUNCTION("""COMPUTED_VALUE"""),5902557386215)</f>
        <v>5902557386215</v>
      </c>
      <c r="D116" s="4" t="str">
        <f ca="1">IFERROR(__xludf.DUMMYFUNCTION("""COMPUTED_VALUE"""),"BATERIA KUCHENNA PACO CZARNA")</f>
        <v>BATERIA KUCHENNA PACO CZARNA</v>
      </c>
      <c r="E116" s="31">
        <v>44.219512195121951</v>
      </c>
      <c r="F116" s="31">
        <f t="shared" si="1"/>
        <v>54.39</v>
      </c>
    </row>
    <row r="117" spans="1:6" ht="18.75" customHeight="1" x14ac:dyDescent="0.25">
      <c r="A117" s="2" t="str">
        <f ca="1">IFERROR(__xludf.DUMMYFUNCTION("""COMPUTED_VALUE"""),"REA-B0537")</f>
        <v>REA-B0537</v>
      </c>
      <c r="B117" s="3">
        <f ca="1">IFERROR(__xludf.DUMMYFUNCTION("""COMPUTED_VALUE"""),50781)</f>
        <v>50781</v>
      </c>
      <c r="C117" s="3">
        <f ca="1">IFERROR(__xludf.DUMMYFUNCTION("""COMPUTED_VALUE"""),5902557386208)</f>
        <v>5902557386208</v>
      </c>
      <c r="D117" s="4" t="str">
        <f ca="1">IFERROR(__xludf.DUMMYFUNCTION("""COMPUTED_VALUE"""),"BATERIA KUCHENNA PACO NIKIEL SZCZOTKOWANY")</f>
        <v>BATERIA KUCHENNA PACO NIKIEL SZCZOTKOWANY</v>
      </c>
      <c r="E117" s="31">
        <v>42.41463414634147</v>
      </c>
      <c r="F117" s="31">
        <f t="shared" si="1"/>
        <v>52.170000000000009</v>
      </c>
    </row>
    <row r="118" spans="1:6" ht="18.75" customHeight="1" x14ac:dyDescent="0.25">
      <c r="A118" s="2" t="str">
        <f ca="1">IFERROR(__xludf.DUMMYFUNCTION("""COMPUTED_VALUE"""),"REA-B9145")</f>
        <v>REA-B9145</v>
      </c>
      <c r="B118" s="3">
        <f ca="1">IFERROR(__xludf.DUMMYFUNCTION("""COMPUTED_VALUE"""),48837)</f>
        <v>48837</v>
      </c>
      <c r="C118" s="3">
        <f ca="1">IFERROR(__xludf.DUMMYFUNCTION("""COMPUTED_VALUE"""),5902557376278)</f>
        <v>5902557376278</v>
      </c>
      <c r="D118" s="4" t="str">
        <f ca="1">IFERROR(__xludf.DUMMYFUNCTION("""COMPUTED_VALUE"""),"BATERIA KUCHENNA SPRING CHROM")</f>
        <v>BATERIA KUCHENNA SPRING CHROM</v>
      </c>
      <c r="E118" s="31">
        <v>77.609756097560989</v>
      </c>
      <c r="F118" s="31">
        <f t="shared" si="1"/>
        <v>95.460000000000022</v>
      </c>
    </row>
    <row r="119" spans="1:6" ht="18.75" customHeight="1" x14ac:dyDescent="0.25">
      <c r="A119" s="2" t="str">
        <f ca="1">IFERROR(__xludf.DUMMYFUNCTION("""COMPUTED_VALUE"""),"REA-B4804")</f>
        <v>REA-B4804</v>
      </c>
      <c r="B119" s="3">
        <f ca="1">IFERROR(__xludf.DUMMYFUNCTION("""COMPUTED_VALUE"""),49014)</f>
        <v>49014</v>
      </c>
      <c r="C119" s="3">
        <f ca="1">IFERROR(__xludf.DUMMYFUNCTION("""COMPUTED_VALUE"""),5902557376285)</f>
        <v>5902557376285</v>
      </c>
      <c r="D119" s="4" t="str">
        <f ca="1">IFERROR(__xludf.DUMMYFUNCTION("""COMPUTED_VALUE"""),"BATERIA KUCHENNA SPRING CZARNA")</f>
        <v>BATERIA KUCHENNA SPRING CZARNA</v>
      </c>
      <c r="E119" s="31">
        <v>89.341463414634148</v>
      </c>
      <c r="F119" s="31">
        <f t="shared" si="1"/>
        <v>109.89</v>
      </c>
    </row>
    <row r="120" spans="1:6" ht="18.75" customHeight="1" x14ac:dyDescent="0.25">
      <c r="A120" s="2" t="str">
        <f ca="1">IFERROR(__xludf.DUMMYFUNCTION("""COMPUTED_VALUE"""),"REA-B4806")</f>
        <v>REA-B4806</v>
      </c>
      <c r="B120" s="3">
        <f ca="1">IFERROR(__xludf.DUMMYFUNCTION("""COMPUTED_VALUE"""),48779)</f>
        <v>48779</v>
      </c>
      <c r="C120" s="3">
        <f ca="1">IFERROR(__xludf.DUMMYFUNCTION("""COMPUTED_VALUE"""),5902557376292)</f>
        <v>5902557376292</v>
      </c>
      <c r="D120" s="4" t="str">
        <f ca="1">IFERROR(__xludf.DUMMYFUNCTION("""COMPUTED_VALUE"""),"BATERIA KUCHENNA SPRING NIKIEL SZCZOTKOWANY")</f>
        <v>BATERIA KUCHENNA SPRING NIKIEL SZCZOTKOWANY</v>
      </c>
      <c r="E120" s="31">
        <v>89.341463414634148</v>
      </c>
      <c r="F120" s="31">
        <f t="shared" si="1"/>
        <v>109.89</v>
      </c>
    </row>
    <row r="121" spans="1:6" ht="18.75" customHeight="1" x14ac:dyDescent="0.25">
      <c r="A121" s="2" t="str">
        <f ca="1">IFERROR(__xludf.DUMMYFUNCTION("""COMPUTED_VALUE"""),"REA-B4805")</f>
        <v>REA-B4805</v>
      </c>
      <c r="B121" s="3">
        <f ca="1">IFERROR(__xludf.DUMMYFUNCTION("""COMPUTED_VALUE"""),47613)</f>
        <v>47613</v>
      </c>
      <c r="C121" s="3">
        <f ca="1">IFERROR(__xludf.DUMMYFUNCTION("""COMPUTED_VALUE"""),5902557376308)</f>
        <v>5902557376308</v>
      </c>
      <c r="D121" s="4" t="str">
        <f ca="1">IFERROR(__xludf.DUMMYFUNCTION("""COMPUTED_VALUE"""),"BATERIA KUCHENNA SPRING ZŁOTA SZCZOTKOWANA")</f>
        <v>BATERIA KUCHENNA SPRING ZŁOTA SZCZOTKOWANA</v>
      </c>
      <c r="E121" s="31">
        <v>104.68292682926831</v>
      </c>
      <c r="F121" s="31">
        <f t="shared" si="1"/>
        <v>128.76000000000002</v>
      </c>
    </row>
    <row r="122" spans="1:6" ht="18.75" customHeight="1" x14ac:dyDescent="0.25">
      <c r="A122" s="2" t="str">
        <f ca="1">IFERROR(__xludf.DUMMYFUNCTION("""COMPUTED_VALUE"""),"REA-B0978")</f>
        <v>REA-B0978</v>
      </c>
      <c r="B122" s="3">
        <f ca="1">IFERROR(__xludf.DUMMYFUNCTION("""COMPUTED_VALUE"""),1773)</f>
        <v>1773</v>
      </c>
      <c r="C122" s="3">
        <f ca="1">IFERROR(__xludf.DUMMYFUNCTION("""COMPUTED_VALUE"""),5902557344819)</f>
        <v>5902557344819</v>
      </c>
      <c r="D122" s="4" t="str">
        <f ca="1">IFERROR(__xludf.DUMMYFUNCTION("""COMPUTED_VALUE"""),"BATERIA KUCHENNA TALISA CZARNA")</f>
        <v>BATERIA KUCHENNA TALISA CZARNA</v>
      </c>
      <c r="E122" s="31">
        <v>51.439024390243908</v>
      </c>
      <c r="F122" s="31">
        <f t="shared" si="1"/>
        <v>63.27</v>
      </c>
    </row>
    <row r="123" spans="1:6" ht="18.75" customHeight="1" x14ac:dyDescent="0.25">
      <c r="A123" s="2" t="str">
        <f ca="1">IFERROR(__xludf.DUMMYFUNCTION("""COMPUTED_VALUE"""),"REA-B1020")</f>
        <v>REA-B1020</v>
      </c>
      <c r="B123" s="3">
        <f ca="1">IFERROR(__xludf.DUMMYFUNCTION("""COMPUTED_VALUE"""),32278)</f>
        <v>32278</v>
      </c>
      <c r="C123" s="3">
        <f ca="1">IFERROR(__xludf.DUMMYFUNCTION("""COMPUTED_VALUE"""),5902557344802)</f>
        <v>5902557344802</v>
      </c>
      <c r="D123" s="4" t="str">
        <f ca="1">IFERROR(__xludf.DUMMYFUNCTION("""COMPUTED_VALUE"""),"BATERIA KUCHENNA TALISA ZŁOTA")</f>
        <v>BATERIA KUCHENNA TALISA ZŁOTA</v>
      </c>
      <c r="E123" s="31">
        <v>51.439024390243908</v>
      </c>
      <c r="F123" s="31">
        <f t="shared" si="1"/>
        <v>63.27</v>
      </c>
    </row>
    <row r="124" spans="1:6" ht="18.75" customHeight="1" x14ac:dyDescent="0.25">
      <c r="A124" s="2" t="str">
        <f ca="1">IFERROR(__xludf.DUMMYFUNCTION("""COMPUTED_VALUE"""),"REA-B6300")</f>
        <v>REA-B6300</v>
      </c>
      <c r="B124" s="3">
        <f ca="1">IFERROR(__xludf.DUMMYFUNCTION("""COMPUTED_VALUE"""),50074)</f>
        <v>50074</v>
      </c>
      <c r="C124" s="3">
        <f ca="1">IFERROR(__xludf.DUMMYFUNCTION("""COMPUTED_VALUE"""),5902557385805)</f>
        <v>5902557385805</v>
      </c>
      <c r="D124" s="4" t="str">
        <f ca="1">IFERROR(__xludf.DUMMYFUNCTION("""COMPUTED_VALUE"""),"BATERIA KUCHENNA TROY CZARNA")</f>
        <v>BATERIA KUCHENNA TROY CZARNA</v>
      </c>
      <c r="E124" s="31">
        <v>41.512195121951223</v>
      </c>
      <c r="F124" s="31">
        <f t="shared" si="1"/>
        <v>51.06</v>
      </c>
    </row>
    <row r="125" spans="1:6" ht="18.75" customHeight="1" x14ac:dyDescent="0.25">
      <c r="A125" s="2" t="str">
        <f ca="1">IFERROR(__xludf.DUMMYFUNCTION("""COMPUTED_VALUE"""),"REA-B6301")</f>
        <v>REA-B6301</v>
      </c>
      <c r="B125" s="3">
        <f ca="1">IFERROR(__xludf.DUMMYFUNCTION("""COMPUTED_VALUE"""),50076)</f>
        <v>50076</v>
      </c>
      <c r="C125" s="3">
        <f ca="1">IFERROR(__xludf.DUMMYFUNCTION("""COMPUTED_VALUE"""),5902557385799)</f>
        <v>5902557385799</v>
      </c>
      <c r="D125" s="4" t="str">
        <f ca="1">IFERROR(__xludf.DUMMYFUNCTION("""COMPUTED_VALUE"""),"BATERIA KUCHENNA TROY NIKIEL SZCZOTKOWANY")</f>
        <v>BATERIA KUCHENNA TROY NIKIEL SZCZOTKOWANY</v>
      </c>
      <c r="E125" s="31">
        <v>39.707317073170735</v>
      </c>
      <c r="F125" s="31">
        <f t="shared" si="1"/>
        <v>48.84</v>
      </c>
    </row>
    <row r="126" spans="1:6" ht="18.75" customHeight="1" x14ac:dyDescent="0.25">
      <c r="A126" s="2" t="str">
        <f ca="1">IFERROR(__xludf.DUMMYFUNCTION("""COMPUTED_VALUE"""),"REA-B6302")</f>
        <v>REA-B6302</v>
      </c>
      <c r="B126" s="3">
        <f ca="1">IFERROR(__xludf.DUMMYFUNCTION("""COMPUTED_VALUE"""),50275)</f>
        <v>50275</v>
      </c>
      <c r="C126" s="3">
        <f ca="1">IFERROR(__xludf.DUMMYFUNCTION("""COMPUTED_VALUE"""),5902557385812)</f>
        <v>5902557385812</v>
      </c>
      <c r="D126" s="4" t="str">
        <f ca="1">IFERROR(__xludf.DUMMYFUNCTION("""COMPUTED_VALUE"""),"BATERIA KUCHENNA TROY ZŁOTA SZCZOTKOWANA")</f>
        <v>BATERIA KUCHENNA TROY ZŁOTA SZCZOTKOWANA</v>
      </c>
      <c r="E126" s="31">
        <v>54.146341463414643</v>
      </c>
      <c r="F126" s="31">
        <f t="shared" si="1"/>
        <v>66.600000000000009</v>
      </c>
    </row>
    <row r="127" spans="1:6" ht="18.75" customHeight="1" x14ac:dyDescent="0.25">
      <c r="A127" s="2" t="str">
        <f ca="1">IFERROR(__xludf.DUMMYFUNCTION("""COMPUTED_VALUE"""),"REA-B2500")</f>
        <v>REA-B2500</v>
      </c>
      <c r="B127" s="3">
        <f ca="1">IFERROR(__xludf.DUMMYFUNCTION("""COMPUTED_VALUE"""),52755)</f>
        <v>52755</v>
      </c>
      <c r="C127" s="3">
        <f ca="1">IFERROR(__xludf.DUMMYFUNCTION("""COMPUTED_VALUE"""),5902557397730)</f>
        <v>5902557397730</v>
      </c>
      <c r="D127" s="4" t="str">
        <f ca="1">IFERROR(__xludf.DUMMYFUNCTION("""COMPUTED_VALUE"""),"BATERIA KUCHENNA VENICE BRĄZ ANTYCZNY WYSOKA")</f>
        <v>BATERIA KUCHENNA VENICE BRĄZ ANTYCZNY WYSOKA</v>
      </c>
      <c r="E127" s="31">
        <v>91.146341463414643</v>
      </c>
      <c r="F127" s="31">
        <f t="shared" si="1"/>
        <v>112.11000000000001</v>
      </c>
    </row>
    <row r="128" spans="1:6" ht="18.75" customHeight="1" x14ac:dyDescent="0.25">
      <c r="A128" s="2" t="str">
        <f ca="1">IFERROR(__xludf.DUMMYFUNCTION("""COMPUTED_VALUE"""),"REA-B3303")</f>
        <v>REA-B3303</v>
      </c>
      <c r="B128" s="3">
        <f ca="1">IFERROR(__xludf.DUMMYFUNCTION("""COMPUTED_VALUE"""),51006)</f>
        <v>51006</v>
      </c>
      <c r="C128" s="3">
        <f ca="1">IFERROR(__xludf.DUMMYFUNCTION("""COMPUTED_VALUE"""),5902557390809)</f>
        <v>5902557390809</v>
      </c>
      <c r="D128" s="4" t="str">
        <f ca="1">IFERROR(__xludf.DUMMYFUNCTION("""COMPUTED_VALUE"""),"BATERIA PRYSZNICOWA DART CHROM")</f>
        <v>BATERIA PRYSZNICOWA DART CHROM</v>
      </c>
      <c r="E128" s="31">
        <v>66.780487804878049</v>
      </c>
      <c r="F128" s="31">
        <f t="shared" si="1"/>
        <v>82.14</v>
      </c>
    </row>
    <row r="129" spans="1:6" ht="18.75" customHeight="1" x14ac:dyDescent="0.25">
      <c r="A129" s="2" t="str">
        <f ca="1">IFERROR(__xludf.DUMMYFUNCTION("""COMPUTED_VALUE"""),"REA-B3302")</f>
        <v>REA-B3302</v>
      </c>
      <c r="B129" s="3">
        <f ca="1">IFERROR(__xludf.DUMMYFUNCTION("""COMPUTED_VALUE"""),51007)</f>
        <v>51007</v>
      </c>
      <c r="C129" s="3">
        <f ca="1">IFERROR(__xludf.DUMMYFUNCTION("""COMPUTED_VALUE"""),5902557390793)</f>
        <v>5902557390793</v>
      </c>
      <c r="D129" s="4" t="str">
        <f ca="1">IFERROR(__xludf.DUMMYFUNCTION("""COMPUTED_VALUE"""),"BATERIA PRYSZNICOWA DART CZARNA")</f>
        <v>BATERIA PRYSZNICOWA DART CZARNA</v>
      </c>
      <c r="E129" s="31">
        <v>71.292682926829286</v>
      </c>
      <c r="F129" s="31">
        <f t="shared" si="1"/>
        <v>87.690000000000026</v>
      </c>
    </row>
    <row r="130" spans="1:6" ht="18.75" customHeight="1" x14ac:dyDescent="0.25">
      <c r="A130" s="2" t="str">
        <f ca="1">IFERROR(__xludf.DUMMYFUNCTION("""COMPUTED_VALUE"""),"REA-B5653")</f>
        <v>REA-B5653</v>
      </c>
      <c r="B130" s="3">
        <f ca="1">IFERROR(__xludf.DUMMYFUNCTION("""COMPUTED_VALUE"""),51431)</f>
        <v>51431</v>
      </c>
      <c r="C130" s="3">
        <f ca="1">IFERROR(__xludf.DUMMYFUNCTION("""COMPUTED_VALUE"""),5902557390816)</f>
        <v>5902557390816</v>
      </c>
      <c r="D130" s="4" t="str">
        <f ca="1">IFERROR(__xludf.DUMMYFUNCTION("""COMPUTED_VALUE"""),"BATERIA PRYSZNICOWA DART ZŁOTA")</f>
        <v>BATERIA PRYSZNICOWA DART ZŁOTA</v>
      </c>
      <c r="E130" s="31">
        <v>91.146341463414643</v>
      </c>
      <c r="F130" s="31">
        <f t="shared" si="1"/>
        <v>112.11000000000001</v>
      </c>
    </row>
    <row r="131" spans="1:6" ht="18.75" customHeight="1" x14ac:dyDescent="0.25">
      <c r="A131" s="2" t="str">
        <f ca="1">IFERROR(__xludf.DUMMYFUNCTION("""COMPUTED_VALUE"""),"REA-B5110")</f>
        <v>REA-B5110</v>
      </c>
      <c r="B131" s="3">
        <f ca="1">IFERROR(__xludf.DUMMYFUNCTION("""COMPUTED_VALUE"""),52877)</f>
        <v>52877</v>
      </c>
      <c r="C131" s="3">
        <f ca="1">IFERROR(__xludf.DUMMYFUNCTION("""COMPUTED_VALUE"""),5902557399673)</f>
        <v>5902557399673</v>
      </c>
      <c r="D131" s="4" t="str">
        <f ca="1">IFERROR(__xludf.DUMMYFUNCTION("""COMPUTED_VALUE"""),"BATERIA PRYSZNICOWA JS-701304B FOSS CZARNA")</f>
        <v>BATERIA PRYSZNICOWA JS-701304B FOSS CZARNA</v>
      </c>
      <c r="E131" s="31">
        <v>63.170731707317081</v>
      </c>
      <c r="F131" s="31">
        <f t="shared" ref="F131:F194" si="2">E131*1.23</f>
        <v>77.7</v>
      </c>
    </row>
    <row r="132" spans="1:6" ht="18.75" customHeight="1" x14ac:dyDescent="0.25">
      <c r="A132" s="2" t="str">
        <f ca="1">IFERROR(__xludf.DUMMYFUNCTION("""COMPUTED_VALUE"""),"REA-B5113")</f>
        <v>REA-B5113</v>
      </c>
      <c r="B132" s="3">
        <f ca="1">IFERROR(__xludf.DUMMYFUNCTION("""COMPUTED_VALUE"""),52874)</f>
        <v>52874</v>
      </c>
      <c r="C132" s="3">
        <f ca="1">IFERROR(__xludf.DUMMYFUNCTION("""COMPUTED_VALUE"""),5902557399680)</f>
        <v>5902557399680</v>
      </c>
      <c r="D132" s="4" t="str">
        <f ca="1">IFERROR(__xludf.DUMMYFUNCTION("""COMPUTED_VALUE"""),"BATERIA PRYSZNICOWA JS-701304BG FOSS ZŁOTY SZCZOT")</f>
        <v>BATERIA PRYSZNICOWA JS-701304BG FOSS ZŁOTY SZCZOT</v>
      </c>
      <c r="E132" s="31">
        <v>80.317073170731717</v>
      </c>
      <c r="F132" s="31">
        <f t="shared" si="2"/>
        <v>98.79</v>
      </c>
    </row>
    <row r="133" spans="1:6" ht="18.75" customHeight="1" x14ac:dyDescent="0.25">
      <c r="A133" s="2" t="str">
        <f ca="1">IFERROR(__xludf.DUMMYFUNCTION("""COMPUTED_VALUE"""),"REA-B4241")</f>
        <v>REA-B4241</v>
      </c>
      <c r="B133" s="3">
        <f ca="1">IFERROR(__xludf.DUMMYFUNCTION("""COMPUTED_VALUE"""),52875)</f>
        <v>52875</v>
      </c>
      <c r="C133" s="3">
        <f ca="1">IFERROR(__xludf.DUMMYFUNCTION("""COMPUTED_VALUE"""),5902557399727)</f>
        <v>5902557399727</v>
      </c>
      <c r="D133" s="4" t="str">
        <f ca="1">IFERROR(__xludf.DUMMYFUNCTION("""COMPUTED_VALUE"""),"BATERIA PRYSZNICOWA JS-702304B CLIF CZARNA")</f>
        <v>BATERIA PRYSZNICOWA JS-702304B CLIF CZARNA</v>
      </c>
      <c r="E133" s="31">
        <v>63.170731707317081</v>
      </c>
      <c r="F133" s="31">
        <f t="shared" si="2"/>
        <v>77.7</v>
      </c>
    </row>
    <row r="134" spans="1:6" ht="18.75" customHeight="1" x14ac:dyDescent="0.25">
      <c r="A134" s="2" t="str">
        <f ca="1">IFERROR(__xludf.DUMMYFUNCTION("""COMPUTED_VALUE"""),"REA-B4243")</f>
        <v>REA-B4243</v>
      </c>
      <c r="B134" s="3">
        <f ca="1">IFERROR(__xludf.DUMMYFUNCTION("""COMPUTED_VALUE"""),52876)</f>
        <v>52876</v>
      </c>
      <c r="C134" s="3">
        <f ca="1">IFERROR(__xludf.DUMMYFUNCTION("""COMPUTED_VALUE"""),5902557399710)</f>
        <v>5902557399710</v>
      </c>
      <c r="D134" s="4" t="str">
        <f ca="1">IFERROR(__xludf.DUMMYFUNCTION("""COMPUTED_VALUE"""),"BATERIA PRYSZNICOWA JS-702304BG CLIF ZŁOTY SZCZOT")</f>
        <v>BATERIA PRYSZNICOWA JS-702304BG CLIF ZŁOTY SZCZOT</v>
      </c>
      <c r="E134" s="31">
        <v>80.317073170731717</v>
      </c>
      <c r="F134" s="31">
        <f t="shared" si="2"/>
        <v>98.79</v>
      </c>
    </row>
    <row r="135" spans="1:6" ht="18.75" customHeight="1" x14ac:dyDescent="0.25">
      <c r="A135" s="2" t="str">
        <f ca="1">IFERROR(__xludf.DUMMYFUNCTION("""COMPUTED_VALUE"""),"REA-B7806")</f>
        <v>REA-B7806</v>
      </c>
      <c r="B135" s="3">
        <f ca="1">IFERROR(__xludf.DUMMYFUNCTION("""COMPUTED_VALUE"""),54332)</f>
        <v>54332</v>
      </c>
      <c r="C135" s="3">
        <f ca="1">IFERROR(__xludf.DUMMYFUNCTION("""COMPUTED_VALUE"""),5906366007606)</f>
        <v>5906366007606</v>
      </c>
      <c r="D135" s="4" t="str">
        <f ca="1">IFERROR(__xludf.DUMMYFUNCTION("""COMPUTED_VALUE"""),"BATERIA PRYSZNICOWA JS-B34804BG ARGON ZŁOTA SZCZOT")</f>
        <v>BATERIA PRYSZNICOWA JS-B34804BG ARGON ZŁOTA SZCZOT</v>
      </c>
      <c r="E135" s="31">
        <v>84.82926829268294</v>
      </c>
      <c r="F135" s="31">
        <f t="shared" si="2"/>
        <v>104.34000000000002</v>
      </c>
    </row>
    <row r="136" spans="1:6" ht="18.75" customHeight="1" x14ac:dyDescent="0.25">
      <c r="A136" s="2" t="str">
        <f ca="1">IFERROR(__xludf.DUMMYFUNCTION("""COMPUTED_VALUE"""),"REA-B7807")</f>
        <v>REA-B7807</v>
      </c>
      <c r="B136" s="3">
        <f ca="1">IFERROR(__xludf.DUMMYFUNCTION("""COMPUTED_VALUE"""),54331)</f>
        <v>54331</v>
      </c>
      <c r="C136" s="3">
        <f ca="1">IFERROR(__xludf.DUMMYFUNCTION("""COMPUTED_VALUE"""),5906366007590)</f>
        <v>5906366007590</v>
      </c>
      <c r="D136" s="4" t="str">
        <f ca="1">IFERROR(__xludf.DUMMYFUNCTION("""COMPUTED_VALUE"""),"BATERIA PRYSZNICOWA JS-B34804G ARGON ZŁOTA")</f>
        <v>BATERIA PRYSZNICOWA JS-B34804G ARGON ZŁOTA</v>
      </c>
      <c r="E136" s="31">
        <v>80.317073170731717</v>
      </c>
      <c r="F136" s="31">
        <f t="shared" si="2"/>
        <v>98.79</v>
      </c>
    </row>
    <row r="137" spans="1:6" ht="18.75" customHeight="1" x14ac:dyDescent="0.25">
      <c r="A137" s="2" t="str">
        <f ca="1">IFERROR(__xludf.DUMMYFUNCTION("""COMPUTED_VALUE"""),"REA-B9410")</f>
        <v>REA-B9410</v>
      </c>
      <c r="B137" s="3"/>
      <c r="C137" s="3">
        <f ca="1">IFERROR(__xludf.DUMMYFUNCTION("""COMPUTED_VALUE"""),5902557349630)</f>
        <v>5902557349630</v>
      </c>
      <c r="D137" s="4" t="str">
        <f ca="1">IFERROR(__xludf.DUMMYFUNCTION("""COMPUTED_VALUE"""),"BATERIA PRYSZNICOWA LUNGO BLACK")</f>
        <v>BATERIA PRYSZNICOWA LUNGO BLACK</v>
      </c>
      <c r="E137" s="31">
        <v>70.390243902439025</v>
      </c>
      <c r="F137" s="31">
        <f t="shared" si="2"/>
        <v>86.58</v>
      </c>
    </row>
    <row r="138" spans="1:6" ht="18.75" customHeight="1" x14ac:dyDescent="0.25">
      <c r="A138" s="2" t="str">
        <f ca="1">IFERROR(__xludf.DUMMYFUNCTION("""COMPUTED_VALUE"""),"REA-B6636")</f>
        <v>REA-B6636</v>
      </c>
      <c r="B138" s="3">
        <f ca="1">IFERROR(__xludf.DUMMYFUNCTION("""COMPUTED_VALUE"""),37975)</f>
        <v>37975</v>
      </c>
      <c r="C138" s="3">
        <f ca="1">IFERROR(__xludf.DUMMYFUNCTION("""COMPUTED_VALUE"""),5902557349647)</f>
        <v>5902557349647</v>
      </c>
      <c r="D138" s="4" t="str">
        <f ca="1">IFERROR(__xludf.DUMMYFUNCTION("""COMPUTED_VALUE"""),"BATERIA PRYSZNICOWA LUNGO ZŁOTA")</f>
        <v>BATERIA PRYSZNICOWA LUNGO ZŁOTA</v>
      </c>
      <c r="E138" s="31">
        <v>71.292682926829286</v>
      </c>
      <c r="F138" s="31">
        <f t="shared" si="2"/>
        <v>87.690000000000026</v>
      </c>
    </row>
    <row r="139" spans="1:6" ht="18.75" customHeight="1" x14ac:dyDescent="0.25">
      <c r="A139" s="2" t="str">
        <f ca="1">IFERROR(__xludf.DUMMYFUNCTION("""COMPUTED_VALUE"""),"REA-B9149")</f>
        <v>REA-B9149</v>
      </c>
      <c r="B139" s="3">
        <f ca="1">IFERROR(__xludf.DUMMYFUNCTION("""COMPUTED_VALUE"""),47605)</f>
        <v>47605</v>
      </c>
      <c r="C139" s="3">
        <f ca="1">IFERROR(__xludf.DUMMYFUNCTION("""COMPUTED_VALUE"""),5902557376438)</f>
        <v>5902557376438</v>
      </c>
      <c r="D139" s="4" t="str">
        <f ca="1">IFERROR(__xludf.DUMMYFUNCTION("""COMPUTED_VALUE"""),"BATERIA PRYSZNICOWA MILD CZARNA/RÓŻOWE ZŁOTO")</f>
        <v>BATERIA PRYSZNICOWA MILD CZARNA/RÓŻOWE ZŁOTO</v>
      </c>
      <c r="E139" s="31">
        <v>57.756097560975611</v>
      </c>
      <c r="F139" s="31">
        <f t="shared" si="2"/>
        <v>71.040000000000006</v>
      </c>
    </row>
    <row r="140" spans="1:6" ht="18.75" customHeight="1" x14ac:dyDescent="0.25">
      <c r="A140" s="2" t="str">
        <f ca="1">IFERROR(__xludf.DUMMYFUNCTION("""COMPUTED_VALUE"""),"REA-B9909")</f>
        <v>REA-B9909</v>
      </c>
      <c r="B140" s="3">
        <f ca="1">IFERROR(__xludf.DUMMYFUNCTION("""COMPUTED_VALUE"""),44644)</f>
        <v>44644</v>
      </c>
      <c r="C140" s="3">
        <f ca="1">IFERROR(__xludf.DUMMYFUNCTION("""COMPUTED_VALUE"""),5902557368754)</f>
        <v>5902557368754</v>
      </c>
      <c r="D140" s="4" t="str">
        <f ca="1">IFERROR(__xludf.DUMMYFUNCTION("""COMPUTED_VALUE"""),"BATERIA PRYSZNICOWA MY1802-8B URBAN CZARNA")</f>
        <v>BATERIA PRYSZNICOWA MY1802-8B URBAN CZARNA</v>
      </c>
      <c r="E140" s="31">
        <v>57.756097560975611</v>
      </c>
      <c r="F140" s="31">
        <f t="shared" si="2"/>
        <v>71.040000000000006</v>
      </c>
    </row>
    <row r="141" spans="1:6" ht="18.75" customHeight="1" x14ac:dyDescent="0.25">
      <c r="A141" s="2" t="str">
        <f ca="1">IFERROR(__xludf.DUMMYFUNCTION("""COMPUTED_VALUE"""),"REA-B8547")</f>
        <v>REA-B8547</v>
      </c>
      <c r="B141" s="3">
        <f ca="1">IFERROR(__xludf.DUMMYFUNCTION("""COMPUTED_VALUE"""),51071)</f>
        <v>51071</v>
      </c>
      <c r="C141" s="3">
        <f ca="1">IFERROR(__xludf.DUMMYFUNCTION("""COMPUTED_VALUE"""),5902557392865)</f>
        <v>5902557392865</v>
      </c>
      <c r="D141" s="4" t="str">
        <f ca="1">IFERROR(__xludf.DUMMYFUNCTION("""COMPUTED_VALUE"""),"BATERIA PRYSZNICOWA MY1802-8C URBAN CHROM")</f>
        <v>BATERIA PRYSZNICOWA MY1802-8C URBAN CHROM</v>
      </c>
      <c r="E141" s="31">
        <v>54.146341463414643</v>
      </c>
      <c r="F141" s="31">
        <f t="shared" si="2"/>
        <v>66.600000000000009</v>
      </c>
    </row>
    <row r="142" spans="1:6" ht="18.75" customHeight="1" x14ac:dyDescent="0.25">
      <c r="A142" s="2" t="str">
        <f ca="1">IFERROR(__xludf.DUMMYFUNCTION("""COMPUTED_VALUE"""),"REA-B9913")</f>
        <v>REA-B9913</v>
      </c>
      <c r="B142" s="3">
        <f ca="1">IFERROR(__xludf.DUMMYFUNCTION("""COMPUTED_VALUE"""),44641)</f>
        <v>44641</v>
      </c>
      <c r="C142" s="3">
        <f ca="1">IFERROR(__xludf.DUMMYFUNCTION("""COMPUTED_VALUE"""),5902557368792)</f>
        <v>5902557368792</v>
      </c>
      <c r="D142" s="4" t="str">
        <f ca="1">IFERROR(__xludf.DUMMYFUNCTION("""COMPUTED_VALUE"""),"BATERIA PRYSZNICOWA MY1802-8G URBAN ZŁOTA")</f>
        <v>BATERIA PRYSZNICOWA MY1802-8G URBAN ZŁOTA</v>
      </c>
      <c r="E142" s="31">
        <v>73.097560975609767</v>
      </c>
      <c r="F142" s="31">
        <f t="shared" si="2"/>
        <v>89.910000000000011</v>
      </c>
    </row>
    <row r="143" spans="1:6" ht="18.75" customHeight="1" x14ac:dyDescent="0.25">
      <c r="A143" s="2" t="str">
        <f ca="1">IFERROR(__xludf.DUMMYFUNCTION("""COMPUTED_VALUE"""),"REA-B9938")</f>
        <v>REA-B9938</v>
      </c>
      <c r="B143" s="3">
        <f ca="1">IFERROR(__xludf.DUMMYFUNCTION("""COMPUTED_VALUE"""),44645)</f>
        <v>44645</v>
      </c>
      <c r="C143" s="3">
        <f ca="1">IFERROR(__xludf.DUMMYFUNCTION("""COMPUTED_VALUE"""),5902557368921)</f>
        <v>5902557368921</v>
      </c>
      <c r="D143" s="4" t="str">
        <f ca="1">IFERROR(__xludf.DUMMYFUNCTION("""COMPUTED_VALUE"""),"BATERIA PRYSZNICOWA MY1805-8BG BLOOM CZARNA/ZŁOTA")</f>
        <v>BATERIA PRYSZNICOWA MY1805-8BG BLOOM CZARNA/ZŁOTA</v>
      </c>
      <c r="E143" s="31">
        <v>83.024390243902445</v>
      </c>
      <c r="F143" s="31">
        <f t="shared" si="2"/>
        <v>102.12</v>
      </c>
    </row>
    <row r="144" spans="1:6" ht="18.75" customHeight="1" x14ac:dyDescent="0.25">
      <c r="A144" s="2" t="str">
        <f ca="1">IFERROR(__xludf.DUMMYFUNCTION("""COMPUTED_VALUE"""),"REA-B8033")</f>
        <v>REA-B8033</v>
      </c>
      <c r="B144" s="3">
        <f ca="1">IFERROR(__xludf.DUMMYFUNCTION("""COMPUTED_VALUE"""),49125)</f>
        <v>49125</v>
      </c>
      <c r="C144" s="3">
        <f ca="1">IFERROR(__xludf.DUMMYFUNCTION("""COMPUTED_VALUE"""),5902557376841)</f>
        <v>5902557376841</v>
      </c>
      <c r="D144" s="4" t="str">
        <f ca="1">IFERROR(__xludf.DUMMYFUNCTION("""COMPUTED_VALUE"""),"BATERIA PRYSZNICOWA MY1902-8B STORM CZARNA")</f>
        <v>BATERIA PRYSZNICOWA MY1902-8B STORM CZARNA</v>
      </c>
      <c r="E144" s="31">
        <v>66.780487804878049</v>
      </c>
      <c r="F144" s="31">
        <f t="shared" si="2"/>
        <v>82.14</v>
      </c>
    </row>
    <row r="145" spans="1:6" ht="18.75" customHeight="1" x14ac:dyDescent="0.25">
      <c r="A145" s="2" t="str">
        <f ca="1">IFERROR(__xludf.DUMMYFUNCTION("""COMPUTED_VALUE"""),"REA-B9984")</f>
        <v>REA-B9984</v>
      </c>
      <c r="B145" s="3">
        <f ca="1">IFERROR(__xludf.DUMMYFUNCTION("""COMPUTED_VALUE"""),44655)</f>
        <v>44655</v>
      </c>
      <c r="C145" s="3">
        <f ca="1">IFERROR(__xludf.DUMMYFUNCTION("""COMPUTED_VALUE"""),5902557369058)</f>
        <v>5902557369058</v>
      </c>
      <c r="D145" s="4" t="str">
        <f ca="1">IFERROR(__xludf.DUMMYFUNCTION("""COMPUTED_VALUE"""),"BATERIA PRYSZNICOWA MY1902-8G STORM ZŁOTA")</f>
        <v>BATERIA PRYSZNICOWA MY1902-8G STORM ZŁOTA</v>
      </c>
      <c r="E145" s="31">
        <v>83.024390243902445</v>
      </c>
      <c r="F145" s="31">
        <f t="shared" si="2"/>
        <v>102.12</v>
      </c>
    </row>
    <row r="146" spans="1:6" ht="18.75" customHeight="1" x14ac:dyDescent="0.25">
      <c r="A146" s="2" t="str">
        <f ca="1">IFERROR(__xludf.DUMMYFUNCTION("""COMPUTED_VALUE"""),"REA-B6406")</f>
        <v>REA-B6406</v>
      </c>
      <c r="B146" s="3">
        <f ca="1">IFERROR(__xludf.DUMMYFUNCTION("""COMPUTED_VALUE"""),51093)</f>
        <v>51093</v>
      </c>
      <c r="C146" s="3">
        <f ca="1">IFERROR(__xludf.DUMMYFUNCTION("""COMPUTED_VALUE"""),5902557393022)</f>
        <v>5902557393022</v>
      </c>
      <c r="D146" s="4" t="str">
        <f ca="1">IFERROR(__xludf.DUMMYFUNCTION("""COMPUTED_VALUE"""),"BATERIA PRYSZNICOWA MY2021-8B ARGUS CZARNA")</f>
        <v>BATERIA PRYSZNICOWA MY2021-8B ARGUS CZARNA</v>
      </c>
      <c r="E146" s="31">
        <v>54.146341463414643</v>
      </c>
      <c r="F146" s="31">
        <f t="shared" si="2"/>
        <v>66.600000000000009</v>
      </c>
    </row>
    <row r="147" spans="1:6" ht="18.75" customHeight="1" x14ac:dyDescent="0.25">
      <c r="A147" s="2" t="str">
        <f ca="1">IFERROR(__xludf.DUMMYFUNCTION("""COMPUTED_VALUE"""),"REA-B6408")</f>
        <v>REA-B6408</v>
      </c>
      <c r="B147" s="3">
        <f ca="1">IFERROR(__xludf.DUMMYFUNCTION("""COMPUTED_VALUE"""),51103)</f>
        <v>51103</v>
      </c>
      <c r="C147" s="3">
        <f ca="1">IFERROR(__xludf.DUMMYFUNCTION("""COMPUTED_VALUE"""),5902557393060)</f>
        <v>5902557393060</v>
      </c>
      <c r="D147" s="4" t="str">
        <f ca="1">IFERROR(__xludf.DUMMYFUNCTION("""COMPUTED_VALUE"""),"BATERIA PRYSZNICOWA MY2021-8G ARGUS ZŁOTA POŁYSK")</f>
        <v>BATERIA PRYSZNICOWA MY2021-8G ARGUS ZŁOTA POŁYSK</v>
      </c>
      <c r="E147" s="31">
        <v>67.682926829268297</v>
      </c>
      <c r="F147" s="31">
        <f t="shared" si="2"/>
        <v>83.25</v>
      </c>
    </row>
    <row r="148" spans="1:6" ht="18.75" customHeight="1" x14ac:dyDescent="0.25">
      <c r="A148" s="2" t="str">
        <f ca="1">IFERROR(__xludf.DUMMYFUNCTION("""COMPUTED_VALUE"""),"REA-B6413")</f>
        <v>REA-B6413</v>
      </c>
      <c r="B148" s="3">
        <f ca="1">IFERROR(__xludf.DUMMYFUNCTION("""COMPUTED_VALUE"""),51112)</f>
        <v>51112</v>
      </c>
      <c r="C148" s="3">
        <f ca="1">IFERROR(__xludf.DUMMYFUNCTION("""COMPUTED_VALUE"""),5902557393114)</f>
        <v>5902557393114</v>
      </c>
      <c r="D148" s="4" t="str">
        <f ca="1">IFERROR(__xludf.DUMMYFUNCTION("""COMPUTED_VALUE"""),"BATERIA PRYSZNICOWA MY2021-8GG ARGUS ZŁOTA SZCZOTK")</f>
        <v>BATERIA PRYSZNICOWA MY2021-8GG ARGUS ZŁOTA SZCZOTK</v>
      </c>
      <c r="E148" s="31">
        <v>66.780487804878049</v>
      </c>
      <c r="F148" s="31">
        <f t="shared" si="2"/>
        <v>82.14</v>
      </c>
    </row>
    <row r="149" spans="1:6" ht="18.75" customHeight="1" x14ac:dyDescent="0.25">
      <c r="A149" s="2" t="str">
        <f ca="1">IFERROR(__xludf.DUMMYFUNCTION("""COMPUTED_VALUE"""),"REA-B6402")</f>
        <v>REA-B6402</v>
      </c>
      <c r="B149" s="3">
        <f ca="1">IFERROR(__xludf.DUMMYFUNCTION("""COMPUTED_VALUE"""),51080)</f>
        <v>51080</v>
      </c>
      <c r="C149" s="3">
        <f ca="1">IFERROR(__xludf.DUMMYFUNCTION("""COMPUTED_VALUE"""),5902557392995)</f>
        <v>5902557392995</v>
      </c>
      <c r="D149" s="4" t="str">
        <f ca="1">IFERROR(__xludf.DUMMYFUNCTION("""COMPUTED_VALUE"""),"BATERIA PRYSZNICOWA MY2061-8B HASS CZARNA")</f>
        <v>BATERIA PRYSZNICOWA MY2061-8B HASS CZARNA</v>
      </c>
      <c r="E149" s="31">
        <v>66.780487804878049</v>
      </c>
      <c r="F149" s="31">
        <f t="shared" si="2"/>
        <v>82.14</v>
      </c>
    </row>
    <row r="150" spans="1:6" ht="18.75" customHeight="1" x14ac:dyDescent="0.25">
      <c r="A150" s="2" t="str">
        <f ca="1">IFERROR(__xludf.DUMMYFUNCTION("""COMPUTED_VALUE"""),"REA-B6403")</f>
        <v>REA-B6403</v>
      </c>
      <c r="B150" s="3">
        <f ca="1">IFERROR(__xludf.DUMMYFUNCTION("""COMPUTED_VALUE"""),51086)</f>
        <v>51086</v>
      </c>
      <c r="C150" s="3">
        <f ca="1">IFERROR(__xludf.DUMMYFUNCTION("""COMPUTED_VALUE"""),5902557393008)</f>
        <v>5902557393008</v>
      </c>
      <c r="D150" s="4" t="str">
        <f ca="1">IFERROR(__xludf.DUMMYFUNCTION("""COMPUTED_VALUE"""),"BATERIA PRYSZNICOWA MY2061-8GG HASS ZŁOTA SZCZO")</f>
        <v>BATERIA PRYSZNICOWA MY2061-8GG HASS ZŁOTA SZCZO</v>
      </c>
      <c r="E150" s="31">
        <v>84.82926829268294</v>
      </c>
      <c r="F150" s="31">
        <f t="shared" si="2"/>
        <v>104.34000000000002</v>
      </c>
    </row>
    <row r="151" spans="1:6" ht="18.75" customHeight="1" x14ac:dyDescent="0.25">
      <c r="A151" s="2" t="str">
        <f ca="1">IFERROR(__xludf.DUMMYFUNCTION("""COMPUTED_VALUE"""),"REA-B6421")</f>
        <v>REA-B6421</v>
      </c>
      <c r="B151" s="3">
        <f ca="1">IFERROR(__xludf.DUMMYFUNCTION("""COMPUTED_VALUE"""),51101)</f>
        <v>51101</v>
      </c>
      <c r="C151" s="3">
        <f ca="1">IFERROR(__xludf.DUMMYFUNCTION("""COMPUTED_VALUE"""),5902557393206)</f>
        <v>5902557393206</v>
      </c>
      <c r="D151" s="4" t="str">
        <f ca="1">IFERROR(__xludf.DUMMYFUNCTION("""COMPUTED_VALUE"""),"BATERIA PRYSZNICOWA MY2102-8C VENETA CHROM")</f>
        <v>BATERIA PRYSZNICOWA MY2102-8C VENETA CHROM</v>
      </c>
      <c r="E151" s="31">
        <v>62.268292682926841</v>
      </c>
      <c r="F151" s="31">
        <f t="shared" si="2"/>
        <v>76.590000000000018</v>
      </c>
    </row>
    <row r="152" spans="1:6" ht="18.75" customHeight="1" x14ac:dyDescent="0.25">
      <c r="A152" s="2" t="str">
        <f ca="1">IFERROR(__xludf.DUMMYFUNCTION("""COMPUTED_VALUE"""),"REA-B6420")</f>
        <v>REA-B6420</v>
      </c>
      <c r="B152" s="3">
        <f ca="1">IFERROR(__xludf.DUMMYFUNCTION("""COMPUTED_VALUE"""),51109)</f>
        <v>51109</v>
      </c>
      <c r="C152" s="3">
        <f ca="1">IFERROR(__xludf.DUMMYFUNCTION("""COMPUTED_VALUE"""),5902557393213)</f>
        <v>5902557393213</v>
      </c>
      <c r="D152" s="4" t="str">
        <f ca="1">IFERROR(__xludf.DUMMYFUNCTION("""COMPUTED_VALUE"""),"BATERIA PRYSZNICOWA MY2102-8G VENETA ZŁOTA")</f>
        <v>BATERIA PRYSZNICOWA MY2102-8G VENETA ZŁOTA</v>
      </c>
      <c r="E152" s="31">
        <v>74.902439024390262</v>
      </c>
      <c r="F152" s="31">
        <f t="shared" si="2"/>
        <v>92.130000000000024</v>
      </c>
    </row>
    <row r="153" spans="1:6" ht="18.75" customHeight="1" x14ac:dyDescent="0.25">
      <c r="A153" s="2" t="str">
        <f ca="1">IFERROR(__xludf.DUMMYFUNCTION("""COMPUTED_VALUE"""),"REA-P0801")</f>
        <v>REA-P0801</v>
      </c>
      <c r="B153" s="3">
        <f ca="1">IFERROR(__xludf.DUMMYFUNCTION("""COMPUTED_VALUE"""),13197)</f>
        <v>13197</v>
      </c>
      <c r="C153" s="3">
        <f ca="1">IFERROR(__xludf.DUMMYFUNCTION("""COMPUTED_VALUE"""),5902557315543)</f>
        <v>5902557315543</v>
      </c>
      <c r="D153" s="4" t="str">
        <f ca="1">IFERROR(__xludf.DUMMYFUNCTION("""COMPUTED_VALUE"""),"BATERIA PRYSZNICOWA PODTYNKOWA BRITO CHROM")</f>
        <v>BATERIA PRYSZNICOWA PODTYNKOWA BRITO CHROM</v>
      </c>
      <c r="E153" s="31">
        <v>124.53658536585368</v>
      </c>
      <c r="F153" s="31">
        <f t="shared" si="2"/>
        <v>153.18000000000004</v>
      </c>
    </row>
    <row r="154" spans="1:6" ht="18.75" customHeight="1" x14ac:dyDescent="0.25">
      <c r="A154" s="2" t="str">
        <f ca="1">IFERROR(__xludf.DUMMYFUNCTION("""COMPUTED_VALUE"""),"REA-B0639")</f>
        <v>REA-B0639</v>
      </c>
      <c r="B154" s="3">
        <f ca="1">IFERROR(__xludf.DUMMYFUNCTION("""COMPUTED_VALUE"""),7177)</f>
        <v>7177</v>
      </c>
      <c r="C154" s="3">
        <f ca="1">IFERROR(__xludf.DUMMYFUNCTION("""COMPUTED_VALUE"""),5902557302505)</f>
        <v>5902557302505</v>
      </c>
      <c r="D154" s="4" t="str">
        <f ca="1">IFERROR(__xludf.DUMMYFUNCTION("""COMPUTED_VALUE"""),"BATERIA PRYSZNICOWA PODTYNKOWA RAINFORCE CHROM")</f>
        <v>BATERIA PRYSZNICOWA PODTYNKOWA RAINFORCE CHROM</v>
      </c>
      <c r="E154" s="31">
        <v>97.463414634146361</v>
      </c>
      <c r="F154" s="31">
        <f t="shared" si="2"/>
        <v>119.88000000000002</v>
      </c>
    </row>
    <row r="155" spans="1:6" ht="18.75" customHeight="1" x14ac:dyDescent="0.25">
      <c r="A155" s="2" t="str">
        <f ca="1">IFERROR(__xludf.DUMMYFUNCTION("""COMPUTED_VALUE"""),"REA-B7900")</f>
        <v>REA-B7900</v>
      </c>
      <c r="B155" s="3">
        <f ca="1">IFERROR(__xludf.DUMMYFUNCTION("""COMPUTED_VALUE"""),53653)</f>
        <v>53653</v>
      </c>
      <c r="C155" s="3">
        <f ca="1">IFERROR(__xludf.DUMMYFUNCTION("""COMPUTED_VALUE"""),5906366003585)</f>
        <v>5906366003585</v>
      </c>
      <c r="D155" s="4" t="str">
        <f ca="1">IFERROR(__xludf.DUMMYFUNCTION("""COMPUTED_VALUE"""),"BATERIA PRYSZNICOWA VERSO CZARNA")</f>
        <v>BATERIA PRYSZNICOWA VERSO CZARNA</v>
      </c>
      <c r="E155" s="31">
        <v>76.707317073170742</v>
      </c>
      <c r="F155" s="31">
        <f t="shared" si="2"/>
        <v>94.350000000000009</v>
      </c>
    </row>
    <row r="156" spans="1:6" ht="18.75" customHeight="1" x14ac:dyDescent="0.25">
      <c r="A156" s="2" t="str">
        <f ca="1">IFERROR(__xludf.DUMMYFUNCTION("""COMPUTED_VALUE"""),"REA-B6566")</f>
        <v>REA-B6566</v>
      </c>
      <c r="B156" s="3">
        <f ca="1">IFERROR(__xludf.DUMMYFUNCTION("""COMPUTED_VALUE"""),46452)</f>
        <v>46452</v>
      </c>
      <c r="C156" s="3">
        <f ca="1">IFERROR(__xludf.DUMMYFUNCTION("""COMPUTED_VALUE"""),5902557375479)</f>
        <v>5902557375479</v>
      </c>
      <c r="D156" s="4" t="str">
        <f ca="1">IFERROR(__xludf.DUMMYFUNCTION("""COMPUTED_VALUE"""),"BATERIA PRYSZNICOWA VERSO ZŁOTA SZCZOTKOWANA")</f>
        <v>BATERIA PRYSZNICOWA VERSO ZŁOTA SZCZOTKOWANA</v>
      </c>
      <c r="E156" s="31">
        <v>84.82926829268294</v>
      </c>
      <c r="F156" s="31">
        <f t="shared" si="2"/>
        <v>104.34000000000002</v>
      </c>
    </row>
    <row r="157" spans="1:6" ht="18.75" customHeight="1" x14ac:dyDescent="0.25">
      <c r="A157" s="2" t="str">
        <f ca="1">IFERROR(__xludf.DUMMYFUNCTION("""COMPUTED_VALUE"""),"REA-B2055")</f>
        <v>REA-B2055</v>
      </c>
      <c r="B157" s="3">
        <f ca="1">IFERROR(__xludf.DUMMYFUNCTION("""COMPUTED_VALUE"""),44993)</f>
        <v>44993</v>
      </c>
      <c r="C157" s="3">
        <f ca="1">IFERROR(__xludf.DUMMYFUNCTION("""COMPUTED_VALUE"""),5902557370665)</f>
        <v>5902557370665</v>
      </c>
      <c r="D157" s="4" t="str">
        <f ca="1">IFERROR(__xludf.DUMMYFUNCTION("""COMPUTED_VALUE"""),"BATERIA UMY JS-B215-1GB  ORBIT CZARNA/ZŁOTA WYSOKA")</f>
        <v>BATERIA UMY JS-B215-1GB  ORBIT CZARNA/ZŁOTA WYSOKA</v>
      </c>
      <c r="E157" s="31">
        <v>80.317073170731717</v>
      </c>
      <c r="F157" s="31">
        <f t="shared" si="2"/>
        <v>98.79</v>
      </c>
    </row>
    <row r="158" spans="1:6" ht="18.75" customHeight="1" x14ac:dyDescent="0.25">
      <c r="A158" s="2" t="str">
        <f ca="1">IFERROR(__xludf.DUMMYFUNCTION("""COMPUTED_VALUE"""),"REA-B6412")</f>
        <v>REA-B6412</v>
      </c>
      <c r="B158" s="3">
        <f ca="1">IFERROR(__xludf.DUMMYFUNCTION("""COMPUTED_VALUE"""),51115)</f>
        <v>51115</v>
      </c>
      <c r="C158" s="3">
        <f ca="1">IFERROR(__xludf.DUMMYFUNCTION("""COMPUTED_VALUE"""),5902557393107)</f>
        <v>5902557393107</v>
      </c>
      <c r="D158" s="4" t="str">
        <f ca="1">IFERROR(__xludf.DUMMYFUNCTION("""COMPUTED_VALUE"""),"BATERIA UMY MY2021-21GG ARGUS ZŁOTA SZCZOTK WYSOKA")</f>
        <v>BATERIA UMY MY2021-21GG ARGUS ZŁOTA SZCZOTK WYSOKA</v>
      </c>
      <c r="E158" s="31">
        <v>74.902439024390262</v>
      </c>
      <c r="F158" s="31">
        <f t="shared" si="2"/>
        <v>92.130000000000024</v>
      </c>
    </row>
    <row r="159" spans="1:6" ht="18.75" customHeight="1" x14ac:dyDescent="0.25">
      <c r="A159" s="2" t="str">
        <f ca="1">IFERROR(__xludf.DUMMYFUNCTION("""COMPUTED_VALUE"""),"REA-B6410")</f>
        <v>REA-B6410</v>
      </c>
      <c r="B159" s="3">
        <f ca="1">IFERROR(__xludf.DUMMYFUNCTION("""COMPUTED_VALUE"""),51114)</f>
        <v>51114</v>
      </c>
      <c r="C159" s="3">
        <f ca="1">IFERROR(__xludf.DUMMYFUNCTION("""COMPUTED_VALUE"""),5902557393084)</f>
        <v>5902557393084</v>
      </c>
      <c r="D159" s="4" t="str">
        <f ca="1">IFERROR(__xludf.DUMMYFUNCTION("""COMPUTED_VALUE"""),"BATERIA UMY MY2021-2GG ARGUS ZŁOTA SZCZOTK NISKA")</f>
        <v>BATERIA UMY MY2021-2GG ARGUS ZŁOTA SZCZOTK NISKA</v>
      </c>
      <c r="E159" s="31">
        <v>69.487804878048792</v>
      </c>
      <c r="F159" s="31">
        <f t="shared" si="2"/>
        <v>85.470000000000013</v>
      </c>
    </row>
    <row r="160" spans="1:6" ht="18.75" customHeight="1" x14ac:dyDescent="0.25">
      <c r="A160" s="2" t="str">
        <f ca="1">IFERROR(__xludf.DUMMYFUNCTION("""COMPUTED_VALUE"""),"REA-B9142")</f>
        <v>REA-B9142</v>
      </c>
      <c r="B160" s="3">
        <f ca="1">IFERROR(__xludf.DUMMYFUNCTION("""COMPUTED_VALUE"""),47611)</f>
        <v>47611</v>
      </c>
      <c r="C160" s="3">
        <f ca="1">IFERROR(__xludf.DUMMYFUNCTION("""COMPUTED_VALUE"""),5902557376452)</f>
        <v>5902557376452</v>
      </c>
      <c r="D160" s="4" t="str">
        <f ca="1">IFERROR(__xludf.DUMMYFUNCTION("""COMPUTED_VALUE"""),"BATERIA UMY PODTYNK MILD CZARNA/RÓŻOWE ZŁOTO + BOX")</f>
        <v>BATERIA UMY PODTYNK MILD CZARNA/RÓŻOWE ZŁOTO + BOX</v>
      </c>
      <c r="E160" s="31">
        <v>110.09756097560977</v>
      </c>
      <c r="F160" s="31">
        <f t="shared" si="2"/>
        <v>135.42000000000002</v>
      </c>
    </row>
    <row r="161" spans="1:6" ht="18.75" customHeight="1" x14ac:dyDescent="0.25">
      <c r="A161" s="2" t="str">
        <f ca="1">IFERROR(__xludf.DUMMYFUNCTION("""COMPUTED_VALUE"""),"REA-B6217")</f>
        <v>REA-B6217</v>
      </c>
      <c r="B161" s="3">
        <f ca="1">IFERROR(__xludf.DUMMYFUNCTION("""COMPUTED_VALUE"""),51360)</f>
        <v>51360</v>
      </c>
      <c r="C161" s="3">
        <f ca="1">IFERROR(__xludf.DUMMYFUNCTION("""COMPUTED_VALUE"""),5902557391264)</f>
        <v>5902557391264</v>
      </c>
      <c r="D161" s="4" t="str">
        <f ca="1">IFERROR(__xludf.DUMMYFUNCTION("""COMPUTED_VALUE"""),"BATERIA UMYW JS-B253-1BG LEVEL ZŁOTA SZCZO WYSOKA")</f>
        <v>BATERIA UMYW JS-B253-1BG LEVEL ZŁOTA SZCZO WYSOKA</v>
      </c>
      <c r="E161" s="31">
        <v>72.195121951219519</v>
      </c>
      <c r="F161" s="31">
        <f t="shared" si="2"/>
        <v>88.800000000000011</v>
      </c>
    </row>
    <row r="162" spans="1:6" ht="18.75" customHeight="1" x14ac:dyDescent="0.25">
      <c r="A162" s="2" t="str">
        <f ca="1">IFERROR(__xludf.DUMMYFUNCTION("""COMPUTED_VALUE"""),"REA-B6218")</f>
        <v>REA-B6218</v>
      </c>
      <c r="B162" s="3">
        <f ca="1">IFERROR(__xludf.DUMMYFUNCTION("""COMPUTED_VALUE"""),51359)</f>
        <v>51359</v>
      </c>
      <c r="C162" s="3">
        <f ca="1">IFERROR(__xludf.DUMMYFUNCTION("""COMPUTED_VALUE"""),5902557391257)</f>
        <v>5902557391257</v>
      </c>
      <c r="D162" s="4" t="str">
        <f ca="1">IFERROR(__xludf.DUMMYFUNCTION("""COMPUTED_VALUE"""),"BATERIA UMYW JS-B253BG  LEVEL ZŁOTA SZCZO NISKA")</f>
        <v>BATERIA UMYW JS-B253BG  LEVEL ZŁOTA SZCZO NISKA</v>
      </c>
      <c r="E162" s="31">
        <v>55.048780487804883</v>
      </c>
      <c r="F162" s="31">
        <f t="shared" si="2"/>
        <v>67.710000000000008</v>
      </c>
    </row>
    <row r="163" spans="1:6" ht="18.75" customHeight="1" x14ac:dyDescent="0.25">
      <c r="A163" s="2" t="str">
        <f ca="1">IFERROR(__xludf.DUMMYFUNCTION("""COMPUTED_VALUE"""),"REA-B9936")</f>
        <v>REA-B9936</v>
      </c>
      <c r="B163" s="3">
        <f ca="1">IFERROR(__xludf.DUMMYFUNCTION("""COMPUTED_VALUE"""),44591)</f>
        <v>44591</v>
      </c>
      <c r="C163" s="3">
        <f ca="1">IFERROR(__xludf.DUMMYFUNCTION("""COMPUTED_VALUE"""),5902557368914)</f>
        <v>5902557368914</v>
      </c>
      <c r="D163" s="4" t="str">
        <f ca="1">IFERROR(__xludf.DUMMYFUNCTION("""COMPUTED_VALUE"""),"BATERIA UMYW MY1805-21BG BLOOM CZARNA/ZŁOTA WYSOKA")</f>
        <v>BATERIA UMYW MY1805-21BG BLOOM CZARNA/ZŁOTA WYSOKA</v>
      </c>
      <c r="E163" s="31">
        <v>85.731707317073173</v>
      </c>
      <c r="F163" s="31">
        <f t="shared" si="2"/>
        <v>105.45</v>
      </c>
    </row>
    <row r="164" spans="1:6" ht="18.75" customHeight="1" x14ac:dyDescent="0.25">
      <c r="A164" s="2" t="str">
        <f ca="1">IFERROR(__xludf.DUMMYFUNCTION("""COMPUTED_VALUE"""),"REA-B9978")</f>
        <v>REA-B9978</v>
      </c>
      <c r="B164" s="3">
        <f ca="1">IFERROR(__xludf.DUMMYFUNCTION("""COMPUTED_VALUE"""),44603)</f>
        <v>44603</v>
      </c>
      <c r="C164" s="3">
        <f ca="1">IFERROR(__xludf.DUMMYFUNCTION("""COMPUTED_VALUE"""),5902557368990)</f>
        <v>5902557368990</v>
      </c>
      <c r="D164" s="4" t="str">
        <f ca="1">IFERROR(__xludf.DUMMYFUNCTION("""COMPUTED_VALUE"""),"BATERIA UMYW MY1806-21BG POLO CZARNA/ZŁOTA WYSOKA")</f>
        <v>BATERIA UMYW MY1806-21BG POLO CZARNA/ZŁOTA WYSOKA</v>
      </c>
      <c r="E164" s="31">
        <v>63.170731707317081</v>
      </c>
      <c r="F164" s="31">
        <f t="shared" si="2"/>
        <v>77.7</v>
      </c>
    </row>
    <row r="165" spans="1:6" ht="18.75" customHeight="1" x14ac:dyDescent="0.25">
      <c r="A165" s="2" t="str">
        <f ca="1">IFERROR(__xludf.DUMMYFUNCTION("""COMPUTED_VALUE"""),"REA-B9971")</f>
        <v>REA-B9971</v>
      </c>
      <c r="B165" s="3">
        <f ca="1">IFERROR(__xludf.DUMMYFUNCTION("""COMPUTED_VALUE"""),44619)</f>
        <v>44619</v>
      </c>
      <c r="C165" s="3">
        <f ca="1">IFERROR(__xludf.DUMMYFUNCTION("""COMPUTED_VALUE"""),5902557369331)</f>
        <v>5902557369331</v>
      </c>
      <c r="D165" s="4" t="str">
        <f ca="1">IFERROR(__xludf.DUMMYFUNCTION("""COMPUTED_VALUE"""),"BATERIA UMYW MY2061-21GG HASS ZŁOTA SZCZOT WYSOKA")</f>
        <v>BATERIA UMYW MY2061-21GG HASS ZŁOTA SZCZOT WYSOKA</v>
      </c>
      <c r="E165" s="31">
        <v>103.78048780487806</v>
      </c>
      <c r="F165" s="31">
        <f t="shared" si="2"/>
        <v>127.65000000000002</v>
      </c>
    </row>
    <row r="166" spans="1:6" ht="18.75" customHeight="1" x14ac:dyDescent="0.25">
      <c r="A166" s="2" t="str">
        <f ca="1">IFERROR(__xludf.DUMMYFUNCTION("""COMPUTED_VALUE"""),"REA-B9969")</f>
        <v>REA-B9969</v>
      </c>
      <c r="B166" s="3">
        <f ca="1">IFERROR(__xludf.DUMMYFUNCTION("""COMPUTED_VALUE"""),44618)</f>
        <v>44618</v>
      </c>
      <c r="C166" s="3">
        <f ca="1">IFERROR(__xludf.DUMMYFUNCTION("""COMPUTED_VALUE"""),5902557369317)</f>
        <v>5902557369317</v>
      </c>
      <c r="D166" s="4" t="str">
        <f ca="1">IFERROR(__xludf.DUMMYFUNCTION("""COMPUTED_VALUE"""),"BATERIA UMYW MY2061-2GG HASS ZŁOTA SZCZOTKOW NISKA")</f>
        <v>BATERIA UMYW MY2061-2GG HASS ZŁOTA SZCZOTKOW NISKA</v>
      </c>
      <c r="E166" s="31">
        <v>74.000000000000014</v>
      </c>
      <c r="F166" s="31">
        <f t="shared" si="2"/>
        <v>91.02000000000001</v>
      </c>
    </row>
    <row r="167" spans="1:6" ht="18.75" customHeight="1" x14ac:dyDescent="0.25">
      <c r="A167" s="2" t="str">
        <f ca="1">IFERROR(__xludf.DUMMYFUNCTION("""COMPUTED_VALUE"""),"REA-B0227")</f>
        <v>REA-B0227</v>
      </c>
      <c r="B167" s="3">
        <f ca="1">IFERROR(__xludf.DUMMYFUNCTION("""COMPUTED_VALUE"""),17820)</f>
        <v>17820</v>
      </c>
      <c r="C167" s="3">
        <f ca="1">IFERROR(__xludf.DUMMYFUNCTION("""COMPUTED_VALUE"""),5902557331710)</f>
        <v>5902557331710</v>
      </c>
      <c r="D167" s="4" t="str">
        <f ca="1">IFERROR(__xludf.DUMMYFUNCTION("""COMPUTED_VALUE"""),"BATERIA UMYW VINTAGE CZARNA PRZECIERANA WYSOKA")</f>
        <v>BATERIA UMYW VINTAGE CZARNA PRZECIERANA WYSOKA</v>
      </c>
      <c r="E167" s="31">
        <v>76.707317073170742</v>
      </c>
      <c r="F167" s="31">
        <f t="shared" si="2"/>
        <v>94.350000000000009</v>
      </c>
    </row>
    <row r="168" spans="1:6" ht="18.75" customHeight="1" x14ac:dyDescent="0.25">
      <c r="A168" s="2" t="str">
        <f ca="1">IFERROR(__xludf.DUMMYFUNCTION("""COMPUTED_VALUE"""),"REA-B2053")</f>
        <v>REA-B2053</v>
      </c>
      <c r="B168" s="3">
        <f ca="1">IFERROR(__xludf.DUMMYFUNCTION("""COMPUTED_VALUE"""),44997)</f>
        <v>44997</v>
      </c>
      <c r="C168" s="3">
        <f ca="1">IFERROR(__xludf.DUMMYFUNCTION("""COMPUTED_VALUE"""),5902557370641)</f>
        <v>5902557370641</v>
      </c>
      <c r="D168" s="4" t="str">
        <f ca="1">IFERROR(__xludf.DUMMYFUNCTION("""COMPUTED_VALUE"""),"BATERIA UMYWA JS-B215-1G  ORBIT BIAŁA/ZŁOTA WYSOKA")</f>
        <v>BATERIA UMYWA JS-B215-1G  ORBIT BIAŁA/ZŁOTA WYSOKA</v>
      </c>
      <c r="E168" s="31">
        <v>83.024390243902445</v>
      </c>
      <c r="F168" s="31">
        <f t="shared" si="2"/>
        <v>102.12</v>
      </c>
    </row>
    <row r="169" spans="1:6" ht="18.75" customHeight="1" x14ac:dyDescent="0.25">
      <c r="A169" s="2" t="str">
        <f ca="1">IFERROR(__xludf.DUMMYFUNCTION("""COMPUTED_VALUE"""),"REA-B5319")</f>
        <v>REA-B5319</v>
      </c>
      <c r="B169" s="3">
        <f ca="1">IFERROR(__xludf.DUMMYFUNCTION("""COMPUTED_VALUE"""),51186)</f>
        <v>51186</v>
      </c>
      <c r="C169" s="3">
        <f ca="1">IFERROR(__xludf.DUMMYFUNCTION("""COMPUTED_VALUE"""),5902557391523)</f>
        <v>5902557391523</v>
      </c>
      <c r="D169" s="4" t="str">
        <f ca="1">IFERROR(__xludf.DUMMYFUNCTION("""COMPUTED_VALUE"""),"BATERIA UMYWA JS-B310-1BG FOSS ZŁOTA SZCZ WYSOKA")</f>
        <v>BATERIA UMYWA JS-B310-1BG FOSS ZŁOTA SZCZ WYSOKA</v>
      </c>
      <c r="E169" s="31">
        <v>47.829268292682933</v>
      </c>
      <c r="F169" s="31">
        <f t="shared" si="2"/>
        <v>58.830000000000005</v>
      </c>
    </row>
    <row r="170" spans="1:6" ht="18.75" customHeight="1" x14ac:dyDescent="0.25">
      <c r="A170" s="2" t="str">
        <f ca="1">IFERROR(__xludf.DUMMYFUNCTION("""COMPUTED_VALUE"""),"REA-B5329")</f>
        <v>REA-B5329</v>
      </c>
      <c r="B170" s="3">
        <f ca="1">IFERROR(__xludf.DUMMYFUNCTION("""COMPUTED_VALUE"""),51183)</f>
        <v>51183</v>
      </c>
      <c r="C170" s="3">
        <f ca="1">IFERROR(__xludf.DUMMYFUNCTION("""COMPUTED_VALUE"""),5902557391592)</f>
        <v>5902557391592</v>
      </c>
      <c r="D170" s="4" t="str">
        <f ca="1">IFERROR(__xludf.DUMMYFUNCTION("""COMPUTED_VALUE"""),"BATERIA UMYWA JS-B311-1BG CLIF ZŁOTA SZCZO WYSOKA")</f>
        <v>BATERIA UMYWA JS-B311-1BG CLIF ZŁOTA SZCZO WYSOKA</v>
      </c>
      <c r="E170" s="31">
        <v>63.170731707317081</v>
      </c>
      <c r="F170" s="31">
        <f t="shared" si="2"/>
        <v>77.7</v>
      </c>
    </row>
    <row r="171" spans="1:6" ht="18.75" customHeight="1" x14ac:dyDescent="0.25">
      <c r="A171" s="2" t="str">
        <f ca="1">IFERROR(__xludf.DUMMYFUNCTION("""COMPUTED_VALUE"""),"REA-B5328")</f>
        <v>REA-B5328</v>
      </c>
      <c r="B171" s="3">
        <f ca="1">IFERROR(__xludf.DUMMYFUNCTION("""COMPUTED_VALUE"""),51189)</f>
        <v>51189</v>
      </c>
      <c r="C171" s="3">
        <f ca="1">IFERROR(__xludf.DUMMYFUNCTION("""COMPUTED_VALUE"""),5902557391608)</f>
        <v>5902557391608</v>
      </c>
      <c r="D171" s="4" t="str">
        <f ca="1">IFERROR(__xludf.DUMMYFUNCTION("""COMPUTED_VALUE"""),"BATERIA UMYWA JS-B311-1GG CLIF GUN SZARA WYSOKA")</f>
        <v>BATERIA UMYWA JS-B311-1GG CLIF GUN SZARA WYSOKA</v>
      </c>
      <c r="E171" s="31">
        <v>63.170731707317081</v>
      </c>
      <c r="F171" s="31">
        <f t="shared" si="2"/>
        <v>77.7</v>
      </c>
    </row>
    <row r="172" spans="1:6" ht="18.75" customHeight="1" x14ac:dyDescent="0.25">
      <c r="A172" s="2" t="str">
        <f ca="1">IFERROR(__xludf.DUMMYFUNCTION("""COMPUTED_VALUE"""),"REA-B5330")</f>
        <v>REA-B5330</v>
      </c>
      <c r="B172" s="3">
        <f ca="1">IFERROR(__xludf.DUMMYFUNCTION("""COMPUTED_VALUE"""),51184)</f>
        <v>51184</v>
      </c>
      <c r="C172" s="3">
        <f ca="1">IFERROR(__xludf.DUMMYFUNCTION("""COMPUTED_VALUE"""),5902557391585)</f>
        <v>5902557391585</v>
      </c>
      <c r="D172" s="4" t="str">
        <f ca="1">IFERROR(__xludf.DUMMYFUNCTION("""COMPUTED_VALUE"""),"BATERIA UMYWA JS-B311-1N CLIF NIKIEL SZCZO WYSOKA")</f>
        <v>BATERIA UMYWA JS-B311-1N CLIF NIKIEL SZCZO WYSOKA</v>
      </c>
      <c r="E172" s="31">
        <v>46.926829268292686</v>
      </c>
      <c r="F172" s="31">
        <f t="shared" si="2"/>
        <v>57.72</v>
      </c>
    </row>
    <row r="173" spans="1:6" ht="18.75" customHeight="1" x14ac:dyDescent="0.25">
      <c r="A173" s="2" t="str">
        <f ca="1">IFERROR(__xludf.DUMMYFUNCTION("""COMPUTED_VALUE"""),"REA-B9917")</f>
        <v>REA-B9917</v>
      </c>
      <c r="B173" s="3">
        <f ca="1">IFERROR(__xludf.DUMMYFUNCTION("""COMPUTED_VALUE"""),44593)</f>
        <v>44593</v>
      </c>
      <c r="C173" s="3">
        <f ca="1">IFERROR(__xludf.DUMMYFUNCTION("""COMPUTED_VALUE"""),5902557368839)</f>
        <v>5902557368839</v>
      </c>
      <c r="D173" s="4" t="str">
        <f ca="1">IFERROR(__xludf.DUMMYFUNCTION("""COMPUTED_VALUE"""),"BATERIA UMYWA MY1805-21CW BLOOM BIAŁA/CHROM WYSOKA")</f>
        <v>BATERIA UMYWA MY1805-21CW BLOOM BIAŁA/CHROM WYSOKA</v>
      </c>
      <c r="E173" s="31">
        <v>63.170731707317081</v>
      </c>
      <c r="F173" s="31">
        <f t="shared" si="2"/>
        <v>77.7</v>
      </c>
    </row>
    <row r="174" spans="1:6" ht="18.75" customHeight="1" x14ac:dyDescent="0.25">
      <c r="A174" s="2" t="str">
        <f ca="1">IFERROR(__xludf.DUMMYFUNCTION("""COMPUTED_VALUE"""),"REA-B6201")</f>
        <v>REA-B6201</v>
      </c>
      <c r="B174" s="3">
        <f ca="1">IFERROR(__xludf.DUMMYFUNCTION("""COMPUTED_VALUE"""),44910)</f>
        <v>44910</v>
      </c>
      <c r="C174" s="3">
        <f ca="1">IFERROR(__xludf.DUMMYFUNCTION("""COMPUTED_VALUE"""),5902557373642)</f>
        <v>5902557373642</v>
      </c>
      <c r="D174" s="4" t="str">
        <f ca="1">IFERROR(__xludf.DUMMYFUNCTION("""COMPUTED_VALUE"""),"BATERIA UMYWA MY1805-21G BLOOM ZŁOTA POŁYSK WYSOKA")</f>
        <v>BATERIA UMYWA MY1805-21G BLOOM ZŁOTA POŁYSK WYSOKA</v>
      </c>
      <c r="E174" s="31">
        <v>75.804878048780495</v>
      </c>
      <c r="F174" s="31">
        <f t="shared" si="2"/>
        <v>93.240000000000009</v>
      </c>
    </row>
    <row r="175" spans="1:6" ht="18.75" customHeight="1" x14ac:dyDescent="0.25">
      <c r="A175" s="2" t="str">
        <f ca="1">IFERROR(__xludf.DUMMYFUNCTION("""COMPUTED_VALUE"""),"REA-B9931")</f>
        <v>REA-B9931</v>
      </c>
      <c r="B175" s="3">
        <f ca="1">IFERROR(__xludf.DUMMYFUNCTION("""COMPUTED_VALUE"""),44592)</f>
        <v>44592</v>
      </c>
      <c r="C175" s="3">
        <f ca="1">IFERROR(__xludf.DUMMYFUNCTION("""COMPUTED_VALUE"""),5902557368877)</f>
        <v>5902557368877</v>
      </c>
      <c r="D175" s="4" t="str">
        <f ca="1">IFERROR(__xludf.DUMMYFUNCTION("""COMPUTED_VALUE"""),"BATERIA UMYWA MY1805-21WG BLOOM BIAŁA/ZŁOTA WYSOKA")</f>
        <v>BATERIA UMYWA MY1805-21WG BLOOM BIAŁA/ZŁOTA WYSOKA</v>
      </c>
      <c r="E175" s="31">
        <v>85.731707317073173</v>
      </c>
      <c r="F175" s="31">
        <f t="shared" si="2"/>
        <v>105.45</v>
      </c>
    </row>
    <row r="176" spans="1:6" ht="18.75" customHeight="1" x14ac:dyDescent="0.25">
      <c r="A176" s="2" t="str">
        <f ca="1">IFERROR(__xludf.DUMMYFUNCTION("""COMPUTED_VALUE"""),"REA-B9942")</f>
        <v>REA-B9942</v>
      </c>
      <c r="B176" s="3">
        <f ca="1">IFERROR(__xludf.DUMMYFUNCTION("""COMPUTED_VALUE"""),44595)</f>
        <v>44595</v>
      </c>
      <c r="C176" s="3">
        <f ca="1">IFERROR(__xludf.DUMMYFUNCTION("""COMPUTED_VALUE"""),5902557368969)</f>
        <v>5902557368969</v>
      </c>
      <c r="D176" s="4" t="str">
        <f ca="1">IFERROR(__xludf.DUMMYFUNCTION("""COMPUTED_VALUE"""),"BATERIA UMYWA MY1806-21CW POLO BIAŁA/CHROM WYSOKA")</f>
        <v>BATERIA UMYWA MY1806-21CW POLO BIAŁA/CHROM WYSOKA</v>
      </c>
      <c r="E176" s="31">
        <v>59.560975609756099</v>
      </c>
      <c r="F176" s="31">
        <f t="shared" si="2"/>
        <v>73.260000000000005</v>
      </c>
    </row>
    <row r="177" spans="1:6" ht="18.75" customHeight="1" x14ac:dyDescent="0.25">
      <c r="A177" s="2" t="str">
        <f ca="1">IFERROR(__xludf.DUMMYFUNCTION("""COMPUTED_VALUE"""),"REA-B9987")</f>
        <v>REA-B9987</v>
      </c>
      <c r="B177" s="3">
        <f ca="1">IFERROR(__xludf.DUMMYFUNCTION("""COMPUTED_VALUE"""),44635)</f>
        <v>44635</v>
      </c>
      <c r="C177" s="3">
        <f ca="1">IFERROR(__xludf.DUMMYFUNCTION("""COMPUTED_VALUE"""),5902557369089)</f>
        <v>5902557369089</v>
      </c>
      <c r="D177" s="4" t="str">
        <f ca="1">IFERROR(__xludf.DUMMYFUNCTION("""COMPUTED_VALUE"""),"BATERIA UMYWA MY1902-2XBG STORM CZARNA/ZŁOTA NISKA")</f>
        <v>BATERIA UMYWA MY1902-2XBG STORM CZARNA/ZŁOTA NISKA</v>
      </c>
      <c r="E177" s="31">
        <v>70.390243902439025</v>
      </c>
      <c r="F177" s="31">
        <f t="shared" si="2"/>
        <v>86.58</v>
      </c>
    </row>
    <row r="178" spans="1:6" ht="18.75" customHeight="1" x14ac:dyDescent="0.25">
      <c r="A178" s="2" t="str">
        <f ca="1">IFERROR(__xludf.DUMMYFUNCTION("""COMPUTED_VALUE"""),"REA-B6213")</f>
        <v>REA-B6213</v>
      </c>
      <c r="B178" s="3">
        <f ca="1">IFERROR(__xludf.DUMMYFUNCTION("""COMPUTED_VALUE"""),44923)</f>
        <v>44923</v>
      </c>
      <c r="C178" s="3">
        <f ca="1">IFERROR(__xludf.DUMMYFUNCTION("""COMPUTED_VALUE"""),5902557373758)</f>
        <v>5902557373758</v>
      </c>
      <c r="D178" s="4" t="str">
        <f ca="1">IFERROR(__xludf.DUMMYFUNCTION("""COMPUTED_VALUE"""),"BATERIA UMYWA MY2021-21G ARGUS ZŁOTA POŁYSK WYSOKA")</f>
        <v>BATERIA UMYWA MY2021-21G ARGUS ZŁOTA POŁYSK WYSOKA</v>
      </c>
      <c r="E178" s="31">
        <v>67.682926829268297</v>
      </c>
      <c r="F178" s="31">
        <f t="shared" si="2"/>
        <v>83.25</v>
      </c>
    </row>
    <row r="179" spans="1:6" ht="18.75" customHeight="1" x14ac:dyDescent="0.25">
      <c r="A179" s="2" t="str">
        <f ca="1">IFERROR(__xludf.DUMMYFUNCTION("""COMPUTED_VALUE"""),"REA-B5334")</f>
        <v>REA-B5334</v>
      </c>
      <c r="B179" s="3">
        <f ca="1">IFERROR(__xludf.DUMMYFUNCTION("""COMPUTED_VALUE"""),51202)</f>
        <v>51202</v>
      </c>
      <c r="C179" s="3">
        <f ca="1">IFERROR(__xludf.DUMMYFUNCTION("""COMPUTED_VALUE"""),5902557391653)</f>
        <v>5902557391653</v>
      </c>
      <c r="D179" s="4" t="str">
        <f ca="1">IFERROR(__xludf.DUMMYFUNCTION("""COMPUTED_VALUE"""),"BATERIA UMYWA PODTYNKOWA JS-W021BG OWEN ZŁOTA SZCZ")</f>
        <v>BATERIA UMYWA PODTYNKOWA JS-W021BG OWEN ZŁOTA SZCZ</v>
      </c>
      <c r="E179" s="31">
        <v>103.78048780487806</v>
      </c>
      <c r="F179" s="31">
        <f t="shared" si="2"/>
        <v>127.65000000000002</v>
      </c>
    </row>
    <row r="180" spans="1:6" ht="18.75" customHeight="1" x14ac:dyDescent="0.25">
      <c r="A180" s="2" t="str">
        <f ca="1">IFERROR(__xludf.DUMMYFUNCTION("""COMPUTED_VALUE"""),"REA-B5335")</f>
        <v>REA-B5335</v>
      </c>
      <c r="B180" s="3">
        <f ca="1">IFERROR(__xludf.DUMMYFUNCTION("""COMPUTED_VALUE"""),51203)</f>
        <v>51203</v>
      </c>
      <c r="C180" s="3">
        <f ca="1">IFERROR(__xludf.DUMMYFUNCTION("""COMPUTED_VALUE"""),5902557391660)</f>
        <v>5902557391660</v>
      </c>
      <c r="D180" s="4" t="str">
        <f ca="1">IFERROR(__xludf.DUMMYFUNCTION("""COMPUTED_VALUE"""),"BATERIA UMYWA PODTYNKOWA JS-W021N OWEN NIKIEL SZCZ")</f>
        <v>BATERIA UMYWA PODTYNKOWA JS-W021N OWEN NIKIEL SZCZ</v>
      </c>
      <c r="E180" s="31">
        <v>101.97560975609757</v>
      </c>
      <c r="F180" s="31">
        <f t="shared" si="2"/>
        <v>125.43</v>
      </c>
    </row>
    <row r="181" spans="1:6" ht="18.75" customHeight="1" x14ac:dyDescent="0.25">
      <c r="A181" s="2" t="str">
        <f ca="1">IFERROR(__xludf.DUMMYFUNCTION("""COMPUTED_VALUE"""),"REA-B2054")</f>
        <v>REA-B2054</v>
      </c>
      <c r="B181" s="3">
        <f ca="1">IFERROR(__xludf.DUMMYFUNCTION("""COMPUTED_VALUE"""),44994)</f>
        <v>44994</v>
      </c>
      <c r="C181" s="3">
        <f ca="1">IFERROR(__xludf.DUMMYFUNCTION("""COMPUTED_VALUE"""),5902557370658)</f>
        <v>5902557370658</v>
      </c>
      <c r="D181" s="4" t="str">
        <f ca="1">IFERROR(__xludf.DUMMYFUNCTION("""COMPUTED_VALUE"""),"BATERIA UMYWAL JS-B215GB  ORBIT CZARNA/ZŁOTA NISKA")</f>
        <v>BATERIA UMYWAL JS-B215GB  ORBIT CZARNA/ZŁOTA NISKA</v>
      </c>
      <c r="E181" s="31">
        <v>57.756097560975611</v>
      </c>
      <c r="F181" s="31">
        <f t="shared" si="2"/>
        <v>71.040000000000006</v>
      </c>
    </row>
    <row r="182" spans="1:6" ht="18.75" customHeight="1" x14ac:dyDescent="0.25">
      <c r="A182" s="2" t="str">
        <f ca="1">IFERROR(__xludf.DUMMYFUNCTION("""COMPUTED_VALUE"""),"REA-B9933")</f>
        <v>REA-B9933</v>
      </c>
      <c r="B182" s="3">
        <f ca="1">IFERROR(__xludf.DUMMYFUNCTION("""COMPUTED_VALUE"""),44609)</f>
        <v>44609</v>
      </c>
      <c r="C182" s="3">
        <f ca="1">IFERROR(__xludf.DUMMYFUNCTION("""COMPUTED_VALUE"""),5902557368891)</f>
        <v>5902557368891</v>
      </c>
      <c r="D182" s="4" t="str">
        <f ca="1">IFERROR(__xludf.DUMMYFUNCTION("""COMPUTED_VALUE"""),"BATERIA UMYWAL MY1805-2BG BLOOM CZARNA/ZŁOTA NISKA")</f>
        <v>BATERIA UMYWAL MY1805-2BG BLOOM CZARNA/ZŁOTA NISKA</v>
      </c>
      <c r="E182" s="31">
        <v>66.780487804878049</v>
      </c>
      <c r="F182" s="31">
        <f t="shared" si="2"/>
        <v>82.14</v>
      </c>
    </row>
    <row r="183" spans="1:6" ht="18.75" customHeight="1" x14ac:dyDescent="0.25">
      <c r="A183" s="2" t="str">
        <f ca="1">IFERROR(__xludf.DUMMYFUNCTION("""COMPUTED_VALUE"""),"REA-B9915")</f>
        <v>REA-B9915</v>
      </c>
      <c r="B183" s="3">
        <f ca="1">IFERROR(__xludf.DUMMYFUNCTION("""COMPUTED_VALUE"""),44608)</f>
        <v>44608</v>
      </c>
      <c r="C183" s="3">
        <f ca="1">IFERROR(__xludf.DUMMYFUNCTION("""COMPUTED_VALUE"""),5902557368815)</f>
        <v>5902557368815</v>
      </c>
      <c r="D183" s="4" t="str">
        <f ca="1">IFERROR(__xludf.DUMMYFUNCTION("""COMPUTED_VALUE"""),"BATERIA UMYWAL MY1805-2CW BLOOM BIAŁA/CHROM NISKA")</f>
        <v>BATERIA UMYWAL MY1805-2CW BLOOM BIAŁA/CHROM NISKA</v>
      </c>
      <c r="E183" s="31">
        <v>54.146341463414643</v>
      </c>
      <c r="F183" s="31">
        <f t="shared" si="2"/>
        <v>66.600000000000009</v>
      </c>
    </row>
    <row r="184" spans="1:6" ht="18.75" customHeight="1" x14ac:dyDescent="0.25">
      <c r="A184" s="2" t="str">
        <f ca="1">IFERROR(__xludf.DUMMYFUNCTION("""COMPUTED_VALUE"""),"REA-B6200")</f>
        <v>REA-B6200</v>
      </c>
      <c r="B184" s="3">
        <f ca="1">IFERROR(__xludf.DUMMYFUNCTION("""COMPUTED_VALUE"""),44911)</f>
        <v>44911</v>
      </c>
      <c r="C184" s="3">
        <f ca="1">IFERROR(__xludf.DUMMYFUNCTION("""COMPUTED_VALUE"""),5902557373635)</f>
        <v>5902557373635</v>
      </c>
      <c r="D184" s="4" t="str">
        <f ca="1">IFERROR(__xludf.DUMMYFUNCTION("""COMPUTED_VALUE"""),"BATERIA UMYWAL MY1805-2G BLOOM ZŁOTA POŁYSK NISKA")</f>
        <v>BATERIA UMYWAL MY1805-2G BLOOM ZŁOTA POŁYSK NISKA</v>
      </c>
      <c r="E184" s="31">
        <v>61.365853658536594</v>
      </c>
      <c r="F184" s="31">
        <f t="shared" si="2"/>
        <v>75.48</v>
      </c>
    </row>
    <row r="185" spans="1:6" ht="18.75" customHeight="1" x14ac:dyDescent="0.25">
      <c r="A185" s="2" t="str">
        <f ca="1">IFERROR(__xludf.DUMMYFUNCTION("""COMPUTED_VALUE"""),"REA-B9919")</f>
        <v>REA-B9919</v>
      </c>
      <c r="B185" s="3">
        <f ca="1">IFERROR(__xludf.DUMMYFUNCTION("""COMPUTED_VALUE"""),44607)</f>
        <v>44607</v>
      </c>
      <c r="C185" s="3">
        <f ca="1">IFERROR(__xludf.DUMMYFUNCTION("""COMPUTED_VALUE"""),5902557368853)</f>
        <v>5902557368853</v>
      </c>
      <c r="D185" s="4" t="str">
        <f ca="1">IFERROR(__xludf.DUMMYFUNCTION("""COMPUTED_VALUE"""),"BATERIA UMYWAL MY1805-2WG BLOOM BIAŁA/ZŁOTA NISKA")</f>
        <v>BATERIA UMYWAL MY1805-2WG BLOOM BIAŁA/ZŁOTA NISKA</v>
      </c>
      <c r="E185" s="31">
        <v>67.682926829268297</v>
      </c>
      <c r="F185" s="31">
        <f t="shared" si="2"/>
        <v>83.25</v>
      </c>
    </row>
    <row r="186" spans="1:6" ht="18.75" customHeight="1" x14ac:dyDescent="0.25">
      <c r="A186" s="2" t="str">
        <f ca="1">IFERROR(__xludf.DUMMYFUNCTION("""COMPUTED_VALUE"""),"REA-B9977")</f>
        <v>REA-B9977</v>
      </c>
      <c r="B186" s="3">
        <f ca="1">IFERROR(__xludf.DUMMYFUNCTION("""COMPUTED_VALUE"""),44604)</f>
        <v>44604</v>
      </c>
      <c r="C186" s="3">
        <f ca="1">IFERROR(__xludf.DUMMYFUNCTION("""COMPUTED_VALUE"""),5902557368983)</f>
        <v>5902557368983</v>
      </c>
      <c r="D186" s="4" t="str">
        <f ca="1">IFERROR(__xludf.DUMMYFUNCTION("""COMPUTED_VALUE"""),"BATERIA UMYWAL MY1806-2BG POLO CZARNA/ZŁOTA NISKA")</f>
        <v>BATERIA UMYWAL MY1806-2BG POLO CZARNA/ZŁOTA NISKA</v>
      </c>
      <c r="E186" s="31">
        <v>53.243902439024396</v>
      </c>
      <c r="F186" s="31">
        <f t="shared" si="2"/>
        <v>65.490000000000009</v>
      </c>
    </row>
    <row r="187" spans="1:6" ht="18.75" customHeight="1" x14ac:dyDescent="0.25">
      <c r="A187" s="2" t="str">
        <f ca="1">IFERROR(__xludf.DUMMYFUNCTION("""COMPUTED_VALUE"""),"REA-B4601")</f>
        <v>REA-B4601</v>
      </c>
      <c r="B187" s="3">
        <f ca="1">IFERROR(__xludf.DUMMYFUNCTION("""COMPUTED_VALUE"""),53856)</f>
        <v>53856</v>
      </c>
      <c r="C187" s="3">
        <f ca="1">IFERROR(__xludf.DUMMYFUNCTION("""COMPUTED_VALUE"""),5906366006890)</f>
        <v>5906366006890</v>
      </c>
      <c r="D187" s="4" t="str">
        <f ca="1">IFERROR(__xludf.DUMMYFUNCTION("""COMPUTED_VALUE"""),"BATERIA UMYWAL PODTYN LUNGO LONG MIEDŹ SZCZO + BOX")</f>
        <v>BATERIA UMYWAL PODTYN LUNGO LONG MIEDŹ SZCZO + BOX</v>
      </c>
      <c r="E187" s="31">
        <v>105.58536585365854</v>
      </c>
      <c r="F187" s="31">
        <f t="shared" si="2"/>
        <v>129.87</v>
      </c>
    </row>
    <row r="188" spans="1:6" ht="18.75" customHeight="1" x14ac:dyDescent="0.25">
      <c r="A188" s="2" t="str">
        <f ca="1">IFERROR(__xludf.DUMMYFUNCTION("""COMPUTED_VALUE"""),"REA-B4109")</f>
        <v>REA-B4109</v>
      </c>
      <c r="B188" s="3">
        <f ca="1">IFERROR(__xludf.DUMMYFUNCTION("""COMPUTED_VALUE"""),49828)</f>
        <v>49828</v>
      </c>
      <c r="C188" s="3">
        <f ca="1">IFERROR(__xludf.DUMMYFUNCTION("""COMPUTED_VALUE"""),5902557380985)</f>
        <v>5902557380985</v>
      </c>
      <c r="D188" s="4" t="str">
        <f ca="1">IFERROR(__xludf.DUMMYFUNCTION("""COMPUTED_VALUE"""),"BATERIA UMYWAL PODTYN LUNGO LONG ZŁOTA SZCZO + BOX")</f>
        <v>BATERIA UMYWAL PODTYN LUNGO LONG ZŁOTA SZCZO + BOX</v>
      </c>
      <c r="E188" s="31">
        <v>105.58536585365854</v>
      </c>
      <c r="F188" s="31">
        <f t="shared" si="2"/>
        <v>129.87</v>
      </c>
    </row>
    <row r="189" spans="1:6" ht="18.75" customHeight="1" x14ac:dyDescent="0.25">
      <c r="A189" s="2" t="str">
        <f ca="1">IFERROR(__xludf.DUMMYFUNCTION("""COMPUTED_VALUE"""),"REA-B2052")</f>
        <v>REA-B2052</v>
      </c>
      <c r="B189" s="3">
        <f ca="1">IFERROR(__xludf.DUMMYFUNCTION("""COMPUTED_VALUE"""),44996)</f>
        <v>44996</v>
      </c>
      <c r="C189" s="3">
        <f ca="1">IFERROR(__xludf.DUMMYFUNCTION("""COMPUTED_VALUE"""),5902557370634)</f>
        <v>5902557370634</v>
      </c>
      <c r="D189" s="4" t="str">
        <f ca="1">IFERROR(__xludf.DUMMYFUNCTION("""COMPUTED_VALUE"""),"BATERIA UMYWALK JS-B215WG  ORBIT BIAŁA/ZŁOTA NISKA")</f>
        <v>BATERIA UMYWALK JS-B215WG  ORBIT BIAŁA/ZŁOTA NISKA</v>
      </c>
      <c r="E189" s="31">
        <v>57.756097560975611</v>
      </c>
      <c r="F189" s="31">
        <f t="shared" si="2"/>
        <v>71.040000000000006</v>
      </c>
    </row>
    <row r="190" spans="1:6" ht="18.75" customHeight="1" x14ac:dyDescent="0.25">
      <c r="A190" s="2" t="str">
        <f ca="1">IFERROR(__xludf.DUMMYFUNCTION("""COMPUTED_VALUE"""),"REA-B9941")</f>
        <v>REA-B9941</v>
      </c>
      <c r="B190" s="3">
        <f ca="1">IFERROR(__xludf.DUMMYFUNCTION("""COMPUTED_VALUE"""),44596)</f>
        <v>44596</v>
      </c>
      <c r="C190" s="3">
        <f ca="1">IFERROR(__xludf.DUMMYFUNCTION("""COMPUTED_VALUE"""),5902557368952)</f>
        <v>5902557368952</v>
      </c>
      <c r="D190" s="4" t="str">
        <f ca="1">IFERROR(__xludf.DUMMYFUNCTION("""COMPUTED_VALUE"""),"BATERIA UMYWALK MY1806-2CW POLO BIAŁA/CHROM NISKA")</f>
        <v>BATERIA UMYWALK MY1806-2CW POLO BIAŁA/CHROM NISKA</v>
      </c>
      <c r="E190" s="31">
        <v>50.536585365853668</v>
      </c>
      <c r="F190" s="31">
        <f t="shared" si="2"/>
        <v>62.160000000000011</v>
      </c>
    </row>
    <row r="191" spans="1:6" ht="18.75" customHeight="1" x14ac:dyDescent="0.25">
      <c r="A191" s="2" t="str">
        <f ca="1">IFERROR(__xludf.DUMMYFUNCTION("""COMPUTED_VALUE"""),"REA-B6212")</f>
        <v>REA-B6212</v>
      </c>
      <c r="B191" s="3">
        <f ca="1">IFERROR(__xludf.DUMMYFUNCTION("""COMPUTED_VALUE"""),44922)</f>
        <v>44922</v>
      </c>
      <c r="C191" s="3">
        <f ca="1">IFERROR(__xludf.DUMMYFUNCTION("""COMPUTED_VALUE"""),5902557373765)</f>
        <v>5902557373765</v>
      </c>
      <c r="D191" s="4" t="str">
        <f ca="1">IFERROR(__xludf.DUMMYFUNCTION("""COMPUTED_VALUE"""),"BATERIA UMYWALK MY2021-2G ARGUS ZŁOTA POŁYSK NISKA")</f>
        <v>BATERIA UMYWALK MY2021-2G ARGUS ZŁOTA POŁYSK NISKA</v>
      </c>
      <c r="E191" s="31">
        <v>55.048780487804883</v>
      </c>
      <c r="F191" s="31">
        <f t="shared" si="2"/>
        <v>67.710000000000008</v>
      </c>
    </row>
    <row r="192" spans="1:6" ht="18.75" customHeight="1" x14ac:dyDescent="0.25">
      <c r="A192" s="2" t="str">
        <f ca="1">IFERROR(__xludf.DUMMYFUNCTION("""COMPUTED_VALUE"""),"REA-B6418")</f>
        <v>REA-B6418</v>
      </c>
      <c r="B192" s="3">
        <f ca="1">IFERROR(__xludf.DUMMYFUNCTION("""COMPUTED_VALUE"""),51099)</f>
        <v>51099</v>
      </c>
      <c r="C192" s="3">
        <f ca="1">IFERROR(__xludf.DUMMYFUNCTION("""COMPUTED_VALUE"""),5902557393183)</f>
        <v>5902557393183</v>
      </c>
      <c r="D192" s="4" t="str">
        <f ca="1">IFERROR(__xludf.DUMMYFUNCTION("""COMPUTED_VALUE"""),"BATERIA UMYWALK MY2102-21C VENETA CHROM WYSOKA")</f>
        <v>BATERIA UMYWALK MY2102-21C VENETA CHROM WYSOKA</v>
      </c>
      <c r="E192" s="31">
        <v>72.195121951219519</v>
      </c>
      <c r="F192" s="31">
        <f t="shared" si="2"/>
        <v>88.800000000000011</v>
      </c>
    </row>
    <row r="193" spans="1:6" ht="18.75" customHeight="1" x14ac:dyDescent="0.25">
      <c r="A193" s="2" t="str">
        <f ca="1">IFERROR(__xludf.DUMMYFUNCTION("""COMPUTED_VALUE"""),"REA-B6419")</f>
        <v>REA-B6419</v>
      </c>
      <c r="B193" s="3">
        <f ca="1">IFERROR(__xludf.DUMMYFUNCTION("""COMPUTED_VALUE"""),51108)</f>
        <v>51108</v>
      </c>
      <c r="C193" s="3">
        <f ca="1">IFERROR(__xludf.DUMMYFUNCTION("""COMPUTED_VALUE"""),5902557393190)</f>
        <v>5902557393190</v>
      </c>
      <c r="D193" s="4" t="str">
        <f ca="1">IFERROR(__xludf.DUMMYFUNCTION("""COMPUTED_VALUE"""),"BATERIA UMYWALK MY2102-21G VENETA ZŁOTA WYSOKA")</f>
        <v>BATERIA UMYWALK MY2102-21G VENETA ZŁOTA WYSOKA</v>
      </c>
      <c r="E193" s="31">
        <v>84.82926829268294</v>
      </c>
      <c r="F193" s="31">
        <f t="shared" si="2"/>
        <v>104.34000000000002</v>
      </c>
    </row>
    <row r="194" spans="1:6" ht="18.75" customHeight="1" x14ac:dyDescent="0.25">
      <c r="A194" s="2" t="str">
        <f ca="1">IFERROR(__xludf.DUMMYFUNCTION("""COMPUTED_VALUE"""),"REA-B6416")</f>
        <v>REA-B6416</v>
      </c>
      <c r="B194" s="3">
        <f ca="1">IFERROR(__xludf.DUMMYFUNCTION("""COMPUTED_VALUE"""),51098)</f>
        <v>51098</v>
      </c>
      <c r="C194" s="3">
        <f ca="1">IFERROR(__xludf.DUMMYFUNCTION("""COMPUTED_VALUE"""),5902557393220)</f>
        <v>5902557393220</v>
      </c>
      <c r="D194" s="4" t="str">
        <f ca="1">IFERROR(__xludf.DUMMYFUNCTION("""COMPUTED_VALUE"""),"BATERIA UMYWALK MY2102-2C VENETA CHROM NISKA")</f>
        <v>BATERIA UMYWALK MY2102-2C VENETA CHROM NISKA</v>
      </c>
      <c r="E194" s="31">
        <v>49.634146341463421</v>
      </c>
      <c r="F194" s="31">
        <f t="shared" si="2"/>
        <v>61.050000000000004</v>
      </c>
    </row>
    <row r="195" spans="1:6" ht="18.75" customHeight="1" x14ac:dyDescent="0.25">
      <c r="A195" s="2" t="str">
        <f ca="1">IFERROR(__xludf.DUMMYFUNCTION("""COMPUTED_VALUE"""),"REA-B6417")</f>
        <v>REA-B6417</v>
      </c>
      <c r="B195" s="3">
        <f ca="1">IFERROR(__xludf.DUMMYFUNCTION("""COMPUTED_VALUE"""),51107)</f>
        <v>51107</v>
      </c>
      <c r="C195" s="3">
        <f ca="1">IFERROR(__xludf.DUMMYFUNCTION("""COMPUTED_VALUE"""),5902557393237)</f>
        <v>5902557393237</v>
      </c>
      <c r="D195" s="4" t="str">
        <f ca="1">IFERROR(__xludf.DUMMYFUNCTION("""COMPUTED_VALUE"""),"BATERIA UMYWALK MY2102-2G VENETA ZŁOTA NISKA")</f>
        <v>BATERIA UMYWALK MY2102-2G VENETA ZŁOTA NISKA</v>
      </c>
      <c r="E195" s="31">
        <v>60.463414634146346</v>
      </c>
      <c r="F195" s="31">
        <f t="shared" ref="F195:F258" si="3">E195*1.23</f>
        <v>74.37</v>
      </c>
    </row>
    <row r="196" spans="1:6" ht="18.75" customHeight="1" x14ac:dyDescent="0.25">
      <c r="A196" s="2" t="str">
        <f ca="1">IFERROR(__xludf.DUMMYFUNCTION("""COMPUTED_VALUE"""),"REA-B2061")</f>
        <v>REA-B2061</v>
      </c>
      <c r="B196" s="3">
        <f ca="1">IFERROR(__xludf.DUMMYFUNCTION("""COMPUTED_VALUE"""),45028)</f>
        <v>45028</v>
      </c>
      <c r="C196" s="3">
        <f ca="1">IFERROR(__xludf.DUMMYFUNCTION("""COMPUTED_VALUE"""),5902557370726)</f>
        <v>5902557370726</v>
      </c>
      <c r="D196" s="4" t="str">
        <f ca="1">IFERROR(__xludf.DUMMYFUNCTION("""COMPUTED_VALUE"""),"BATERIA UMYWALK PODTYN JS-W020B HYPER CZARNA + BOX")</f>
        <v>BATERIA UMYWALK PODTYN JS-W020B HYPER CZARNA + BOX</v>
      </c>
      <c r="E196" s="31">
        <v>94.756097560975633</v>
      </c>
      <c r="F196" s="31">
        <f t="shared" si="3"/>
        <v>116.55000000000003</v>
      </c>
    </row>
    <row r="197" spans="1:6" ht="18.75" customHeight="1" x14ac:dyDescent="0.25">
      <c r="A197" s="2" t="str">
        <f ca="1">IFERROR(__xludf.DUMMYFUNCTION("""COMPUTED_VALUE"""),"REA-B2060")</f>
        <v>REA-B2060</v>
      </c>
      <c r="B197" s="3">
        <f ca="1">IFERROR(__xludf.DUMMYFUNCTION("""COMPUTED_VALUE"""),45029)</f>
        <v>45029</v>
      </c>
      <c r="C197" s="3">
        <f ca="1">IFERROR(__xludf.DUMMYFUNCTION("""COMPUTED_VALUE"""),5902557370719)</f>
        <v>5902557370719</v>
      </c>
      <c r="D197" s="4" t="str">
        <f ca="1">IFERROR(__xludf.DUMMYFUNCTION("""COMPUTED_VALUE"""),"BATERIA UMYWALK PODTYNK JS-W020G HYPER ZŁOTA + BOX")</f>
        <v>BATERIA UMYWALK PODTYNK JS-W020G HYPER ZŁOTA + BOX</v>
      </c>
      <c r="E197" s="31">
        <v>95.658536585365866</v>
      </c>
      <c r="F197" s="31">
        <f t="shared" si="3"/>
        <v>117.66000000000001</v>
      </c>
    </row>
    <row r="198" spans="1:6" ht="18.75" customHeight="1" x14ac:dyDescent="0.25">
      <c r="A198" s="2" t="str">
        <f ca="1">IFERROR(__xludf.DUMMYFUNCTION("""COMPUTED_VALUE"""),"REA-B2059")</f>
        <v>REA-B2059</v>
      </c>
      <c r="B198" s="3">
        <f ca="1">IFERROR(__xludf.DUMMYFUNCTION("""COMPUTED_VALUE"""),45030)</f>
        <v>45030</v>
      </c>
      <c r="C198" s="3">
        <f ca="1">IFERROR(__xludf.DUMMYFUNCTION("""COMPUTED_VALUE"""),5902557370702)</f>
        <v>5902557370702</v>
      </c>
      <c r="D198" s="4" t="str">
        <f ca="1">IFERROR(__xludf.DUMMYFUNCTION("""COMPUTED_VALUE"""),"BATERIA UMYWALKO PODTYNK JS-W020 HYPER CHROM + BOX")</f>
        <v>BATERIA UMYWALKO PODTYNK JS-W020 HYPER CHROM + BOX</v>
      </c>
      <c r="E198" s="31">
        <v>89.341463414634148</v>
      </c>
      <c r="F198" s="31">
        <f t="shared" si="3"/>
        <v>109.89</v>
      </c>
    </row>
    <row r="199" spans="1:6" ht="18.75" customHeight="1" x14ac:dyDescent="0.25">
      <c r="A199" s="2" t="str">
        <f ca="1">IFERROR(__xludf.DUMMYFUNCTION("""COMPUTED_VALUE"""),"REA-B5520")</f>
        <v>REA-B5520</v>
      </c>
      <c r="B199" s="3">
        <f ca="1">IFERROR(__xludf.DUMMYFUNCTION("""COMPUTED_VALUE"""),52177)</f>
        <v>52177</v>
      </c>
      <c r="C199" s="3">
        <f ca="1">IFERROR(__xludf.DUMMYFUNCTION("""COMPUTED_VALUE"""),5902557395972)</f>
        <v>5902557395972</v>
      </c>
      <c r="D199" s="4" t="str">
        <f ca="1">IFERROR(__xludf.DUMMYFUNCTION("""COMPUTED_VALUE"""),"BATERIA UMYWALKO RUSTICO CZARNA PRZECIERANA WYSOKA")</f>
        <v>BATERIA UMYWALKO RUSTICO CZARNA PRZECIERANA WYSOKA</v>
      </c>
      <c r="E199" s="31">
        <v>84.82926829268294</v>
      </c>
      <c r="F199" s="31">
        <f t="shared" si="3"/>
        <v>104.34000000000002</v>
      </c>
    </row>
    <row r="200" spans="1:6" ht="18.75" customHeight="1" x14ac:dyDescent="0.25">
      <c r="A200" s="2" t="str">
        <f ca="1">IFERROR(__xludf.DUMMYFUNCTION("""COMPUTED_VALUE"""),"REA-B2029")</f>
        <v>REA-B2029</v>
      </c>
      <c r="B200" s="3">
        <f ca="1">IFERROR(__xludf.DUMMYFUNCTION("""COMPUTED_VALUE"""),44988)</f>
        <v>44988</v>
      </c>
      <c r="C200" s="3">
        <f ca="1">IFERROR(__xludf.DUMMYFUNCTION("""COMPUTED_VALUE"""),5902557370405)</f>
        <v>5902557370405</v>
      </c>
      <c r="D200" s="4" t="str">
        <f ca="1">IFERROR(__xludf.DUMMYFUNCTION("""COMPUTED_VALUE"""),"BATERIA UMYWALKOW JS-634901-1B VIRAL CZARNA WYSOKA")</f>
        <v>BATERIA UMYWALKOW JS-634901-1B VIRAL CZARNA WYSOKA</v>
      </c>
      <c r="E200" s="31">
        <v>72.195121951219519</v>
      </c>
      <c r="F200" s="31">
        <f t="shared" si="3"/>
        <v>88.800000000000011</v>
      </c>
    </row>
    <row r="201" spans="1:6" ht="18.75" customHeight="1" x14ac:dyDescent="0.25">
      <c r="A201" s="2" t="str">
        <f ca="1">IFERROR(__xludf.DUMMYFUNCTION("""COMPUTED_VALUE"""),"REA-B9140")</f>
        <v>REA-B9140</v>
      </c>
      <c r="B201" s="3">
        <f ca="1">IFERROR(__xludf.DUMMYFUNCTION("""COMPUTED_VALUE"""),47378)</f>
        <v>47378</v>
      </c>
      <c r="C201" s="3">
        <f ca="1">IFERROR(__xludf.DUMMYFUNCTION("""COMPUTED_VALUE"""),5902557375431)</f>
        <v>5902557375431</v>
      </c>
      <c r="D201" s="4" t="str">
        <f ca="1">IFERROR(__xludf.DUMMYFUNCTION("""COMPUTED_VALUE"""),"BATERIA UMYWALKOW VERSO NIKIEL SZCZOTKOWANY WYSOKA")</f>
        <v>BATERIA UMYWALKOW VERSO NIKIEL SZCZOTKOWANY WYSOKA</v>
      </c>
      <c r="E201" s="31">
        <v>101.07317073170734</v>
      </c>
      <c r="F201" s="31">
        <f t="shared" si="3"/>
        <v>124.32000000000002</v>
      </c>
    </row>
    <row r="202" spans="1:6" ht="18.75" customHeight="1" x14ac:dyDescent="0.25">
      <c r="A202" s="2" t="str">
        <f ca="1">IFERROR(__xludf.DUMMYFUNCTION("""COMPUTED_VALUE"""),"REA-B2038")</f>
        <v>REA-B2038</v>
      </c>
      <c r="B202" s="3">
        <f ca="1">IFERROR(__xludf.DUMMYFUNCTION("""COMPUTED_VALUE"""),45020)</f>
        <v>45020</v>
      </c>
      <c r="C202" s="3">
        <f ca="1">IFERROR(__xludf.DUMMYFUNCTION("""COMPUTED_VALUE"""),5902557370498)</f>
        <v>5902557370498</v>
      </c>
      <c r="D202" s="4" t="str">
        <f ca="1">IFERROR(__xludf.DUMMYFUNCTION("""COMPUTED_VALUE"""),"BATERIA UMYWALKOWA  JS-620901B BERG CZARNA NISKA")</f>
        <v>BATERIA UMYWALKOWA  JS-620901B BERG CZARNA NISKA</v>
      </c>
      <c r="E202" s="31">
        <v>61.365853658536594</v>
      </c>
      <c r="F202" s="31">
        <f t="shared" si="3"/>
        <v>75.48</v>
      </c>
    </row>
    <row r="203" spans="1:6" ht="18.75" customHeight="1" x14ac:dyDescent="0.25">
      <c r="A203" s="2" t="str">
        <f ca="1">IFERROR(__xludf.DUMMYFUNCTION("""COMPUTED_VALUE"""),"REA-B8441")</f>
        <v>REA-B8441</v>
      </c>
      <c r="B203" s="3"/>
      <c r="C203" s="3">
        <f ca="1">IFERROR(__xludf.DUMMYFUNCTION("""COMPUTED_VALUE"""),5902557354658)</f>
        <v>5902557354658</v>
      </c>
      <c r="D203" s="4" t="str">
        <f ca="1">IFERROR(__xludf.DUMMYFUNCTION("""COMPUTED_VALUE"""),"BATERIA UMYWALKOWA ASTRO BLACK WYSOKA")</f>
        <v>BATERIA UMYWALKOWA ASTRO BLACK WYSOKA</v>
      </c>
      <c r="E203" s="31">
        <v>55.951219512195124</v>
      </c>
      <c r="F203" s="31">
        <f t="shared" si="3"/>
        <v>68.820000000000007</v>
      </c>
    </row>
    <row r="204" spans="1:6" ht="18.75" customHeight="1" x14ac:dyDescent="0.25">
      <c r="A204" s="2" t="str">
        <f ca="1">IFERROR(__xludf.DUMMYFUNCTION("""COMPUTED_VALUE"""),"REA-B8440")</f>
        <v>REA-B8440</v>
      </c>
      <c r="B204" s="3"/>
      <c r="C204" s="3">
        <f ca="1">IFERROR(__xludf.DUMMYFUNCTION("""COMPUTED_VALUE"""),5902557354641)</f>
        <v>5902557354641</v>
      </c>
      <c r="D204" s="4" t="str">
        <f ca="1">IFERROR(__xludf.DUMMYFUNCTION("""COMPUTED_VALUE"""),"BATERIA UMYWALKOWA ASTRO CZARNA NISKA")</f>
        <v>BATERIA UMYWALKOWA ASTRO CZARNA NISKA</v>
      </c>
      <c r="E204" s="31">
        <v>41.512195121951223</v>
      </c>
      <c r="F204" s="31">
        <f t="shared" si="3"/>
        <v>51.06</v>
      </c>
    </row>
    <row r="205" spans="1:6" ht="18.75" customHeight="1" x14ac:dyDescent="0.25">
      <c r="A205" s="2" t="str">
        <f ca="1">IFERROR(__xludf.DUMMYFUNCTION("""COMPUTED_VALUE"""),"REA-B1117")</f>
        <v>REA-B1117</v>
      </c>
      <c r="B205" s="3">
        <f ca="1">IFERROR(__xludf.DUMMYFUNCTION("""COMPUTED_VALUE"""),53898)</f>
        <v>53898</v>
      </c>
      <c r="C205" s="3">
        <f ca="1">IFERROR(__xludf.DUMMYFUNCTION("""COMPUTED_VALUE"""),5906366002700)</f>
        <v>5906366002700</v>
      </c>
      <c r="D205" s="4" t="str">
        <f ca="1">IFERROR(__xludf.DUMMYFUNCTION("""COMPUTED_VALUE"""),"BATERIA UMYWALKOWA AVALON CZARNA NISKA")</f>
        <v>BATERIA UMYWALKOWA AVALON CZARNA NISKA</v>
      </c>
      <c r="E205" s="31">
        <v>55.048780487804883</v>
      </c>
      <c r="F205" s="31">
        <f t="shared" si="3"/>
        <v>67.710000000000008</v>
      </c>
    </row>
    <row r="206" spans="1:6" ht="18.75" customHeight="1" x14ac:dyDescent="0.25">
      <c r="A206" s="2" t="str">
        <f ca="1">IFERROR(__xludf.DUMMYFUNCTION("""COMPUTED_VALUE"""),"REA-B1126")</f>
        <v>REA-B1126</v>
      </c>
      <c r="B206" s="3">
        <f ca="1">IFERROR(__xludf.DUMMYFUNCTION("""COMPUTED_VALUE"""),53896)</f>
        <v>53896</v>
      </c>
      <c r="C206" s="3">
        <f ca="1">IFERROR(__xludf.DUMMYFUNCTION("""COMPUTED_VALUE"""),5906366002748)</f>
        <v>5906366002748</v>
      </c>
      <c r="D206" s="4" t="str">
        <f ca="1">IFERROR(__xludf.DUMMYFUNCTION("""COMPUTED_VALUE"""),"BATERIA UMYWALKOWA AVALON CZARNA WYSOKA")</f>
        <v>BATERIA UMYWALKOWA AVALON CZARNA WYSOKA</v>
      </c>
      <c r="E206" s="31">
        <v>80.317073170731717</v>
      </c>
      <c r="F206" s="31">
        <f t="shared" si="3"/>
        <v>98.79</v>
      </c>
    </row>
    <row r="207" spans="1:6" ht="18.75" customHeight="1" x14ac:dyDescent="0.25">
      <c r="A207" s="2" t="str">
        <f ca="1">IFERROR(__xludf.DUMMYFUNCTION("""COMPUTED_VALUE"""),"REA-B2702")</f>
        <v>REA-B2702</v>
      </c>
      <c r="B207" s="3">
        <f ca="1">IFERROR(__xludf.DUMMYFUNCTION("""COMPUTED_VALUE"""),52108)</f>
        <v>52108</v>
      </c>
      <c r="C207" s="3">
        <f ca="1">IFERROR(__xludf.DUMMYFUNCTION("""COMPUTED_VALUE"""),5902557391882)</f>
        <v>5902557391882</v>
      </c>
      <c r="D207" s="4" t="str">
        <f ca="1">IFERROR(__xludf.DUMMYFUNCTION("""COMPUTED_VALUE"""),"BATERIA UMYWALKOWA AVALON TYTAN NISKA")</f>
        <v>BATERIA UMYWALKOWA AVALON TYTAN NISKA</v>
      </c>
      <c r="E207" s="31">
        <v>63.170731707317081</v>
      </c>
      <c r="F207" s="31">
        <f t="shared" si="3"/>
        <v>77.7</v>
      </c>
    </row>
    <row r="208" spans="1:6" ht="18.75" customHeight="1" x14ac:dyDescent="0.25">
      <c r="A208" s="2" t="str">
        <f ca="1">IFERROR(__xludf.DUMMYFUNCTION("""COMPUTED_VALUE"""),"REA-B2704")</f>
        <v>REA-B2704</v>
      </c>
      <c r="B208" s="3">
        <f ca="1">IFERROR(__xludf.DUMMYFUNCTION("""COMPUTED_VALUE"""),52110)</f>
        <v>52110</v>
      </c>
      <c r="C208" s="3">
        <f ca="1">IFERROR(__xludf.DUMMYFUNCTION("""COMPUTED_VALUE"""),5902557391929)</f>
        <v>5902557391929</v>
      </c>
      <c r="D208" s="4" t="str">
        <f ca="1">IFERROR(__xludf.DUMMYFUNCTION("""COMPUTED_VALUE"""),"BATERIA UMYWALKOWA AVALON TYTAN WYSOKA")</f>
        <v>BATERIA UMYWALKOWA AVALON TYTAN WYSOKA</v>
      </c>
      <c r="E208" s="31">
        <v>89.341463414634148</v>
      </c>
      <c r="F208" s="31">
        <f t="shared" si="3"/>
        <v>109.89</v>
      </c>
    </row>
    <row r="209" spans="1:6" ht="18.75" customHeight="1" x14ac:dyDescent="0.25">
      <c r="A209" s="2" t="str">
        <f ca="1">IFERROR(__xludf.DUMMYFUNCTION("""COMPUTED_VALUE"""),"REA-B1118")</f>
        <v>REA-B1118</v>
      </c>
      <c r="B209" s="3">
        <f ca="1">IFERROR(__xludf.DUMMYFUNCTION("""COMPUTED_VALUE"""),53897)</f>
        <v>53897</v>
      </c>
      <c r="C209" s="3">
        <f ca="1">IFERROR(__xludf.DUMMYFUNCTION("""COMPUTED_VALUE"""),5906366002717)</f>
        <v>5906366002717</v>
      </c>
      <c r="D209" s="4" t="str">
        <f ca="1">IFERROR(__xludf.DUMMYFUNCTION("""COMPUTED_VALUE"""),"BATERIA UMYWALKOWA AVALON ZŁOTA NISKA")</f>
        <v>BATERIA UMYWALKOWA AVALON ZŁOTA NISKA</v>
      </c>
      <c r="E209" s="31">
        <v>59.560975609756099</v>
      </c>
      <c r="F209" s="31">
        <f t="shared" si="3"/>
        <v>73.260000000000005</v>
      </c>
    </row>
    <row r="210" spans="1:6" ht="18.75" customHeight="1" x14ac:dyDescent="0.25">
      <c r="A210" s="2" t="str">
        <f ca="1">IFERROR(__xludf.DUMMYFUNCTION("""COMPUTED_VALUE"""),"REA-B2703")</f>
        <v>REA-B2703</v>
      </c>
      <c r="B210" s="3">
        <f ca="1">IFERROR(__xludf.DUMMYFUNCTION("""COMPUTED_VALUE"""),52107)</f>
        <v>52107</v>
      </c>
      <c r="C210" s="3">
        <f ca="1">IFERROR(__xludf.DUMMYFUNCTION("""COMPUTED_VALUE"""),5902557391899)</f>
        <v>5902557391899</v>
      </c>
      <c r="D210" s="4" t="str">
        <f ca="1">IFERROR(__xludf.DUMMYFUNCTION("""COMPUTED_VALUE"""),"BATERIA UMYWALKOWA AVALON ZŁOTA SZCZOTKOWANA NISKA")</f>
        <v>BATERIA UMYWALKOWA AVALON ZŁOTA SZCZOTKOWANA NISKA</v>
      </c>
      <c r="E210" s="31">
        <v>67.682926829268297</v>
      </c>
      <c r="F210" s="31">
        <f t="shared" si="3"/>
        <v>83.25</v>
      </c>
    </row>
    <row r="211" spans="1:6" ht="18.75" customHeight="1" x14ac:dyDescent="0.25">
      <c r="A211" s="2" t="str">
        <f ca="1">IFERROR(__xludf.DUMMYFUNCTION("""COMPUTED_VALUE"""),"REA-B2705")</f>
        <v>REA-B2705</v>
      </c>
      <c r="B211" s="3">
        <f ca="1">IFERROR(__xludf.DUMMYFUNCTION("""COMPUTED_VALUE"""),52109)</f>
        <v>52109</v>
      </c>
      <c r="C211" s="3">
        <f ca="1">IFERROR(__xludf.DUMMYFUNCTION("""COMPUTED_VALUE"""),5902557391936)</f>
        <v>5902557391936</v>
      </c>
      <c r="D211" s="4" t="str">
        <f ca="1">IFERROR(__xludf.DUMMYFUNCTION("""COMPUTED_VALUE"""),"BATERIA UMYWALKOWA AVALON ZŁOTA SZCZOTKOWANA WYSOK")</f>
        <v>BATERIA UMYWALKOWA AVALON ZŁOTA SZCZOTKOWANA WYSOK</v>
      </c>
      <c r="E211" s="31">
        <v>84.82926829268294</v>
      </c>
      <c r="F211" s="31">
        <f t="shared" si="3"/>
        <v>104.34000000000002</v>
      </c>
    </row>
    <row r="212" spans="1:6" ht="18.75" customHeight="1" x14ac:dyDescent="0.25">
      <c r="A212" s="2" t="str">
        <f ca="1">IFERROR(__xludf.DUMMYFUNCTION("""COMPUTED_VALUE"""),"REA-B1127")</f>
        <v>REA-B1127</v>
      </c>
      <c r="B212" s="3">
        <f ca="1">IFERROR(__xludf.DUMMYFUNCTION("""COMPUTED_VALUE"""),53895)</f>
        <v>53895</v>
      </c>
      <c r="C212" s="3">
        <f ca="1">IFERROR(__xludf.DUMMYFUNCTION("""COMPUTED_VALUE"""),5906366002755)</f>
        <v>5906366002755</v>
      </c>
      <c r="D212" s="4" t="str">
        <f ca="1">IFERROR(__xludf.DUMMYFUNCTION("""COMPUTED_VALUE"""),"BATERIA UMYWALKOWA AVALON ZŁOTA WYSOKA")</f>
        <v>BATERIA UMYWALKOWA AVALON ZŁOTA WYSOKA</v>
      </c>
      <c r="E212" s="31">
        <v>84.82926829268294</v>
      </c>
      <c r="F212" s="31">
        <f t="shared" si="3"/>
        <v>104.34000000000002</v>
      </c>
    </row>
    <row r="213" spans="1:6" ht="18.75" customHeight="1" x14ac:dyDescent="0.25">
      <c r="A213" s="2" t="str">
        <f ca="1">IFERROR(__xludf.DUMMYFUNCTION("""COMPUTED_VALUE"""),"REA-B0183")</f>
        <v>REA-B0183</v>
      </c>
      <c r="B213" s="3">
        <f ca="1">IFERROR(__xludf.DUMMYFUNCTION("""COMPUTED_VALUE"""),18915)</f>
        <v>18915</v>
      </c>
      <c r="C213" s="3">
        <f ca="1">IFERROR(__xludf.DUMMYFUNCTION("""COMPUTED_VALUE"""),5902557331697)</f>
        <v>5902557331697</v>
      </c>
      <c r="D213" s="4" t="str">
        <f ca="1">IFERROR(__xludf.DUMMYFUNCTION("""COMPUTED_VALUE"""),"BATERIA UMYWALKOWA BONA CZARNA PRZECIERANA WYSOKA")</f>
        <v>BATERIA UMYWALKOWA BONA CZARNA PRZECIERANA WYSOKA</v>
      </c>
      <c r="E213" s="31">
        <v>57.756097560975611</v>
      </c>
      <c r="F213" s="31">
        <f t="shared" si="3"/>
        <v>71.040000000000006</v>
      </c>
    </row>
    <row r="214" spans="1:6" ht="18.75" customHeight="1" x14ac:dyDescent="0.25">
      <c r="A214" s="2" t="str">
        <f ca="1">IFERROR(__xludf.DUMMYFUNCTION("""COMPUTED_VALUE"""),"REA-B2150")</f>
        <v>REA-B2150</v>
      </c>
      <c r="B214" s="3">
        <f ca="1">IFERROR(__xludf.DUMMYFUNCTION("""COMPUTED_VALUE"""),37327)</f>
        <v>37327</v>
      </c>
      <c r="C214" s="3">
        <f ca="1">IFERROR(__xludf.DUMMYFUNCTION("""COMPUTED_VALUE"""),5902557349708)</f>
        <v>5902557349708</v>
      </c>
      <c r="D214" s="4" t="str">
        <f ca="1">IFERROR(__xludf.DUMMYFUNCTION("""COMPUTED_VALUE"""),"BATERIA UMYWALKOWA BONA ZŁOTA PRZECIERANA WYSOKA")</f>
        <v>BATERIA UMYWALKOWA BONA ZŁOTA PRZECIERANA WYSOKA</v>
      </c>
      <c r="E214" s="31">
        <v>57.756097560975611</v>
      </c>
      <c r="F214" s="31">
        <f t="shared" si="3"/>
        <v>71.040000000000006</v>
      </c>
    </row>
    <row r="215" spans="1:6" ht="18.75" customHeight="1" x14ac:dyDescent="0.25">
      <c r="A215" s="2" t="str">
        <f ca="1">IFERROR(__xludf.DUMMYFUNCTION("""COMPUTED_VALUE"""),"REA-B6920")</f>
        <v>REA-B6920</v>
      </c>
      <c r="B215" s="3">
        <f ca="1">IFERROR(__xludf.DUMMYFUNCTION("""COMPUTED_VALUE"""),40655)</f>
        <v>40655</v>
      </c>
      <c r="C215" s="3">
        <f ca="1">IFERROR(__xludf.DUMMYFUNCTION("""COMPUTED_VALUE"""),5902557356898)</f>
        <v>5902557356898</v>
      </c>
      <c r="D215" s="4" t="str">
        <f ca="1">IFERROR(__xludf.DUMMYFUNCTION("""COMPUTED_VALUE"""),"BATERIA UMYWALKOWA BUZZ CZARNA NISKA")</f>
        <v>BATERIA UMYWALKOWA BUZZ CZARNA NISKA</v>
      </c>
      <c r="E215" s="31">
        <v>47.829268292682933</v>
      </c>
      <c r="F215" s="31">
        <f t="shared" si="3"/>
        <v>58.830000000000005</v>
      </c>
    </row>
    <row r="216" spans="1:6" ht="18.75" customHeight="1" x14ac:dyDescent="0.25">
      <c r="A216" s="2" t="str">
        <f ca="1">IFERROR(__xludf.DUMMYFUNCTION("""COMPUTED_VALUE"""),"REA-B6921")</f>
        <v>REA-B6921</v>
      </c>
      <c r="B216" s="3">
        <f ca="1">IFERROR(__xludf.DUMMYFUNCTION("""COMPUTED_VALUE"""),40654)</f>
        <v>40654</v>
      </c>
      <c r="C216" s="3">
        <f ca="1">IFERROR(__xludf.DUMMYFUNCTION("""COMPUTED_VALUE"""),5902557356904)</f>
        <v>5902557356904</v>
      </c>
      <c r="D216" s="4" t="str">
        <f ca="1">IFERROR(__xludf.DUMMYFUNCTION("""COMPUTED_VALUE"""),"BATERIA UMYWALKOWA BUZZ CZARNA WYSOKA")</f>
        <v>BATERIA UMYWALKOWA BUZZ CZARNA WYSOKA</v>
      </c>
      <c r="E216" s="31">
        <v>65.878048780487816</v>
      </c>
      <c r="F216" s="31">
        <f t="shared" si="3"/>
        <v>81.030000000000015</v>
      </c>
    </row>
    <row r="217" spans="1:6" ht="18.75" customHeight="1" x14ac:dyDescent="0.25">
      <c r="A217" s="2" t="str">
        <f ca="1">IFERROR(__xludf.DUMMYFUNCTION("""COMPUTED_VALUE"""),"REA-B0032")</f>
        <v>REA-B0032</v>
      </c>
      <c r="B217" s="3">
        <f ca="1">IFERROR(__xludf.DUMMYFUNCTION("""COMPUTED_VALUE"""),1852)</f>
        <v>1852</v>
      </c>
      <c r="C217" s="3">
        <f ca="1">IFERROR(__xludf.DUMMYFUNCTION("""COMPUTED_VALUE"""),5902557301775)</f>
        <v>5902557301775</v>
      </c>
      <c r="D217" s="4" t="str">
        <f ca="1">IFERROR(__xludf.DUMMYFUNCTION("""COMPUTED_VALUE"""),"BATERIA UMYWALKOWA CARO CHROM NISKA")</f>
        <v>BATERIA UMYWALKOWA CARO CHROM NISKA</v>
      </c>
      <c r="E217" s="31">
        <v>33.390243902439025</v>
      </c>
      <c r="F217" s="31">
        <f t="shared" si="3"/>
        <v>41.07</v>
      </c>
    </row>
    <row r="218" spans="1:6" ht="18.75" customHeight="1" x14ac:dyDescent="0.25">
      <c r="A218" s="2" t="str">
        <f ca="1">IFERROR(__xludf.DUMMYFUNCTION("""COMPUTED_VALUE"""),"REA-B0498")</f>
        <v>REA-B0498</v>
      </c>
      <c r="B218" s="3">
        <f ca="1">IFERROR(__xludf.DUMMYFUNCTION("""COMPUTED_VALUE"""),42476)</f>
        <v>42476</v>
      </c>
      <c r="C218" s="3">
        <f ca="1">IFERROR(__xludf.DUMMYFUNCTION("""COMPUTED_VALUE"""),5902557302185)</f>
        <v>5902557302185</v>
      </c>
      <c r="D218" s="4" t="str">
        <f ca="1">IFERROR(__xludf.DUMMYFUNCTION("""COMPUTED_VALUE"""),"BATERIA UMYWALKOWA CARO CHROM WYSOKA")</f>
        <v>BATERIA UMYWALKOWA CARO CHROM WYSOKA</v>
      </c>
      <c r="E218" s="31">
        <v>42.41463414634147</v>
      </c>
      <c r="F218" s="31">
        <f t="shared" si="3"/>
        <v>52.170000000000009</v>
      </c>
    </row>
    <row r="219" spans="1:6" ht="18.75" customHeight="1" x14ac:dyDescent="0.25">
      <c r="A219" s="2" t="str">
        <f ca="1">IFERROR(__xludf.DUMMYFUNCTION("""COMPUTED_VALUE"""),"REA-B8403")</f>
        <v>REA-B8403</v>
      </c>
      <c r="B219" s="3">
        <f ca="1">IFERROR(__xludf.DUMMYFUNCTION("""COMPUTED_VALUE"""),31462)</f>
        <v>31462</v>
      </c>
      <c r="C219" s="3">
        <f ca="1">IFERROR(__xludf.DUMMYFUNCTION("""COMPUTED_VALUE"""),5902557342051)</f>
        <v>5902557342051</v>
      </c>
      <c r="D219" s="4" t="str">
        <f ca="1">IFERROR(__xludf.DUMMYFUNCTION("""COMPUTED_VALUE"""),"BATERIA UMYWALKOWA CREEK CZARNA NISKA")</f>
        <v>BATERIA UMYWALKOWA CREEK CZARNA NISKA</v>
      </c>
      <c r="E219" s="31">
        <v>64.975609756097569</v>
      </c>
      <c r="F219" s="31">
        <f t="shared" si="3"/>
        <v>79.92</v>
      </c>
    </row>
    <row r="220" spans="1:6" ht="18.75" customHeight="1" x14ac:dyDescent="0.25">
      <c r="A220" s="2" t="str">
        <f ca="1">IFERROR(__xludf.DUMMYFUNCTION("""COMPUTED_VALUE"""),"REA-B8404")</f>
        <v>REA-B8404</v>
      </c>
      <c r="B220" s="3">
        <f ca="1">IFERROR(__xludf.DUMMYFUNCTION("""COMPUTED_VALUE"""),31463)</f>
        <v>31463</v>
      </c>
      <c r="C220" s="3">
        <f ca="1">IFERROR(__xludf.DUMMYFUNCTION("""COMPUTED_VALUE"""),5902557342044)</f>
        <v>5902557342044</v>
      </c>
      <c r="D220" s="4" t="str">
        <f ca="1">IFERROR(__xludf.DUMMYFUNCTION("""COMPUTED_VALUE"""),"BATERIA UMYWALKOWA CREEK CZARNA WYSOKA")</f>
        <v>BATERIA UMYWALKOWA CREEK CZARNA WYSOKA</v>
      </c>
      <c r="E220" s="31">
        <v>88.439024390243901</v>
      </c>
      <c r="F220" s="31">
        <f t="shared" si="3"/>
        <v>108.78</v>
      </c>
    </row>
    <row r="221" spans="1:6" ht="18.75" customHeight="1" x14ac:dyDescent="0.25">
      <c r="A221" s="2" t="str">
        <f ca="1">IFERROR(__xludf.DUMMYFUNCTION("""COMPUTED_VALUE"""),"REA-B0673")</f>
        <v>REA-B0673</v>
      </c>
      <c r="B221" s="3">
        <f ca="1">IFERROR(__xludf.DUMMYFUNCTION("""COMPUTED_VALUE"""),50948)</f>
        <v>50948</v>
      </c>
      <c r="C221" s="3">
        <f ca="1">IFERROR(__xludf.DUMMYFUNCTION("""COMPUTED_VALUE"""),5902557390724)</f>
        <v>5902557390724</v>
      </c>
      <c r="D221" s="4" t="str">
        <f ca="1">IFERROR(__xludf.DUMMYFUNCTION("""COMPUTED_VALUE"""),"BATERIA UMYWALKOWA DART CHROM NISKA")</f>
        <v>BATERIA UMYWALKOWA DART CHROM NISKA</v>
      </c>
      <c r="E221" s="31">
        <v>54.146341463414643</v>
      </c>
      <c r="F221" s="31">
        <f t="shared" si="3"/>
        <v>66.600000000000009</v>
      </c>
    </row>
    <row r="222" spans="1:6" ht="18.75" customHeight="1" x14ac:dyDescent="0.25">
      <c r="A222" s="2" t="str">
        <f ca="1">IFERROR(__xludf.DUMMYFUNCTION("""COMPUTED_VALUE"""),"REA-B0671")</f>
        <v>REA-B0671</v>
      </c>
      <c r="B222" s="3">
        <f ca="1">IFERROR(__xludf.DUMMYFUNCTION("""COMPUTED_VALUE"""),50947)</f>
        <v>50947</v>
      </c>
      <c r="C222" s="3">
        <f ca="1">IFERROR(__xludf.DUMMYFUNCTION("""COMPUTED_VALUE"""),5902557390731)</f>
        <v>5902557390731</v>
      </c>
      <c r="D222" s="4" t="str">
        <f ca="1">IFERROR(__xludf.DUMMYFUNCTION("""COMPUTED_VALUE"""),"BATERIA UMYWALKOWA DART CHROM WYSOKA")</f>
        <v>BATERIA UMYWALKOWA DART CHROM WYSOKA</v>
      </c>
      <c r="E222" s="31">
        <v>77.609756097560989</v>
      </c>
      <c r="F222" s="31">
        <f t="shared" si="3"/>
        <v>95.460000000000022</v>
      </c>
    </row>
    <row r="223" spans="1:6" ht="18.75" customHeight="1" x14ac:dyDescent="0.25">
      <c r="A223" s="2" t="str">
        <f ca="1">IFERROR(__xludf.DUMMYFUNCTION("""COMPUTED_VALUE"""),"REA-B0672")</f>
        <v>REA-B0672</v>
      </c>
      <c r="B223" s="3">
        <f ca="1">IFERROR(__xludf.DUMMYFUNCTION("""COMPUTED_VALUE"""),50944)</f>
        <v>50944</v>
      </c>
      <c r="C223" s="3">
        <f ca="1">IFERROR(__xludf.DUMMYFUNCTION("""COMPUTED_VALUE"""),5902557390717)</f>
        <v>5902557390717</v>
      </c>
      <c r="D223" s="4" t="str">
        <f ca="1">IFERROR(__xludf.DUMMYFUNCTION("""COMPUTED_VALUE"""),"BATERIA UMYWALKOWA DART CZARNA NISKA")</f>
        <v>BATERIA UMYWALKOWA DART CZARNA NISKA</v>
      </c>
      <c r="E223" s="31">
        <v>55.951219512195124</v>
      </c>
      <c r="F223" s="31">
        <f t="shared" si="3"/>
        <v>68.820000000000007</v>
      </c>
    </row>
    <row r="224" spans="1:6" ht="18.75" customHeight="1" x14ac:dyDescent="0.25">
      <c r="A224" s="2" t="str">
        <f ca="1">IFERROR(__xludf.DUMMYFUNCTION("""COMPUTED_VALUE"""),"REA-B0670")</f>
        <v>REA-B0670</v>
      </c>
      <c r="B224" s="3">
        <f ca="1">IFERROR(__xludf.DUMMYFUNCTION("""COMPUTED_VALUE"""),50941)</f>
        <v>50941</v>
      </c>
      <c r="C224" s="3">
        <f ca="1">IFERROR(__xludf.DUMMYFUNCTION("""COMPUTED_VALUE"""),5902557390700)</f>
        <v>5902557390700</v>
      </c>
      <c r="D224" s="4" t="str">
        <f ca="1">IFERROR(__xludf.DUMMYFUNCTION("""COMPUTED_VALUE"""),"BATERIA UMYWALKOWA DART CZARNA WYSOKA")</f>
        <v>BATERIA UMYWALKOWA DART CZARNA WYSOKA</v>
      </c>
      <c r="E224" s="31">
        <v>83.926829268292693</v>
      </c>
      <c r="F224" s="31">
        <f t="shared" si="3"/>
        <v>103.23</v>
      </c>
    </row>
    <row r="225" spans="1:6" ht="18.75" customHeight="1" x14ac:dyDescent="0.25">
      <c r="A225" s="2" t="str">
        <f ca="1">IFERROR(__xludf.DUMMYFUNCTION("""COMPUTED_VALUE"""),"REA-B5650")</f>
        <v>REA-B5650</v>
      </c>
      <c r="B225" s="3">
        <f ca="1">IFERROR(__xludf.DUMMYFUNCTION("""COMPUTED_VALUE"""),51423)</f>
        <v>51423</v>
      </c>
      <c r="C225" s="3">
        <f ca="1">IFERROR(__xludf.DUMMYFUNCTION("""COMPUTED_VALUE"""),5902557390755)</f>
        <v>5902557390755</v>
      </c>
      <c r="D225" s="4" t="str">
        <f ca="1">IFERROR(__xludf.DUMMYFUNCTION("""COMPUTED_VALUE"""),"BATERIA UMYWALKOWA DART ZŁOTA NISKA")</f>
        <v>BATERIA UMYWALKOWA DART ZŁOTA NISKA</v>
      </c>
      <c r="E225" s="31">
        <v>68.585365853658544</v>
      </c>
      <c r="F225" s="31">
        <f t="shared" si="3"/>
        <v>84.360000000000014</v>
      </c>
    </row>
    <row r="226" spans="1:6" ht="18.75" customHeight="1" x14ac:dyDescent="0.25">
      <c r="A226" s="2" t="str">
        <f ca="1">IFERROR(__xludf.DUMMYFUNCTION("""COMPUTED_VALUE"""),"REA-B5651")</f>
        <v>REA-B5651</v>
      </c>
      <c r="B226" s="3">
        <f ca="1">IFERROR(__xludf.DUMMYFUNCTION("""COMPUTED_VALUE"""),51429)</f>
        <v>51429</v>
      </c>
      <c r="C226" s="3">
        <f ca="1">IFERROR(__xludf.DUMMYFUNCTION("""COMPUTED_VALUE"""),5902557390748)</f>
        <v>5902557390748</v>
      </c>
      <c r="D226" s="4" t="str">
        <f ca="1">IFERROR(__xludf.DUMMYFUNCTION("""COMPUTED_VALUE"""),"BATERIA UMYWALKOWA DART ZŁOTA WYSOKA")</f>
        <v>BATERIA UMYWALKOWA DART ZŁOTA WYSOKA</v>
      </c>
      <c r="E226" s="31">
        <v>100.17073170731709</v>
      </c>
      <c r="F226" s="31">
        <f t="shared" si="3"/>
        <v>123.21000000000002</v>
      </c>
    </row>
    <row r="227" spans="1:6" ht="18.75" customHeight="1" x14ac:dyDescent="0.25">
      <c r="A227" s="2" t="str">
        <f ca="1">IFERROR(__xludf.DUMMYFUNCTION("""COMPUTED_VALUE"""),"REA-B4412")</f>
        <v>REA-B4412</v>
      </c>
      <c r="B227" s="3">
        <f ca="1">IFERROR(__xludf.DUMMYFUNCTION("""COMPUTED_VALUE"""),39781)</f>
        <v>39781</v>
      </c>
      <c r="C227" s="3">
        <f ca="1">IFERROR(__xludf.DUMMYFUNCTION("""COMPUTED_VALUE"""),5902557354665)</f>
        <v>5902557354665</v>
      </c>
      <c r="D227" s="4" t="str">
        <f ca="1">IFERROR(__xludf.DUMMYFUNCTION("""COMPUTED_VALUE"""),"BATERIA UMYWALKOWA DUET CZARNA NISKA")</f>
        <v>BATERIA UMYWALKOWA DUET CZARNA NISKA</v>
      </c>
      <c r="E227" s="31">
        <v>69.487804878048792</v>
      </c>
      <c r="F227" s="31">
        <f t="shared" si="3"/>
        <v>85.470000000000013</v>
      </c>
    </row>
    <row r="228" spans="1:6" ht="18.75" customHeight="1" x14ac:dyDescent="0.25">
      <c r="A228" s="2" t="str">
        <f ca="1">IFERROR(__xludf.DUMMYFUNCTION("""COMPUTED_VALUE"""),"REA-B4414")</f>
        <v>REA-B4414</v>
      </c>
      <c r="B228" s="3">
        <f ca="1">IFERROR(__xludf.DUMMYFUNCTION("""COMPUTED_VALUE"""),39779)</f>
        <v>39779</v>
      </c>
      <c r="C228" s="3">
        <f ca="1">IFERROR(__xludf.DUMMYFUNCTION("""COMPUTED_VALUE"""),5902557354672)</f>
        <v>5902557354672</v>
      </c>
      <c r="D228" s="4" t="str">
        <f ca="1">IFERROR(__xludf.DUMMYFUNCTION("""COMPUTED_VALUE"""),"BATERIA UMYWALKOWA DUET CZARNA WYSOKA")</f>
        <v>BATERIA UMYWALKOWA DUET CZARNA WYSOKA</v>
      </c>
      <c r="E228" s="31">
        <v>108.29268292682929</v>
      </c>
      <c r="F228" s="31">
        <f t="shared" si="3"/>
        <v>133.20000000000002</v>
      </c>
    </row>
    <row r="229" spans="1:6" ht="18.75" customHeight="1" x14ac:dyDescent="0.25">
      <c r="A229" s="2" t="str">
        <f ca="1">IFERROR(__xludf.DUMMYFUNCTION("""COMPUTED_VALUE"""),"REA-B4413")</f>
        <v>REA-B4413</v>
      </c>
      <c r="B229" s="3">
        <f ca="1">IFERROR(__xludf.DUMMYFUNCTION("""COMPUTED_VALUE"""),39782)</f>
        <v>39782</v>
      </c>
      <c r="C229" s="3">
        <f ca="1">IFERROR(__xludf.DUMMYFUNCTION("""COMPUTED_VALUE"""),5902557354689)</f>
        <v>5902557354689</v>
      </c>
      <c r="D229" s="4" t="str">
        <f ca="1">IFERROR(__xludf.DUMMYFUNCTION("""COMPUTED_VALUE"""),"BATERIA UMYWALKOWA DUET ZŁOTA NISKA")</f>
        <v>BATERIA UMYWALKOWA DUET ZŁOTA NISKA</v>
      </c>
      <c r="E229" s="31">
        <v>76.707317073170742</v>
      </c>
      <c r="F229" s="31">
        <f t="shared" si="3"/>
        <v>94.350000000000009</v>
      </c>
    </row>
    <row r="230" spans="1:6" ht="18.75" customHeight="1" x14ac:dyDescent="0.25">
      <c r="A230" s="2" t="str">
        <f ca="1">IFERROR(__xludf.DUMMYFUNCTION("""COMPUTED_VALUE"""),"REA-B4415")</f>
        <v>REA-B4415</v>
      </c>
      <c r="B230" s="3">
        <f ca="1">IFERROR(__xludf.DUMMYFUNCTION("""COMPUTED_VALUE"""),39780)</f>
        <v>39780</v>
      </c>
      <c r="C230" s="3">
        <f ca="1">IFERROR(__xludf.DUMMYFUNCTION("""COMPUTED_VALUE"""),5902557354696)</f>
        <v>5902557354696</v>
      </c>
      <c r="D230" s="4" t="str">
        <f ca="1">IFERROR(__xludf.DUMMYFUNCTION("""COMPUTED_VALUE"""),"BATERIA UMYWALKOWA DUET ZŁOTA WYSOKA")</f>
        <v>BATERIA UMYWALKOWA DUET ZŁOTA WYSOKA</v>
      </c>
      <c r="E230" s="31">
        <v>105.58536585365854</v>
      </c>
      <c r="F230" s="31">
        <f t="shared" si="3"/>
        <v>129.87</v>
      </c>
    </row>
    <row r="231" spans="1:6" ht="18.75" customHeight="1" x14ac:dyDescent="0.25">
      <c r="A231" s="2" t="str">
        <f ca="1">IFERROR(__xludf.DUMMYFUNCTION("""COMPUTED_VALUE"""),"REA-B0113")</f>
        <v>REA-B0113</v>
      </c>
      <c r="B231" s="3">
        <f ca="1">IFERROR(__xludf.DUMMYFUNCTION("""COMPUTED_VALUE"""),1850)</f>
        <v>1850</v>
      </c>
      <c r="C231" s="3">
        <f ca="1">IFERROR(__xludf.DUMMYFUNCTION("""COMPUTED_VALUE"""),5902557301898)</f>
        <v>5902557301898</v>
      </c>
      <c r="D231" s="4" t="str">
        <f ca="1">IFERROR(__xludf.DUMMYFUNCTION("""COMPUTED_VALUE"""),"BATERIA UMYWALKOWA ENZO CHROM NISKA")</f>
        <v>BATERIA UMYWALKOWA ENZO CHROM NISKA</v>
      </c>
      <c r="E231" s="31">
        <v>32.487804878048784</v>
      </c>
      <c r="F231" s="31">
        <f t="shared" si="3"/>
        <v>39.96</v>
      </c>
    </row>
    <row r="232" spans="1:6" ht="18.75" customHeight="1" x14ac:dyDescent="0.25">
      <c r="A232" s="2" t="str">
        <f ca="1">IFERROR(__xludf.DUMMYFUNCTION("""COMPUTED_VALUE"""),"REA-B0966")</f>
        <v>REA-B0966</v>
      </c>
      <c r="B232" s="3">
        <f ca="1">IFERROR(__xludf.DUMMYFUNCTION("""COMPUTED_VALUE"""),7413)</f>
        <v>7413</v>
      </c>
      <c r="C232" s="3">
        <f ca="1">IFERROR(__xludf.DUMMYFUNCTION("""COMPUTED_VALUE"""),5902557301904)</f>
        <v>5902557301904</v>
      </c>
      <c r="D232" s="4" t="str">
        <f ca="1">IFERROR(__xludf.DUMMYFUNCTION("""COMPUTED_VALUE"""),"BATERIA UMYWALKOWA ENZO CHROM WYSOKA")</f>
        <v>BATERIA UMYWALKOWA ENZO CHROM WYSOKA</v>
      </c>
      <c r="E232" s="31">
        <v>61.365853658536594</v>
      </c>
      <c r="F232" s="31">
        <f t="shared" si="3"/>
        <v>75.48</v>
      </c>
    </row>
    <row r="233" spans="1:6" ht="18.75" customHeight="1" x14ac:dyDescent="0.25">
      <c r="A233" s="2" t="str">
        <f ca="1">IFERROR(__xludf.DUMMYFUNCTION("""COMPUTED_VALUE"""),"BAT-00146")</f>
        <v>BAT-00146</v>
      </c>
      <c r="B233" s="3">
        <f ca="1">IFERROR(__xludf.DUMMYFUNCTION("""COMPUTED_VALUE"""),1843)</f>
        <v>1843</v>
      </c>
      <c r="C233" s="3">
        <f ca="1">IFERROR(__xludf.DUMMYFUNCTION("""COMPUTED_VALUE"""),5902557301812)</f>
        <v>5902557301812</v>
      </c>
      <c r="D233" s="4" t="str">
        <f ca="1">IFERROR(__xludf.DUMMYFUNCTION("""COMPUTED_VALUE"""),"BATERIA UMYWALKOWA FALCON CHROM NISKA")</f>
        <v>BATERIA UMYWALKOWA FALCON CHROM NISKA</v>
      </c>
      <c r="E233" s="31">
        <v>55.048780487804883</v>
      </c>
      <c r="F233" s="31">
        <f t="shared" si="3"/>
        <v>67.710000000000008</v>
      </c>
    </row>
    <row r="234" spans="1:6" ht="18.75" customHeight="1" x14ac:dyDescent="0.25">
      <c r="A234" s="2" t="str">
        <f ca="1">IFERROR(__xludf.DUMMYFUNCTION("""COMPUTED_VALUE"""),"BAT-00149")</f>
        <v>BAT-00149</v>
      </c>
      <c r="B234" s="3">
        <f ca="1">IFERROR(__xludf.DUMMYFUNCTION("""COMPUTED_VALUE"""),1844)</f>
        <v>1844</v>
      </c>
      <c r="C234" s="3">
        <f ca="1">IFERROR(__xludf.DUMMYFUNCTION("""COMPUTED_VALUE"""),5902557301829)</f>
        <v>5902557301829</v>
      </c>
      <c r="D234" s="4" t="str">
        <f ca="1">IFERROR(__xludf.DUMMYFUNCTION("""COMPUTED_VALUE"""),"BATERIA UMYWALKOWA FALCON CHROM WYSOKA")</f>
        <v>BATERIA UMYWALKOWA FALCON CHROM WYSOKA</v>
      </c>
      <c r="E234" s="31">
        <v>65.878048780487816</v>
      </c>
      <c r="F234" s="31">
        <f t="shared" si="3"/>
        <v>81.030000000000015</v>
      </c>
    </row>
    <row r="235" spans="1:6" ht="18.75" customHeight="1" x14ac:dyDescent="0.25">
      <c r="A235" s="2" t="str">
        <f ca="1">IFERROR(__xludf.DUMMYFUNCTION("""COMPUTED_VALUE"""),"REA-B0253")</f>
        <v>REA-B0253</v>
      </c>
      <c r="B235" s="3">
        <f ca="1">IFERROR(__xludf.DUMMYFUNCTION("""COMPUTED_VALUE"""),37567)</f>
        <v>37567</v>
      </c>
      <c r="C235" s="3">
        <f ca="1">IFERROR(__xludf.DUMMYFUNCTION("""COMPUTED_VALUE"""),5902557350049)</f>
        <v>5902557350049</v>
      </c>
      <c r="D235" s="4" t="str">
        <f ca="1">IFERROR(__xludf.DUMMYFUNCTION("""COMPUTED_VALUE"""),"BATERIA UMYWALKOWA FALCON CZARNA NISKA")</f>
        <v>BATERIA UMYWALKOWA FALCON CZARNA NISKA</v>
      </c>
      <c r="E235" s="31">
        <v>58.658536585365859</v>
      </c>
      <c r="F235" s="31">
        <f t="shared" si="3"/>
        <v>72.150000000000006</v>
      </c>
    </row>
    <row r="236" spans="1:6" ht="18.75" customHeight="1" x14ac:dyDescent="0.25">
      <c r="A236" s="2" t="str">
        <f ca="1">IFERROR(__xludf.DUMMYFUNCTION("""COMPUTED_VALUE"""),"REA-B0252")</f>
        <v>REA-B0252</v>
      </c>
      <c r="B236" s="3">
        <f ca="1">IFERROR(__xludf.DUMMYFUNCTION("""COMPUTED_VALUE"""),37425)</f>
        <v>37425</v>
      </c>
      <c r="C236" s="3">
        <f ca="1">IFERROR(__xludf.DUMMYFUNCTION("""COMPUTED_VALUE"""),5902557350032)</f>
        <v>5902557350032</v>
      </c>
      <c r="D236" s="4" t="str">
        <f ca="1">IFERROR(__xludf.DUMMYFUNCTION("""COMPUTED_VALUE"""),"BATERIA UMYWALKOWA FALCON CZARNA WYSOKA")</f>
        <v>BATERIA UMYWALKOWA FALCON CZARNA WYSOKA</v>
      </c>
      <c r="E236" s="31">
        <v>71.292682926829286</v>
      </c>
      <c r="F236" s="31">
        <f t="shared" si="3"/>
        <v>87.690000000000026</v>
      </c>
    </row>
    <row r="237" spans="1:6" ht="18.75" customHeight="1" x14ac:dyDescent="0.25">
      <c r="A237" s="2" t="str">
        <f ca="1">IFERROR(__xludf.DUMMYFUNCTION("""COMPUTED_VALUE"""),"REA-B5982")</f>
        <v>REA-B5982</v>
      </c>
      <c r="B237" s="3">
        <f ca="1">IFERROR(__xludf.DUMMYFUNCTION("""COMPUTED_VALUE"""),44819)</f>
        <v>44819</v>
      </c>
      <c r="C237" s="3">
        <f ca="1">IFERROR(__xludf.DUMMYFUNCTION("""COMPUTED_VALUE"""),5902557370009)</f>
        <v>5902557370009</v>
      </c>
      <c r="D237" s="4" t="str">
        <f ca="1">IFERROR(__xludf.DUMMYFUNCTION("""COMPUTED_VALUE"""),"BATERIA UMYWALKOWA FENIX CHROM NISKA")</f>
        <v>BATERIA UMYWALKOWA FENIX CHROM NISKA</v>
      </c>
      <c r="E237" s="31">
        <v>59.560975609756099</v>
      </c>
      <c r="F237" s="31">
        <f t="shared" si="3"/>
        <v>73.260000000000005</v>
      </c>
    </row>
    <row r="238" spans="1:6" ht="18.75" customHeight="1" x14ac:dyDescent="0.25">
      <c r="A238" s="2" t="str">
        <f ca="1">IFERROR(__xludf.DUMMYFUNCTION("""COMPUTED_VALUE"""),"REA-B9851")</f>
        <v>REA-B9851</v>
      </c>
      <c r="B238" s="3">
        <f ca="1">IFERROR(__xludf.DUMMYFUNCTION("""COMPUTED_VALUE"""),44820)</f>
        <v>44820</v>
      </c>
      <c r="C238" s="3">
        <f ca="1">IFERROR(__xludf.DUMMYFUNCTION("""COMPUTED_VALUE"""),5902557370016)</f>
        <v>5902557370016</v>
      </c>
      <c r="D238" s="4" t="str">
        <f ca="1">IFERROR(__xludf.DUMMYFUNCTION("""COMPUTED_VALUE"""),"BATERIA UMYWALKOWA FENIX CHROM WYSOKA")</f>
        <v>BATERIA UMYWALKOWA FENIX CHROM WYSOKA</v>
      </c>
      <c r="E238" s="31">
        <v>85.731707317073173</v>
      </c>
      <c r="F238" s="31">
        <f t="shared" si="3"/>
        <v>105.45</v>
      </c>
    </row>
    <row r="239" spans="1:6" ht="18.75" customHeight="1" x14ac:dyDescent="0.25">
      <c r="A239" s="2" t="str">
        <f ca="1">IFERROR(__xludf.DUMMYFUNCTION("""COMPUTED_VALUE"""),"REA-B7894")</f>
        <v>REA-B7894</v>
      </c>
      <c r="B239" s="3">
        <f ca="1">IFERROR(__xludf.DUMMYFUNCTION("""COMPUTED_VALUE"""),42754)</f>
        <v>42754</v>
      </c>
      <c r="C239" s="3">
        <f ca="1">IFERROR(__xludf.DUMMYFUNCTION("""COMPUTED_VALUE"""),5902557344772)</f>
        <v>5902557344772</v>
      </c>
      <c r="D239" s="4" t="str">
        <f ca="1">IFERROR(__xludf.DUMMYFUNCTION("""COMPUTED_VALUE"""),"BATERIA UMYWALKOWA FENIX CZARNA NISKA")</f>
        <v>BATERIA UMYWALKOWA FENIX CZARNA NISKA</v>
      </c>
      <c r="E239" s="31">
        <v>63.170731707317081</v>
      </c>
      <c r="F239" s="31">
        <f t="shared" si="3"/>
        <v>77.7</v>
      </c>
    </row>
    <row r="240" spans="1:6" ht="18.75" customHeight="1" x14ac:dyDescent="0.25">
      <c r="A240" s="2" t="str">
        <f ca="1">IFERROR(__xludf.DUMMYFUNCTION("""COMPUTED_VALUE"""),"REA-B7849")</f>
        <v>REA-B7849</v>
      </c>
      <c r="B240" s="3">
        <f ca="1">IFERROR(__xludf.DUMMYFUNCTION("""COMPUTED_VALUE"""),33659)</f>
        <v>33659</v>
      </c>
      <c r="C240" s="3">
        <f ca="1">IFERROR(__xludf.DUMMYFUNCTION("""COMPUTED_VALUE"""),5902557344789)</f>
        <v>5902557344789</v>
      </c>
      <c r="D240" s="4" t="str">
        <f ca="1">IFERROR(__xludf.DUMMYFUNCTION("""COMPUTED_VALUE"""),"BATERIA UMYWALKOWA FENIX CZARNA WYSOKA")</f>
        <v>BATERIA UMYWALKOWA FENIX CZARNA WYSOKA</v>
      </c>
      <c r="E240" s="31">
        <v>92.048780487804876</v>
      </c>
      <c r="F240" s="31">
        <f t="shared" si="3"/>
        <v>113.22</v>
      </c>
    </row>
    <row r="241" spans="1:6" ht="18.75" customHeight="1" x14ac:dyDescent="0.25">
      <c r="A241" s="2" t="str">
        <f ca="1">IFERROR(__xludf.DUMMYFUNCTION("""COMPUTED_VALUE"""),"REA-B6395")</f>
        <v>REA-B6395</v>
      </c>
      <c r="B241" s="3">
        <f ca="1">IFERROR(__xludf.DUMMYFUNCTION("""COMPUTED_VALUE"""),33665)</f>
        <v>33665</v>
      </c>
      <c r="C241" s="3">
        <f ca="1">IFERROR(__xludf.DUMMYFUNCTION("""COMPUTED_VALUE"""),5902557364060)</f>
        <v>5902557364060</v>
      </c>
      <c r="D241" s="4" t="str">
        <f ca="1">IFERROR(__xludf.DUMMYFUNCTION("""COMPUTED_VALUE"""),"BATERIA UMYWALKOWA FENIX ZŁOTA NISKA")</f>
        <v>BATERIA UMYWALKOWA FENIX ZŁOTA NISKA</v>
      </c>
      <c r="E241" s="31">
        <v>81.219512195121965</v>
      </c>
      <c r="F241" s="31">
        <f t="shared" si="3"/>
        <v>99.90000000000002</v>
      </c>
    </row>
    <row r="242" spans="1:6" ht="18.75" customHeight="1" x14ac:dyDescent="0.25">
      <c r="A242" s="2" t="str">
        <f ca="1">IFERROR(__xludf.DUMMYFUNCTION("""COMPUTED_VALUE"""),"REA-B6394")</f>
        <v>REA-B6394</v>
      </c>
      <c r="B242" s="3">
        <f ca="1">IFERROR(__xludf.DUMMYFUNCTION("""COMPUTED_VALUE"""),42753)</f>
        <v>42753</v>
      </c>
      <c r="C242" s="3">
        <f ca="1">IFERROR(__xludf.DUMMYFUNCTION("""COMPUTED_VALUE"""),5902557364053)</f>
        <v>5902557364053</v>
      </c>
      <c r="D242" s="4" t="str">
        <f ca="1">IFERROR(__xludf.DUMMYFUNCTION("""COMPUTED_VALUE"""),"BATERIA UMYWALKOWA FENIX ZŁOTA WYSOKA")</f>
        <v>BATERIA UMYWALKOWA FENIX ZŁOTA WYSOKA</v>
      </c>
      <c r="E242" s="31">
        <v>98.365853658536608</v>
      </c>
      <c r="F242" s="31">
        <f t="shared" si="3"/>
        <v>120.99000000000002</v>
      </c>
    </row>
    <row r="243" spans="1:6" ht="18.75" customHeight="1" x14ac:dyDescent="0.25">
      <c r="A243" s="2" t="str">
        <f ca="1">IFERROR(__xludf.DUMMYFUNCTION("""COMPUTED_VALUE"""),"REA-B5151")</f>
        <v>REA-B5151</v>
      </c>
      <c r="B243" s="3">
        <f ca="1">IFERROR(__xludf.DUMMYFUNCTION("""COMPUTED_VALUE"""),43052)</f>
        <v>43052</v>
      </c>
      <c r="C243" s="3">
        <f ca="1">IFERROR(__xludf.DUMMYFUNCTION("""COMPUTED_VALUE"""),5902557366750)</f>
        <v>5902557366750</v>
      </c>
      <c r="D243" s="4" t="str">
        <f ca="1">IFERROR(__xludf.DUMMYFUNCTION("""COMPUTED_VALUE"""),"BATERIA UMYWALKOWA FOLK RÓŻOWE ZŁOTO WYSOKA")</f>
        <v>BATERIA UMYWALKOWA FOLK RÓŻOWE ZŁOTO WYSOKA</v>
      </c>
      <c r="E243" s="31">
        <v>53.243902439024396</v>
      </c>
      <c r="F243" s="31">
        <f t="shared" si="3"/>
        <v>65.490000000000009</v>
      </c>
    </row>
    <row r="244" spans="1:6" ht="18.75" customHeight="1" x14ac:dyDescent="0.25">
      <c r="A244" s="2" t="str">
        <f ca="1">IFERROR(__xludf.DUMMYFUNCTION("""COMPUTED_VALUE"""),"REA-B0027")</f>
        <v>REA-B0027</v>
      </c>
      <c r="B244" s="3">
        <f ca="1">IFERROR(__xludf.DUMMYFUNCTION("""COMPUTED_VALUE"""),1858)</f>
        <v>1858</v>
      </c>
      <c r="C244" s="3">
        <f ca="1">IFERROR(__xludf.DUMMYFUNCTION("""COMPUTED_VALUE"""),5902557301737)</f>
        <v>5902557301737</v>
      </c>
      <c r="D244" s="4" t="str">
        <f ca="1">IFERROR(__xludf.DUMMYFUNCTION("""COMPUTED_VALUE"""),"BATERIA UMYWALKOWA GRAF CHROM WYSOKA")</f>
        <v>BATERIA UMYWALKOWA GRAF CHROM WYSOKA</v>
      </c>
      <c r="E244" s="31">
        <v>30.682926829268297</v>
      </c>
      <c r="F244" s="31">
        <f t="shared" si="3"/>
        <v>37.74</v>
      </c>
    </row>
    <row r="245" spans="1:6" ht="18.75" customHeight="1" x14ac:dyDescent="0.25">
      <c r="A245" s="2" t="str">
        <f ca="1">IFERROR(__xludf.DUMMYFUNCTION("""COMPUTED_VALUE"""),"REA-B8665")</f>
        <v>REA-B8665</v>
      </c>
      <c r="B245" s="3">
        <f ca="1">IFERROR(__xludf.DUMMYFUNCTION("""COMPUTED_VALUE"""),41833)</f>
        <v>41833</v>
      </c>
      <c r="C245" s="3">
        <f ca="1">IFERROR(__xludf.DUMMYFUNCTION("""COMPUTED_VALUE"""),5902557357529)</f>
        <v>5902557357529</v>
      </c>
      <c r="D245" s="4" t="str">
        <f ca="1">IFERROR(__xludf.DUMMYFUNCTION("""COMPUTED_VALUE"""),"BATERIA UMYWALKOWA GRAF CZARNA WYSOKA")</f>
        <v>BATERIA UMYWALKOWA GRAF CZARNA WYSOKA</v>
      </c>
      <c r="E245" s="31">
        <v>31.585365853658541</v>
      </c>
      <c r="F245" s="31">
        <f t="shared" si="3"/>
        <v>38.85</v>
      </c>
    </row>
    <row r="246" spans="1:6" ht="18.75" customHeight="1" x14ac:dyDescent="0.25">
      <c r="A246" s="2" t="str">
        <f ca="1">IFERROR(__xludf.DUMMYFUNCTION("""COMPUTED_VALUE"""),"REA-B9400")</f>
        <v>REA-B9400</v>
      </c>
      <c r="B246" s="3">
        <f ca="1">IFERROR(__xludf.DUMMYFUNCTION("""COMPUTED_VALUE"""),30030)</f>
        <v>30030</v>
      </c>
      <c r="C246" s="3">
        <f ca="1">IFERROR(__xludf.DUMMYFUNCTION("""COMPUTED_VALUE"""),5902557341931)</f>
        <v>5902557341931</v>
      </c>
      <c r="D246" s="4" t="str">
        <f ca="1">IFERROR(__xludf.DUMMYFUNCTION("""COMPUTED_VALUE"""),"BATERIA UMYWALKOWA GRIP BLACK GOLD WYSOKA")</f>
        <v>BATERIA UMYWALKOWA GRIP BLACK GOLD WYSOKA</v>
      </c>
      <c r="E246" s="31">
        <v>50.536585365853668</v>
      </c>
      <c r="F246" s="31">
        <f t="shared" si="3"/>
        <v>62.160000000000011</v>
      </c>
    </row>
    <row r="247" spans="1:6" ht="18.75" customHeight="1" x14ac:dyDescent="0.25">
      <c r="A247" s="2" t="str">
        <f ca="1">IFERROR(__xludf.DUMMYFUNCTION("""COMPUTED_VALUE"""),"REA-B5680")</f>
        <v>REA-B5680</v>
      </c>
      <c r="B247" s="3">
        <f ca="1">IFERROR(__xludf.DUMMYFUNCTION("""COMPUTED_VALUE"""),42795)</f>
        <v>42795</v>
      </c>
      <c r="C247" s="3">
        <f ca="1">IFERROR(__xludf.DUMMYFUNCTION("""COMPUTED_VALUE"""),5902557357482)</f>
        <v>5902557357482</v>
      </c>
      <c r="D247" s="4" t="str">
        <f ca="1">IFERROR(__xludf.DUMMYFUNCTION("""COMPUTED_VALUE"""),"BATERIA UMYWALKOWA ICON CZARNA/ZŁOTA NISKA")</f>
        <v>BATERIA UMYWALKOWA ICON CZARNA/ZŁOTA NISKA</v>
      </c>
      <c r="E247" s="31">
        <v>57.756097560975611</v>
      </c>
      <c r="F247" s="31">
        <f t="shared" si="3"/>
        <v>71.040000000000006</v>
      </c>
    </row>
    <row r="248" spans="1:6" ht="18.75" customHeight="1" x14ac:dyDescent="0.25">
      <c r="A248" s="2" t="str">
        <f ca="1">IFERROR(__xludf.DUMMYFUNCTION("""COMPUTED_VALUE"""),"REA-B5681")</f>
        <v>REA-B5681</v>
      </c>
      <c r="B248" s="3">
        <f ca="1">IFERROR(__xludf.DUMMYFUNCTION("""COMPUTED_VALUE"""),42788)</f>
        <v>42788</v>
      </c>
      <c r="C248" s="3">
        <f ca="1">IFERROR(__xludf.DUMMYFUNCTION("""COMPUTED_VALUE"""),5902557357499)</f>
        <v>5902557357499</v>
      </c>
      <c r="D248" s="4" t="str">
        <f ca="1">IFERROR(__xludf.DUMMYFUNCTION("""COMPUTED_VALUE"""),"BATERIA UMYWALKOWA ICON CZARNA/ZŁOTA WYSOKA")</f>
        <v>BATERIA UMYWALKOWA ICON CZARNA/ZŁOTA WYSOKA</v>
      </c>
      <c r="E248" s="31">
        <v>76.707317073170742</v>
      </c>
      <c r="F248" s="31">
        <f t="shared" si="3"/>
        <v>94.350000000000009</v>
      </c>
    </row>
    <row r="249" spans="1:6" ht="18.75" customHeight="1" x14ac:dyDescent="0.25">
      <c r="A249" s="2" t="str">
        <f ca="1">IFERROR(__xludf.DUMMYFUNCTION("""COMPUTED_VALUE"""),"REA-B5121")</f>
        <v>REA-B5121</v>
      </c>
      <c r="B249" s="3">
        <f ca="1">IFERROR(__xludf.DUMMYFUNCTION("""COMPUTED_VALUE"""),45269)</f>
        <v>45269</v>
      </c>
      <c r="C249" s="3">
        <f ca="1">IFERROR(__xludf.DUMMYFUNCTION("""COMPUTED_VALUE"""),5902557370047)</f>
        <v>5902557370047</v>
      </c>
      <c r="D249" s="4" t="str">
        <f ca="1">IFERROR(__xludf.DUMMYFUNCTION("""COMPUTED_VALUE"""),"BATERIA UMYWALKOWA JAGER CZARNA NISKA")</f>
        <v>BATERIA UMYWALKOWA JAGER CZARNA NISKA</v>
      </c>
      <c r="E249" s="31">
        <v>64.073170731707322</v>
      </c>
      <c r="F249" s="31">
        <f t="shared" si="3"/>
        <v>78.81</v>
      </c>
    </row>
    <row r="250" spans="1:6" ht="18.75" customHeight="1" x14ac:dyDescent="0.25">
      <c r="A250" s="2" t="str">
        <f ca="1">IFERROR(__xludf.DUMMYFUNCTION("""COMPUTED_VALUE"""),"REA-B5122")</f>
        <v>REA-B5122</v>
      </c>
      <c r="B250" s="3">
        <f ca="1">IFERROR(__xludf.DUMMYFUNCTION("""COMPUTED_VALUE"""),45270)</f>
        <v>45270</v>
      </c>
      <c r="C250" s="3">
        <f ca="1">IFERROR(__xludf.DUMMYFUNCTION("""COMPUTED_VALUE"""),5902557370054)</f>
        <v>5902557370054</v>
      </c>
      <c r="D250" s="4" t="str">
        <f ca="1">IFERROR(__xludf.DUMMYFUNCTION("""COMPUTED_VALUE"""),"BATERIA UMYWALKOWA JAGER CZARNA WYSOKA")</f>
        <v>BATERIA UMYWALKOWA JAGER CZARNA WYSOKA</v>
      </c>
      <c r="E250" s="31">
        <v>99.268292682926841</v>
      </c>
      <c r="F250" s="31">
        <f t="shared" si="3"/>
        <v>122.10000000000001</v>
      </c>
    </row>
    <row r="251" spans="1:6" ht="18.75" customHeight="1" x14ac:dyDescent="0.25">
      <c r="A251" s="2" t="str">
        <f ca="1">IFERROR(__xludf.DUMMYFUNCTION("""COMPUTED_VALUE"""),"REA-B5120")</f>
        <v>REA-B5120</v>
      </c>
      <c r="B251" s="3">
        <f ca="1">IFERROR(__xludf.DUMMYFUNCTION("""COMPUTED_VALUE"""),45271)</f>
        <v>45271</v>
      </c>
      <c r="C251" s="3">
        <f ca="1">IFERROR(__xludf.DUMMYFUNCTION("""COMPUTED_VALUE"""),5902557370061)</f>
        <v>5902557370061</v>
      </c>
      <c r="D251" s="4" t="str">
        <f ca="1">IFERROR(__xludf.DUMMYFUNCTION("""COMPUTED_VALUE"""),"BATERIA UMYWALKOWA JAGER ZŁOTA NISKA")</f>
        <v>BATERIA UMYWALKOWA JAGER ZŁOTA NISKA</v>
      </c>
      <c r="E251" s="31">
        <v>76.707317073170742</v>
      </c>
      <c r="F251" s="31">
        <f t="shared" si="3"/>
        <v>94.350000000000009</v>
      </c>
    </row>
    <row r="252" spans="1:6" ht="18.75" customHeight="1" x14ac:dyDescent="0.25">
      <c r="A252" s="2" t="str">
        <f ca="1">IFERROR(__xludf.DUMMYFUNCTION("""COMPUTED_VALUE"""),"REA-B5123")</f>
        <v>REA-B5123</v>
      </c>
      <c r="B252" s="3">
        <f ca="1">IFERROR(__xludf.DUMMYFUNCTION("""COMPUTED_VALUE"""),45275)</f>
        <v>45275</v>
      </c>
      <c r="C252" s="3">
        <f ca="1">IFERROR(__xludf.DUMMYFUNCTION("""COMPUTED_VALUE"""),5902557370078)</f>
        <v>5902557370078</v>
      </c>
      <c r="D252" s="4" t="str">
        <f ca="1">IFERROR(__xludf.DUMMYFUNCTION("""COMPUTED_VALUE"""),"BATERIA UMYWALKOWA JAGER ZŁOTA WYSOKA")</f>
        <v>BATERIA UMYWALKOWA JAGER ZŁOTA WYSOKA</v>
      </c>
      <c r="E252" s="31">
        <v>91.146341463414643</v>
      </c>
      <c r="F252" s="31">
        <f t="shared" si="3"/>
        <v>112.11000000000001</v>
      </c>
    </row>
    <row r="253" spans="1:6" ht="18.75" customHeight="1" x14ac:dyDescent="0.25">
      <c r="A253" s="2" t="str">
        <f ca="1">IFERROR(__xludf.DUMMYFUNCTION("""COMPUTED_VALUE"""),"REA-B2035")</f>
        <v>REA-B2035</v>
      </c>
      <c r="B253" s="3">
        <f ca="1">IFERROR(__xludf.DUMMYFUNCTION("""COMPUTED_VALUE"""),45039)</f>
        <v>45039</v>
      </c>
      <c r="C253" s="3">
        <f ca="1">IFERROR(__xludf.DUMMYFUNCTION("""COMPUTED_VALUE"""),5902557370467)</f>
        <v>5902557370467</v>
      </c>
      <c r="D253" s="4" t="str">
        <f ca="1">IFERROR(__xludf.DUMMYFUNCTION("""COMPUTED_VALUE"""),"BATERIA UMYWALKOWA JS-620901 BERG CHROM NISKA")</f>
        <v>BATERIA UMYWALKOWA JS-620901 BERG CHROM NISKA</v>
      </c>
      <c r="E253" s="31">
        <v>55.951219512195124</v>
      </c>
      <c r="F253" s="31">
        <f t="shared" si="3"/>
        <v>68.820000000000007</v>
      </c>
    </row>
    <row r="254" spans="1:6" ht="18.75" customHeight="1" x14ac:dyDescent="0.25">
      <c r="A254" s="2" t="str">
        <f ca="1">IFERROR(__xludf.DUMMYFUNCTION("""COMPUTED_VALUE"""),"REA-B2036")</f>
        <v>REA-B2036</v>
      </c>
      <c r="B254" s="3">
        <f ca="1">IFERROR(__xludf.DUMMYFUNCTION("""COMPUTED_VALUE"""),45040)</f>
        <v>45040</v>
      </c>
      <c r="C254" s="3">
        <f ca="1">IFERROR(__xludf.DUMMYFUNCTION("""COMPUTED_VALUE"""),5902557370474)</f>
        <v>5902557370474</v>
      </c>
      <c r="D254" s="4" t="str">
        <f ca="1">IFERROR(__xludf.DUMMYFUNCTION("""COMPUTED_VALUE"""),"BATERIA UMYWALKOWA JS-620901-1 BERG CHROM WYSOKA")</f>
        <v>BATERIA UMYWALKOWA JS-620901-1 BERG CHROM WYSOKA</v>
      </c>
      <c r="E254" s="31">
        <v>75.804878048780495</v>
      </c>
      <c r="F254" s="31">
        <f t="shared" si="3"/>
        <v>93.240000000000009</v>
      </c>
    </row>
    <row r="255" spans="1:6" ht="18.75" customHeight="1" x14ac:dyDescent="0.25">
      <c r="A255" s="2" t="str">
        <f ca="1">IFERROR(__xludf.DUMMYFUNCTION("""COMPUTED_VALUE"""),"REA-B2039")</f>
        <v>REA-B2039</v>
      </c>
      <c r="B255" s="3">
        <f ca="1">IFERROR(__xludf.DUMMYFUNCTION("""COMPUTED_VALUE"""),45019)</f>
        <v>45019</v>
      </c>
      <c r="C255" s="3">
        <f ca="1">IFERROR(__xludf.DUMMYFUNCTION("""COMPUTED_VALUE"""),5902557370504)</f>
        <v>5902557370504</v>
      </c>
      <c r="D255" s="4" t="str">
        <f ca="1">IFERROR(__xludf.DUMMYFUNCTION("""COMPUTED_VALUE"""),"BATERIA UMYWALKOWA JS-620901-1B BERG CZARNA WYSOKA")</f>
        <v>BATERIA UMYWALKOWA JS-620901-1B BERG CZARNA WYSOKA</v>
      </c>
      <c r="E255" s="31">
        <v>81.219512195121965</v>
      </c>
      <c r="F255" s="31">
        <f t="shared" si="3"/>
        <v>99.90000000000002</v>
      </c>
    </row>
    <row r="256" spans="1:6" ht="18.75" customHeight="1" x14ac:dyDescent="0.25">
      <c r="A256" s="2" t="str">
        <f ca="1">IFERROR(__xludf.DUMMYFUNCTION("""COMPUTED_VALUE"""),"REA-B2042")</f>
        <v>REA-B2042</v>
      </c>
      <c r="B256" s="3">
        <f ca="1">IFERROR(__xludf.DUMMYFUNCTION("""COMPUTED_VALUE"""),45036)</f>
        <v>45036</v>
      </c>
      <c r="C256" s="3">
        <f ca="1">IFERROR(__xludf.DUMMYFUNCTION("""COMPUTED_VALUE"""),5902557370535)</f>
        <v>5902557370535</v>
      </c>
      <c r="D256" s="4" t="str">
        <f ca="1">IFERROR(__xludf.DUMMYFUNCTION("""COMPUTED_VALUE"""),"BATERIA UMYWALKOWA JS-620901-1G  BERG ZŁOTA WYSOKA")</f>
        <v>BATERIA UMYWALKOWA JS-620901-1G  BERG ZŁOTA WYSOKA</v>
      </c>
      <c r="E256" s="31">
        <v>84.82926829268294</v>
      </c>
      <c r="F256" s="31">
        <f t="shared" si="3"/>
        <v>104.34000000000002</v>
      </c>
    </row>
    <row r="257" spans="1:6" ht="18.75" customHeight="1" x14ac:dyDescent="0.25">
      <c r="A257" s="2" t="str">
        <f ca="1">IFERROR(__xludf.DUMMYFUNCTION("""COMPUTED_VALUE"""),"REA-B2041")</f>
        <v>REA-B2041</v>
      </c>
      <c r="B257" s="3">
        <f ca="1">IFERROR(__xludf.DUMMYFUNCTION("""COMPUTED_VALUE"""),45035)</f>
        <v>45035</v>
      </c>
      <c r="C257" s="3">
        <f ca="1">IFERROR(__xludf.DUMMYFUNCTION("""COMPUTED_VALUE"""),5902557370528)</f>
        <v>5902557370528</v>
      </c>
      <c r="D257" s="4" t="str">
        <f ca="1">IFERROR(__xludf.DUMMYFUNCTION("""COMPUTED_VALUE"""),"BATERIA UMYWALKOWA JS-620901G  BERG ZŁOTA NISKA")</f>
        <v>BATERIA UMYWALKOWA JS-620901G  BERG ZŁOTA NISKA</v>
      </c>
      <c r="E257" s="31">
        <v>63.170731707317081</v>
      </c>
      <c r="F257" s="31">
        <f t="shared" si="3"/>
        <v>77.7</v>
      </c>
    </row>
    <row r="258" spans="1:6" ht="18.75" customHeight="1" x14ac:dyDescent="0.25">
      <c r="A258" s="2" t="str">
        <f ca="1">IFERROR(__xludf.DUMMYFUNCTION("""COMPUTED_VALUE"""),"REA-B7808")</f>
        <v>REA-B7808</v>
      </c>
      <c r="B258" s="3">
        <f ca="1">IFERROR(__xludf.DUMMYFUNCTION("""COMPUTED_VALUE"""),53869)</f>
        <v>53869</v>
      </c>
      <c r="C258" s="3">
        <f ca="1">IFERROR(__xludf.DUMMYFUNCTION("""COMPUTED_VALUE"""),5906366007620)</f>
        <v>5906366007620</v>
      </c>
      <c r="D258" s="4" t="str">
        <f ca="1">IFERROR(__xludf.DUMMYFUNCTION("""COMPUTED_VALUE"""),"BATERIA UMYWALKOWA JS-622704-1BG ARGON ZŁOTA SZCZO")</f>
        <v>BATERIA UMYWALKOWA JS-622704-1BG ARGON ZŁOTA SZCZO</v>
      </c>
      <c r="E258" s="31">
        <v>84.82926829268294</v>
      </c>
      <c r="F258" s="31">
        <f t="shared" si="3"/>
        <v>104.34000000000002</v>
      </c>
    </row>
    <row r="259" spans="1:6" ht="18.75" customHeight="1" x14ac:dyDescent="0.25">
      <c r="A259" s="2" t="str">
        <f ca="1">IFERROR(__xludf.DUMMYFUNCTION("""COMPUTED_VALUE"""),"REA-B7809")</f>
        <v>REA-B7809</v>
      </c>
      <c r="B259" s="3">
        <f ca="1">IFERROR(__xludf.DUMMYFUNCTION("""COMPUTED_VALUE"""),53868)</f>
        <v>53868</v>
      </c>
      <c r="C259" s="3">
        <f ca="1">IFERROR(__xludf.DUMMYFUNCTION("""COMPUTED_VALUE"""),5906366007613)</f>
        <v>5906366007613</v>
      </c>
      <c r="D259" s="4" t="str">
        <f ca="1">IFERROR(__xludf.DUMMYFUNCTION("""COMPUTED_VALUE"""),"BATERIA UMYWALKOWA JS-622704G ARGON ZŁOTA NISKA")</f>
        <v>BATERIA UMYWALKOWA JS-622704G ARGON ZŁOTA NISKA</v>
      </c>
      <c r="E259" s="31">
        <v>83.024390243902445</v>
      </c>
      <c r="F259" s="31">
        <f t="shared" ref="F259:F322" si="4">E259*1.23</f>
        <v>102.12</v>
      </c>
    </row>
    <row r="260" spans="1:6" ht="18.75" customHeight="1" x14ac:dyDescent="0.25">
      <c r="A260" s="2" t="str">
        <f ca="1">IFERROR(__xludf.DUMMYFUNCTION("""COMPUTED_VALUE"""),"REA-B2019")</f>
        <v>REA-B2019</v>
      </c>
      <c r="B260" s="3">
        <f ca="1">IFERROR(__xludf.DUMMYFUNCTION("""COMPUTED_VALUE"""),44999)</f>
        <v>44999</v>
      </c>
      <c r="C260" s="3">
        <f ca="1">IFERROR(__xludf.DUMMYFUNCTION("""COMPUTED_VALUE"""),5902557370306)</f>
        <v>5902557370306</v>
      </c>
      <c r="D260" s="4" t="str">
        <f ca="1">IFERROR(__xludf.DUMMYFUNCTION("""COMPUTED_VALUE"""),"BATERIA UMYWALKOWA JS-634901 VIRAL CHROM NISKA")</f>
        <v>BATERIA UMYWALKOWA JS-634901 VIRAL CHROM NISKA</v>
      </c>
      <c r="E260" s="31">
        <v>51.439024390243908</v>
      </c>
      <c r="F260" s="31">
        <f t="shared" si="4"/>
        <v>63.27</v>
      </c>
    </row>
    <row r="261" spans="1:6" ht="18.75" customHeight="1" x14ac:dyDescent="0.25">
      <c r="A261" s="2" t="str">
        <f ca="1">IFERROR(__xludf.DUMMYFUNCTION("""COMPUTED_VALUE"""),"REA-B2020")</f>
        <v>REA-B2020</v>
      </c>
      <c r="B261" s="3">
        <f ca="1">IFERROR(__xludf.DUMMYFUNCTION("""COMPUTED_VALUE"""),44995)</f>
        <v>44995</v>
      </c>
      <c r="C261" s="3">
        <f ca="1">IFERROR(__xludf.DUMMYFUNCTION("""COMPUTED_VALUE"""),5902557370313)</f>
        <v>5902557370313</v>
      </c>
      <c r="D261" s="4" t="str">
        <f ca="1">IFERROR(__xludf.DUMMYFUNCTION("""COMPUTED_VALUE"""),"BATERIA UMYWALKOWA JS-634901-1 VIRAL CHROM WYSOKA")</f>
        <v>BATERIA UMYWALKOWA JS-634901-1 VIRAL CHROM WYSOKA</v>
      </c>
      <c r="E261" s="31">
        <v>64.975609756097569</v>
      </c>
      <c r="F261" s="31">
        <f t="shared" si="4"/>
        <v>79.92</v>
      </c>
    </row>
    <row r="262" spans="1:6" ht="18.75" customHeight="1" x14ac:dyDescent="0.25">
      <c r="A262" s="2" t="str">
        <f ca="1">IFERROR(__xludf.DUMMYFUNCTION("""COMPUTED_VALUE"""),"REA-B2023")</f>
        <v>REA-B2023</v>
      </c>
      <c r="B262" s="3">
        <f ca="1">IFERROR(__xludf.DUMMYFUNCTION("""COMPUTED_VALUE"""),44991)</f>
        <v>44991</v>
      </c>
      <c r="C262" s="3">
        <f ca="1">IFERROR(__xludf.DUMMYFUNCTION("""COMPUTED_VALUE"""),5902557370344)</f>
        <v>5902557370344</v>
      </c>
      <c r="D262" s="4" t="str">
        <f ca="1">IFERROR(__xludf.DUMMYFUNCTION("""COMPUTED_VALUE"""),"BATERIA UMYWALKOWA JS-634901-1G VIRAL ZŁOTA WYSOKA")</f>
        <v>BATERIA UMYWALKOWA JS-634901-1G VIRAL ZŁOTA WYSOKA</v>
      </c>
      <c r="E262" s="31">
        <v>71.292682926829286</v>
      </c>
      <c r="F262" s="31">
        <f t="shared" si="4"/>
        <v>87.690000000000026</v>
      </c>
    </row>
    <row r="263" spans="1:6" ht="18.75" customHeight="1" x14ac:dyDescent="0.25">
      <c r="A263" s="2" t="str">
        <f ca="1">IFERROR(__xludf.DUMMYFUNCTION("""COMPUTED_VALUE"""),"REA-B2028")</f>
        <v>REA-B2028</v>
      </c>
      <c r="B263" s="3">
        <f ca="1">IFERROR(__xludf.DUMMYFUNCTION("""COMPUTED_VALUE"""),44989)</f>
        <v>44989</v>
      </c>
      <c r="C263" s="3">
        <f ca="1">IFERROR(__xludf.DUMMYFUNCTION("""COMPUTED_VALUE"""),5902557370399)</f>
        <v>5902557370399</v>
      </c>
      <c r="D263" s="4" t="str">
        <f ca="1">IFERROR(__xludf.DUMMYFUNCTION("""COMPUTED_VALUE"""),"BATERIA UMYWALKOWA JS-634901B VIRAL CZARNA NISKA")</f>
        <v>BATERIA UMYWALKOWA JS-634901B VIRAL CZARNA NISKA</v>
      </c>
      <c r="E263" s="31">
        <v>55.951219512195124</v>
      </c>
      <c r="F263" s="31">
        <f t="shared" si="4"/>
        <v>68.820000000000007</v>
      </c>
    </row>
    <row r="264" spans="1:6" ht="18.75" customHeight="1" x14ac:dyDescent="0.25">
      <c r="A264" s="2" t="str">
        <f ca="1">IFERROR(__xludf.DUMMYFUNCTION("""COMPUTED_VALUE"""),"REA-B2022")</f>
        <v>REA-B2022</v>
      </c>
      <c r="B264" s="3">
        <f ca="1">IFERROR(__xludf.DUMMYFUNCTION("""COMPUTED_VALUE"""),44992)</f>
        <v>44992</v>
      </c>
      <c r="C264" s="3">
        <f ca="1">IFERROR(__xludf.DUMMYFUNCTION("""COMPUTED_VALUE"""),5902557370337)</f>
        <v>5902557370337</v>
      </c>
      <c r="D264" s="4" t="str">
        <f ca="1">IFERROR(__xludf.DUMMYFUNCTION("""COMPUTED_VALUE"""),"BATERIA UMYWALKOWA JS-634901G VIRAL ZŁOTA NISKA")</f>
        <v>BATERIA UMYWALKOWA JS-634901G VIRAL ZŁOTA NISKA</v>
      </c>
      <c r="E264" s="31">
        <v>51.439024390243908</v>
      </c>
      <c r="F264" s="31">
        <f t="shared" si="4"/>
        <v>63.27</v>
      </c>
    </row>
    <row r="265" spans="1:6" ht="18.75" customHeight="1" x14ac:dyDescent="0.25">
      <c r="A265" s="2" t="str">
        <f ca="1">IFERROR(__xludf.DUMMYFUNCTION("""COMPUTED_VALUE"""),"REA-B2016")</f>
        <v>REA-B2016</v>
      </c>
      <c r="B265" s="3">
        <f ca="1">IFERROR(__xludf.DUMMYFUNCTION("""COMPUTED_VALUE"""),45025)</f>
        <v>45025</v>
      </c>
      <c r="C265" s="3">
        <f ca="1">IFERROR(__xludf.DUMMYFUNCTION("""COMPUTED_VALUE"""),5902557370276)</f>
        <v>5902557370276</v>
      </c>
      <c r="D265" s="4" t="str">
        <f ca="1">IFERROR(__xludf.DUMMYFUNCTION("""COMPUTED_VALUE"""),"BATERIA UMYWALKOWA JS-650101 PIXEL CHROM NISKA")</f>
        <v>BATERIA UMYWALKOWA JS-650101 PIXEL CHROM NISKA</v>
      </c>
      <c r="E265" s="31">
        <v>39.707317073170735</v>
      </c>
      <c r="F265" s="31">
        <f t="shared" si="4"/>
        <v>48.84</v>
      </c>
    </row>
    <row r="266" spans="1:6" ht="18.75" customHeight="1" x14ac:dyDescent="0.25">
      <c r="A266" s="2" t="str">
        <f ca="1">IFERROR(__xludf.DUMMYFUNCTION("""COMPUTED_VALUE"""),"REA-B6214")</f>
        <v>REA-B6214</v>
      </c>
      <c r="B266" s="3">
        <f ca="1">IFERROR(__xludf.DUMMYFUNCTION("""COMPUTED_VALUE"""),51320)</f>
        <v>51320</v>
      </c>
      <c r="C266" s="3">
        <f ca="1">IFERROR(__xludf.DUMMYFUNCTION("""COMPUTED_VALUE"""),5902557391158)</f>
        <v>5902557391158</v>
      </c>
      <c r="D266" s="4" t="str">
        <f ca="1">IFERROR(__xludf.DUMMYFUNCTION("""COMPUTED_VALUE"""),"BATERIA UMYWALKOWA JS-650101-1B PIXEL CZARNA WYSOK")</f>
        <v>BATERIA UMYWALKOWA JS-650101-1B PIXEL CZARNA WYSOK</v>
      </c>
      <c r="E266" s="31">
        <v>49.634146341463421</v>
      </c>
      <c r="F266" s="31">
        <f t="shared" si="4"/>
        <v>61.050000000000004</v>
      </c>
    </row>
    <row r="267" spans="1:6" ht="18.75" customHeight="1" x14ac:dyDescent="0.25">
      <c r="A267" s="2" t="str">
        <f ca="1">IFERROR(__xludf.DUMMYFUNCTION("""COMPUTED_VALUE"""),"REA-B6215")</f>
        <v>REA-B6215</v>
      </c>
      <c r="B267" s="3">
        <f ca="1">IFERROR(__xludf.DUMMYFUNCTION("""COMPUTED_VALUE"""),51319)</f>
        <v>51319</v>
      </c>
      <c r="C267" s="3">
        <f ca="1">IFERROR(__xludf.DUMMYFUNCTION("""COMPUTED_VALUE"""),5902557391165)</f>
        <v>5902557391165</v>
      </c>
      <c r="D267" s="4" t="str">
        <f ca="1">IFERROR(__xludf.DUMMYFUNCTION("""COMPUTED_VALUE"""),"BATERIA UMYWALKOWA JS-650101-1G PIXEL ZŁOTA WYSOKA")</f>
        <v>BATERIA UMYWALKOWA JS-650101-1G PIXEL ZŁOTA WYSOKA</v>
      </c>
      <c r="E267" s="31">
        <v>56.853658536585371</v>
      </c>
      <c r="F267" s="31">
        <f t="shared" si="4"/>
        <v>69.930000000000007</v>
      </c>
    </row>
    <row r="268" spans="1:6" ht="18.75" customHeight="1" x14ac:dyDescent="0.25">
      <c r="A268" s="2" t="str">
        <f ca="1">IFERROR(__xludf.DUMMYFUNCTION("""COMPUTED_VALUE"""),"REA-B2017")</f>
        <v>REA-B2017</v>
      </c>
      <c r="B268" s="3">
        <f ca="1">IFERROR(__xludf.DUMMYFUNCTION("""COMPUTED_VALUE"""),45026)</f>
        <v>45026</v>
      </c>
      <c r="C268" s="3">
        <f ca="1">IFERROR(__xludf.DUMMYFUNCTION("""COMPUTED_VALUE"""),5902557370283)</f>
        <v>5902557370283</v>
      </c>
      <c r="D268" s="4" t="str">
        <f ca="1">IFERROR(__xludf.DUMMYFUNCTION("""COMPUTED_VALUE"""),"BATERIA UMYWALKOWA JS-650101B PIXEL CZARNA NISKA")</f>
        <v>BATERIA UMYWALKOWA JS-650101B PIXEL CZARNA NISKA</v>
      </c>
      <c r="E268" s="31">
        <v>41.512195121951223</v>
      </c>
      <c r="F268" s="31">
        <f t="shared" si="4"/>
        <v>51.06</v>
      </c>
    </row>
    <row r="269" spans="1:6" ht="18.75" customHeight="1" x14ac:dyDescent="0.25">
      <c r="A269" s="2" t="str">
        <f ca="1">IFERROR(__xludf.DUMMYFUNCTION("""COMPUTED_VALUE"""),"REA-B2018")</f>
        <v>REA-B2018</v>
      </c>
      <c r="B269" s="3">
        <f ca="1">IFERROR(__xludf.DUMMYFUNCTION("""COMPUTED_VALUE"""),45024)</f>
        <v>45024</v>
      </c>
      <c r="C269" s="3">
        <f ca="1">IFERROR(__xludf.DUMMYFUNCTION("""COMPUTED_VALUE"""),5902557370290)</f>
        <v>5902557370290</v>
      </c>
      <c r="D269" s="4" t="str">
        <f ca="1">IFERROR(__xludf.DUMMYFUNCTION("""COMPUTED_VALUE"""),"BATERIA UMYWALKOWA JS-650101G PIXEL ZŁOTA NISKA")</f>
        <v>BATERIA UMYWALKOWA JS-650101G PIXEL ZŁOTA NISKA</v>
      </c>
      <c r="E269" s="31">
        <v>44.219512195121951</v>
      </c>
      <c r="F269" s="31">
        <f t="shared" si="4"/>
        <v>54.39</v>
      </c>
    </row>
    <row r="270" spans="1:6" ht="18.75" customHeight="1" x14ac:dyDescent="0.25">
      <c r="A270" s="2" t="str">
        <f ca="1">IFERROR(__xludf.DUMMYFUNCTION("""COMPUTED_VALUE"""),"REA-B2031")</f>
        <v>REA-B2031</v>
      </c>
      <c r="B270" s="3">
        <f ca="1">IFERROR(__xludf.DUMMYFUNCTION("""COMPUTED_VALUE"""),45037)</f>
        <v>45037</v>
      </c>
      <c r="C270" s="3">
        <f ca="1">IFERROR(__xludf.DUMMYFUNCTION("""COMPUTED_VALUE"""),5902557370429)</f>
        <v>5902557370429</v>
      </c>
      <c r="D270" s="4" t="str">
        <f ca="1">IFERROR(__xludf.DUMMYFUNCTION("""COMPUTED_VALUE"""),"BATERIA UMYWALKOWA JS-723001 RUSEL CHROM NISKA")</f>
        <v>BATERIA UMYWALKOWA JS-723001 RUSEL CHROM NISKA</v>
      </c>
      <c r="E270" s="31">
        <v>41.512195121951223</v>
      </c>
      <c r="F270" s="31">
        <f t="shared" si="4"/>
        <v>51.06</v>
      </c>
    </row>
    <row r="271" spans="1:6" ht="18.75" customHeight="1" x14ac:dyDescent="0.25">
      <c r="A271" s="2" t="str">
        <f ca="1">IFERROR(__xludf.DUMMYFUNCTION("""COMPUTED_VALUE"""),"REA-B2033")</f>
        <v>REA-B2033</v>
      </c>
      <c r="B271" s="3">
        <f ca="1">IFERROR(__xludf.DUMMYFUNCTION("""COMPUTED_VALUE"""),45034)</f>
        <v>45034</v>
      </c>
      <c r="C271" s="3">
        <f ca="1">IFERROR(__xludf.DUMMYFUNCTION("""COMPUTED_VALUE"""),5902557370443)</f>
        <v>5902557370443</v>
      </c>
      <c r="D271" s="4" t="str">
        <f ca="1">IFERROR(__xludf.DUMMYFUNCTION("""COMPUTED_VALUE"""),"BATERIA UMYWALKOWA JS-723001G RUSEL ZŁOTA NISKA")</f>
        <v>BATERIA UMYWALKOWA JS-723001G RUSEL ZŁOTA NISKA</v>
      </c>
      <c r="E271" s="31">
        <v>46.024390243902438</v>
      </c>
      <c r="F271" s="31">
        <f t="shared" si="4"/>
        <v>56.61</v>
      </c>
    </row>
    <row r="272" spans="1:6" ht="18.75" customHeight="1" x14ac:dyDescent="0.25">
      <c r="A272" s="2" t="str">
        <f ca="1">IFERROR(__xludf.DUMMYFUNCTION("""COMPUTED_VALUE"""),"REA-B2004")</f>
        <v>REA-B2004</v>
      </c>
      <c r="B272" s="3">
        <f ca="1">IFERROR(__xludf.DUMMYFUNCTION("""COMPUTED_VALUE"""),44987)</f>
        <v>44987</v>
      </c>
      <c r="C272" s="3">
        <f ca="1">IFERROR(__xludf.DUMMYFUNCTION("""COMPUTED_VALUE"""),5902557370153)</f>
        <v>5902557370153</v>
      </c>
      <c r="D272" s="4" t="str">
        <f ca="1">IFERROR(__xludf.DUMMYFUNCTION("""COMPUTED_VALUE"""),"BATERIA UMYWALKOWA JS-800 FLIP CHROM NISKA")</f>
        <v>BATERIA UMYWALKOWA JS-800 FLIP CHROM NISKA</v>
      </c>
      <c r="E272" s="31">
        <v>55.048780487804883</v>
      </c>
      <c r="F272" s="31">
        <f t="shared" si="4"/>
        <v>67.710000000000008</v>
      </c>
    </row>
    <row r="273" spans="1:6" ht="18.75" customHeight="1" x14ac:dyDescent="0.25">
      <c r="A273" s="2" t="str">
        <f ca="1">IFERROR(__xludf.DUMMYFUNCTION("""COMPUTED_VALUE"""),"REA-B2006")</f>
        <v>REA-B2006</v>
      </c>
      <c r="B273" s="3">
        <f ca="1">IFERROR(__xludf.DUMMYFUNCTION("""COMPUTED_VALUE"""),44986)</f>
        <v>44986</v>
      </c>
      <c r="C273" s="3">
        <f ca="1">IFERROR(__xludf.DUMMYFUNCTION("""COMPUTED_VALUE"""),5902557370177)</f>
        <v>5902557370177</v>
      </c>
      <c r="D273" s="4" t="str">
        <f ca="1">IFERROR(__xludf.DUMMYFUNCTION("""COMPUTED_VALUE"""),"BATERIA UMYWALKOWA JS-800-1 FLIP CHROM WYSOKA")</f>
        <v>BATERIA UMYWALKOWA JS-800-1 FLIP CHROM WYSOKA</v>
      </c>
      <c r="E273" s="31">
        <v>66.780487804878049</v>
      </c>
      <c r="F273" s="31">
        <f t="shared" si="4"/>
        <v>82.14</v>
      </c>
    </row>
    <row r="274" spans="1:6" ht="18.75" customHeight="1" x14ac:dyDescent="0.25">
      <c r="A274" s="2" t="str">
        <f ca="1">IFERROR(__xludf.DUMMYFUNCTION("""COMPUTED_VALUE"""),"REA-B2007")</f>
        <v>REA-B2007</v>
      </c>
      <c r="B274" s="3">
        <f ca="1">IFERROR(__xludf.DUMMYFUNCTION("""COMPUTED_VALUE"""),44984)</f>
        <v>44984</v>
      </c>
      <c r="C274" s="3">
        <f ca="1">IFERROR(__xludf.DUMMYFUNCTION("""COMPUTED_VALUE"""),5902557370184)</f>
        <v>5902557370184</v>
      </c>
      <c r="D274" s="4" t="str">
        <f ca="1">IFERROR(__xludf.DUMMYFUNCTION("""COMPUTED_VALUE"""),"BATERIA UMYWALKOWA JS-800-1B FLIP CZARNA WYSOKA")</f>
        <v>BATERIA UMYWALKOWA JS-800-1B FLIP CZARNA WYSOKA</v>
      </c>
      <c r="E274" s="31">
        <v>73.097560975609767</v>
      </c>
      <c r="F274" s="31">
        <f t="shared" si="4"/>
        <v>89.910000000000011</v>
      </c>
    </row>
    <row r="275" spans="1:6" ht="18.75" customHeight="1" x14ac:dyDescent="0.25">
      <c r="A275" s="2" t="str">
        <f ca="1">IFERROR(__xludf.DUMMYFUNCTION("""COMPUTED_VALUE"""),"REA-B2005")</f>
        <v>REA-B2005</v>
      </c>
      <c r="B275" s="3">
        <f ca="1">IFERROR(__xludf.DUMMYFUNCTION("""COMPUTED_VALUE"""),44985)</f>
        <v>44985</v>
      </c>
      <c r="C275" s="3">
        <f ca="1">IFERROR(__xludf.DUMMYFUNCTION("""COMPUTED_VALUE"""),5902557370160)</f>
        <v>5902557370160</v>
      </c>
      <c r="D275" s="4" t="str">
        <f ca="1">IFERROR(__xludf.DUMMYFUNCTION("""COMPUTED_VALUE"""),"BATERIA UMYWALKOWA JS-800B FLIP CZARNA NISKA")</f>
        <v>BATERIA UMYWALKOWA JS-800B FLIP CZARNA NISKA</v>
      </c>
      <c r="E275" s="31">
        <v>57.756097560975611</v>
      </c>
      <c r="F275" s="31">
        <f t="shared" si="4"/>
        <v>71.040000000000006</v>
      </c>
    </row>
    <row r="276" spans="1:6" ht="18.75" customHeight="1" x14ac:dyDescent="0.25">
      <c r="A276" s="2" t="str">
        <f ca="1">IFERROR(__xludf.DUMMYFUNCTION("""COMPUTED_VALUE"""),"REA-B2048")</f>
        <v>REA-B2048</v>
      </c>
      <c r="B276" s="3">
        <f ca="1">IFERROR(__xludf.DUMMYFUNCTION("""COMPUTED_VALUE"""),45058)</f>
        <v>45058</v>
      </c>
      <c r="C276" s="3">
        <f ca="1">IFERROR(__xludf.DUMMYFUNCTION("""COMPUTED_VALUE"""),5902557370597)</f>
        <v>5902557370597</v>
      </c>
      <c r="D276" s="4" t="str">
        <f ca="1">IFERROR(__xludf.DUMMYFUNCTION("""COMPUTED_VALUE"""),"BATERIA UMYWALKOWA JS-B215  ORBIT CHROM NISKA")</f>
        <v>BATERIA UMYWALKOWA JS-B215  ORBIT CHROM NISKA</v>
      </c>
      <c r="E276" s="31">
        <v>55.048780487804883</v>
      </c>
      <c r="F276" s="31">
        <f t="shared" si="4"/>
        <v>67.710000000000008</v>
      </c>
    </row>
    <row r="277" spans="1:6" ht="18.75" customHeight="1" x14ac:dyDescent="0.25">
      <c r="A277" s="2" t="str">
        <f ca="1">IFERROR(__xludf.DUMMYFUNCTION("""COMPUTED_VALUE"""),"REA-B2049")</f>
        <v>REA-B2049</v>
      </c>
      <c r="B277" s="3">
        <f ca="1">IFERROR(__xludf.DUMMYFUNCTION("""COMPUTED_VALUE"""),45060)</f>
        <v>45060</v>
      </c>
      <c r="C277" s="3">
        <f ca="1">IFERROR(__xludf.DUMMYFUNCTION("""COMPUTED_VALUE"""),5902557370603)</f>
        <v>5902557370603</v>
      </c>
      <c r="D277" s="4" t="str">
        <f ca="1">IFERROR(__xludf.DUMMYFUNCTION("""COMPUTED_VALUE"""),"BATERIA UMYWALKOWA JS-B215-1  ORBIT CHROM WYSOKA")</f>
        <v>BATERIA UMYWALKOWA JS-B215-1  ORBIT CHROM WYSOKA</v>
      </c>
      <c r="E277" s="31">
        <v>76.707317073170742</v>
      </c>
      <c r="F277" s="31">
        <f t="shared" si="4"/>
        <v>94.350000000000009</v>
      </c>
    </row>
    <row r="278" spans="1:6" ht="18.75" customHeight="1" x14ac:dyDescent="0.25">
      <c r="A278" s="2" t="str">
        <f ca="1">IFERROR(__xludf.DUMMYFUNCTION("""COMPUTED_VALUE"""),"REA-B2051")</f>
        <v>REA-B2051</v>
      </c>
      <c r="B278" s="3">
        <f ca="1">IFERROR(__xludf.DUMMYFUNCTION("""COMPUTED_VALUE"""),45000)</f>
        <v>45000</v>
      </c>
      <c r="C278" s="3">
        <f ca="1">IFERROR(__xludf.DUMMYFUNCTION("""COMPUTED_VALUE"""),5902557370627)</f>
        <v>5902557370627</v>
      </c>
      <c r="D278" s="4" t="str">
        <f ca="1">IFERROR(__xludf.DUMMYFUNCTION("""COMPUTED_VALUE"""),"BATERIA UMYWALKOWA JS-B215-1G  ORBIT ZŁOTA WYSOKA")</f>
        <v>BATERIA UMYWALKOWA JS-B215-1G  ORBIT ZŁOTA WYSOKA</v>
      </c>
      <c r="E278" s="31">
        <v>84.82926829268294</v>
      </c>
      <c r="F278" s="31">
        <f t="shared" si="4"/>
        <v>104.34000000000002</v>
      </c>
    </row>
    <row r="279" spans="1:6" ht="18.75" customHeight="1" x14ac:dyDescent="0.25">
      <c r="A279" s="2" t="str">
        <f ca="1">IFERROR(__xludf.DUMMYFUNCTION("""COMPUTED_VALUE"""),"REA-B2050")</f>
        <v>REA-B2050</v>
      </c>
      <c r="B279" s="3">
        <f ca="1">IFERROR(__xludf.DUMMYFUNCTION("""COMPUTED_VALUE"""),45002)</f>
        <v>45002</v>
      </c>
      <c r="C279" s="3">
        <f ca="1">IFERROR(__xludf.DUMMYFUNCTION("""COMPUTED_VALUE"""),5902557370610)</f>
        <v>5902557370610</v>
      </c>
      <c r="D279" s="4" t="str">
        <f ca="1">IFERROR(__xludf.DUMMYFUNCTION("""COMPUTED_VALUE"""),"BATERIA UMYWALKOWA JS-B215G  ORBIT ZŁOTA NISKA")</f>
        <v>BATERIA UMYWALKOWA JS-B215G  ORBIT ZŁOTA NISKA</v>
      </c>
      <c r="E279" s="31">
        <v>63.170731707317081</v>
      </c>
      <c r="F279" s="31">
        <f t="shared" si="4"/>
        <v>77.7</v>
      </c>
    </row>
    <row r="280" spans="1:6" ht="18.75" customHeight="1" x14ac:dyDescent="0.25">
      <c r="A280" s="2" t="str">
        <f ca="1">IFERROR(__xludf.DUMMYFUNCTION("""COMPUTED_VALUE"""),"REA-B2047")</f>
        <v>REA-B2047</v>
      </c>
      <c r="B280" s="3">
        <f ca="1">IFERROR(__xludf.DUMMYFUNCTION("""COMPUTED_VALUE"""),45017)</f>
        <v>45017</v>
      </c>
      <c r="C280" s="3">
        <f ca="1">IFERROR(__xludf.DUMMYFUNCTION("""COMPUTED_VALUE"""),5902557370580)</f>
        <v>5902557370580</v>
      </c>
      <c r="D280" s="4" t="str">
        <f ca="1">IFERROR(__xludf.DUMMYFUNCTION("""COMPUTED_VALUE"""),"BATERIA UMYWALKOWA JS-B253-1B  LEVEL CZARNA WYSOKA")</f>
        <v>BATERIA UMYWALKOWA JS-B253-1B  LEVEL CZARNA WYSOKA</v>
      </c>
      <c r="E280" s="31">
        <v>63.170731707317081</v>
      </c>
      <c r="F280" s="31">
        <f t="shared" si="4"/>
        <v>77.7</v>
      </c>
    </row>
    <row r="281" spans="1:6" ht="18.75" customHeight="1" x14ac:dyDescent="0.25">
      <c r="A281" s="2" t="str">
        <f ca="1">IFERROR(__xludf.DUMMYFUNCTION("""COMPUTED_VALUE"""),"REA-B2045")</f>
        <v>REA-B2045</v>
      </c>
      <c r="B281" s="3">
        <f ca="1">IFERROR(__xludf.DUMMYFUNCTION("""COMPUTED_VALUE"""),45023)</f>
        <v>45023</v>
      </c>
      <c r="C281" s="3">
        <f ca="1">IFERROR(__xludf.DUMMYFUNCTION("""COMPUTED_VALUE"""),5902557370566)</f>
        <v>5902557370566</v>
      </c>
      <c r="D281" s="4" t="str">
        <f ca="1">IFERROR(__xludf.DUMMYFUNCTION("""COMPUTED_VALUE"""),"BATERIA UMYWALKOWA JS-B253-1G  LEVEL ZŁOTA WYSOKA")</f>
        <v>BATERIA UMYWALKOWA JS-B253-1G  LEVEL ZŁOTA WYSOKA</v>
      </c>
      <c r="E281" s="31">
        <v>62.268292682926841</v>
      </c>
      <c r="F281" s="31">
        <f t="shared" si="4"/>
        <v>76.590000000000018</v>
      </c>
    </row>
    <row r="282" spans="1:6" ht="18.75" customHeight="1" x14ac:dyDescent="0.25">
      <c r="A282" s="2" t="str">
        <f ca="1">IFERROR(__xludf.DUMMYFUNCTION("""COMPUTED_VALUE"""),"REA-B2046")</f>
        <v>REA-B2046</v>
      </c>
      <c r="B282" s="3">
        <f ca="1">IFERROR(__xludf.DUMMYFUNCTION("""COMPUTED_VALUE"""),45018)</f>
        <v>45018</v>
      </c>
      <c r="C282" s="3">
        <f ca="1">IFERROR(__xludf.DUMMYFUNCTION("""COMPUTED_VALUE"""),5902557370573)</f>
        <v>5902557370573</v>
      </c>
      <c r="D282" s="4" t="str">
        <f ca="1">IFERROR(__xludf.DUMMYFUNCTION("""COMPUTED_VALUE"""),"BATERIA UMYWALKOWA JS-B253B  LEVEL CZARNA NISKA")</f>
        <v>BATERIA UMYWALKOWA JS-B253B  LEVEL CZARNA NISKA</v>
      </c>
      <c r="E282" s="31">
        <v>50.536585365853668</v>
      </c>
      <c r="F282" s="31">
        <f t="shared" si="4"/>
        <v>62.160000000000011</v>
      </c>
    </row>
    <row r="283" spans="1:6" ht="18.75" customHeight="1" x14ac:dyDescent="0.25">
      <c r="A283" s="2" t="str">
        <f ca="1">IFERROR(__xludf.DUMMYFUNCTION("""COMPUTED_VALUE"""),"REA-B2044")</f>
        <v>REA-B2044</v>
      </c>
      <c r="B283" s="3">
        <f ca="1">IFERROR(__xludf.DUMMYFUNCTION("""COMPUTED_VALUE"""),45022)</f>
        <v>45022</v>
      </c>
      <c r="C283" s="3">
        <f ca="1">IFERROR(__xludf.DUMMYFUNCTION("""COMPUTED_VALUE"""),5902557370559)</f>
        <v>5902557370559</v>
      </c>
      <c r="D283" s="4" t="str">
        <f ca="1">IFERROR(__xludf.DUMMYFUNCTION("""COMPUTED_VALUE"""),"BATERIA UMYWALKOWA JS-B253G  LEVEL ZŁOTA NISKA")</f>
        <v>BATERIA UMYWALKOWA JS-B253G  LEVEL ZŁOTA NISKA</v>
      </c>
      <c r="E283" s="31">
        <v>49.634146341463421</v>
      </c>
      <c r="F283" s="31">
        <f t="shared" si="4"/>
        <v>61.050000000000004</v>
      </c>
    </row>
    <row r="284" spans="1:6" ht="18.75" customHeight="1" x14ac:dyDescent="0.25">
      <c r="A284" s="2" t="str">
        <f ca="1">IFERROR(__xludf.DUMMYFUNCTION("""COMPUTED_VALUE"""),"REA-B5320")</f>
        <v>REA-B5320</v>
      </c>
      <c r="B284" s="3">
        <f ca="1">IFERROR(__xludf.DUMMYFUNCTION("""COMPUTED_VALUE"""),51182)</f>
        <v>51182</v>
      </c>
      <c r="C284" s="3">
        <f ca="1">IFERROR(__xludf.DUMMYFUNCTION("""COMPUTED_VALUE"""),5902557391530)</f>
        <v>5902557391530</v>
      </c>
      <c r="D284" s="4" t="str">
        <f ca="1">IFERROR(__xludf.DUMMYFUNCTION("""COMPUTED_VALUE"""),"BATERIA UMYWALKOWA JS-B310-1B FOSS CZARNA WYSOKA")</f>
        <v>BATERIA UMYWALKOWA JS-B310-1B FOSS CZARNA WYSOKA</v>
      </c>
      <c r="E284" s="31">
        <v>42.41463414634147</v>
      </c>
      <c r="F284" s="31">
        <f t="shared" si="4"/>
        <v>52.170000000000009</v>
      </c>
    </row>
    <row r="285" spans="1:6" ht="18.75" customHeight="1" x14ac:dyDescent="0.25">
      <c r="A285" s="2" t="str">
        <f ca="1">IFERROR(__xludf.DUMMYFUNCTION("""COMPUTED_VALUE"""),"REA-B5318")</f>
        <v>REA-B5318</v>
      </c>
      <c r="B285" s="3">
        <f ca="1">IFERROR(__xludf.DUMMYFUNCTION("""COMPUTED_VALUE"""),51187)</f>
        <v>51187</v>
      </c>
      <c r="C285" s="3">
        <f ca="1">IFERROR(__xludf.DUMMYFUNCTION("""COMPUTED_VALUE"""),5902557391516)</f>
        <v>5902557391516</v>
      </c>
      <c r="D285" s="4" t="str">
        <f ca="1">IFERROR(__xludf.DUMMYFUNCTION("""COMPUTED_VALUE"""),"BATERIA UMYWALKOWA JS-B310-1N FOSS NIKIEL SZCZ WYS")</f>
        <v>BATERIA UMYWALKOWA JS-B310-1N FOSS NIKIEL SZCZ WYS</v>
      </c>
      <c r="E285" s="31">
        <v>37.902439024390247</v>
      </c>
      <c r="F285" s="31">
        <f t="shared" si="4"/>
        <v>46.620000000000005</v>
      </c>
    </row>
    <row r="286" spans="1:6" ht="18.75" customHeight="1" x14ac:dyDescent="0.25">
      <c r="A286" s="2" t="str">
        <f ca="1">IFERROR(__xludf.DUMMYFUNCTION("""COMPUTED_VALUE"""),"REA-B5317")</f>
        <v>REA-B5317</v>
      </c>
      <c r="B286" s="3">
        <f ca="1">IFERROR(__xludf.DUMMYFUNCTION("""COMPUTED_VALUE"""),51175)</f>
        <v>51175</v>
      </c>
      <c r="C286" s="3">
        <f ca="1">IFERROR(__xludf.DUMMYFUNCTION("""COMPUTED_VALUE"""),5902557391509)</f>
        <v>5902557391509</v>
      </c>
      <c r="D286" s="4" t="str">
        <f ca="1">IFERROR(__xludf.DUMMYFUNCTION("""COMPUTED_VALUE"""),"BATERIA UMYWALKOWA JS-B310B FOSS CZARNA NISKA")</f>
        <v>BATERIA UMYWALKOWA JS-B310B FOSS CZARNA NISKA</v>
      </c>
      <c r="E286" s="31">
        <v>36.09756097560976</v>
      </c>
      <c r="F286" s="31">
        <f t="shared" si="4"/>
        <v>44.400000000000006</v>
      </c>
    </row>
    <row r="287" spans="1:6" ht="18.75" customHeight="1" x14ac:dyDescent="0.25">
      <c r="A287" s="2" t="str">
        <f ca="1">IFERROR(__xludf.DUMMYFUNCTION("""COMPUTED_VALUE"""),"REA-B5316")</f>
        <v>REA-B5316</v>
      </c>
      <c r="B287" s="3">
        <f ca="1">IFERROR(__xludf.DUMMYFUNCTION("""COMPUTED_VALUE"""),51177)</f>
        <v>51177</v>
      </c>
      <c r="C287" s="3">
        <f ca="1">IFERROR(__xludf.DUMMYFUNCTION("""COMPUTED_VALUE"""),5902557391493)</f>
        <v>5902557391493</v>
      </c>
      <c r="D287" s="4" t="str">
        <f ca="1">IFERROR(__xludf.DUMMYFUNCTION("""COMPUTED_VALUE"""),"BATERIA UMYWALKOWA JS-B310BG FOSS ZŁOTA SZCZ NISKA")</f>
        <v>BATERIA UMYWALKOWA JS-B310BG FOSS ZŁOTA SZCZ NISKA</v>
      </c>
      <c r="E287" s="31">
        <v>39.707317073170735</v>
      </c>
      <c r="F287" s="31">
        <f t="shared" si="4"/>
        <v>48.84</v>
      </c>
    </row>
    <row r="288" spans="1:6" ht="18.75" customHeight="1" x14ac:dyDescent="0.25">
      <c r="A288" s="2" t="str">
        <f ca="1">IFERROR(__xludf.DUMMYFUNCTION("""COMPUTED_VALUE"""),"REA-B5315")</f>
        <v>REA-B5315</v>
      </c>
      <c r="B288" s="3">
        <f ca="1">IFERROR(__xludf.DUMMYFUNCTION("""COMPUTED_VALUE"""),51181)</f>
        <v>51181</v>
      </c>
      <c r="C288" s="3">
        <f ca="1">IFERROR(__xludf.DUMMYFUNCTION("""COMPUTED_VALUE"""),5902557391486)</f>
        <v>5902557391486</v>
      </c>
      <c r="D288" s="4" t="str">
        <f ca="1">IFERROR(__xludf.DUMMYFUNCTION("""COMPUTED_VALUE"""),"BATERIA UMYWALKOWA JS-B310N FOSS NIKIEL SZCZ NISKA")</f>
        <v>BATERIA UMYWALKOWA JS-B310N FOSS NIKIEL SZCZ NISKA</v>
      </c>
      <c r="E288" s="31">
        <v>31.585365853658541</v>
      </c>
      <c r="F288" s="31">
        <f t="shared" si="4"/>
        <v>38.85</v>
      </c>
    </row>
    <row r="289" spans="1:6" ht="18.75" customHeight="1" x14ac:dyDescent="0.25">
      <c r="A289" s="2" t="str">
        <f ca="1">IFERROR(__xludf.DUMMYFUNCTION("""COMPUTED_VALUE"""),"REA-B5325")</f>
        <v>REA-B5325</v>
      </c>
      <c r="B289" s="3">
        <f ca="1">IFERROR(__xludf.DUMMYFUNCTION("""COMPUTED_VALUE"""),51191)</f>
        <v>51191</v>
      </c>
      <c r="C289" s="3">
        <f ca="1">IFERROR(__xludf.DUMMYFUNCTION("""COMPUTED_VALUE"""),5902557391615)</f>
        <v>5902557391615</v>
      </c>
      <c r="D289" s="4" t="str">
        <f ca="1">IFERROR(__xludf.DUMMYFUNCTION("""COMPUTED_VALUE"""),"BATERIA UMYWALKOWA JS-B311-1B CLIF CZARNA WYSOKA")</f>
        <v>BATERIA UMYWALKOWA JS-B311-1B CLIF CZARNA WYSOKA</v>
      </c>
      <c r="E289" s="31">
        <v>55.048780487804883</v>
      </c>
      <c r="F289" s="31">
        <f t="shared" si="4"/>
        <v>67.710000000000008</v>
      </c>
    </row>
    <row r="290" spans="1:6" ht="18.75" customHeight="1" x14ac:dyDescent="0.25">
      <c r="A290" s="2" t="str">
        <f ca="1">IFERROR(__xludf.DUMMYFUNCTION("""COMPUTED_VALUE"""),"REA-B5321")</f>
        <v>REA-B5321</v>
      </c>
      <c r="B290" s="3">
        <f ca="1">IFERROR(__xludf.DUMMYFUNCTION("""COMPUTED_VALUE"""),51185)</f>
        <v>51185</v>
      </c>
      <c r="C290" s="3">
        <f ca="1">IFERROR(__xludf.DUMMYFUNCTION("""COMPUTED_VALUE"""),5902557391578)</f>
        <v>5902557391578</v>
      </c>
      <c r="D290" s="4" t="str">
        <f ca="1">IFERROR(__xludf.DUMMYFUNCTION("""COMPUTED_VALUE"""),"BATERIA UMYWALKOWA JS-B311B CLIF CZARNA NISKA")</f>
        <v>BATERIA UMYWALKOWA JS-B311B CLIF CZARNA NISKA</v>
      </c>
      <c r="E290" s="31">
        <v>42.41463414634147</v>
      </c>
      <c r="F290" s="31">
        <f t="shared" si="4"/>
        <v>52.170000000000009</v>
      </c>
    </row>
    <row r="291" spans="1:6" ht="18.75" customHeight="1" x14ac:dyDescent="0.25">
      <c r="A291" s="2" t="str">
        <f ca="1">IFERROR(__xludf.DUMMYFUNCTION("""COMPUTED_VALUE"""),"REA-B5323")</f>
        <v>REA-B5323</v>
      </c>
      <c r="B291" s="3">
        <f ca="1">IFERROR(__xludf.DUMMYFUNCTION("""COMPUTED_VALUE"""),51178)</f>
        <v>51178</v>
      </c>
      <c r="C291" s="3">
        <f ca="1">IFERROR(__xludf.DUMMYFUNCTION("""COMPUTED_VALUE"""),5902557391554)</f>
        <v>5902557391554</v>
      </c>
      <c r="D291" s="4" t="str">
        <f ca="1">IFERROR(__xludf.DUMMYFUNCTION("""COMPUTED_VALUE"""),"BATERIA UMYWALKOWA JS-B311BG CLIF ZŁOTA SZCZ NISKA")</f>
        <v>BATERIA UMYWALKOWA JS-B311BG CLIF ZŁOTA SZCZ NISKA</v>
      </c>
      <c r="E291" s="31">
        <v>46.926829268292686</v>
      </c>
      <c r="F291" s="31">
        <f t="shared" si="4"/>
        <v>57.72</v>
      </c>
    </row>
    <row r="292" spans="1:6" ht="18.75" customHeight="1" x14ac:dyDescent="0.25">
      <c r="A292" s="2" t="str">
        <f ca="1">IFERROR(__xludf.DUMMYFUNCTION("""COMPUTED_VALUE"""),"REA-B5322")</f>
        <v>REA-B5322</v>
      </c>
      <c r="B292" s="3">
        <f ca="1">IFERROR(__xludf.DUMMYFUNCTION("""COMPUTED_VALUE"""),51188)</f>
        <v>51188</v>
      </c>
      <c r="C292" s="3">
        <f ca="1">IFERROR(__xludf.DUMMYFUNCTION("""COMPUTED_VALUE"""),5902557391561)</f>
        <v>5902557391561</v>
      </c>
      <c r="D292" s="4" t="str">
        <f ca="1">IFERROR(__xludf.DUMMYFUNCTION("""COMPUTED_VALUE"""),"BATERIA UMYWALKOWA JS-B311GG CLIF GUN SZARA NISKA")</f>
        <v>BATERIA UMYWALKOWA JS-B311GG CLIF GUN SZARA NISKA</v>
      </c>
      <c r="E292" s="31">
        <v>60.463414634146346</v>
      </c>
      <c r="F292" s="31">
        <f t="shared" si="4"/>
        <v>74.37</v>
      </c>
    </row>
    <row r="293" spans="1:6" ht="18.75" customHeight="1" x14ac:dyDescent="0.25">
      <c r="A293" s="2" t="str">
        <f ca="1">IFERROR(__xludf.DUMMYFUNCTION("""COMPUTED_VALUE"""),"REA-B5324")</f>
        <v>REA-B5324</v>
      </c>
      <c r="B293" s="3">
        <f ca="1">IFERROR(__xludf.DUMMYFUNCTION("""COMPUTED_VALUE"""),51179)</f>
        <v>51179</v>
      </c>
      <c r="C293" s="3">
        <f ca="1">IFERROR(__xludf.DUMMYFUNCTION("""COMPUTED_VALUE"""),5902557391547)</f>
        <v>5902557391547</v>
      </c>
      <c r="D293" s="4" t="str">
        <f ca="1">IFERROR(__xludf.DUMMYFUNCTION("""COMPUTED_VALUE"""),"BATERIA UMYWALKOWA JS-B311N CLIF NIKIEL SZCZ NISKA")</f>
        <v>BATERIA UMYWALKOWA JS-B311N CLIF NIKIEL SZCZ NISKA</v>
      </c>
      <c r="E293" s="31">
        <v>42.41463414634147</v>
      </c>
      <c r="F293" s="31">
        <f t="shared" si="4"/>
        <v>52.170000000000009</v>
      </c>
    </row>
    <row r="294" spans="1:6" ht="18.75" customHeight="1" x14ac:dyDescent="0.25">
      <c r="A294" s="2" t="str">
        <f ca="1">IFERROR(__xludf.DUMMYFUNCTION("""COMPUTED_VALUE"""),"REA-B7802")</f>
        <v>REA-B7802</v>
      </c>
      <c r="B294" s="3">
        <f ca="1">IFERROR(__xludf.DUMMYFUNCTION("""COMPUTED_VALUE"""),53865)</f>
        <v>53865</v>
      </c>
      <c r="C294" s="3">
        <f ca="1">IFERROR(__xludf.DUMMYFUNCTION("""COMPUTED_VALUE"""),5906366007552)</f>
        <v>5906366007552</v>
      </c>
      <c r="D294" s="4" t="str">
        <f ca="1">IFERROR(__xludf.DUMMYFUNCTION("""COMPUTED_VALUE"""),"BATERIA UMYWALKOWA JS-B348-1BG ARGON ZŁOTA SZCZ WY")</f>
        <v>BATERIA UMYWALKOWA JS-B348-1BG ARGON ZŁOTA SZCZ WY</v>
      </c>
      <c r="E294" s="31">
        <v>76.707317073170742</v>
      </c>
      <c r="F294" s="31">
        <f t="shared" si="4"/>
        <v>94.350000000000009</v>
      </c>
    </row>
    <row r="295" spans="1:6" ht="18.75" customHeight="1" x14ac:dyDescent="0.25">
      <c r="A295" s="2" t="str">
        <f ca="1">IFERROR(__xludf.DUMMYFUNCTION("""COMPUTED_VALUE"""),"REA-B7803")</f>
        <v>REA-B7803</v>
      </c>
      <c r="B295" s="3">
        <f ca="1">IFERROR(__xludf.DUMMYFUNCTION("""COMPUTED_VALUE"""),53867)</f>
        <v>53867</v>
      </c>
      <c r="C295" s="3">
        <f ca="1">IFERROR(__xludf.DUMMYFUNCTION("""COMPUTED_VALUE"""),5906366007569)</f>
        <v>5906366007569</v>
      </c>
      <c r="D295" s="4" t="str">
        <f ca="1">IFERROR(__xludf.DUMMYFUNCTION("""COMPUTED_VALUE"""),"BATERIA UMYWALKOWA JS-B348-1G ARGON ZŁOTA WYSOKA")</f>
        <v>BATERIA UMYWALKOWA JS-B348-1G ARGON ZŁOTA WYSOKA</v>
      </c>
      <c r="E295" s="31">
        <v>69.487804878048792</v>
      </c>
      <c r="F295" s="31">
        <f t="shared" si="4"/>
        <v>85.470000000000013</v>
      </c>
    </row>
    <row r="296" spans="1:6" ht="18.75" customHeight="1" x14ac:dyDescent="0.25">
      <c r="A296" s="2" t="str">
        <f ca="1">IFERROR(__xludf.DUMMYFUNCTION("""COMPUTED_VALUE"""),"REA-B7801")</f>
        <v>REA-B7801</v>
      </c>
      <c r="B296" s="3">
        <f ca="1">IFERROR(__xludf.DUMMYFUNCTION("""COMPUTED_VALUE"""),53864)</f>
        <v>53864</v>
      </c>
      <c r="C296" s="3">
        <f ca="1">IFERROR(__xludf.DUMMYFUNCTION("""COMPUTED_VALUE"""),5906366007545)</f>
        <v>5906366007545</v>
      </c>
      <c r="D296" s="4" t="str">
        <f ca="1">IFERROR(__xludf.DUMMYFUNCTION("""COMPUTED_VALUE"""),"BATERIA UMYWALKOWA JS-B348BG ARGON ZŁOTA SZCZ NISK")</f>
        <v>BATERIA UMYWALKOWA JS-B348BG ARGON ZŁOTA SZCZ NISK</v>
      </c>
      <c r="E296" s="31">
        <v>63.170731707317081</v>
      </c>
      <c r="F296" s="31">
        <f t="shared" si="4"/>
        <v>77.7</v>
      </c>
    </row>
    <row r="297" spans="1:6" ht="18.75" customHeight="1" x14ac:dyDescent="0.25">
      <c r="A297" s="2" t="str">
        <f ca="1">IFERROR(__xludf.DUMMYFUNCTION("""COMPUTED_VALUE"""),"REA-B7800")</f>
        <v>REA-B7800</v>
      </c>
      <c r="B297" s="3">
        <f ca="1">IFERROR(__xludf.DUMMYFUNCTION("""COMPUTED_VALUE"""),53866)</f>
        <v>53866</v>
      </c>
      <c r="C297" s="3">
        <f ca="1">IFERROR(__xludf.DUMMYFUNCTION("""COMPUTED_VALUE"""),5906366007538)</f>
        <v>5906366007538</v>
      </c>
      <c r="D297" s="4" t="str">
        <f ca="1">IFERROR(__xludf.DUMMYFUNCTION("""COMPUTED_VALUE"""),"BATERIA UMYWALKOWA JS-B348G ARGON ZŁOTA NISKA")</f>
        <v>BATERIA UMYWALKOWA JS-B348G ARGON ZŁOTA NISKA</v>
      </c>
      <c r="E297" s="31">
        <v>59.560975609756099</v>
      </c>
      <c r="F297" s="31">
        <f t="shared" si="4"/>
        <v>73.260000000000005</v>
      </c>
    </row>
    <row r="298" spans="1:6" ht="18.75" customHeight="1" x14ac:dyDescent="0.25">
      <c r="A298" s="2" t="str">
        <f ca="1">IFERROR(__xludf.DUMMYFUNCTION("""COMPUTED_VALUE"""),"REA-B2009")</f>
        <v>REA-B2009</v>
      </c>
      <c r="B298" s="3">
        <f ca="1">IFERROR(__xludf.DUMMYFUNCTION("""COMPUTED_VALUE"""),45021)</f>
        <v>45021</v>
      </c>
      <c r="C298" s="3">
        <f ca="1">IFERROR(__xludf.DUMMYFUNCTION("""COMPUTED_VALUE"""),5902557370207)</f>
        <v>5902557370207</v>
      </c>
      <c r="D298" s="4" t="str">
        <f ca="1">IFERROR(__xludf.DUMMYFUNCTION("""COMPUTED_VALUE"""),"BATERIA UMYWALKOWA JS-B650-1B TAP CZARNA WYSOKA")</f>
        <v>BATERIA UMYWALKOWA JS-B650-1B TAP CZARNA WYSOKA</v>
      </c>
      <c r="E298" s="31">
        <v>74.000000000000014</v>
      </c>
      <c r="F298" s="31">
        <f t="shared" si="4"/>
        <v>91.02000000000001</v>
      </c>
    </row>
    <row r="299" spans="1:6" ht="18.75" customHeight="1" x14ac:dyDescent="0.25">
      <c r="A299" s="2" t="str">
        <f ca="1">IFERROR(__xludf.DUMMYFUNCTION("""COMPUTED_VALUE"""),"REA-B2008")</f>
        <v>REA-B2008</v>
      </c>
      <c r="B299" s="3">
        <f ca="1">IFERROR(__xludf.DUMMYFUNCTION("""COMPUTED_VALUE"""),45031)</f>
        <v>45031</v>
      </c>
      <c r="C299" s="3">
        <f ca="1">IFERROR(__xludf.DUMMYFUNCTION("""COMPUTED_VALUE"""),5902557370191)</f>
        <v>5902557370191</v>
      </c>
      <c r="D299" s="4" t="str">
        <f ca="1">IFERROR(__xludf.DUMMYFUNCTION("""COMPUTED_VALUE"""),"BATERIA UMYWALKOWA JS-B650B TAP CZARNA NISKA")</f>
        <v>BATERIA UMYWALKOWA JS-B650B TAP CZARNA NISKA</v>
      </c>
      <c r="E299" s="31">
        <v>65.878048780487816</v>
      </c>
      <c r="F299" s="31">
        <f t="shared" si="4"/>
        <v>81.030000000000015</v>
      </c>
    </row>
    <row r="300" spans="1:6" ht="18.75" customHeight="1" x14ac:dyDescent="0.25">
      <c r="A300" s="2" t="str">
        <f ca="1">IFERROR(__xludf.DUMMYFUNCTION("""COMPUTED_VALUE"""),"REA-B2010")</f>
        <v>REA-B2010</v>
      </c>
      <c r="B300" s="3">
        <f ca="1">IFERROR(__xludf.DUMMYFUNCTION("""COMPUTED_VALUE"""),45007)</f>
        <v>45007</v>
      </c>
      <c r="C300" s="3">
        <f ca="1">IFERROR(__xludf.DUMMYFUNCTION("""COMPUTED_VALUE"""),5902557370214)</f>
        <v>5902557370214</v>
      </c>
      <c r="D300" s="4" t="str">
        <f ca="1">IFERROR(__xludf.DUMMYFUNCTION("""COMPUTED_VALUE"""),"BATERIA UMYWALKOWA JS-B801 SPOT CHROM NISKA")</f>
        <v>BATERIA UMYWALKOWA JS-B801 SPOT CHROM NISKA</v>
      </c>
      <c r="E300" s="31">
        <v>46.024390243902438</v>
      </c>
      <c r="F300" s="31">
        <f t="shared" si="4"/>
        <v>56.61</v>
      </c>
    </row>
    <row r="301" spans="1:6" ht="18.75" customHeight="1" x14ac:dyDescent="0.25">
      <c r="A301" s="2" t="str">
        <f ca="1">IFERROR(__xludf.DUMMYFUNCTION("""COMPUTED_VALUE"""),"REA-B2011")</f>
        <v>REA-B2011</v>
      </c>
      <c r="B301" s="3">
        <f ca="1">IFERROR(__xludf.DUMMYFUNCTION("""COMPUTED_VALUE"""),45006)</f>
        <v>45006</v>
      </c>
      <c r="C301" s="3">
        <f ca="1">IFERROR(__xludf.DUMMYFUNCTION("""COMPUTED_VALUE"""),5902557370221)</f>
        <v>5902557370221</v>
      </c>
      <c r="D301" s="4" t="str">
        <f ca="1">IFERROR(__xludf.DUMMYFUNCTION("""COMPUTED_VALUE"""),"BATERIA UMYWALKOWA JS-B801-1 SPOT CHROM WYSOKA")</f>
        <v>BATERIA UMYWALKOWA JS-B801-1 SPOT CHROM WYSOKA</v>
      </c>
      <c r="E301" s="31">
        <v>56.853658536585371</v>
      </c>
      <c r="F301" s="31">
        <f t="shared" si="4"/>
        <v>69.930000000000007</v>
      </c>
    </row>
    <row r="302" spans="1:6" ht="18.75" customHeight="1" x14ac:dyDescent="0.25">
      <c r="A302" s="2" t="str">
        <f ca="1">IFERROR(__xludf.DUMMYFUNCTION("""COMPUTED_VALUE"""),"REA-B2013")</f>
        <v>REA-B2013</v>
      </c>
      <c r="B302" s="3">
        <f ca="1">IFERROR(__xludf.DUMMYFUNCTION("""COMPUTED_VALUE"""),45001)</f>
        <v>45001</v>
      </c>
      <c r="C302" s="3">
        <f ca="1">IFERROR(__xludf.DUMMYFUNCTION("""COMPUTED_VALUE"""),5902557370245)</f>
        <v>5902557370245</v>
      </c>
      <c r="D302" s="4" t="str">
        <f ca="1">IFERROR(__xludf.DUMMYFUNCTION("""COMPUTED_VALUE"""),"BATERIA UMYWALKOWA JS-B801-1B SPOT CZARNA WYSOKA")</f>
        <v>BATERIA UMYWALKOWA JS-B801-1B SPOT CZARNA WYSOKA</v>
      </c>
      <c r="E302" s="31">
        <v>61.365853658536594</v>
      </c>
      <c r="F302" s="31">
        <f t="shared" si="4"/>
        <v>75.48</v>
      </c>
    </row>
    <row r="303" spans="1:6" ht="18.75" customHeight="1" x14ac:dyDescent="0.25">
      <c r="A303" s="2" t="str">
        <f ca="1">IFERROR(__xludf.DUMMYFUNCTION("""COMPUTED_VALUE"""),"REA-B2015")</f>
        <v>REA-B2015</v>
      </c>
      <c r="B303" s="3">
        <f ca="1">IFERROR(__xludf.DUMMYFUNCTION("""COMPUTED_VALUE"""),45005)</f>
        <v>45005</v>
      </c>
      <c r="C303" s="3">
        <f ca="1">IFERROR(__xludf.DUMMYFUNCTION("""COMPUTED_VALUE"""),5902557370269)</f>
        <v>5902557370269</v>
      </c>
      <c r="D303" s="4" t="str">
        <f ca="1">IFERROR(__xludf.DUMMYFUNCTION("""COMPUTED_VALUE"""),"BATERIA UMYWALKOWA JS-B801-1G SPOT ZŁOTA WYSOKA")</f>
        <v>BATERIA UMYWALKOWA JS-B801-1G SPOT ZŁOTA WYSOKA</v>
      </c>
      <c r="E303" s="31">
        <v>63.170731707317081</v>
      </c>
      <c r="F303" s="31">
        <f t="shared" si="4"/>
        <v>77.7</v>
      </c>
    </row>
    <row r="304" spans="1:6" ht="18.75" customHeight="1" x14ac:dyDescent="0.25">
      <c r="A304" s="2" t="str">
        <f ca="1">IFERROR(__xludf.DUMMYFUNCTION("""COMPUTED_VALUE"""),"REA-B2012")</f>
        <v>REA-B2012</v>
      </c>
      <c r="B304" s="3">
        <f ca="1">IFERROR(__xludf.DUMMYFUNCTION("""COMPUTED_VALUE"""),45003)</f>
        <v>45003</v>
      </c>
      <c r="C304" s="3">
        <f ca="1">IFERROR(__xludf.DUMMYFUNCTION("""COMPUTED_VALUE"""),5902557370238)</f>
        <v>5902557370238</v>
      </c>
      <c r="D304" s="4" t="str">
        <f ca="1">IFERROR(__xludf.DUMMYFUNCTION("""COMPUTED_VALUE"""),"BATERIA UMYWALKOWA JS-B801B SPOT CZARNA NISKA")</f>
        <v>BATERIA UMYWALKOWA JS-B801B SPOT CZARNA NISKA</v>
      </c>
      <c r="E304" s="31">
        <v>48.73170731707318</v>
      </c>
      <c r="F304" s="31">
        <f t="shared" si="4"/>
        <v>59.940000000000012</v>
      </c>
    </row>
    <row r="305" spans="1:6" ht="18.75" customHeight="1" x14ac:dyDescent="0.25">
      <c r="A305" s="2" t="str">
        <f ca="1">IFERROR(__xludf.DUMMYFUNCTION("""COMPUTED_VALUE"""),"REA-B2014")</f>
        <v>REA-B2014</v>
      </c>
      <c r="B305" s="3">
        <f ca="1">IFERROR(__xludf.DUMMYFUNCTION("""COMPUTED_VALUE"""),45004)</f>
        <v>45004</v>
      </c>
      <c r="C305" s="3">
        <f ca="1">IFERROR(__xludf.DUMMYFUNCTION("""COMPUTED_VALUE"""),5902557370252)</f>
        <v>5902557370252</v>
      </c>
      <c r="D305" s="4" t="str">
        <f ca="1">IFERROR(__xludf.DUMMYFUNCTION("""COMPUTED_VALUE"""),"BATERIA UMYWALKOWA JS-B801G SPOT ZŁOTA NISKA")</f>
        <v>BATERIA UMYWALKOWA JS-B801G SPOT ZŁOTA NISKA</v>
      </c>
      <c r="E305" s="31">
        <v>49.634146341463421</v>
      </c>
      <c r="F305" s="31">
        <f t="shared" si="4"/>
        <v>61.050000000000004</v>
      </c>
    </row>
    <row r="306" spans="1:6" ht="18.75" customHeight="1" x14ac:dyDescent="0.25">
      <c r="A306" s="2" t="str">
        <f ca="1">IFERROR(__xludf.DUMMYFUNCTION("""COMPUTED_VALUE"""),"REA-B2000")</f>
        <v>REA-B2000</v>
      </c>
      <c r="B306" s="3">
        <f ca="1">IFERROR(__xludf.DUMMYFUNCTION("""COMPUTED_VALUE"""),45045)</f>
        <v>45045</v>
      </c>
      <c r="C306" s="3">
        <f ca="1">IFERROR(__xludf.DUMMYFUNCTION("""COMPUTED_VALUE"""),5902557374540)</f>
        <v>5902557374540</v>
      </c>
      <c r="D306" s="4" t="str">
        <f ca="1">IFERROR(__xludf.DUMMYFUNCTION("""COMPUTED_VALUE"""),"BATERIA UMYWALKOWA JS-D001 MILS CHROM NISKA")</f>
        <v>BATERIA UMYWALKOWA JS-D001 MILS CHROM NISKA</v>
      </c>
      <c r="E306" s="31">
        <v>89.341463414634148</v>
      </c>
      <c r="F306" s="31">
        <f t="shared" si="4"/>
        <v>109.89</v>
      </c>
    </row>
    <row r="307" spans="1:6" ht="18.75" customHeight="1" x14ac:dyDescent="0.25">
      <c r="A307" s="2" t="str">
        <f ca="1">IFERROR(__xludf.DUMMYFUNCTION("""COMPUTED_VALUE"""),"REA-B2065")</f>
        <v>REA-B2065</v>
      </c>
      <c r="B307" s="3">
        <f ca="1">IFERROR(__xludf.DUMMYFUNCTION("""COMPUTED_VALUE"""),45038)</f>
        <v>45038</v>
      </c>
      <c r="C307" s="3">
        <f ca="1">IFERROR(__xludf.DUMMYFUNCTION("""COMPUTED_VALUE"""),5902557374557)</f>
        <v>5902557374557</v>
      </c>
      <c r="D307" s="4" t="str">
        <f ca="1">IFERROR(__xludf.DUMMYFUNCTION("""COMPUTED_VALUE"""),"BATERIA UMYWALKOWA JS-D002B AMAR CZARNA NISKA")</f>
        <v>BATERIA UMYWALKOWA JS-D002B AMAR CZARNA NISKA</v>
      </c>
      <c r="E307" s="31">
        <v>103.78048780487806</v>
      </c>
      <c r="F307" s="31">
        <f t="shared" si="4"/>
        <v>127.65000000000002</v>
      </c>
    </row>
    <row r="308" spans="1:6" ht="18.75" customHeight="1" x14ac:dyDescent="0.25">
      <c r="A308" s="2" t="str">
        <f ca="1">IFERROR(__xludf.DUMMYFUNCTION("""COMPUTED_VALUE"""),"REA-B8011")</f>
        <v>REA-B8011</v>
      </c>
      <c r="B308" s="3">
        <f ca="1">IFERROR(__xludf.DUMMYFUNCTION("""COMPUTED_VALUE"""),44001)</f>
        <v>44001</v>
      </c>
      <c r="C308" s="3">
        <f ca="1">IFERROR(__xludf.DUMMYFUNCTION("""COMPUTED_VALUE"""),5902557359448)</f>
        <v>5902557359448</v>
      </c>
      <c r="D308" s="4" t="str">
        <f ca="1">IFERROR(__xludf.DUMMYFUNCTION("""COMPUTED_VALUE"""),"BATERIA UMYWALKOWA KENT CHROM WYSOKA")</f>
        <v>BATERIA UMYWALKOWA KENT CHROM WYSOKA</v>
      </c>
      <c r="E308" s="31">
        <v>80.317073170731717</v>
      </c>
      <c r="F308" s="31">
        <f t="shared" si="4"/>
        <v>98.79</v>
      </c>
    </row>
    <row r="309" spans="1:6" ht="18.75" customHeight="1" x14ac:dyDescent="0.25">
      <c r="A309" s="2" t="str">
        <f ca="1">IFERROR(__xludf.DUMMYFUNCTION("""COMPUTED_VALUE"""),"REA-B8012")</f>
        <v>REA-B8012</v>
      </c>
      <c r="B309" s="3">
        <f ca="1">IFERROR(__xludf.DUMMYFUNCTION("""COMPUTED_VALUE"""),43996)</f>
        <v>43996</v>
      </c>
      <c r="C309" s="3">
        <f ca="1">IFERROR(__xludf.DUMMYFUNCTION("""COMPUTED_VALUE"""),5902557359455)</f>
        <v>5902557359455</v>
      </c>
      <c r="D309" s="4" t="str">
        <f ca="1">IFERROR(__xludf.DUMMYFUNCTION("""COMPUTED_VALUE"""),"BATERIA UMYWALKOWA KENT CZARNA WYSOKA")</f>
        <v>BATERIA UMYWALKOWA KENT CZARNA WYSOKA</v>
      </c>
      <c r="E309" s="31">
        <v>83.926829268292693</v>
      </c>
      <c r="F309" s="31">
        <f t="shared" si="4"/>
        <v>103.23</v>
      </c>
    </row>
    <row r="310" spans="1:6" ht="18.75" customHeight="1" x14ac:dyDescent="0.25">
      <c r="A310" s="2" t="str">
        <f ca="1">IFERROR(__xludf.DUMMYFUNCTION("""COMPUTED_VALUE"""),"REA-B8014")</f>
        <v>REA-B8014</v>
      </c>
      <c r="B310" s="3">
        <f ca="1">IFERROR(__xludf.DUMMYFUNCTION("""COMPUTED_VALUE"""),44000)</f>
        <v>44000</v>
      </c>
      <c r="C310" s="3">
        <f ca="1">IFERROR(__xludf.DUMMYFUNCTION("""COMPUTED_VALUE"""),5902557359462)</f>
        <v>5902557359462</v>
      </c>
      <c r="D310" s="4" t="str">
        <f ca="1">IFERROR(__xludf.DUMMYFUNCTION("""COMPUTED_VALUE"""),"BATERIA UMYWALKOWA KENT ZŁOTA WYSOKA")</f>
        <v>BATERIA UMYWALKOWA KENT ZŁOTA WYSOKA</v>
      </c>
      <c r="E310" s="31">
        <v>92.048780487804876</v>
      </c>
      <c r="F310" s="31">
        <f t="shared" si="4"/>
        <v>113.22</v>
      </c>
    </row>
    <row r="311" spans="1:6" ht="18.75" customHeight="1" x14ac:dyDescent="0.25">
      <c r="A311" s="2" t="str">
        <f ca="1">IFERROR(__xludf.DUMMYFUNCTION("""COMPUTED_VALUE"""),"REA-B8120")</f>
        <v>REA-B8120</v>
      </c>
      <c r="B311" s="3">
        <f ca="1">IFERROR(__xludf.DUMMYFUNCTION("""COMPUTED_VALUE"""),52176)</f>
        <v>52176</v>
      </c>
      <c r="C311" s="3">
        <f ca="1">IFERROR(__xludf.DUMMYFUNCTION("""COMPUTED_VALUE"""),5902557395965)</f>
        <v>5902557395965</v>
      </c>
      <c r="D311" s="4" t="str">
        <f ca="1">IFERROR(__xludf.DUMMYFUNCTION("""COMPUTED_VALUE"""),"BATERIA UMYWALKOWA LAGUNA ANTYCZNE ZŁOTO")</f>
        <v>BATERIA UMYWALKOWA LAGUNA ANTYCZNE ZŁOTO</v>
      </c>
      <c r="E311" s="31">
        <v>84.82926829268294</v>
      </c>
      <c r="F311" s="31">
        <f t="shared" si="4"/>
        <v>104.34000000000002</v>
      </c>
    </row>
    <row r="312" spans="1:6" ht="18.75" customHeight="1" x14ac:dyDescent="0.25">
      <c r="A312" s="2" t="str">
        <f ca="1">IFERROR(__xludf.DUMMYFUNCTION("""COMPUTED_VALUE"""),"REA-B5136")</f>
        <v>REA-B5136</v>
      </c>
      <c r="B312" s="3">
        <f ca="1">IFERROR(__xludf.DUMMYFUNCTION("""COMPUTED_VALUE"""),45272)</f>
        <v>45272</v>
      </c>
      <c r="C312" s="3">
        <f ca="1">IFERROR(__xludf.DUMMYFUNCTION("""COMPUTED_VALUE"""),5902557375257)</f>
        <v>5902557375257</v>
      </c>
      <c r="D312" s="4" t="str">
        <f ca="1">IFERROR(__xludf.DUMMYFUNCTION("""COMPUTED_VALUE"""),"BATERIA UMYWALKOWA LEVI CZARNA WYSOKA")</f>
        <v>BATERIA UMYWALKOWA LEVI CZARNA WYSOKA</v>
      </c>
      <c r="E312" s="31">
        <v>97.463414634146361</v>
      </c>
      <c r="F312" s="31">
        <f t="shared" si="4"/>
        <v>119.88000000000002</v>
      </c>
    </row>
    <row r="313" spans="1:6" ht="18.75" customHeight="1" x14ac:dyDescent="0.25">
      <c r="A313" s="2" t="str">
        <f ca="1">IFERROR(__xludf.DUMMYFUNCTION("""COMPUTED_VALUE"""),"REA-B5137")</f>
        <v>REA-B5137</v>
      </c>
      <c r="B313" s="3">
        <f ca="1">IFERROR(__xludf.DUMMYFUNCTION("""COMPUTED_VALUE"""),45274)</f>
        <v>45274</v>
      </c>
      <c r="C313" s="3">
        <f ca="1">IFERROR(__xludf.DUMMYFUNCTION("""COMPUTED_VALUE"""),5902557375264)</f>
        <v>5902557375264</v>
      </c>
      <c r="D313" s="4" t="str">
        <f ca="1">IFERROR(__xludf.DUMMYFUNCTION("""COMPUTED_VALUE"""),"BATERIA UMYWALKOWA LEVI ZŁOTA WYSOKA")</f>
        <v>BATERIA UMYWALKOWA LEVI ZŁOTA WYSOKA</v>
      </c>
      <c r="E313" s="31">
        <v>104.68292682926831</v>
      </c>
      <c r="F313" s="31">
        <f t="shared" si="4"/>
        <v>128.76000000000002</v>
      </c>
    </row>
    <row r="314" spans="1:6" ht="18.75" customHeight="1" x14ac:dyDescent="0.25">
      <c r="A314" s="2" t="str">
        <f ca="1">IFERROR(__xludf.DUMMYFUNCTION("""COMPUTED_VALUE"""),"REA-B5000")</f>
        <v>REA-B5000</v>
      </c>
      <c r="B314" s="3">
        <f ca="1">IFERROR(__xludf.DUMMYFUNCTION("""COMPUTED_VALUE"""),32604)</f>
        <v>32604</v>
      </c>
      <c r="C314" s="3">
        <f ca="1">IFERROR(__xludf.DUMMYFUNCTION("""COMPUTED_VALUE"""),5902557344680)</f>
        <v>5902557344680</v>
      </c>
      <c r="D314" s="4" t="str">
        <f ca="1">IFERROR(__xludf.DUMMYFUNCTION("""COMPUTED_VALUE"""),"BATERIA UMYWALKOWA LUGANO CHROM WYSOKA")</f>
        <v>BATERIA UMYWALKOWA LUGANO CHROM WYSOKA</v>
      </c>
      <c r="E314" s="31">
        <v>67.682926829268297</v>
      </c>
      <c r="F314" s="31">
        <f t="shared" si="4"/>
        <v>83.25</v>
      </c>
    </row>
    <row r="315" spans="1:6" ht="18.75" customHeight="1" x14ac:dyDescent="0.25">
      <c r="A315" s="2" t="str">
        <f ca="1">IFERROR(__xludf.DUMMYFUNCTION("""COMPUTED_VALUE"""),"REA-B5001")</f>
        <v>REA-B5001</v>
      </c>
      <c r="B315" s="3">
        <f ca="1">IFERROR(__xludf.DUMMYFUNCTION("""COMPUTED_VALUE"""),32613)</f>
        <v>32613</v>
      </c>
      <c r="C315" s="3">
        <f ca="1">IFERROR(__xludf.DUMMYFUNCTION("""COMPUTED_VALUE"""),5902557344697)</f>
        <v>5902557344697</v>
      </c>
      <c r="D315" s="4" t="str">
        <f ca="1">IFERROR(__xludf.DUMMYFUNCTION("""COMPUTED_VALUE"""),"BATERIA UMYWALKOWA LUGANO CZARNA WYSOKA")</f>
        <v>BATERIA UMYWALKOWA LUGANO CZARNA WYSOKA</v>
      </c>
      <c r="E315" s="31">
        <v>71.292682926829286</v>
      </c>
      <c r="F315" s="31">
        <f t="shared" si="4"/>
        <v>87.690000000000026</v>
      </c>
    </row>
    <row r="316" spans="1:6" ht="18.75" customHeight="1" x14ac:dyDescent="0.25">
      <c r="A316" s="2" t="str">
        <f ca="1">IFERROR(__xludf.DUMMYFUNCTION("""COMPUTED_VALUE"""),"REA-B4420")</f>
        <v>REA-B4420</v>
      </c>
      <c r="B316" s="3">
        <f ca="1">IFERROR(__xludf.DUMMYFUNCTION("""COMPUTED_VALUE"""),51073)</f>
        <v>51073</v>
      </c>
      <c r="C316" s="3">
        <f ca="1">IFERROR(__xludf.DUMMYFUNCTION("""COMPUTED_VALUE"""),5902557391844)</f>
        <v>5902557391844</v>
      </c>
      <c r="D316" s="4" t="str">
        <f ca="1">IFERROR(__xludf.DUMMYFUNCTION("""COMPUTED_VALUE"""),"BATERIA UMYWALKOWA LUGANO ZŁOTA SZCZOTKOWANA WYSOK")</f>
        <v>BATERIA UMYWALKOWA LUGANO ZŁOTA SZCZOTKOWANA WYSOK</v>
      </c>
      <c r="E316" s="31">
        <v>83.926829268292693</v>
      </c>
      <c r="F316" s="31">
        <f t="shared" si="4"/>
        <v>103.23</v>
      </c>
    </row>
    <row r="317" spans="1:6" ht="18.75" customHeight="1" x14ac:dyDescent="0.25">
      <c r="A317" s="2" t="str">
        <f ca="1">IFERROR(__xludf.DUMMYFUNCTION("""COMPUTED_VALUE"""),"REA-B5002")</f>
        <v>REA-B5002</v>
      </c>
      <c r="B317" s="3">
        <f ca="1">IFERROR(__xludf.DUMMYFUNCTION("""COMPUTED_VALUE"""),32612)</f>
        <v>32612</v>
      </c>
      <c r="C317" s="3">
        <f ca="1">IFERROR(__xludf.DUMMYFUNCTION("""COMPUTED_VALUE"""),5902557344703)</f>
        <v>5902557344703</v>
      </c>
      <c r="D317" s="4" t="str">
        <f ca="1">IFERROR(__xludf.DUMMYFUNCTION("""COMPUTED_VALUE"""),"BATERIA UMYWALKOWA LUGANO ZŁOTA WYSOKA")</f>
        <v>BATERIA UMYWALKOWA LUGANO ZŁOTA WYSOKA</v>
      </c>
      <c r="E317" s="31">
        <v>81.219512195121965</v>
      </c>
      <c r="F317" s="31">
        <f t="shared" si="4"/>
        <v>99.90000000000002</v>
      </c>
    </row>
    <row r="318" spans="1:6" ht="18.75" customHeight="1" x14ac:dyDescent="0.25">
      <c r="A318" s="2" t="str">
        <f ca="1">IFERROR(__xludf.DUMMYFUNCTION("""COMPUTED_VALUE"""),"REA-B8026")</f>
        <v>REA-B8026</v>
      </c>
      <c r="B318" s="3">
        <f ca="1">IFERROR(__xludf.DUMMYFUNCTION("""COMPUTED_VALUE"""),30329)</f>
        <v>30329</v>
      </c>
      <c r="C318" s="3">
        <f ca="1">IFERROR(__xludf.DUMMYFUNCTION("""COMPUTED_VALUE"""),5902557338825)</f>
        <v>5902557338825</v>
      </c>
      <c r="D318" s="4" t="str">
        <f ca="1">IFERROR(__xludf.DUMMYFUNCTION("""COMPUTED_VALUE"""),"BATERIA UMYWALKOWA LUMI GUN SZARA WYSOKA")</f>
        <v>BATERIA UMYWALKOWA LUMI GUN SZARA WYSOKA</v>
      </c>
      <c r="E318" s="31">
        <v>57.756097560975611</v>
      </c>
      <c r="F318" s="31">
        <f t="shared" si="4"/>
        <v>71.040000000000006</v>
      </c>
    </row>
    <row r="319" spans="1:6" ht="18.75" customHeight="1" x14ac:dyDescent="0.25">
      <c r="A319" s="2" t="str">
        <f ca="1">IFERROR(__xludf.DUMMYFUNCTION("""COMPUTED_VALUE"""),"REA-B6322")</f>
        <v>REA-B6322</v>
      </c>
      <c r="B319" s="3">
        <f ca="1">IFERROR(__xludf.DUMMYFUNCTION("""COMPUTED_VALUE"""),42896)</f>
        <v>42896</v>
      </c>
      <c r="C319" s="3">
        <f ca="1">IFERROR(__xludf.DUMMYFUNCTION("""COMPUTED_VALUE"""),5902557363964)</f>
        <v>5902557363964</v>
      </c>
      <c r="D319" s="4" t="str">
        <f ca="1">IFERROR(__xludf.DUMMYFUNCTION("""COMPUTED_VALUE"""),"BATERIA UMYWALKOWA LUNGO ART ZŁOTA NISKA")</f>
        <v>BATERIA UMYWALKOWA LUNGO ART ZŁOTA NISKA</v>
      </c>
      <c r="E319" s="31">
        <v>63.170731707317081</v>
      </c>
      <c r="F319" s="31">
        <f t="shared" si="4"/>
        <v>77.7</v>
      </c>
    </row>
    <row r="320" spans="1:6" ht="18.75" customHeight="1" x14ac:dyDescent="0.25">
      <c r="A320" s="2" t="str">
        <f ca="1">IFERROR(__xludf.DUMMYFUNCTION("""COMPUTED_VALUE"""),"REA-B8821")</f>
        <v>REA-B8821</v>
      </c>
      <c r="B320" s="3">
        <f ca="1">IFERROR(__xludf.DUMMYFUNCTION("""COMPUTED_VALUE"""),42897)</f>
        <v>42897</v>
      </c>
      <c r="C320" s="3">
        <f ca="1">IFERROR(__xludf.DUMMYFUNCTION("""COMPUTED_VALUE"""),5902557363971)</f>
        <v>5902557363971</v>
      </c>
      <c r="D320" s="4" t="str">
        <f ca="1">IFERROR(__xludf.DUMMYFUNCTION("""COMPUTED_VALUE"""),"BATERIA UMYWALKOWA LUNGO ART ZŁOTA WYSOKA")</f>
        <v>BATERIA UMYWALKOWA LUNGO ART ZŁOTA WYSOKA</v>
      </c>
      <c r="E320" s="31">
        <v>75.804878048780495</v>
      </c>
      <c r="F320" s="31">
        <f t="shared" si="4"/>
        <v>93.240000000000009</v>
      </c>
    </row>
    <row r="321" spans="1:6" ht="18.75" customHeight="1" x14ac:dyDescent="0.25">
      <c r="A321" s="2" t="str">
        <f ca="1">IFERROR(__xludf.DUMMYFUNCTION("""COMPUTED_VALUE"""),"REA-B4401")</f>
        <v>REA-B4401</v>
      </c>
      <c r="B321" s="3">
        <f ca="1">IFERROR(__xludf.DUMMYFUNCTION("""COMPUTED_VALUE"""),44375)</f>
        <v>44375</v>
      </c>
      <c r="C321" s="3">
        <f ca="1">IFERROR(__xludf.DUMMYFUNCTION("""COMPUTED_VALUE"""),5902557369911)</f>
        <v>5902557369911</v>
      </c>
      <c r="D321" s="4" t="str">
        <f ca="1">IFERROR(__xludf.DUMMYFUNCTION("""COMPUTED_VALUE"""),"BATERIA UMYWALKOWA LUNGO BIAŁA NISKA")</f>
        <v>BATERIA UMYWALKOWA LUNGO BIAŁA NISKA</v>
      </c>
      <c r="E321" s="31">
        <v>48.73170731707318</v>
      </c>
      <c r="F321" s="31">
        <f t="shared" si="4"/>
        <v>59.940000000000012</v>
      </c>
    </row>
    <row r="322" spans="1:6" ht="18.75" customHeight="1" x14ac:dyDescent="0.25">
      <c r="A322" s="2" t="str">
        <f ca="1">IFERROR(__xludf.DUMMYFUNCTION("""COMPUTED_VALUE"""),"REA-B4400")</f>
        <v>REA-B4400</v>
      </c>
      <c r="B322" s="3">
        <f ca="1">IFERROR(__xludf.DUMMYFUNCTION("""COMPUTED_VALUE"""),44376)</f>
        <v>44376</v>
      </c>
      <c r="C322" s="3">
        <f ca="1">IFERROR(__xludf.DUMMYFUNCTION("""COMPUTED_VALUE"""),5902557369928)</f>
        <v>5902557369928</v>
      </c>
      <c r="D322" s="4" t="str">
        <f ca="1">IFERROR(__xludf.DUMMYFUNCTION("""COMPUTED_VALUE"""),"BATERIA UMYWALKOWA LUNGO BIAŁA WYSOKA")</f>
        <v>BATERIA UMYWALKOWA LUNGO BIAŁA WYSOKA</v>
      </c>
      <c r="E322" s="31">
        <v>51.439024390243908</v>
      </c>
      <c r="F322" s="31">
        <f t="shared" si="4"/>
        <v>63.27</v>
      </c>
    </row>
    <row r="323" spans="1:6" ht="18.75" customHeight="1" x14ac:dyDescent="0.25">
      <c r="A323" s="2" t="str">
        <f ca="1">IFERROR(__xludf.DUMMYFUNCTION("""COMPUTED_VALUE"""),"REA-B4101")</f>
        <v>REA-B4101</v>
      </c>
      <c r="B323" s="3">
        <f ca="1">IFERROR(__xludf.DUMMYFUNCTION("""COMPUTED_VALUE"""),24378)</f>
        <v>24378</v>
      </c>
      <c r="C323" s="3">
        <f ca="1">IFERROR(__xludf.DUMMYFUNCTION("""COMPUTED_VALUE"""),5902557335916)</f>
        <v>5902557335916</v>
      </c>
      <c r="D323" s="4" t="str">
        <f ca="1">IFERROR(__xludf.DUMMYFUNCTION("""COMPUTED_VALUE"""),"BATERIA UMYWALKOWA LUNGO CHROM NISKA")</f>
        <v>BATERIA UMYWALKOWA LUNGO CHROM NISKA</v>
      </c>
      <c r="E323" s="31">
        <v>39.707317073170735</v>
      </c>
      <c r="F323" s="31">
        <f t="shared" ref="F323:F386" si="5">E323*1.23</f>
        <v>48.84</v>
      </c>
    </row>
    <row r="324" spans="1:6" ht="18.75" customHeight="1" x14ac:dyDescent="0.25">
      <c r="A324" s="2" t="str">
        <f ca="1">IFERROR(__xludf.DUMMYFUNCTION("""COMPUTED_VALUE"""),"REA-B4104")</f>
        <v>REA-B4104</v>
      </c>
      <c r="B324" s="3">
        <f ca="1">IFERROR(__xludf.DUMMYFUNCTION("""COMPUTED_VALUE"""),24380)</f>
        <v>24380</v>
      </c>
      <c r="C324" s="3">
        <f ca="1">IFERROR(__xludf.DUMMYFUNCTION("""COMPUTED_VALUE"""),5902557335947)</f>
        <v>5902557335947</v>
      </c>
      <c r="D324" s="4" t="str">
        <f ca="1">IFERROR(__xludf.DUMMYFUNCTION("""COMPUTED_VALUE"""),"BATERIA UMYWALKOWA LUNGO CHROM WYSOKA")</f>
        <v>BATERIA UMYWALKOWA LUNGO CHROM WYSOKA</v>
      </c>
      <c r="E324" s="31">
        <v>46.926829268292686</v>
      </c>
      <c r="F324" s="31">
        <f t="shared" si="5"/>
        <v>57.72</v>
      </c>
    </row>
    <row r="325" spans="1:6" ht="18.75" customHeight="1" x14ac:dyDescent="0.25">
      <c r="A325" s="2" t="str">
        <f ca="1">IFERROR(__xludf.DUMMYFUNCTION("""COMPUTED_VALUE"""),"REA-B4102")</f>
        <v>REA-B4102</v>
      </c>
      <c r="B325" s="3">
        <f ca="1">IFERROR(__xludf.DUMMYFUNCTION("""COMPUTED_VALUE"""),24386)</f>
        <v>24386</v>
      </c>
      <c r="C325" s="3">
        <f ca="1">IFERROR(__xludf.DUMMYFUNCTION("""COMPUTED_VALUE"""),5902557335923)</f>
        <v>5902557335923</v>
      </c>
      <c r="D325" s="4" t="str">
        <f ca="1">IFERROR(__xludf.DUMMYFUNCTION("""COMPUTED_VALUE"""),"BATERIA UMYWALKOWA LUNGO CZARNA NISKA")</f>
        <v>BATERIA UMYWALKOWA LUNGO CZARNA NISKA</v>
      </c>
      <c r="E325" s="31">
        <v>47.829268292682933</v>
      </c>
      <c r="F325" s="31">
        <f t="shared" si="5"/>
        <v>58.830000000000005</v>
      </c>
    </row>
    <row r="326" spans="1:6" ht="18.75" customHeight="1" x14ac:dyDescent="0.25">
      <c r="A326" s="2" t="str">
        <f ca="1">IFERROR(__xludf.DUMMYFUNCTION("""COMPUTED_VALUE"""),"REA-B4103")</f>
        <v>REA-B4103</v>
      </c>
      <c r="B326" s="3">
        <f ca="1">IFERROR(__xludf.DUMMYFUNCTION("""COMPUTED_VALUE"""),24382)</f>
        <v>24382</v>
      </c>
      <c r="C326" s="3">
        <f ca="1">IFERROR(__xludf.DUMMYFUNCTION("""COMPUTED_VALUE"""),5902557335930)</f>
        <v>5902557335930</v>
      </c>
      <c r="D326" s="4" t="str">
        <f ca="1">IFERROR(__xludf.DUMMYFUNCTION("""COMPUTED_VALUE"""),"BATERIA UMYWALKOWA LUNGO CZARNA WYSOKA")</f>
        <v>BATERIA UMYWALKOWA LUNGO CZARNA WYSOKA</v>
      </c>
      <c r="E326" s="31">
        <v>55.951219512195124</v>
      </c>
      <c r="F326" s="31">
        <f t="shared" si="5"/>
        <v>68.820000000000007</v>
      </c>
    </row>
    <row r="327" spans="1:6" ht="18.75" customHeight="1" x14ac:dyDescent="0.25">
      <c r="A327" s="2" t="str">
        <f ca="1">IFERROR(__xludf.DUMMYFUNCTION("""COMPUTED_VALUE"""),"REA-B0661")</f>
        <v>REA-B0661</v>
      </c>
      <c r="B327" s="3">
        <f ca="1">IFERROR(__xludf.DUMMYFUNCTION("""COMPUTED_VALUE"""),50942)</f>
        <v>50942</v>
      </c>
      <c r="C327" s="3">
        <f ca="1">IFERROR(__xludf.DUMMYFUNCTION("""COMPUTED_VALUE"""),5902557391677)</f>
        <v>5902557391677</v>
      </c>
      <c r="D327" s="4" t="str">
        <f ca="1">IFERROR(__xludf.DUMMYFUNCTION("""COMPUTED_VALUE"""),"BATERIA UMYWALKOWA LUNGO CZARNA/CHROM NISKA")</f>
        <v>BATERIA UMYWALKOWA LUNGO CZARNA/CHROM NISKA</v>
      </c>
      <c r="E327" s="31">
        <v>51.439024390243908</v>
      </c>
      <c r="F327" s="31">
        <f t="shared" si="5"/>
        <v>63.27</v>
      </c>
    </row>
    <row r="328" spans="1:6" ht="18.75" customHeight="1" x14ac:dyDescent="0.25">
      <c r="A328" s="2" t="str">
        <f ca="1">IFERROR(__xludf.DUMMYFUNCTION("""COMPUTED_VALUE"""),"REA-B0662")</f>
        <v>REA-B0662</v>
      </c>
      <c r="B328" s="3">
        <f ca="1">IFERROR(__xludf.DUMMYFUNCTION("""COMPUTED_VALUE"""),50946)</f>
        <v>50946</v>
      </c>
      <c r="C328" s="3">
        <f ca="1">IFERROR(__xludf.DUMMYFUNCTION("""COMPUTED_VALUE"""),5902557391684)</f>
        <v>5902557391684</v>
      </c>
      <c r="D328" s="4" t="str">
        <f ca="1">IFERROR(__xludf.DUMMYFUNCTION("""COMPUTED_VALUE"""),"BATERIA UMYWALKOWA LUNGO CZARNA/CHROM WYSOKA")</f>
        <v>BATERIA UMYWALKOWA LUNGO CZARNA/CHROM WYSOKA</v>
      </c>
      <c r="E328" s="31">
        <v>63.170731707317081</v>
      </c>
      <c r="F328" s="31">
        <f t="shared" si="5"/>
        <v>77.7</v>
      </c>
    </row>
    <row r="329" spans="1:6" ht="18.75" customHeight="1" x14ac:dyDescent="0.25">
      <c r="A329" s="2" t="str">
        <f ca="1">IFERROR(__xludf.DUMMYFUNCTION("""COMPUTED_VALUE"""),"REA-B8778")</f>
        <v>REA-B8778</v>
      </c>
      <c r="B329" s="3">
        <f ca="1">IFERROR(__xludf.DUMMYFUNCTION("""COMPUTED_VALUE"""),53877)</f>
        <v>53877</v>
      </c>
      <c r="C329" s="3">
        <f ca="1">IFERROR(__xludf.DUMMYFUNCTION("""COMPUTED_VALUE"""),5906366007651)</f>
        <v>5906366007651</v>
      </c>
      <c r="D329" s="4" t="str">
        <f ca="1">IFERROR(__xludf.DUMMYFUNCTION("""COMPUTED_VALUE"""),"BATERIA UMYWALKOWA LUNGO GRIP TYTAN NISKA")</f>
        <v>BATERIA UMYWALKOWA LUNGO GRIP TYTAN NISKA</v>
      </c>
      <c r="E329" s="31">
        <v>53.243902439024396</v>
      </c>
      <c r="F329" s="31">
        <f t="shared" si="5"/>
        <v>65.490000000000009</v>
      </c>
    </row>
    <row r="330" spans="1:6" ht="18.75" customHeight="1" x14ac:dyDescent="0.25">
      <c r="A330" s="2" t="str">
        <f ca="1">IFERROR(__xludf.DUMMYFUNCTION("""COMPUTED_VALUE"""),"REA-B8779")</f>
        <v>REA-B8779</v>
      </c>
      <c r="B330" s="3">
        <f ca="1">IFERROR(__xludf.DUMMYFUNCTION("""COMPUTED_VALUE"""),53879)</f>
        <v>53879</v>
      </c>
      <c r="C330" s="3">
        <f ca="1">IFERROR(__xludf.DUMMYFUNCTION("""COMPUTED_VALUE"""),5906366007668)</f>
        <v>5906366007668</v>
      </c>
      <c r="D330" s="4" t="str">
        <f ca="1">IFERROR(__xludf.DUMMYFUNCTION("""COMPUTED_VALUE"""),"BATERIA UMYWALKOWA LUNGO GRIP TYTAN WYSOKA")</f>
        <v>BATERIA UMYWALKOWA LUNGO GRIP TYTAN WYSOKA</v>
      </c>
      <c r="E330" s="31">
        <v>61.365853658536594</v>
      </c>
      <c r="F330" s="31">
        <f t="shared" si="5"/>
        <v>75.48</v>
      </c>
    </row>
    <row r="331" spans="1:6" ht="18.75" customHeight="1" x14ac:dyDescent="0.25">
      <c r="A331" s="2" t="str">
        <f ca="1">IFERROR(__xludf.DUMMYFUNCTION("""COMPUTED_VALUE"""),"REA-B6950")</f>
        <v>REA-B6950</v>
      </c>
      <c r="B331" s="3">
        <f ca="1">IFERROR(__xludf.DUMMYFUNCTION("""COMPUTED_VALUE"""),54273)</f>
        <v>54273</v>
      </c>
      <c r="C331" s="3">
        <f ca="1">IFERROR(__xludf.DUMMYFUNCTION("""COMPUTED_VALUE"""),5906366007644)</f>
        <v>5906366007644</v>
      </c>
      <c r="D331" s="4" t="str">
        <f ca="1">IFERROR(__xludf.DUMMYFUNCTION("""COMPUTED_VALUE"""),"BATERIA UMYWALKOWA LUNGO GRIP ZŁOTA SZCZOT NISKA")</f>
        <v>BATERIA UMYWALKOWA LUNGO GRIP ZŁOTA SZCZOT NISKA</v>
      </c>
      <c r="E331" s="31">
        <v>55.048780487804883</v>
      </c>
      <c r="F331" s="31">
        <f t="shared" si="5"/>
        <v>67.710000000000008</v>
      </c>
    </row>
    <row r="332" spans="1:6" ht="18.75" customHeight="1" x14ac:dyDescent="0.25">
      <c r="A332" s="2" t="str">
        <f ca="1">IFERROR(__xludf.DUMMYFUNCTION("""COMPUTED_VALUE"""),"REA-B6896")</f>
        <v>REA-B6896</v>
      </c>
      <c r="B332" s="3">
        <f ca="1">IFERROR(__xludf.DUMMYFUNCTION("""COMPUTED_VALUE"""),54274)</f>
        <v>54274</v>
      </c>
      <c r="C332" s="3">
        <f ca="1">IFERROR(__xludf.DUMMYFUNCTION("""COMPUTED_VALUE"""),5906366007675)</f>
        <v>5906366007675</v>
      </c>
      <c r="D332" s="4" t="str">
        <f ca="1">IFERROR(__xludf.DUMMYFUNCTION("""COMPUTED_VALUE"""),"BATERIA UMYWALKOWA LUNGO GRIP ZŁOTA SZCZOT WYSOKA")</f>
        <v>BATERIA UMYWALKOWA LUNGO GRIP ZŁOTA SZCZOT WYSOKA</v>
      </c>
      <c r="E332" s="31">
        <v>63.170731707317081</v>
      </c>
      <c r="F332" s="31">
        <f t="shared" si="5"/>
        <v>77.7</v>
      </c>
    </row>
    <row r="333" spans="1:6" ht="18.75" customHeight="1" x14ac:dyDescent="0.25">
      <c r="A333" s="2" t="str">
        <f ca="1">IFERROR(__xludf.DUMMYFUNCTION("""COMPUTED_VALUE"""),"REA-B1112")</f>
        <v>REA-B1112</v>
      </c>
      <c r="B333" s="3">
        <f ca="1">IFERROR(__xludf.DUMMYFUNCTION("""COMPUTED_VALUE"""),53880)</f>
        <v>53880</v>
      </c>
      <c r="C333" s="3">
        <f ca="1">IFERROR(__xludf.DUMMYFUNCTION("""COMPUTED_VALUE"""),5906366006722)</f>
        <v>5906366006722</v>
      </c>
      <c r="D333" s="4" t="str">
        <f ca="1">IFERROR(__xludf.DUMMYFUNCTION("""COMPUTED_VALUE"""),"BATERIA UMYWALKOWA LUNGO MIEDŹ SZCZOTKOWANA NISKA")</f>
        <v>BATERIA UMYWALKOWA LUNGO MIEDŹ SZCZOTKOWANA NISKA</v>
      </c>
      <c r="E333" s="31">
        <v>61.365853658536594</v>
      </c>
      <c r="F333" s="31">
        <f t="shared" si="5"/>
        <v>75.48</v>
      </c>
    </row>
    <row r="334" spans="1:6" ht="18.75" customHeight="1" x14ac:dyDescent="0.25">
      <c r="A334" s="2" t="str">
        <f ca="1">IFERROR(__xludf.DUMMYFUNCTION("""COMPUTED_VALUE"""),"REA-B1114")</f>
        <v>REA-B1114</v>
      </c>
      <c r="B334" s="3">
        <f ca="1">IFERROR(__xludf.DUMMYFUNCTION("""COMPUTED_VALUE"""),53884)</f>
        <v>53884</v>
      </c>
      <c r="C334" s="3">
        <f ca="1">IFERROR(__xludf.DUMMYFUNCTION("""COMPUTED_VALUE"""),5906366006739)</f>
        <v>5906366006739</v>
      </c>
      <c r="D334" s="4" t="str">
        <f ca="1">IFERROR(__xludf.DUMMYFUNCTION("""COMPUTED_VALUE"""),"BATERIA UMYWALKOWA LUNGO MIEDŹ SZCZOTKOWANA WYSOKA")</f>
        <v>BATERIA UMYWALKOWA LUNGO MIEDŹ SZCZOTKOWANA WYSOKA</v>
      </c>
      <c r="E334" s="31">
        <v>69.487804878048792</v>
      </c>
      <c r="F334" s="31">
        <f t="shared" si="5"/>
        <v>85.470000000000013</v>
      </c>
    </row>
    <row r="335" spans="1:6" ht="18.75" customHeight="1" x14ac:dyDescent="0.25">
      <c r="A335" s="2" t="str">
        <f ca="1">IFERROR(__xludf.DUMMYFUNCTION("""COMPUTED_VALUE"""),"REA-B7999")</f>
        <v>REA-B7999</v>
      </c>
      <c r="B335" s="3">
        <f ca="1">IFERROR(__xludf.DUMMYFUNCTION("""COMPUTED_VALUE"""),54093)</f>
        <v>54093</v>
      </c>
      <c r="C335" s="3">
        <f ca="1">IFERROR(__xludf.DUMMYFUNCTION("""COMPUTED_VALUE"""),5906366008672)</f>
        <v>5906366008672</v>
      </c>
      <c r="D335" s="4" t="str">
        <f ca="1">IFERROR(__xludf.DUMMYFUNCTION("""COMPUTED_VALUE"""),"BATERIA UMYWALKOWA LUNGO MIEDŹ WYSOKA")</f>
        <v>BATERIA UMYWALKOWA LUNGO MIEDŹ WYSOKA</v>
      </c>
      <c r="E335" s="31">
        <v>55.951219512195124</v>
      </c>
      <c r="F335" s="31">
        <f t="shared" si="5"/>
        <v>68.820000000000007</v>
      </c>
    </row>
    <row r="336" spans="1:6" ht="18.75" customHeight="1" x14ac:dyDescent="0.25">
      <c r="A336" s="2" t="str">
        <f ca="1">IFERROR(__xludf.DUMMYFUNCTION("""COMPUTED_VALUE"""),"REA-B4500")</f>
        <v>REA-B4500</v>
      </c>
      <c r="B336" s="3">
        <f ca="1">IFERROR(__xludf.DUMMYFUNCTION("""COMPUTED_VALUE"""),29266)</f>
        <v>29266</v>
      </c>
      <c r="C336" s="3">
        <f ca="1">IFERROR(__xludf.DUMMYFUNCTION("""COMPUTED_VALUE"""),5902557341603)</f>
        <v>5902557341603</v>
      </c>
      <c r="D336" s="4" t="str">
        <f ca="1">IFERROR(__xludf.DUMMYFUNCTION("""COMPUTED_VALUE"""),"BATERIA UMYWALKOWA LUNGO RÓŻOWE ZŁOTO NISKA")</f>
        <v>BATERIA UMYWALKOWA LUNGO RÓŻOWE ZŁOTO NISKA</v>
      </c>
      <c r="E336" s="31">
        <v>48.73170731707318</v>
      </c>
      <c r="F336" s="31">
        <f t="shared" si="5"/>
        <v>59.940000000000012</v>
      </c>
    </row>
    <row r="337" spans="1:6" ht="18.75" customHeight="1" x14ac:dyDescent="0.25">
      <c r="A337" s="2" t="str">
        <f ca="1">IFERROR(__xludf.DUMMYFUNCTION("""COMPUTED_VALUE"""),"REA-B6321")</f>
        <v>REA-B6321</v>
      </c>
      <c r="B337" s="3">
        <f ca="1">IFERROR(__xludf.DUMMYFUNCTION("""COMPUTED_VALUE"""),24384)</f>
        <v>24384</v>
      </c>
      <c r="C337" s="3">
        <f ca="1">IFERROR(__xludf.DUMMYFUNCTION("""COMPUTED_VALUE"""),5902557335893)</f>
        <v>5902557335893</v>
      </c>
      <c r="D337" s="4" t="str">
        <f ca="1">IFERROR(__xludf.DUMMYFUNCTION("""COMPUTED_VALUE"""),"BATERIA UMYWALKOWA LUNGO RÓŻOWE ZŁOTO WYSOKA")</f>
        <v>BATERIA UMYWALKOWA LUNGO RÓŻOWE ZŁOTO WYSOKA</v>
      </c>
      <c r="E337" s="31">
        <v>58.658536585365859</v>
      </c>
      <c r="F337" s="31">
        <f t="shared" si="5"/>
        <v>72.150000000000006</v>
      </c>
    </row>
    <row r="338" spans="1:6" ht="18.75" customHeight="1" x14ac:dyDescent="0.25">
      <c r="A338" s="2" t="str">
        <f ca="1">IFERROR(__xludf.DUMMYFUNCTION("""COMPUTED_VALUE"""),"REA-B4520")</f>
        <v>REA-B4520</v>
      </c>
      <c r="B338" s="3">
        <f ca="1">IFERROR(__xludf.DUMMYFUNCTION("""COMPUTED_VALUE"""),37424)</f>
        <v>37424</v>
      </c>
      <c r="C338" s="3">
        <f ca="1">IFERROR(__xludf.DUMMYFUNCTION("""COMPUTED_VALUE"""),5902557350742)</f>
        <v>5902557350742</v>
      </c>
      <c r="D338" s="4" t="str">
        <f ca="1">IFERROR(__xludf.DUMMYFUNCTION("""COMPUTED_VALUE"""),"BATERIA UMYWALKOWA LUNGO ZŁOTA NISKA")</f>
        <v>BATERIA UMYWALKOWA LUNGO ZŁOTA NISKA</v>
      </c>
      <c r="E338" s="31">
        <v>52.341463414634156</v>
      </c>
      <c r="F338" s="31">
        <f t="shared" si="5"/>
        <v>64.38000000000001</v>
      </c>
    </row>
    <row r="339" spans="1:6" ht="18.75" customHeight="1" x14ac:dyDescent="0.25">
      <c r="A339" s="2" t="str">
        <f ca="1">IFERROR(__xludf.DUMMYFUNCTION("""COMPUTED_VALUE"""),"REA-B4527")</f>
        <v>REA-B4527</v>
      </c>
      <c r="B339" s="3">
        <f ca="1">IFERROR(__xludf.DUMMYFUNCTION("""COMPUTED_VALUE"""),42751)</f>
        <v>42751</v>
      </c>
      <c r="C339" s="3">
        <f ca="1">IFERROR(__xludf.DUMMYFUNCTION("""COMPUTED_VALUE"""),5902557364008)</f>
        <v>5902557364008</v>
      </c>
      <c r="D339" s="4" t="str">
        <f ca="1">IFERROR(__xludf.DUMMYFUNCTION("""COMPUTED_VALUE"""),"BATERIA UMYWALKOWA LUNGO ZŁOTA SZCZOTKOWANA NISKA")</f>
        <v>BATERIA UMYWALKOWA LUNGO ZŁOTA SZCZOTKOWANA NISKA</v>
      </c>
      <c r="E339" s="31">
        <v>61.365853658536594</v>
      </c>
      <c r="F339" s="31">
        <f t="shared" si="5"/>
        <v>75.48</v>
      </c>
    </row>
    <row r="340" spans="1:6" ht="18.75" customHeight="1" x14ac:dyDescent="0.25">
      <c r="A340" s="2" t="str">
        <f ca="1">IFERROR(__xludf.DUMMYFUNCTION("""COMPUTED_VALUE"""),"REA-B4526")</f>
        <v>REA-B4526</v>
      </c>
      <c r="B340" s="3">
        <f ca="1">IFERROR(__xludf.DUMMYFUNCTION("""COMPUTED_VALUE"""),42752)</f>
        <v>42752</v>
      </c>
      <c r="C340" s="3">
        <f ca="1">IFERROR(__xludf.DUMMYFUNCTION("""COMPUTED_VALUE"""),5902557363995)</f>
        <v>5902557363995</v>
      </c>
      <c r="D340" s="4" t="str">
        <f ca="1">IFERROR(__xludf.DUMMYFUNCTION("""COMPUTED_VALUE"""),"BATERIA UMYWALKOWA LUNGO ZŁOTA SZCZOTKOWANA WYSOKA")</f>
        <v>BATERIA UMYWALKOWA LUNGO ZŁOTA SZCZOTKOWANA WYSOKA</v>
      </c>
      <c r="E340" s="31">
        <v>63.170731707317081</v>
      </c>
      <c r="F340" s="31">
        <f t="shared" si="5"/>
        <v>77.7</v>
      </c>
    </row>
    <row r="341" spans="1:6" ht="18.75" customHeight="1" x14ac:dyDescent="0.25">
      <c r="A341" s="2" t="str">
        <f ca="1">IFERROR(__xludf.DUMMYFUNCTION("""COMPUTED_VALUE"""),"REA-B9409")</f>
        <v>REA-B9409</v>
      </c>
      <c r="B341" s="3">
        <f ca="1">IFERROR(__xludf.DUMMYFUNCTION("""COMPUTED_VALUE"""),29975)</f>
        <v>29975</v>
      </c>
      <c r="C341" s="3">
        <f ca="1">IFERROR(__xludf.DUMMYFUNCTION("""COMPUTED_VALUE"""),5902557342075)</f>
        <v>5902557342075</v>
      </c>
      <c r="D341" s="4" t="str">
        <f ca="1">IFERROR(__xludf.DUMMYFUNCTION("""COMPUTED_VALUE"""),"BATERIA UMYWALKOWA LUNGO ZŁOTA WYSOKA")</f>
        <v>BATERIA UMYWALKOWA LUNGO ZŁOTA WYSOKA</v>
      </c>
      <c r="E341" s="31">
        <v>59.560975609756099</v>
      </c>
      <c r="F341" s="31">
        <f t="shared" si="5"/>
        <v>73.260000000000005</v>
      </c>
    </row>
    <row r="342" spans="1:6" ht="18.75" customHeight="1" x14ac:dyDescent="0.25">
      <c r="A342" s="2" t="str">
        <f ca="1">IFERROR(__xludf.DUMMYFUNCTION("""COMPUTED_VALUE"""),"REA-B5668")</f>
        <v>REA-B5668</v>
      </c>
      <c r="B342" s="3">
        <f ca="1">IFERROR(__xludf.DUMMYFUNCTION("""COMPUTED_VALUE"""),42785)</f>
        <v>42785</v>
      </c>
      <c r="C342" s="3">
        <f ca="1">IFERROR(__xludf.DUMMYFUNCTION("""COMPUTED_VALUE"""),5902557359509)</f>
        <v>5902557359509</v>
      </c>
      <c r="D342" s="4" t="str">
        <f ca="1">IFERROR(__xludf.DUMMYFUNCTION("""COMPUTED_VALUE"""),"BATERIA UMYWALKOWA LUPPO CZARNA NISKA")</f>
        <v>BATERIA UMYWALKOWA LUPPO CZARNA NISKA</v>
      </c>
      <c r="E342" s="31">
        <v>46.024390243902438</v>
      </c>
      <c r="F342" s="31">
        <f t="shared" si="5"/>
        <v>56.61</v>
      </c>
    </row>
    <row r="343" spans="1:6" ht="18.75" customHeight="1" x14ac:dyDescent="0.25">
      <c r="A343" s="2" t="str">
        <f ca="1">IFERROR(__xludf.DUMMYFUNCTION("""COMPUTED_VALUE"""),"REA-B9637")</f>
        <v>REA-B9637</v>
      </c>
      <c r="B343" s="3">
        <f ca="1">IFERROR(__xludf.DUMMYFUNCTION("""COMPUTED_VALUE"""),42509)</f>
        <v>42509</v>
      </c>
      <c r="C343" s="3">
        <f ca="1">IFERROR(__xludf.DUMMYFUNCTION("""COMPUTED_VALUE"""),5902557359516)</f>
        <v>5902557359516</v>
      </c>
      <c r="D343" s="4" t="str">
        <f ca="1">IFERROR(__xludf.DUMMYFUNCTION("""COMPUTED_VALUE"""),"BATERIA UMYWALKOWA LUPPO CZARNA WYSOKA")</f>
        <v>BATERIA UMYWALKOWA LUPPO CZARNA WYSOKA</v>
      </c>
      <c r="E343" s="31">
        <v>68.585365853658544</v>
      </c>
      <c r="F343" s="31">
        <f t="shared" si="5"/>
        <v>84.360000000000014</v>
      </c>
    </row>
    <row r="344" spans="1:6" ht="18.75" customHeight="1" x14ac:dyDescent="0.25">
      <c r="A344" s="2" t="str">
        <f ca="1">IFERROR(__xludf.DUMMYFUNCTION("""COMPUTED_VALUE"""),"REA-B4899")</f>
        <v>REA-B4899</v>
      </c>
      <c r="B344" s="3">
        <f ca="1">IFERROR(__xludf.DUMMYFUNCTION("""COMPUTED_VALUE"""),53746)</f>
        <v>53746</v>
      </c>
      <c r="C344" s="3">
        <f ca="1">IFERROR(__xludf.DUMMYFUNCTION("""COMPUTED_VALUE"""),5906366003639)</f>
        <v>5906366003639</v>
      </c>
      <c r="D344" s="4" t="str">
        <f ca="1">IFERROR(__xludf.DUMMYFUNCTION("""COMPUTED_VALUE"""),"BATERIA UMYWALKOWA MARCO CZARNA NISKA")</f>
        <v>BATERIA UMYWALKOWA MARCO CZARNA NISKA</v>
      </c>
      <c r="E344" s="31">
        <v>48.73170731707318</v>
      </c>
      <c r="F344" s="31">
        <f t="shared" si="5"/>
        <v>59.940000000000012</v>
      </c>
    </row>
    <row r="345" spans="1:6" ht="18.75" customHeight="1" x14ac:dyDescent="0.25">
      <c r="A345" s="2" t="str">
        <f ca="1">IFERROR(__xludf.DUMMYFUNCTION("""COMPUTED_VALUE"""),"REA-B4896")</f>
        <v>REA-B4896</v>
      </c>
      <c r="B345" s="3">
        <f ca="1">IFERROR(__xludf.DUMMYFUNCTION("""COMPUTED_VALUE"""),53743)</f>
        <v>53743</v>
      </c>
      <c r="C345" s="3">
        <f ca="1">IFERROR(__xludf.DUMMYFUNCTION("""COMPUTED_VALUE"""),5906366003608)</f>
        <v>5906366003608</v>
      </c>
      <c r="D345" s="4" t="str">
        <f ca="1">IFERROR(__xludf.DUMMYFUNCTION("""COMPUTED_VALUE"""),"BATERIA UMYWALKOWA MARCO CZARNA WYSOKA")</f>
        <v>BATERIA UMYWALKOWA MARCO CZARNA WYSOKA</v>
      </c>
      <c r="E345" s="31">
        <v>75.804878048780495</v>
      </c>
      <c r="F345" s="31">
        <f t="shared" si="5"/>
        <v>93.240000000000009</v>
      </c>
    </row>
    <row r="346" spans="1:6" ht="18.75" customHeight="1" x14ac:dyDescent="0.25">
      <c r="A346" s="2" t="str">
        <f ca="1">IFERROR(__xludf.DUMMYFUNCTION("""COMPUTED_VALUE"""),"REA-B4897")</f>
        <v>REA-B4897</v>
      </c>
      <c r="B346" s="3">
        <f ca="1">IFERROR(__xludf.DUMMYFUNCTION("""COMPUTED_VALUE"""),53747)</f>
        <v>53747</v>
      </c>
      <c r="C346" s="3">
        <f ca="1">IFERROR(__xludf.DUMMYFUNCTION("""COMPUTED_VALUE"""),5906366003622)</f>
        <v>5906366003622</v>
      </c>
      <c r="D346" s="4" t="str">
        <f ca="1">IFERROR(__xludf.DUMMYFUNCTION("""COMPUTED_VALUE"""),"BATERIA UMYWALKOWA MARCO ZŁOTA SZCZOTKOWANA NISKA")</f>
        <v>BATERIA UMYWALKOWA MARCO ZŁOTA SZCZOTKOWANA NISKA</v>
      </c>
      <c r="E346" s="31">
        <v>56.853658536585371</v>
      </c>
      <c r="F346" s="31">
        <f t="shared" si="5"/>
        <v>69.930000000000007</v>
      </c>
    </row>
    <row r="347" spans="1:6" ht="18.75" customHeight="1" x14ac:dyDescent="0.25">
      <c r="A347" s="2" t="str">
        <f ca="1">IFERROR(__xludf.DUMMYFUNCTION("""COMPUTED_VALUE"""),"REA-B4895")</f>
        <v>REA-B4895</v>
      </c>
      <c r="B347" s="3">
        <f ca="1">IFERROR(__xludf.DUMMYFUNCTION("""COMPUTED_VALUE"""),53745)</f>
        <v>53745</v>
      </c>
      <c r="C347" s="3">
        <f ca="1">IFERROR(__xludf.DUMMYFUNCTION("""COMPUTED_VALUE"""),5906366003615)</f>
        <v>5906366003615</v>
      </c>
      <c r="D347" s="4" t="str">
        <f ca="1">IFERROR(__xludf.DUMMYFUNCTION("""COMPUTED_VALUE"""),"BATERIA UMYWALKOWA MARCO ZŁOTA SZCZOTKOWANA WYSOKA")</f>
        <v>BATERIA UMYWALKOWA MARCO ZŁOTA SZCZOTKOWANA WYSOKA</v>
      </c>
      <c r="E347" s="31">
        <v>75.804878048780495</v>
      </c>
      <c r="F347" s="31">
        <f t="shared" si="5"/>
        <v>93.240000000000009</v>
      </c>
    </row>
    <row r="348" spans="1:6" ht="18.75" customHeight="1" x14ac:dyDescent="0.25">
      <c r="A348" s="2" t="str">
        <f ca="1">IFERROR(__xludf.DUMMYFUNCTION("""COMPUTED_VALUE"""),"REA-B5100")</f>
        <v>REA-B5100</v>
      </c>
      <c r="B348" s="3">
        <f ca="1">IFERROR(__xludf.DUMMYFUNCTION("""COMPUTED_VALUE"""),42402)</f>
        <v>42402</v>
      </c>
      <c r="C348" s="3">
        <f ca="1">IFERROR(__xludf.DUMMYFUNCTION("""COMPUTED_VALUE"""),5902557362707)</f>
        <v>5902557362707</v>
      </c>
      <c r="D348" s="4" t="str">
        <f ca="1">IFERROR(__xludf.DUMMYFUNCTION("""COMPUTED_VALUE"""),"BATERIA UMYWALKOWA MAYSON CZARNA NISKA")</f>
        <v>BATERIA UMYWALKOWA MAYSON CZARNA NISKA</v>
      </c>
      <c r="E348" s="31">
        <v>48.73170731707318</v>
      </c>
      <c r="F348" s="31">
        <f t="shared" si="5"/>
        <v>59.940000000000012</v>
      </c>
    </row>
    <row r="349" spans="1:6" ht="18.75" customHeight="1" x14ac:dyDescent="0.25">
      <c r="A349" s="2" t="str">
        <f ca="1">IFERROR(__xludf.DUMMYFUNCTION("""COMPUTED_VALUE"""),"REA-B5102")</f>
        <v>REA-B5102</v>
      </c>
      <c r="B349" s="3">
        <f ca="1">IFERROR(__xludf.DUMMYFUNCTION("""COMPUTED_VALUE"""),42403)</f>
        <v>42403</v>
      </c>
      <c r="C349" s="3">
        <f ca="1">IFERROR(__xludf.DUMMYFUNCTION("""COMPUTED_VALUE"""),5902557362721)</f>
        <v>5902557362721</v>
      </c>
      <c r="D349" s="4" t="str">
        <f ca="1">IFERROR(__xludf.DUMMYFUNCTION("""COMPUTED_VALUE"""),"BATERIA UMYWALKOWA MAYSON CZARNA WYSOKA")</f>
        <v>BATERIA UMYWALKOWA MAYSON CZARNA WYSOKA</v>
      </c>
      <c r="E349" s="31">
        <v>66.780487804878049</v>
      </c>
      <c r="F349" s="31">
        <f t="shared" si="5"/>
        <v>82.14</v>
      </c>
    </row>
    <row r="350" spans="1:6" ht="18.75" customHeight="1" x14ac:dyDescent="0.25">
      <c r="A350" s="2" t="str">
        <f ca="1">IFERROR(__xludf.DUMMYFUNCTION("""COMPUTED_VALUE"""),"REA-B5101")</f>
        <v>REA-B5101</v>
      </c>
      <c r="B350" s="3">
        <f ca="1">IFERROR(__xludf.DUMMYFUNCTION("""COMPUTED_VALUE"""),42405)</f>
        <v>42405</v>
      </c>
      <c r="C350" s="3">
        <f ca="1">IFERROR(__xludf.DUMMYFUNCTION("""COMPUTED_VALUE"""),5902557362714)</f>
        <v>5902557362714</v>
      </c>
      <c r="D350" s="4" t="str">
        <f ca="1">IFERROR(__xludf.DUMMYFUNCTION("""COMPUTED_VALUE"""),"BATERIA UMYWALKOWA MAYSON ZŁOTA NISKA")</f>
        <v>BATERIA UMYWALKOWA MAYSON ZŁOTA NISKA</v>
      </c>
      <c r="E350" s="31">
        <v>55.951219512195124</v>
      </c>
      <c r="F350" s="31">
        <f t="shared" si="5"/>
        <v>68.820000000000007</v>
      </c>
    </row>
    <row r="351" spans="1:6" ht="18.75" customHeight="1" x14ac:dyDescent="0.25">
      <c r="A351" s="2" t="str">
        <f ca="1">IFERROR(__xludf.DUMMYFUNCTION("""COMPUTED_VALUE"""),"REA-B5103")</f>
        <v>REA-B5103</v>
      </c>
      <c r="B351" s="3">
        <f ca="1">IFERROR(__xludf.DUMMYFUNCTION("""COMPUTED_VALUE"""),42404)</f>
        <v>42404</v>
      </c>
      <c r="C351" s="3">
        <f ca="1">IFERROR(__xludf.DUMMYFUNCTION("""COMPUTED_VALUE"""),5902557362738)</f>
        <v>5902557362738</v>
      </c>
      <c r="D351" s="4" t="str">
        <f ca="1">IFERROR(__xludf.DUMMYFUNCTION("""COMPUTED_VALUE"""),"BATERIA UMYWALKOWA MAYSON ZŁOTA WYSOKA")</f>
        <v>BATERIA UMYWALKOWA MAYSON ZŁOTA WYSOKA</v>
      </c>
      <c r="E351" s="31">
        <v>78.512195121951223</v>
      </c>
      <c r="F351" s="31">
        <f t="shared" si="5"/>
        <v>96.570000000000007</v>
      </c>
    </row>
    <row r="352" spans="1:6" ht="18.75" customHeight="1" x14ac:dyDescent="0.25">
      <c r="A352" s="2" t="str">
        <f ca="1">IFERROR(__xludf.DUMMYFUNCTION("""COMPUTED_VALUE"""),"REA-B2708")</f>
        <v>REA-B2708</v>
      </c>
      <c r="B352" s="3">
        <f ca="1">IFERROR(__xludf.DUMMYFUNCTION("""COMPUTED_VALUE"""),52111)</f>
        <v>52111</v>
      </c>
      <c r="C352" s="3">
        <f ca="1">IFERROR(__xludf.DUMMYFUNCTION("""COMPUTED_VALUE"""),5902557392025)</f>
        <v>5902557392025</v>
      </c>
      <c r="D352" s="4" t="str">
        <f ca="1">IFERROR(__xludf.DUMMYFUNCTION("""COMPUTED_VALUE"""),"BATERIA UMYWALKOWA MELIA BIAŁA/ZŁOTA NISKA")</f>
        <v>BATERIA UMYWALKOWA MELIA BIAŁA/ZŁOTA NISKA</v>
      </c>
      <c r="E352" s="31">
        <v>56.853658536585371</v>
      </c>
      <c r="F352" s="31">
        <f t="shared" si="5"/>
        <v>69.930000000000007</v>
      </c>
    </row>
    <row r="353" spans="1:6" ht="18.75" customHeight="1" x14ac:dyDescent="0.25">
      <c r="A353" s="2" t="str">
        <f ca="1">IFERROR(__xludf.DUMMYFUNCTION("""COMPUTED_VALUE"""),"REA-B2709")</f>
        <v>REA-B2709</v>
      </c>
      <c r="B353" s="3">
        <f ca="1">IFERROR(__xludf.DUMMYFUNCTION("""COMPUTED_VALUE"""),52114)</f>
        <v>52114</v>
      </c>
      <c r="C353" s="3">
        <f ca="1">IFERROR(__xludf.DUMMYFUNCTION("""COMPUTED_VALUE"""),5902557392032)</f>
        <v>5902557392032</v>
      </c>
      <c r="D353" s="4" t="str">
        <f ca="1">IFERROR(__xludf.DUMMYFUNCTION("""COMPUTED_VALUE"""),"BATERIA UMYWALKOWA MELIA BIAŁA/ZŁOTA WYSOKA")</f>
        <v>BATERIA UMYWALKOWA MELIA BIAŁA/ZŁOTA WYSOKA</v>
      </c>
      <c r="E353" s="31">
        <v>80.317073170731717</v>
      </c>
      <c r="F353" s="31">
        <f t="shared" si="5"/>
        <v>98.79</v>
      </c>
    </row>
    <row r="354" spans="1:6" ht="18.75" customHeight="1" x14ac:dyDescent="0.25">
      <c r="A354" s="2" t="str">
        <f ca="1">IFERROR(__xludf.DUMMYFUNCTION("""COMPUTED_VALUE"""),"REA-B4807")</f>
        <v>REA-B4807</v>
      </c>
      <c r="B354" s="3">
        <f ca="1">IFERROR(__xludf.DUMMYFUNCTION("""COMPUTED_VALUE"""),48753)</f>
        <v>48753</v>
      </c>
      <c r="C354" s="3">
        <f ca="1">IFERROR(__xludf.DUMMYFUNCTION("""COMPUTED_VALUE"""),5902557376407)</f>
        <v>5902557376407</v>
      </c>
      <c r="D354" s="4" t="str">
        <f ca="1">IFERROR(__xludf.DUMMYFUNCTION("""COMPUTED_VALUE"""),"BATERIA UMYWALKOWA MILD CZARNA/RÓŻOWE ZŁOTO NISKA")</f>
        <v>BATERIA UMYWALKOWA MILD CZARNA/RÓŻOWE ZŁOTO NISKA</v>
      </c>
      <c r="E354" s="31">
        <v>49.634146341463421</v>
      </c>
      <c r="F354" s="31">
        <f t="shared" si="5"/>
        <v>61.050000000000004</v>
      </c>
    </row>
    <row r="355" spans="1:6" ht="18.75" customHeight="1" x14ac:dyDescent="0.25">
      <c r="A355" s="2" t="str">
        <f ca="1">IFERROR(__xludf.DUMMYFUNCTION("""COMPUTED_VALUE"""),"REA-B4808")</f>
        <v>REA-B4808</v>
      </c>
      <c r="B355" s="3">
        <f ca="1">IFERROR(__xludf.DUMMYFUNCTION("""COMPUTED_VALUE"""),48751)</f>
        <v>48751</v>
      </c>
      <c r="C355" s="3">
        <f ca="1">IFERROR(__xludf.DUMMYFUNCTION("""COMPUTED_VALUE"""),5902557376414)</f>
        <v>5902557376414</v>
      </c>
      <c r="D355" s="4" t="str">
        <f ca="1">IFERROR(__xludf.DUMMYFUNCTION("""COMPUTED_VALUE"""),"BATERIA UMYWALKOWA MILD CZARNA/RÓŻOWE ZŁOTO WYSOKA")</f>
        <v>BATERIA UMYWALKOWA MILD CZARNA/RÓŻOWE ZŁOTO WYSOKA</v>
      </c>
      <c r="E355" s="31">
        <v>72.195121951219519</v>
      </c>
      <c r="F355" s="31">
        <f t="shared" si="5"/>
        <v>88.800000000000011</v>
      </c>
    </row>
    <row r="356" spans="1:6" ht="18.75" customHeight="1" x14ac:dyDescent="0.25">
      <c r="A356" s="2" t="str">
        <f ca="1">IFERROR(__xludf.DUMMYFUNCTION("""COMPUTED_VALUE"""),"REA-B5664")</f>
        <v>REA-B5664</v>
      </c>
      <c r="B356" s="3">
        <f ca="1">IFERROR(__xludf.DUMMYFUNCTION("""COMPUTED_VALUE"""),42800)</f>
        <v>42800</v>
      </c>
      <c r="C356" s="3">
        <f ca="1">IFERROR(__xludf.DUMMYFUNCTION("""COMPUTED_VALUE"""),5902557359479)</f>
        <v>5902557359479</v>
      </c>
      <c r="D356" s="4" t="str">
        <f ca="1">IFERROR(__xludf.DUMMYFUNCTION("""COMPUTED_VALUE"""),"BATERIA UMYWALKOWA MODO CZARNA WYSOKA")</f>
        <v>BATERIA UMYWALKOWA MODO CZARNA WYSOKA</v>
      </c>
      <c r="E356" s="31">
        <v>95.658536585365866</v>
      </c>
      <c r="F356" s="31">
        <f t="shared" si="5"/>
        <v>117.66000000000001</v>
      </c>
    </row>
    <row r="357" spans="1:6" ht="18.75" customHeight="1" x14ac:dyDescent="0.25">
      <c r="A357" s="2" t="str">
        <f ca="1">IFERROR(__xludf.DUMMYFUNCTION("""COMPUTED_VALUE"""),"REA-B5665")</f>
        <v>REA-B5665</v>
      </c>
      <c r="B357" s="3">
        <f ca="1">IFERROR(__xludf.DUMMYFUNCTION("""COMPUTED_VALUE"""),42801)</f>
        <v>42801</v>
      </c>
      <c r="C357" s="3">
        <f ca="1">IFERROR(__xludf.DUMMYFUNCTION("""COMPUTED_VALUE"""),5902557359486)</f>
        <v>5902557359486</v>
      </c>
      <c r="D357" s="4" t="str">
        <f ca="1">IFERROR(__xludf.DUMMYFUNCTION("""COMPUTED_VALUE"""),"BATERIA UMYWALKOWA MODO ZŁOTA WYSOKA")</f>
        <v>BATERIA UMYWALKOWA MODO ZŁOTA WYSOKA</v>
      </c>
      <c r="E357" s="31">
        <v>104.68292682926831</v>
      </c>
      <c r="F357" s="31">
        <f t="shared" si="5"/>
        <v>128.76000000000002</v>
      </c>
    </row>
    <row r="358" spans="1:6" ht="18.75" customHeight="1" x14ac:dyDescent="0.25">
      <c r="A358" s="2" t="str">
        <f ca="1">IFERROR(__xludf.DUMMYFUNCTION("""COMPUTED_VALUE"""),"REA-B4209")</f>
        <v>REA-B4209</v>
      </c>
      <c r="B358" s="3">
        <f ca="1">IFERROR(__xludf.DUMMYFUNCTION("""COMPUTED_VALUE"""),53455)</f>
        <v>53455</v>
      </c>
      <c r="C358" s="3">
        <f ca="1">IFERROR(__xludf.DUMMYFUNCTION("""COMPUTED_VALUE"""),5902557399246)</f>
        <v>5902557399246</v>
      </c>
      <c r="D358" s="4" t="str">
        <f ca="1">IFERROR(__xludf.DUMMYFUNCTION("""COMPUTED_VALUE"""),"BATERIA UMYWALKOWA MONACO CHROM NISKA")</f>
        <v>BATERIA UMYWALKOWA MONACO CHROM NISKA</v>
      </c>
      <c r="E358" s="31">
        <v>68.585365853658544</v>
      </c>
      <c r="F358" s="31">
        <f t="shared" si="5"/>
        <v>84.360000000000014</v>
      </c>
    </row>
    <row r="359" spans="1:6" ht="18.75" customHeight="1" x14ac:dyDescent="0.25">
      <c r="A359" s="2" t="str">
        <f ca="1">IFERROR(__xludf.DUMMYFUNCTION("""COMPUTED_VALUE"""),"REA-B2503")</f>
        <v>REA-B2503</v>
      </c>
      <c r="B359" s="3">
        <f ca="1">IFERROR(__xludf.DUMMYFUNCTION("""COMPUTED_VALUE"""),52810)</f>
        <v>52810</v>
      </c>
      <c r="C359" s="3">
        <f ca="1">IFERROR(__xludf.DUMMYFUNCTION("""COMPUTED_VALUE"""),5902557399253)</f>
        <v>5902557399253</v>
      </c>
      <c r="D359" s="4" t="str">
        <f ca="1">IFERROR(__xludf.DUMMYFUNCTION("""COMPUTED_VALUE"""),"BATERIA UMYWALKOWA MONACO CHROM WYSOKA")</f>
        <v>BATERIA UMYWALKOWA MONACO CHROM WYSOKA</v>
      </c>
      <c r="E359" s="31">
        <v>102.87804878048782</v>
      </c>
      <c r="F359" s="31">
        <f t="shared" si="5"/>
        <v>126.54</v>
      </c>
    </row>
    <row r="360" spans="1:6" ht="18.75" customHeight="1" x14ac:dyDescent="0.25">
      <c r="A360" s="2" t="str">
        <f ca="1">IFERROR(__xludf.DUMMYFUNCTION("""COMPUTED_VALUE"""),"REA-B2501")</f>
        <v>REA-B2501</v>
      </c>
      <c r="B360" s="3">
        <f ca="1">IFERROR(__xludf.DUMMYFUNCTION("""COMPUTED_VALUE"""),52808)</f>
        <v>52808</v>
      </c>
      <c r="C360" s="3">
        <f ca="1">IFERROR(__xludf.DUMMYFUNCTION("""COMPUTED_VALUE"""),5902557399239)</f>
        <v>5902557399239</v>
      </c>
      <c r="D360" s="4" t="str">
        <f ca="1">IFERROR(__xludf.DUMMYFUNCTION("""COMPUTED_VALUE"""),"BATERIA UMYWALKOWA MONACO ZŁOTA NISKA")</f>
        <v>BATERIA UMYWALKOWA MONACO ZŁOTA NISKA</v>
      </c>
      <c r="E360" s="31">
        <v>87.536585365853668</v>
      </c>
      <c r="F360" s="31">
        <f t="shared" si="5"/>
        <v>107.67000000000002</v>
      </c>
    </row>
    <row r="361" spans="1:6" ht="18.75" customHeight="1" x14ac:dyDescent="0.25">
      <c r="A361" s="2" t="str">
        <f ca="1">IFERROR(__xludf.DUMMYFUNCTION("""COMPUTED_VALUE"""),"REA-B4212")</f>
        <v>REA-B4212</v>
      </c>
      <c r="B361" s="3">
        <f ca="1">IFERROR(__xludf.DUMMYFUNCTION("""COMPUTED_VALUE"""),53447)</f>
        <v>53447</v>
      </c>
      <c r="C361" s="3">
        <f ca="1">IFERROR(__xludf.DUMMYFUNCTION("""COMPUTED_VALUE"""),5902557399260)</f>
        <v>5902557399260</v>
      </c>
      <c r="D361" s="4" t="str">
        <f ca="1">IFERROR(__xludf.DUMMYFUNCTION("""COMPUTED_VALUE"""),"BATERIA UMYWALKOWA MONACO ZŁOTA SZCZOTKOWAN WYSOKA")</f>
        <v>BATERIA UMYWALKOWA MONACO ZŁOTA SZCZOTKOWAN WYSOKA</v>
      </c>
      <c r="E361" s="31">
        <v>109.19512195121952</v>
      </c>
      <c r="F361" s="31">
        <f t="shared" si="5"/>
        <v>134.31</v>
      </c>
    </row>
    <row r="362" spans="1:6" ht="18.75" customHeight="1" x14ac:dyDescent="0.25">
      <c r="A362" s="2" t="str">
        <f ca="1">IFERROR(__xludf.DUMMYFUNCTION("""COMPUTED_VALUE"""),"REA-B4211")</f>
        <v>REA-B4211</v>
      </c>
      <c r="B362" s="3">
        <f ca="1">IFERROR(__xludf.DUMMYFUNCTION("""COMPUTED_VALUE"""),53448)</f>
        <v>53448</v>
      </c>
      <c r="C362" s="3">
        <f ca="1">IFERROR(__xludf.DUMMYFUNCTION("""COMPUTED_VALUE"""),5902557399277)</f>
        <v>5902557399277</v>
      </c>
      <c r="D362" s="4" t="str">
        <f ca="1">IFERROR(__xludf.DUMMYFUNCTION("""COMPUTED_VALUE"""),"BATERIA UMYWALKOWA MONACO ZŁOTA SZCZOTKOWANA NISKA")</f>
        <v>BATERIA UMYWALKOWA MONACO ZŁOTA SZCZOTKOWANA NISKA</v>
      </c>
      <c r="E362" s="31">
        <v>78.512195121951223</v>
      </c>
      <c r="F362" s="31">
        <f t="shared" si="5"/>
        <v>96.570000000000007</v>
      </c>
    </row>
    <row r="363" spans="1:6" ht="18.75" customHeight="1" x14ac:dyDescent="0.25">
      <c r="A363" s="2" t="str">
        <f ca="1">IFERROR(__xludf.DUMMYFUNCTION("""COMPUTED_VALUE"""),"REA-B2502")</f>
        <v>REA-B2502</v>
      </c>
      <c r="B363" s="3">
        <f ca="1">IFERROR(__xludf.DUMMYFUNCTION("""COMPUTED_VALUE"""),52811)</f>
        <v>52811</v>
      </c>
      <c r="C363" s="3">
        <f ca="1">IFERROR(__xludf.DUMMYFUNCTION("""COMPUTED_VALUE"""),5902557399222)</f>
        <v>5902557399222</v>
      </c>
      <c r="D363" s="4" t="str">
        <f ca="1">IFERROR(__xludf.DUMMYFUNCTION("""COMPUTED_VALUE"""),"BATERIA UMYWALKOWA MONACO ZŁOTA WYSOKA")</f>
        <v>BATERIA UMYWALKOWA MONACO ZŁOTA WYSOKA</v>
      </c>
      <c r="E363" s="31">
        <v>109.19512195121952</v>
      </c>
      <c r="F363" s="31">
        <f t="shared" si="5"/>
        <v>134.31</v>
      </c>
    </row>
    <row r="364" spans="1:6" ht="18.75" customHeight="1" x14ac:dyDescent="0.25">
      <c r="A364" s="2" t="str">
        <f ca="1">IFERROR(__xludf.DUMMYFUNCTION("""COMPUTED_VALUE"""),"REA-B4833")</f>
        <v>REA-B4833</v>
      </c>
      <c r="B364" s="3">
        <f ca="1">IFERROR(__xludf.DUMMYFUNCTION("""COMPUTED_VALUE"""),34892)</f>
        <v>34892</v>
      </c>
      <c r="C364" s="3">
        <f ca="1">IFERROR(__xludf.DUMMYFUNCTION("""COMPUTED_VALUE"""),5902557345243)</f>
        <v>5902557345243</v>
      </c>
      <c r="D364" s="4" t="str">
        <f ca="1">IFERROR(__xludf.DUMMYFUNCTION("""COMPUTED_VALUE"""),"BATERIA UMYWALKOWA MORIS CZARNA WYSOKA")</f>
        <v>BATERIA UMYWALKOWA MORIS CZARNA WYSOKA</v>
      </c>
      <c r="E364" s="31">
        <v>82.121951219512198</v>
      </c>
      <c r="F364" s="31">
        <f t="shared" si="5"/>
        <v>101.01</v>
      </c>
    </row>
    <row r="365" spans="1:6" ht="18.75" customHeight="1" x14ac:dyDescent="0.25">
      <c r="A365" s="2" t="str">
        <f ca="1">IFERROR(__xludf.DUMMYFUNCTION("""COMPUTED_VALUE"""),"REA-B9908")</f>
        <v>REA-B9908</v>
      </c>
      <c r="B365" s="3">
        <f ca="1">IFERROR(__xludf.DUMMYFUNCTION("""COMPUTED_VALUE"""),44606)</f>
        <v>44606</v>
      </c>
      <c r="C365" s="3">
        <f ca="1">IFERROR(__xludf.DUMMYFUNCTION("""COMPUTED_VALUE"""),5902557368747)</f>
        <v>5902557368747</v>
      </c>
      <c r="D365" s="4" t="str">
        <f ca="1">IFERROR(__xludf.DUMMYFUNCTION("""COMPUTED_VALUE"""),"BATERIA UMYWALKOWA MY1802-21B URBAN CZARNA WYSOKA")</f>
        <v>BATERIA UMYWALKOWA MY1802-21B URBAN CZARNA WYSOKA</v>
      </c>
      <c r="E365" s="31">
        <v>84.82926829268294</v>
      </c>
      <c r="F365" s="31">
        <f t="shared" si="5"/>
        <v>104.34000000000002</v>
      </c>
    </row>
    <row r="366" spans="1:6" ht="18.75" customHeight="1" x14ac:dyDescent="0.25">
      <c r="A366" s="2" t="str">
        <f ca="1">IFERROR(__xludf.DUMMYFUNCTION("""COMPUTED_VALUE"""),"REA-B9905")</f>
        <v>REA-B9905</v>
      </c>
      <c r="B366" s="3">
        <f ca="1">IFERROR(__xludf.DUMMYFUNCTION("""COMPUTED_VALUE"""),44590)</f>
        <v>44590</v>
      </c>
      <c r="C366" s="3">
        <f ca="1">IFERROR(__xludf.DUMMYFUNCTION("""COMPUTED_VALUE"""),5902557368716)</f>
        <v>5902557368716</v>
      </c>
      <c r="D366" s="4" t="str">
        <f ca="1">IFERROR(__xludf.DUMMYFUNCTION("""COMPUTED_VALUE"""),"BATERIA UMYWALKOWA MY1802-21C URBAN CHROM WYSOKA")</f>
        <v>BATERIA UMYWALKOWA MY1802-21C URBAN CHROM WYSOKA</v>
      </c>
      <c r="E366" s="31">
        <v>84.82926829268294</v>
      </c>
      <c r="F366" s="31">
        <f t="shared" si="5"/>
        <v>104.34000000000002</v>
      </c>
    </row>
    <row r="367" spans="1:6" ht="18.75" customHeight="1" x14ac:dyDescent="0.25">
      <c r="A367" s="2" t="str">
        <f ca="1">IFERROR(__xludf.DUMMYFUNCTION("""COMPUTED_VALUE"""),"REA-B9912")</f>
        <v>REA-B9912</v>
      </c>
      <c r="B367" s="3">
        <f ca="1">IFERROR(__xludf.DUMMYFUNCTION("""COMPUTED_VALUE"""),44599)</f>
        <v>44599</v>
      </c>
      <c r="C367" s="3">
        <f ca="1">IFERROR(__xludf.DUMMYFUNCTION("""COMPUTED_VALUE"""),5902557368785)</f>
        <v>5902557368785</v>
      </c>
      <c r="D367" s="4" t="str">
        <f ca="1">IFERROR(__xludf.DUMMYFUNCTION("""COMPUTED_VALUE"""),"BATERIA UMYWALKOWA MY1802-21G URBAN ZŁOTA WYSOKA")</f>
        <v>BATERIA UMYWALKOWA MY1802-21G URBAN ZŁOTA WYSOKA</v>
      </c>
      <c r="E367" s="31">
        <v>101.07317073170734</v>
      </c>
      <c r="F367" s="31">
        <f t="shared" si="5"/>
        <v>124.32000000000002</v>
      </c>
    </row>
    <row r="368" spans="1:6" ht="18.75" customHeight="1" x14ac:dyDescent="0.25">
      <c r="A368" s="2" t="str">
        <f ca="1">IFERROR(__xludf.DUMMYFUNCTION("""COMPUTED_VALUE"""),"REA-B9907")</f>
        <v>REA-B9907</v>
      </c>
      <c r="B368" s="3">
        <f ca="1">IFERROR(__xludf.DUMMYFUNCTION("""COMPUTED_VALUE"""),44605)</f>
        <v>44605</v>
      </c>
      <c r="C368" s="3">
        <f ca="1">IFERROR(__xludf.DUMMYFUNCTION("""COMPUTED_VALUE"""),5902557368730)</f>
        <v>5902557368730</v>
      </c>
      <c r="D368" s="4" t="str">
        <f ca="1">IFERROR(__xludf.DUMMYFUNCTION("""COMPUTED_VALUE"""),"BATERIA UMYWALKOWA MY1802-2B URBAN CZARNA NISKA")</f>
        <v>BATERIA UMYWALKOWA MY1802-2B URBAN CZARNA NISKA</v>
      </c>
      <c r="E368" s="31">
        <v>55.048780487804883</v>
      </c>
      <c r="F368" s="31">
        <f t="shared" si="5"/>
        <v>67.710000000000008</v>
      </c>
    </row>
    <row r="369" spans="1:6" ht="18.75" customHeight="1" x14ac:dyDescent="0.25">
      <c r="A369" s="2" t="str">
        <f ca="1">IFERROR(__xludf.DUMMYFUNCTION("""COMPUTED_VALUE"""),"REA-B9904")</f>
        <v>REA-B9904</v>
      </c>
      <c r="B369" s="3">
        <f ca="1">IFERROR(__xludf.DUMMYFUNCTION("""COMPUTED_VALUE"""),44594)</f>
        <v>44594</v>
      </c>
      <c r="C369" s="3">
        <f ca="1">IFERROR(__xludf.DUMMYFUNCTION("""COMPUTED_VALUE"""),5902557368709)</f>
        <v>5902557368709</v>
      </c>
      <c r="D369" s="4" t="str">
        <f ca="1">IFERROR(__xludf.DUMMYFUNCTION("""COMPUTED_VALUE"""),"BATERIA UMYWALKOWA MY1802-2C URBAN CHROM NISKA")</f>
        <v>BATERIA UMYWALKOWA MY1802-2C URBAN CHROM NISKA</v>
      </c>
      <c r="E369" s="31">
        <v>57.756097560975611</v>
      </c>
      <c r="F369" s="31">
        <f t="shared" si="5"/>
        <v>71.040000000000006</v>
      </c>
    </row>
    <row r="370" spans="1:6" ht="18.75" customHeight="1" x14ac:dyDescent="0.25">
      <c r="A370" s="2" t="str">
        <f ca="1">IFERROR(__xludf.DUMMYFUNCTION("""COMPUTED_VALUE"""),"REA-B9911")</f>
        <v>REA-B9911</v>
      </c>
      <c r="B370" s="3">
        <f ca="1">IFERROR(__xludf.DUMMYFUNCTION("""COMPUTED_VALUE"""),44597)</f>
        <v>44597</v>
      </c>
      <c r="C370" s="3">
        <f ca="1">IFERROR(__xludf.DUMMYFUNCTION("""COMPUTED_VALUE"""),5902557368778)</f>
        <v>5902557368778</v>
      </c>
      <c r="D370" s="4" t="str">
        <f ca="1">IFERROR(__xludf.DUMMYFUNCTION("""COMPUTED_VALUE"""),"BATERIA UMYWALKOWA MY1802-2G URBAN ZŁOTA NISKA")</f>
        <v>BATERIA UMYWALKOWA MY1802-2G URBAN ZŁOTA NISKA</v>
      </c>
      <c r="E370" s="31">
        <v>66.780487804878049</v>
      </c>
      <c r="F370" s="31">
        <f t="shared" si="5"/>
        <v>82.14</v>
      </c>
    </row>
    <row r="371" spans="1:6" ht="18.75" customHeight="1" x14ac:dyDescent="0.25">
      <c r="A371" s="2" t="str">
        <f ca="1">IFERROR(__xludf.DUMMYFUNCTION("""COMPUTED_VALUE"""),"REA-B9988")</f>
        <v>REA-B9988</v>
      </c>
      <c r="B371" s="3">
        <f ca="1">IFERROR(__xludf.DUMMYFUNCTION("""COMPUTED_VALUE"""),44611)</f>
        <v>44611</v>
      </c>
      <c r="C371" s="3">
        <f ca="1">IFERROR(__xludf.DUMMYFUNCTION("""COMPUTED_VALUE"""),5902557369096)</f>
        <v>5902557369096</v>
      </c>
      <c r="D371" s="4" t="str">
        <f ca="1">IFERROR(__xludf.DUMMYFUNCTION("""COMPUTED_VALUE"""),"BATERIA UMYWALKOWA MY1902-21B STORM CZARNA WYSOKA")</f>
        <v>BATERIA UMYWALKOWA MY1902-21B STORM CZARNA WYSOKA</v>
      </c>
      <c r="E371" s="31">
        <v>76.707317073170742</v>
      </c>
      <c r="F371" s="31">
        <f t="shared" si="5"/>
        <v>94.350000000000009</v>
      </c>
    </row>
    <row r="372" spans="1:6" ht="18.75" customHeight="1" x14ac:dyDescent="0.25">
      <c r="A372" s="2" t="str">
        <f ca="1">IFERROR(__xludf.DUMMYFUNCTION("""COMPUTED_VALUE"""),"REA-B6203")</f>
        <v>REA-B6203</v>
      </c>
      <c r="B372" s="3">
        <f ca="1">IFERROR(__xludf.DUMMYFUNCTION("""COMPUTED_VALUE"""),44887)</f>
        <v>44887</v>
      </c>
      <c r="C372" s="3">
        <f ca="1">IFERROR(__xludf.DUMMYFUNCTION("""COMPUTED_VALUE"""),5902557373666)</f>
        <v>5902557373666</v>
      </c>
      <c r="D372" s="4" t="str">
        <f ca="1">IFERROR(__xludf.DUMMYFUNCTION("""COMPUTED_VALUE"""),"BATERIA UMYWALKOWA MY1902-21C STORM CHROM WYSOKA")</f>
        <v>BATERIA UMYWALKOWA MY1902-21C STORM CHROM WYSOKA</v>
      </c>
      <c r="E372" s="31">
        <v>76.707317073170742</v>
      </c>
      <c r="F372" s="31">
        <f t="shared" si="5"/>
        <v>94.350000000000009</v>
      </c>
    </row>
    <row r="373" spans="1:6" ht="18.75" customHeight="1" x14ac:dyDescent="0.25">
      <c r="A373" s="2" t="str">
        <f ca="1">IFERROR(__xludf.DUMMYFUNCTION("""COMPUTED_VALUE"""),"REA-B9983")</f>
        <v>REA-B9983</v>
      </c>
      <c r="B373" s="3">
        <f ca="1">IFERROR(__xludf.DUMMYFUNCTION("""COMPUTED_VALUE"""),44633)</f>
        <v>44633</v>
      </c>
      <c r="C373" s="3">
        <f ca="1">IFERROR(__xludf.DUMMYFUNCTION("""COMPUTED_VALUE"""),5902557369041)</f>
        <v>5902557369041</v>
      </c>
      <c r="D373" s="4" t="str">
        <f ca="1">IFERROR(__xludf.DUMMYFUNCTION("""COMPUTED_VALUE"""),"BATERIA UMYWALKOWA MY1902-21G STORM ZŁOTA WYSOKA")</f>
        <v>BATERIA UMYWALKOWA MY1902-21G STORM ZŁOTA WYSOKA</v>
      </c>
      <c r="E373" s="31">
        <v>89.341463414634148</v>
      </c>
      <c r="F373" s="31">
        <f t="shared" si="5"/>
        <v>109.89</v>
      </c>
    </row>
    <row r="374" spans="1:6" ht="18.75" customHeight="1" x14ac:dyDescent="0.25">
      <c r="A374" s="2" t="str">
        <f ca="1">IFERROR(__xludf.DUMMYFUNCTION("""COMPUTED_VALUE"""),"REA-B4584")</f>
        <v>REA-B4584</v>
      </c>
      <c r="B374" s="3">
        <f ca="1">IFERROR(__xludf.DUMMYFUNCTION("""COMPUTED_VALUE"""),51092)</f>
        <v>51092</v>
      </c>
      <c r="C374" s="3">
        <f ca="1">IFERROR(__xludf.DUMMYFUNCTION("""COMPUTED_VALUE"""),5902557392971)</f>
        <v>5902557392971</v>
      </c>
      <c r="D374" s="4" t="str">
        <f ca="1">IFERROR(__xludf.DUMMYFUNCTION("""COMPUTED_VALUE"""),"BATERIA UMYWALKOWA MY1902-21H STORM GUN SZARY WYSOK")</f>
        <v>BATERIA UMYWALKOWA MY1902-21H STORM GUN SZARY WYSOK</v>
      </c>
      <c r="E374" s="31">
        <v>95.658536585365866</v>
      </c>
      <c r="F374" s="31">
        <f t="shared" si="5"/>
        <v>117.66000000000001</v>
      </c>
    </row>
    <row r="375" spans="1:6" ht="18.75" customHeight="1" x14ac:dyDescent="0.25">
      <c r="A375" s="2" t="str">
        <f ca="1">IFERROR(__xludf.DUMMYFUNCTION("""COMPUTED_VALUE"""),"REA-B9986")</f>
        <v>REA-B9986</v>
      </c>
      <c r="B375" s="3">
        <f ca="1">IFERROR(__xludf.DUMMYFUNCTION("""COMPUTED_VALUE"""),44612)</f>
        <v>44612</v>
      </c>
      <c r="C375" s="3">
        <f ca="1">IFERROR(__xludf.DUMMYFUNCTION("""COMPUTED_VALUE"""),5902557369072)</f>
        <v>5902557369072</v>
      </c>
      <c r="D375" s="4" t="str">
        <f ca="1">IFERROR(__xludf.DUMMYFUNCTION("""COMPUTED_VALUE"""),"BATERIA UMYWALKOWA MY1902-2B STORM CZARNA NISKA")</f>
        <v>BATERIA UMYWALKOWA MY1902-2B STORM CZARNA NISKA</v>
      </c>
      <c r="E375" s="31">
        <v>59.560975609756099</v>
      </c>
      <c r="F375" s="31">
        <f t="shared" si="5"/>
        <v>73.260000000000005</v>
      </c>
    </row>
    <row r="376" spans="1:6" ht="18.75" customHeight="1" x14ac:dyDescent="0.25">
      <c r="A376" s="2" t="str">
        <f ca="1">IFERROR(__xludf.DUMMYFUNCTION("""COMPUTED_VALUE"""),"REA-B6202")</f>
        <v>REA-B6202</v>
      </c>
      <c r="B376" s="3">
        <f ca="1">IFERROR(__xludf.DUMMYFUNCTION("""COMPUTED_VALUE"""),44888)</f>
        <v>44888</v>
      </c>
      <c r="C376" s="3">
        <f ca="1">IFERROR(__xludf.DUMMYFUNCTION("""COMPUTED_VALUE"""),5902557373659)</f>
        <v>5902557373659</v>
      </c>
      <c r="D376" s="4" t="str">
        <f ca="1">IFERROR(__xludf.DUMMYFUNCTION("""COMPUTED_VALUE"""),"BATERIA UMYWALKOWA MY1902-2C STORM CHROM NISKA")</f>
        <v>BATERIA UMYWALKOWA MY1902-2C STORM CHROM NISKA</v>
      </c>
      <c r="E376" s="31">
        <v>54.146341463414643</v>
      </c>
      <c r="F376" s="31">
        <f t="shared" si="5"/>
        <v>66.600000000000009</v>
      </c>
    </row>
    <row r="377" spans="1:6" ht="18.75" customHeight="1" x14ac:dyDescent="0.25">
      <c r="A377" s="2" t="str">
        <f ca="1">IFERROR(__xludf.DUMMYFUNCTION("""COMPUTED_VALUE"""),"REA-B9981")</f>
        <v>REA-B9981</v>
      </c>
      <c r="B377" s="3">
        <f ca="1">IFERROR(__xludf.DUMMYFUNCTION("""COMPUTED_VALUE"""),44632)</f>
        <v>44632</v>
      </c>
      <c r="C377" s="3">
        <f ca="1">IFERROR(__xludf.DUMMYFUNCTION("""COMPUTED_VALUE"""),5902557369027)</f>
        <v>5902557369027</v>
      </c>
      <c r="D377" s="4" t="str">
        <f ca="1">IFERROR(__xludf.DUMMYFUNCTION("""COMPUTED_VALUE"""),"BATERIA UMYWALKOWA MY1902-2G STORM ZŁOTA NISKA")</f>
        <v>BATERIA UMYWALKOWA MY1902-2G STORM ZŁOTA NISKA</v>
      </c>
      <c r="E377" s="31">
        <v>63.170731707317081</v>
      </c>
      <c r="F377" s="31">
        <f t="shared" si="5"/>
        <v>77.7</v>
      </c>
    </row>
    <row r="378" spans="1:6" ht="18.75" customHeight="1" x14ac:dyDescent="0.25">
      <c r="A378" s="2" t="str">
        <f ca="1">IFERROR(__xludf.DUMMYFUNCTION("""COMPUTED_VALUE"""),"REA-B4580")</f>
        <v>REA-B4580</v>
      </c>
      <c r="B378" s="3">
        <f ca="1">IFERROR(__xludf.DUMMYFUNCTION("""COMPUTED_VALUE"""),51089)</f>
        <v>51089</v>
      </c>
      <c r="C378" s="3">
        <f ca="1">IFERROR(__xludf.DUMMYFUNCTION("""COMPUTED_VALUE"""),5902557392988)</f>
        <v>5902557392988</v>
      </c>
      <c r="D378" s="4" t="str">
        <f ca="1">IFERROR(__xludf.DUMMYFUNCTION("""COMPUTED_VALUE"""),"BATERIA UMYWALKOWA MY1902-2H STORM GUN SZARY NISKA")</f>
        <v>BATERIA UMYWALKOWA MY1902-2H STORM GUN SZARY NISKA</v>
      </c>
      <c r="E378" s="31">
        <v>67.682926829268297</v>
      </c>
      <c r="F378" s="31">
        <f t="shared" si="5"/>
        <v>83.25</v>
      </c>
    </row>
    <row r="379" spans="1:6" ht="18.75" customHeight="1" x14ac:dyDescent="0.25">
      <c r="A379" s="2" t="str">
        <f ca="1">IFERROR(__xludf.DUMMYFUNCTION("""COMPUTED_VALUE"""),"REA-B9996")</f>
        <v>REA-B9996</v>
      </c>
      <c r="B379" s="3">
        <f ca="1">IFERROR(__xludf.DUMMYFUNCTION("""COMPUTED_VALUE"""),44629)</f>
        <v>44629</v>
      </c>
      <c r="C379" s="3">
        <f ca="1">IFERROR(__xludf.DUMMYFUNCTION("""COMPUTED_VALUE"""),5902557369164)</f>
        <v>5902557369164</v>
      </c>
      <c r="D379" s="4" t="str">
        <f ca="1">IFERROR(__xludf.DUMMYFUNCTION("""COMPUTED_VALUE"""),"BATERIA UMYWALKOWA MY1906-21B SOUL CZARNA WYSOKA")</f>
        <v>BATERIA UMYWALKOWA MY1906-21B SOUL CZARNA WYSOKA</v>
      </c>
      <c r="E379" s="31">
        <v>89.341463414634148</v>
      </c>
      <c r="F379" s="31">
        <f t="shared" si="5"/>
        <v>109.89</v>
      </c>
    </row>
    <row r="380" spans="1:6" ht="18.75" customHeight="1" x14ac:dyDescent="0.25">
      <c r="A380" s="2" t="str">
        <f ca="1">IFERROR(__xludf.DUMMYFUNCTION("""COMPUTED_VALUE"""),"REA-B9992")</f>
        <v>REA-B9992</v>
      </c>
      <c r="B380" s="3">
        <f ca="1">IFERROR(__xludf.DUMMYFUNCTION("""COMPUTED_VALUE"""),44620)</f>
        <v>44620</v>
      </c>
      <c r="C380" s="3">
        <f ca="1">IFERROR(__xludf.DUMMYFUNCTION("""COMPUTED_VALUE"""),5902557369133)</f>
        <v>5902557369133</v>
      </c>
      <c r="D380" s="4" t="str">
        <f ca="1">IFERROR(__xludf.DUMMYFUNCTION("""COMPUTED_VALUE"""),"BATERIA UMYWALKOWA MY1906-21C SOUL CHROM WYSOKA")</f>
        <v>BATERIA UMYWALKOWA MY1906-21C SOUL CHROM WYSOKA</v>
      </c>
      <c r="E380" s="31">
        <v>89.341463414634148</v>
      </c>
      <c r="F380" s="31">
        <f t="shared" si="5"/>
        <v>109.89</v>
      </c>
    </row>
    <row r="381" spans="1:6" ht="18.75" customHeight="1" x14ac:dyDescent="0.25">
      <c r="A381" s="2" t="str">
        <f ca="1">IFERROR(__xludf.DUMMYFUNCTION("""COMPUTED_VALUE"""),"REA-B9952")</f>
        <v>REA-B9952</v>
      </c>
      <c r="B381" s="3">
        <f ca="1">IFERROR(__xludf.DUMMYFUNCTION("""COMPUTED_VALUE"""),44617)</f>
        <v>44617</v>
      </c>
      <c r="C381" s="3">
        <f ca="1">IFERROR(__xludf.DUMMYFUNCTION("""COMPUTED_VALUE"""),5902557369218)</f>
        <v>5902557369218</v>
      </c>
      <c r="D381" s="4" t="str">
        <f ca="1">IFERROR(__xludf.DUMMYFUNCTION("""COMPUTED_VALUE"""),"BATERIA UMYWALKOWA MY1906-21G SOUL ZŁOTA WYSOKA")</f>
        <v>BATERIA UMYWALKOWA MY1906-21G SOUL ZŁOTA WYSOKA</v>
      </c>
      <c r="E381" s="31">
        <v>107.39024390243904</v>
      </c>
      <c r="F381" s="31">
        <f t="shared" si="5"/>
        <v>132.09</v>
      </c>
    </row>
    <row r="382" spans="1:6" ht="18.75" customHeight="1" x14ac:dyDescent="0.25">
      <c r="A382" s="2" t="str">
        <f ca="1">IFERROR(__xludf.DUMMYFUNCTION("""COMPUTED_VALUE"""),"REA-B9994")</f>
        <v>REA-B9994</v>
      </c>
      <c r="B382" s="3">
        <f ca="1">IFERROR(__xludf.DUMMYFUNCTION("""COMPUTED_VALUE"""),44627)</f>
        <v>44627</v>
      </c>
      <c r="C382" s="3">
        <f ca="1">IFERROR(__xludf.DUMMYFUNCTION("""COMPUTED_VALUE"""),5902557369140)</f>
        <v>5902557369140</v>
      </c>
      <c r="D382" s="4" t="str">
        <f ca="1">IFERROR(__xludf.DUMMYFUNCTION("""COMPUTED_VALUE"""),"BATERIA UMYWALKOWA MY1906-2B SOUL CZARNA NISKA")</f>
        <v>BATERIA UMYWALKOWA MY1906-2B SOUL CZARNA NISKA</v>
      </c>
      <c r="E382" s="31">
        <v>55.951219512195124</v>
      </c>
      <c r="F382" s="31">
        <f t="shared" si="5"/>
        <v>68.820000000000007</v>
      </c>
    </row>
    <row r="383" spans="1:6" ht="18.75" customHeight="1" x14ac:dyDescent="0.25">
      <c r="A383" s="2" t="str">
        <f ca="1">IFERROR(__xludf.DUMMYFUNCTION("""COMPUTED_VALUE"""),"REA-B9990")</f>
        <v>REA-B9990</v>
      </c>
      <c r="B383" s="3">
        <f ca="1">IFERROR(__xludf.DUMMYFUNCTION("""COMPUTED_VALUE"""),44616)</f>
        <v>44616</v>
      </c>
      <c r="C383" s="3">
        <f ca="1">IFERROR(__xludf.DUMMYFUNCTION("""COMPUTED_VALUE"""),5902557369119)</f>
        <v>5902557369119</v>
      </c>
      <c r="D383" s="4" t="str">
        <f ca="1">IFERROR(__xludf.DUMMYFUNCTION("""COMPUTED_VALUE"""),"BATERIA UMYWALKOWA MY1906-2C SOUL CHROM NISKA")</f>
        <v>BATERIA UMYWALKOWA MY1906-2C SOUL CHROM NISKA</v>
      </c>
      <c r="E383" s="31">
        <v>55.951219512195124</v>
      </c>
      <c r="F383" s="31">
        <f t="shared" si="5"/>
        <v>68.820000000000007</v>
      </c>
    </row>
    <row r="384" spans="1:6" ht="18.75" customHeight="1" x14ac:dyDescent="0.25">
      <c r="A384" s="2" t="str">
        <f ca="1">IFERROR(__xludf.DUMMYFUNCTION("""COMPUTED_VALUE"""),"REA-B9999")</f>
        <v>REA-B9999</v>
      </c>
      <c r="B384" s="3">
        <f ca="1">IFERROR(__xludf.DUMMYFUNCTION("""COMPUTED_VALUE"""),44615)</f>
        <v>44615</v>
      </c>
      <c r="C384" s="3">
        <f ca="1">IFERROR(__xludf.DUMMYFUNCTION("""COMPUTED_VALUE"""),5902557369188)</f>
        <v>5902557369188</v>
      </c>
      <c r="D384" s="4" t="str">
        <f ca="1">IFERROR(__xludf.DUMMYFUNCTION("""COMPUTED_VALUE"""),"BATERIA UMYWALKOWA MY1906-2G SOUL ZŁOTA NISKA")</f>
        <v>BATERIA UMYWALKOWA MY1906-2G SOUL ZŁOTA NISKA</v>
      </c>
      <c r="E384" s="31">
        <v>66.780487804878049</v>
      </c>
      <c r="F384" s="31">
        <f t="shared" si="5"/>
        <v>82.14</v>
      </c>
    </row>
    <row r="385" spans="1:6" ht="18.75" customHeight="1" x14ac:dyDescent="0.25">
      <c r="A385" s="2" t="str">
        <f ca="1">IFERROR(__xludf.DUMMYFUNCTION("""COMPUTED_VALUE"""),"REA-B9959")</f>
        <v>REA-B9959</v>
      </c>
      <c r="B385" s="3">
        <f ca="1">IFERROR(__xludf.DUMMYFUNCTION("""COMPUTED_VALUE"""),44665)</f>
        <v>44665</v>
      </c>
      <c r="C385" s="3">
        <f ca="1">IFERROR(__xludf.DUMMYFUNCTION("""COMPUTED_VALUE"""),5902557369195)</f>
        <v>5902557369195</v>
      </c>
      <c r="D385" s="4" t="str">
        <f ca="1">IFERROR(__xludf.DUMMYFUNCTION("""COMPUTED_VALUE"""),"BATERIA UMYWALKOWA MY1906-2XG SOUL ZŁOTA 360° NISK")</f>
        <v>BATERIA UMYWALKOWA MY1906-2XG SOUL ZŁOTA 360° NISK</v>
      </c>
      <c r="E385" s="31">
        <v>74.902439024390262</v>
      </c>
      <c r="F385" s="31">
        <f t="shared" si="5"/>
        <v>92.130000000000024</v>
      </c>
    </row>
    <row r="386" spans="1:6" ht="18.75" customHeight="1" x14ac:dyDescent="0.25">
      <c r="A386" s="2" t="str">
        <f ca="1">IFERROR(__xludf.DUMMYFUNCTION("""COMPUTED_VALUE"""),"REA-B6211")</f>
        <v>REA-B6211</v>
      </c>
      <c r="B386" s="3">
        <f ca="1">IFERROR(__xludf.DUMMYFUNCTION("""COMPUTED_VALUE"""),44901)</f>
        <v>44901</v>
      </c>
      <c r="C386" s="3">
        <f ca="1">IFERROR(__xludf.DUMMYFUNCTION("""COMPUTED_VALUE"""),5902557373727)</f>
        <v>5902557373727</v>
      </c>
      <c r="D386" s="4" t="str">
        <f ca="1">IFERROR(__xludf.DUMMYFUNCTION("""COMPUTED_VALUE"""),"BATERIA UMYWALKOWA MY2021-21B ARGUS CZARNA WYSOKA")</f>
        <v>BATERIA UMYWALKOWA MY2021-21B ARGUS CZARNA WYSOKA</v>
      </c>
      <c r="E386" s="31">
        <v>61.365853658536594</v>
      </c>
      <c r="F386" s="31">
        <f t="shared" si="5"/>
        <v>75.48</v>
      </c>
    </row>
    <row r="387" spans="1:6" ht="18.75" customHeight="1" x14ac:dyDescent="0.25">
      <c r="A387" s="2" t="str">
        <f ca="1">IFERROR(__xludf.DUMMYFUNCTION("""COMPUTED_VALUE"""),"REA-B6209")</f>
        <v>REA-B6209</v>
      </c>
      <c r="B387" s="3">
        <f ca="1">IFERROR(__xludf.DUMMYFUNCTION("""COMPUTED_VALUE"""),44925)</f>
        <v>44925</v>
      </c>
      <c r="C387" s="3">
        <f ca="1">IFERROR(__xludf.DUMMYFUNCTION("""COMPUTED_VALUE"""),5902557373741)</f>
        <v>5902557373741</v>
      </c>
      <c r="D387" s="4" t="str">
        <f ca="1">IFERROR(__xludf.DUMMYFUNCTION("""COMPUTED_VALUE"""),"BATERIA UMYWALKOWA MY2021-21C ARGUS CHROM WYSOKA")</f>
        <v>BATERIA UMYWALKOWA MY2021-21C ARGUS CHROM WYSOKA</v>
      </c>
      <c r="E387" s="31">
        <v>60.463414634146346</v>
      </c>
      <c r="F387" s="31">
        <f t="shared" ref="F387:F450" si="6">E387*1.23</f>
        <v>74.37</v>
      </c>
    </row>
    <row r="388" spans="1:6" ht="18.75" customHeight="1" x14ac:dyDescent="0.25">
      <c r="A388" s="2" t="str">
        <f ca="1">IFERROR(__xludf.DUMMYFUNCTION("""COMPUTED_VALUE"""),"REA-B6210")</f>
        <v>REA-B6210</v>
      </c>
      <c r="B388" s="3">
        <f ca="1">IFERROR(__xludf.DUMMYFUNCTION("""COMPUTED_VALUE"""),44899)</f>
        <v>44899</v>
      </c>
      <c r="C388" s="3">
        <f ca="1">IFERROR(__xludf.DUMMYFUNCTION("""COMPUTED_VALUE"""),5902557373710)</f>
        <v>5902557373710</v>
      </c>
      <c r="D388" s="4" t="str">
        <f ca="1">IFERROR(__xludf.DUMMYFUNCTION("""COMPUTED_VALUE"""),"BATERIA UMYWALKOWA MY2021-2B ARGUS CZARNA NISKA")</f>
        <v>BATERIA UMYWALKOWA MY2021-2B ARGUS CZARNA NISKA</v>
      </c>
      <c r="E388" s="31">
        <v>48.73170731707318</v>
      </c>
      <c r="F388" s="31">
        <f t="shared" si="6"/>
        <v>59.940000000000012</v>
      </c>
    </row>
    <row r="389" spans="1:6" ht="18.75" customHeight="1" x14ac:dyDescent="0.25">
      <c r="A389" s="2" t="str">
        <f ca="1">IFERROR(__xludf.DUMMYFUNCTION("""COMPUTED_VALUE"""),"REA-B6208")</f>
        <v>REA-B6208</v>
      </c>
      <c r="B389" s="3">
        <f ca="1">IFERROR(__xludf.DUMMYFUNCTION("""COMPUTED_VALUE"""),44924)</f>
        <v>44924</v>
      </c>
      <c r="C389" s="3">
        <f ca="1">IFERROR(__xludf.DUMMYFUNCTION("""COMPUTED_VALUE"""),5902557373734)</f>
        <v>5902557373734</v>
      </c>
      <c r="D389" s="4" t="str">
        <f ca="1">IFERROR(__xludf.DUMMYFUNCTION("""COMPUTED_VALUE"""),"BATERIA UMYWALKOWA MY2021-2C ARGUS CHROM NISKA")</f>
        <v>BATERIA UMYWALKOWA MY2021-2C ARGUS CHROM NISKA</v>
      </c>
      <c r="E389" s="31">
        <v>41.512195121951223</v>
      </c>
      <c r="F389" s="31">
        <f t="shared" si="6"/>
        <v>51.06</v>
      </c>
    </row>
    <row r="390" spans="1:6" ht="18.75" customHeight="1" x14ac:dyDescent="0.25">
      <c r="A390" s="2" t="str">
        <f ca="1">IFERROR(__xludf.DUMMYFUNCTION("""COMPUTED_VALUE"""),"REA-B9966")</f>
        <v>REA-B9966</v>
      </c>
      <c r="B390" s="3">
        <f ca="1">IFERROR(__xludf.DUMMYFUNCTION("""COMPUTED_VALUE"""),44614)</f>
        <v>44614</v>
      </c>
      <c r="C390" s="3">
        <f ca="1">IFERROR(__xludf.DUMMYFUNCTION("""COMPUTED_VALUE"""),5902557369287)</f>
        <v>5902557369287</v>
      </c>
      <c r="D390" s="4" t="str">
        <f ca="1">IFERROR(__xludf.DUMMYFUNCTION("""COMPUTED_VALUE"""),"BATERIA UMYWALKOWA MY2061-21B HASS CZARNA WYSOKA")</f>
        <v>BATERIA UMYWALKOWA MY2061-21B HASS CZARNA WYSOKA</v>
      </c>
      <c r="E390" s="31">
        <v>85.731707317073173</v>
      </c>
      <c r="F390" s="31">
        <f t="shared" si="6"/>
        <v>105.45</v>
      </c>
    </row>
    <row r="391" spans="1:6" ht="18.75" customHeight="1" x14ac:dyDescent="0.25">
      <c r="A391" s="2" t="str">
        <f ca="1">IFERROR(__xludf.DUMMYFUNCTION("""COMPUTED_VALUE"""),"REA-B6207")</f>
        <v>REA-B6207</v>
      </c>
      <c r="B391" s="3">
        <f ca="1">IFERROR(__xludf.DUMMYFUNCTION("""COMPUTED_VALUE"""),44895)</f>
        <v>44895</v>
      </c>
      <c r="C391" s="3">
        <f ca="1">IFERROR(__xludf.DUMMYFUNCTION("""COMPUTED_VALUE"""),5902557373703)</f>
        <v>5902557373703</v>
      </c>
      <c r="D391" s="4" t="str">
        <f ca="1">IFERROR(__xludf.DUMMYFUNCTION("""COMPUTED_VALUE"""),"BATERIA UMYWALKOWA MY2061-21C HASS CHROM WYSOKA")</f>
        <v>BATERIA UMYWALKOWA MY2061-21C HASS CHROM WYSOKA</v>
      </c>
      <c r="E391" s="31">
        <v>85.731707317073173</v>
      </c>
      <c r="F391" s="31">
        <f t="shared" si="6"/>
        <v>105.45</v>
      </c>
    </row>
    <row r="392" spans="1:6" ht="18.75" customHeight="1" x14ac:dyDescent="0.25">
      <c r="A392" s="2" t="str">
        <f ca="1">IFERROR(__xludf.DUMMYFUNCTION("""COMPUTED_VALUE"""),"REA-B9964")</f>
        <v>REA-B9964</v>
      </c>
      <c r="B392" s="3">
        <f ca="1">IFERROR(__xludf.DUMMYFUNCTION("""COMPUTED_VALUE"""),44613)</f>
        <v>44613</v>
      </c>
      <c r="C392" s="3">
        <f ca="1">IFERROR(__xludf.DUMMYFUNCTION("""COMPUTED_VALUE"""),5902557369263)</f>
        <v>5902557369263</v>
      </c>
      <c r="D392" s="4" t="str">
        <f ca="1">IFERROR(__xludf.DUMMYFUNCTION("""COMPUTED_VALUE"""),"BATERIA UMYWALKOWA MY2061-2B HASS CZARNA NISKA")</f>
        <v>BATERIA UMYWALKOWA MY2061-2B HASS CZARNA NISKA</v>
      </c>
      <c r="E392" s="31">
        <v>59.560975609756099</v>
      </c>
      <c r="F392" s="31">
        <f t="shared" si="6"/>
        <v>73.260000000000005</v>
      </c>
    </row>
    <row r="393" spans="1:6" ht="18.75" customHeight="1" x14ac:dyDescent="0.25">
      <c r="A393" s="2" t="str">
        <f ca="1">IFERROR(__xludf.DUMMYFUNCTION("""COMPUTED_VALUE"""),"REA-B6206")</f>
        <v>REA-B6206</v>
      </c>
      <c r="B393" s="3">
        <f ca="1">IFERROR(__xludf.DUMMYFUNCTION("""COMPUTED_VALUE"""),44896)</f>
        <v>44896</v>
      </c>
      <c r="C393" s="3">
        <f ca="1">IFERROR(__xludf.DUMMYFUNCTION("""COMPUTED_VALUE"""),5902557373697)</f>
        <v>5902557373697</v>
      </c>
      <c r="D393" s="4" t="str">
        <f ca="1">IFERROR(__xludf.DUMMYFUNCTION("""COMPUTED_VALUE"""),"BATERIA UMYWALKOWA MY2061-2C HASS CHROM NISKA")</f>
        <v>BATERIA UMYWALKOWA MY2061-2C HASS CHROM NISKA</v>
      </c>
      <c r="E393" s="31">
        <v>59.560975609756099</v>
      </c>
      <c r="F393" s="31">
        <f t="shared" si="6"/>
        <v>73.260000000000005</v>
      </c>
    </row>
    <row r="394" spans="1:6" ht="18.75" customHeight="1" x14ac:dyDescent="0.25">
      <c r="A394" s="2" t="str">
        <f ca="1">IFERROR(__xludf.DUMMYFUNCTION("""COMPUTED_VALUE"""),"REA-B7777")</f>
        <v>REA-B7777</v>
      </c>
      <c r="B394" s="3">
        <f ca="1">IFERROR(__xludf.DUMMYFUNCTION("""COMPUTED_VALUE"""),44824)</f>
        <v>44824</v>
      </c>
      <c r="C394" s="3">
        <f ca="1">IFERROR(__xludf.DUMMYFUNCTION("""COMPUTED_VALUE"""),5902557369560)</f>
        <v>5902557369560</v>
      </c>
      <c r="D394" s="4" t="str">
        <f ca="1">IFERROR(__xludf.DUMMYFUNCTION("""COMPUTED_VALUE"""),"BATERIA UMYWALKOWA ORIX CHROM NISKA")</f>
        <v>BATERIA UMYWALKOWA ORIX CHROM NISKA</v>
      </c>
      <c r="E394" s="31">
        <v>58.658536585365859</v>
      </c>
      <c r="F394" s="31">
        <f t="shared" si="6"/>
        <v>72.150000000000006</v>
      </c>
    </row>
    <row r="395" spans="1:6" ht="18.75" customHeight="1" x14ac:dyDescent="0.25">
      <c r="A395" s="2" t="str">
        <f ca="1">IFERROR(__xludf.DUMMYFUNCTION("""COMPUTED_VALUE"""),"REA-B7778")</f>
        <v>REA-B7778</v>
      </c>
      <c r="B395" s="3">
        <f ca="1">IFERROR(__xludf.DUMMYFUNCTION("""COMPUTED_VALUE"""),44822)</f>
        <v>44822</v>
      </c>
      <c r="C395" s="3">
        <f ca="1">IFERROR(__xludf.DUMMYFUNCTION("""COMPUTED_VALUE"""),5902557369591)</f>
        <v>5902557369591</v>
      </c>
      <c r="D395" s="4" t="str">
        <f ca="1">IFERROR(__xludf.DUMMYFUNCTION("""COMPUTED_VALUE"""),"BATERIA UMYWALKOWA ORIX CHROM WYSOKA")</f>
        <v>BATERIA UMYWALKOWA ORIX CHROM WYSOKA</v>
      </c>
      <c r="E395" s="31">
        <v>80.317073170731717</v>
      </c>
      <c r="F395" s="31">
        <f t="shared" si="6"/>
        <v>98.79</v>
      </c>
    </row>
    <row r="396" spans="1:6" ht="18.75" customHeight="1" x14ac:dyDescent="0.25">
      <c r="A396" s="2" t="str">
        <f ca="1">IFERROR(__xludf.DUMMYFUNCTION("""COMPUTED_VALUE"""),"REA-B5642")</f>
        <v>REA-B5642</v>
      </c>
      <c r="B396" s="3">
        <f ca="1">IFERROR(__xludf.DUMMYFUNCTION("""COMPUTED_VALUE"""),44933)</f>
        <v>44933</v>
      </c>
      <c r="C396" s="3">
        <f ca="1">IFERROR(__xludf.DUMMYFUNCTION("""COMPUTED_VALUE"""),5902557369577)</f>
        <v>5902557369577</v>
      </c>
      <c r="D396" s="4" t="str">
        <f ca="1">IFERROR(__xludf.DUMMYFUNCTION("""COMPUTED_VALUE"""),"BATERIA UMYWALKOWA ORIX CZARNA NISKA")</f>
        <v>BATERIA UMYWALKOWA ORIX CZARNA NISKA</v>
      </c>
      <c r="E396" s="31">
        <v>62.268292682926841</v>
      </c>
      <c r="F396" s="31">
        <f t="shared" si="6"/>
        <v>76.590000000000018</v>
      </c>
    </row>
    <row r="397" spans="1:6" ht="18.75" customHeight="1" x14ac:dyDescent="0.25">
      <c r="A397" s="2" t="str">
        <f ca="1">IFERROR(__xludf.DUMMYFUNCTION("""COMPUTED_VALUE"""),"REA-B8467")</f>
        <v>REA-B8467</v>
      </c>
      <c r="B397" s="3">
        <f ca="1">IFERROR(__xludf.DUMMYFUNCTION("""COMPUTED_VALUE"""),44869)</f>
        <v>44869</v>
      </c>
      <c r="C397" s="3">
        <f ca="1">IFERROR(__xludf.DUMMYFUNCTION("""COMPUTED_VALUE"""),5902557369607)</f>
        <v>5902557369607</v>
      </c>
      <c r="D397" s="4" t="str">
        <f ca="1">IFERROR(__xludf.DUMMYFUNCTION("""COMPUTED_VALUE"""),"BATERIA UMYWALKOWA ORIX CZARNA WYSOKA")</f>
        <v>BATERIA UMYWALKOWA ORIX CZARNA WYSOKA</v>
      </c>
      <c r="E397" s="31">
        <v>83.024390243902445</v>
      </c>
      <c r="F397" s="31">
        <f t="shared" si="6"/>
        <v>102.12</v>
      </c>
    </row>
    <row r="398" spans="1:6" ht="18.75" customHeight="1" x14ac:dyDescent="0.25">
      <c r="A398" s="2" t="str">
        <f ca="1">IFERROR(__xludf.DUMMYFUNCTION("""COMPUTED_VALUE"""),"REA-B6163")</f>
        <v>REA-B6163</v>
      </c>
      <c r="B398" s="3">
        <f ca="1">IFERROR(__xludf.DUMMYFUNCTION("""COMPUTED_VALUE"""),44866)</f>
        <v>44866</v>
      </c>
      <c r="C398" s="3">
        <f ca="1">IFERROR(__xludf.DUMMYFUNCTION("""COMPUTED_VALUE"""),5902557369584)</f>
        <v>5902557369584</v>
      </c>
      <c r="D398" s="4" t="str">
        <f ca="1">IFERROR(__xludf.DUMMYFUNCTION("""COMPUTED_VALUE"""),"BATERIA UMYWALKOWA ORIX ZŁOTA NISKA")</f>
        <v>BATERIA UMYWALKOWA ORIX ZŁOTA NISKA</v>
      </c>
      <c r="E398" s="31">
        <v>67.682926829268297</v>
      </c>
      <c r="F398" s="31">
        <f t="shared" si="6"/>
        <v>83.25</v>
      </c>
    </row>
    <row r="399" spans="1:6" ht="18.75" customHeight="1" x14ac:dyDescent="0.25">
      <c r="A399" s="2" t="str">
        <f ca="1">IFERROR(__xludf.DUMMYFUNCTION("""COMPUTED_VALUE"""),"REA-B7779")</f>
        <v>REA-B7779</v>
      </c>
      <c r="B399" s="3">
        <f ca="1">IFERROR(__xludf.DUMMYFUNCTION("""COMPUTED_VALUE"""),44821)</f>
        <v>44821</v>
      </c>
      <c r="C399" s="3">
        <f ca="1">IFERROR(__xludf.DUMMYFUNCTION("""COMPUTED_VALUE"""),5902557369614)</f>
        <v>5902557369614</v>
      </c>
      <c r="D399" s="4" t="str">
        <f ca="1">IFERROR(__xludf.DUMMYFUNCTION("""COMPUTED_VALUE"""),"BATERIA UMYWALKOWA ORIX ZŁOTA WYSOKA")</f>
        <v>BATERIA UMYWALKOWA ORIX ZŁOTA WYSOKA</v>
      </c>
      <c r="E399" s="31">
        <v>95.658536585365866</v>
      </c>
      <c r="F399" s="31">
        <f t="shared" si="6"/>
        <v>117.66000000000001</v>
      </c>
    </row>
    <row r="400" spans="1:6" ht="18.75" customHeight="1" x14ac:dyDescent="0.25">
      <c r="A400" s="2" t="str">
        <f ca="1">IFERROR(__xludf.DUMMYFUNCTION("""COMPUTED_VALUE"""),"REA-B6514")</f>
        <v>REA-B6514</v>
      </c>
      <c r="B400" s="3">
        <f ca="1">IFERROR(__xludf.DUMMYFUNCTION("""COMPUTED_VALUE"""),44913)</f>
        <v>44913</v>
      </c>
      <c r="C400" s="3">
        <f ca="1">IFERROR(__xludf.DUMMYFUNCTION("""COMPUTED_VALUE"""),5902557369829)</f>
        <v>5902557369829</v>
      </c>
      <c r="D400" s="4" t="str">
        <f ca="1">IFERROR(__xludf.DUMMYFUNCTION("""COMPUTED_VALUE"""),"BATERIA UMYWALKOWA OVAL CHROM NISKA")</f>
        <v>BATERIA UMYWALKOWA OVAL CHROM NISKA</v>
      </c>
      <c r="E400" s="31">
        <v>52.341463414634156</v>
      </c>
      <c r="F400" s="31">
        <f t="shared" si="6"/>
        <v>64.38000000000001</v>
      </c>
    </row>
    <row r="401" spans="1:6" ht="18.75" customHeight="1" x14ac:dyDescent="0.25">
      <c r="A401" s="2" t="str">
        <f ca="1">IFERROR(__xludf.DUMMYFUNCTION("""COMPUTED_VALUE"""),"REA-B6510")</f>
        <v>REA-B6510</v>
      </c>
      <c r="B401" s="3">
        <f ca="1">IFERROR(__xludf.DUMMYFUNCTION("""COMPUTED_VALUE"""),44914)</f>
        <v>44914</v>
      </c>
      <c r="C401" s="3">
        <f ca="1">IFERROR(__xludf.DUMMYFUNCTION("""COMPUTED_VALUE"""),5902557369799)</f>
        <v>5902557369799</v>
      </c>
      <c r="D401" s="4" t="str">
        <f ca="1">IFERROR(__xludf.DUMMYFUNCTION("""COMPUTED_VALUE"""),"BATERIA UMYWALKOWA OVAL CHROM WYSOKA")</f>
        <v>BATERIA UMYWALKOWA OVAL CHROM WYSOKA</v>
      </c>
      <c r="E401" s="31">
        <v>57.756097560975611</v>
      </c>
      <c r="F401" s="31">
        <f t="shared" si="6"/>
        <v>71.040000000000006</v>
      </c>
    </row>
    <row r="402" spans="1:6" ht="18.75" customHeight="1" x14ac:dyDescent="0.25">
      <c r="A402" s="2" t="str">
        <f ca="1">IFERROR(__xludf.DUMMYFUNCTION("""COMPUTED_VALUE"""),"REA-B6516")</f>
        <v>REA-B6516</v>
      </c>
      <c r="B402" s="3">
        <f ca="1">IFERROR(__xludf.DUMMYFUNCTION("""COMPUTED_VALUE"""),44906)</f>
        <v>44906</v>
      </c>
      <c r="C402" s="3">
        <f ca="1">IFERROR(__xludf.DUMMYFUNCTION("""COMPUTED_VALUE"""),5902557369836)</f>
        <v>5902557369836</v>
      </c>
      <c r="D402" s="4" t="str">
        <f ca="1">IFERROR(__xludf.DUMMYFUNCTION("""COMPUTED_VALUE"""),"BATERIA UMYWALKOWA OVAL CZARNA NISKA")</f>
        <v>BATERIA UMYWALKOWA OVAL CZARNA NISKA</v>
      </c>
      <c r="E402" s="31">
        <v>54.146341463414643</v>
      </c>
      <c r="F402" s="31">
        <f t="shared" si="6"/>
        <v>66.600000000000009</v>
      </c>
    </row>
    <row r="403" spans="1:6" ht="18.75" customHeight="1" x14ac:dyDescent="0.25">
      <c r="A403" s="2" t="str">
        <f ca="1">IFERROR(__xludf.DUMMYFUNCTION("""COMPUTED_VALUE"""),"REA-B6511")</f>
        <v>REA-B6511</v>
      </c>
      <c r="B403" s="3">
        <f ca="1">IFERROR(__xludf.DUMMYFUNCTION("""COMPUTED_VALUE"""),44905)</f>
        <v>44905</v>
      </c>
      <c r="C403" s="3">
        <f ca="1">IFERROR(__xludf.DUMMYFUNCTION("""COMPUTED_VALUE"""),5902557369805)</f>
        <v>5902557369805</v>
      </c>
      <c r="D403" s="4" t="str">
        <f ca="1">IFERROR(__xludf.DUMMYFUNCTION("""COMPUTED_VALUE"""),"BATERIA UMYWALKOWA OVAL CZARNA WYSOKA")</f>
        <v>BATERIA UMYWALKOWA OVAL CZARNA WYSOKA</v>
      </c>
      <c r="E403" s="31">
        <v>60.463414634146346</v>
      </c>
      <c r="F403" s="31">
        <f t="shared" si="6"/>
        <v>74.37</v>
      </c>
    </row>
    <row r="404" spans="1:6" ht="18.75" customHeight="1" x14ac:dyDescent="0.25">
      <c r="A404" s="2" t="str">
        <f ca="1">IFERROR(__xludf.DUMMYFUNCTION("""COMPUTED_VALUE"""),"REA-B6515")</f>
        <v>REA-B6515</v>
      </c>
      <c r="B404" s="3">
        <f ca="1">IFERROR(__xludf.DUMMYFUNCTION("""COMPUTED_VALUE"""),44909)</f>
        <v>44909</v>
      </c>
      <c r="C404" s="3">
        <f ca="1">IFERROR(__xludf.DUMMYFUNCTION("""COMPUTED_VALUE"""),5902557369843)</f>
        <v>5902557369843</v>
      </c>
      <c r="D404" s="4" t="str">
        <f ca="1">IFERROR(__xludf.DUMMYFUNCTION("""COMPUTED_VALUE"""),"BATERIA UMYWALKOWA OVAL ZŁOTA NISKA")</f>
        <v>BATERIA UMYWALKOWA OVAL ZŁOTA NISKA</v>
      </c>
      <c r="E404" s="31">
        <v>57.756097560975611</v>
      </c>
      <c r="F404" s="31">
        <f t="shared" si="6"/>
        <v>71.040000000000006</v>
      </c>
    </row>
    <row r="405" spans="1:6" ht="18.75" customHeight="1" x14ac:dyDescent="0.25">
      <c r="A405" s="2" t="str">
        <f ca="1">IFERROR(__xludf.DUMMYFUNCTION("""COMPUTED_VALUE"""),"REA-B6513")</f>
        <v>REA-B6513</v>
      </c>
      <c r="B405" s="3">
        <f ca="1">IFERROR(__xludf.DUMMYFUNCTION("""COMPUTED_VALUE"""),44908)</f>
        <v>44908</v>
      </c>
      <c r="C405" s="3">
        <f ca="1">IFERROR(__xludf.DUMMYFUNCTION("""COMPUTED_VALUE"""),5902557369812)</f>
        <v>5902557369812</v>
      </c>
      <c r="D405" s="4" t="str">
        <f ca="1">IFERROR(__xludf.DUMMYFUNCTION("""COMPUTED_VALUE"""),"BATERIA UMYWALKOWA OVAL ZŁOTA WYSOKA")</f>
        <v>BATERIA UMYWALKOWA OVAL ZŁOTA WYSOKA</v>
      </c>
      <c r="E405" s="31">
        <v>64.073170731707322</v>
      </c>
      <c r="F405" s="31">
        <f t="shared" si="6"/>
        <v>78.81</v>
      </c>
    </row>
    <row r="406" spans="1:6" ht="18.75" customHeight="1" x14ac:dyDescent="0.25">
      <c r="A406" s="2" t="str">
        <f ca="1">IFERROR(__xludf.DUMMYFUNCTION("""COMPUTED_VALUE"""),"REA-B4812")</f>
        <v>REA-B4812</v>
      </c>
      <c r="B406" s="3">
        <f ca="1">IFERROR(__xludf.DUMMYFUNCTION("""COMPUTED_VALUE"""),48876)</f>
        <v>48876</v>
      </c>
      <c r="C406" s="3">
        <f ca="1">IFERROR(__xludf.DUMMYFUNCTION("""COMPUTED_VALUE"""),5902557375226)</f>
        <v>5902557375226</v>
      </c>
      <c r="D406" s="4" t="str">
        <f ca="1">IFERROR(__xludf.DUMMYFUNCTION("""COMPUTED_VALUE"""),"BATERIA UMYWALKOWA PARKER NIKIEL SZCZOTKOWA WYSOKA")</f>
        <v>BATERIA UMYWALKOWA PARKER NIKIEL SZCZOTKOWA WYSOKA</v>
      </c>
      <c r="E406" s="31">
        <v>99.268292682926841</v>
      </c>
      <c r="F406" s="31">
        <f t="shared" si="6"/>
        <v>122.10000000000001</v>
      </c>
    </row>
    <row r="407" spans="1:6" ht="18.75" customHeight="1" x14ac:dyDescent="0.25">
      <c r="A407" s="2" t="str">
        <f ca="1">IFERROR(__xludf.DUMMYFUNCTION("""COMPUTED_VALUE"""),"REA-B4811")</f>
        <v>REA-B4811</v>
      </c>
      <c r="B407" s="3">
        <f ca="1">IFERROR(__xludf.DUMMYFUNCTION("""COMPUTED_VALUE"""),48732)</f>
        <v>48732</v>
      </c>
      <c r="C407" s="3">
        <f ca="1">IFERROR(__xludf.DUMMYFUNCTION("""COMPUTED_VALUE"""),5902557375196)</f>
        <v>5902557375196</v>
      </c>
      <c r="D407" s="4" t="str">
        <f ca="1">IFERROR(__xludf.DUMMYFUNCTION("""COMPUTED_VALUE"""),"BATERIA UMYWALKOWA PARKER NIKIEL SZCZOTKOWAN NISKA")</f>
        <v>BATERIA UMYWALKOWA PARKER NIKIEL SZCZOTKOWAN NISKA</v>
      </c>
      <c r="E407" s="31">
        <v>78.512195121951223</v>
      </c>
      <c r="F407" s="31">
        <f t="shared" si="6"/>
        <v>96.570000000000007</v>
      </c>
    </row>
    <row r="408" spans="1:6" ht="18.75" customHeight="1" x14ac:dyDescent="0.25">
      <c r="A408" s="2" t="str">
        <f ca="1">IFERROR(__xludf.DUMMYFUNCTION("""COMPUTED_VALUE"""),"REA-B4809")</f>
        <v>REA-B4809</v>
      </c>
      <c r="B408" s="3">
        <f ca="1">IFERROR(__xludf.DUMMYFUNCTION("""COMPUTED_VALUE"""),48731)</f>
        <v>48731</v>
      </c>
      <c r="C408" s="3">
        <f ca="1">IFERROR(__xludf.DUMMYFUNCTION("""COMPUTED_VALUE"""),5902557375202)</f>
        <v>5902557375202</v>
      </c>
      <c r="D408" s="4" t="str">
        <f ca="1">IFERROR(__xludf.DUMMYFUNCTION("""COMPUTED_VALUE"""),"BATERIA UMYWALKOWA PARKER ZŁOTA SZCZOTKOW NISKA")</f>
        <v>BATERIA UMYWALKOWA PARKER ZŁOTA SZCZOTKOW NISKA</v>
      </c>
      <c r="E408" s="31">
        <v>76.707317073170742</v>
      </c>
      <c r="F408" s="31">
        <f t="shared" si="6"/>
        <v>94.350000000000009</v>
      </c>
    </row>
    <row r="409" spans="1:6" ht="18.75" customHeight="1" x14ac:dyDescent="0.25">
      <c r="A409" s="2" t="str">
        <f ca="1">IFERROR(__xludf.DUMMYFUNCTION("""COMPUTED_VALUE"""),"REA-B4810")</f>
        <v>REA-B4810</v>
      </c>
      <c r="B409" s="3">
        <f ca="1">IFERROR(__xludf.DUMMYFUNCTION("""COMPUTED_VALUE"""),48877)</f>
        <v>48877</v>
      </c>
      <c r="C409" s="3">
        <f ca="1">IFERROR(__xludf.DUMMYFUNCTION("""COMPUTED_VALUE"""),5902557375219)</f>
        <v>5902557375219</v>
      </c>
      <c r="D409" s="4" t="str">
        <f ca="1">IFERROR(__xludf.DUMMYFUNCTION("""COMPUTED_VALUE"""),"BATERIA UMYWALKOWA PARKER ZŁOTA SZCZOTKOW WYSOKA")</f>
        <v>BATERIA UMYWALKOWA PARKER ZŁOTA SZCZOTKOW WYSOKA</v>
      </c>
      <c r="E409" s="31">
        <v>101.07317073170734</v>
      </c>
      <c r="F409" s="31">
        <f t="shared" si="6"/>
        <v>124.32000000000002</v>
      </c>
    </row>
    <row r="410" spans="1:6" ht="18.75" customHeight="1" x14ac:dyDescent="0.25">
      <c r="A410" s="2" t="str">
        <f ca="1">IFERROR(__xludf.DUMMYFUNCTION("""COMPUTED_VALUE"""),"REA-B4891")</f>
        <v>REA-B4891</v>
      </c>
      <c r="B410" s="3">
        <f ca="1">IFERROR(__xludf.DUMMYFUNCTION("""COMPUTED_VALUE"""),29777)</f>
        <v>29777</v>
      </c>
      <c r="C410" s="3">
        <f ca="1">IFERROR(__xludf.DUMMYFUNCTION("""COMPUTED_VALUE"""),5902557339037)</f>
        <v>5902557339037</v>
      </c>
      <c r="D410" s="4" t="str">
        <f ca="1">IFERROR(__xludf.DUMMYFUNCTION("""COMPUTED_VALUE"""),"BATERIA UMYWALKOWA PODŁOGOWA LUNGO ORTIS CZARNA")</f>
        <v>BATERIA UMYWALKOWA PODŁOGOWA LUNGO ORTIS CZARNA</v>
      </c>
      <c r="E410" s="31">
        <v>119.1219512195122</v>
      </c>
      <c r="F410" s="31">
        <f t="shared" si="6"/>
        <v>146.52000000000001</v>
      </c>
    </row>
    <row r="411" spans="1:6" ht="18.75" customHeight="1" x14ac:dyDescent="0.25">
      <c r="A411" s="2" t="str">
        <f ca="1">IFERROR(__xludf.DUMMYFUNCTION("""COMPUTED_VALUE"""),"REA-B4890")</f>
        <v>REA-B4890</v>
      </c>
      <c r="B411" s="3">
        <f ca="1">IFERROR(__xludf.DUMMYFUNCTION("""COMPUTED_VALUE"""),29340)</f>
        <v>29340</v>
      </c>
      <c r="C411" s="3">
        <f ca="1">IFERROR(__xludf.DUMMYFUNCTION("""COMPUTED_VALUE"""),5902557339020)</f>
        <v>5902557339020</v>
      </c>
      <c r="D411" s="4" t="str">
        <f ca="1">IFERROR(__xludf.DUMMYFUNCTION("""COMPUTED_VALUE"""),"BATERIA UMYWALKOWA PODŁOGOWA LUNGO ORTIS ZŁOTA")</f>
        <v>BATERIA UMYWALKOWA PODŁOGOWA LUNGO ORTIS ZŁOTA</v>
      </c>
      <c r="E411" s="31">
        <v>174.17073170731709</v>
      </c>
      <c r="F411" s="31">
        <f t="shared" si="6"/>
        <v>214.23000000000002</v>
      </c>
    </row>
    <row r="412" spans="1:6" ht="18.75" customHeight="1" x14ac:dyDescent="0.25">
      <c r="A412" s="2" t="str">
        <f ca="1">IFERROR(__xludf.DUMMYFUNCTION("""COMPUTED_VALUE"""),"REA-B4600")</f>
        <v>REA-B4600</v>
      </c>
      <c r="B412" s="3">
        <f ca="1">IFERROR(__xludf.DUMMYFUNCTION("""COMPUTED_VALUE"""),53855)</f>
        <v>53855</v>
      </c>
      <c r="C412" s="3">
        <f ca="1">IFERROR(__xludf.DUMMYFUNCTION("""COMPUTED_VALUE"""),5906366006715)</f>
        <v>5906366006715</v>
      </c>
      <c r="D412" s="4" t="str">
        <f ca="1">IFERROR(__xludf.DUMMYFUNCTION("""COMPUTED_VALUE"""),"BATERIA UMYWALKOWA PODTYN LUNGO MIEDŹ SZCZOT + BOX")</f>
        <v>BATERIA UMYWALKOWA PODTYN LUNGO MIEDŹ SZCZOT + BOX</v>
      </c>
      <c r="E412" s="31">
        <v>103.78048780487806</v>
      </c>
      <c r="F412" s="31">
        <f t="shared" si="6"/>
        <v>127.65000000000002</v>
      </c>
    </row>
    <row r="413" spans="1:6" ht="18.75" customHeight="1" x14ac:dyDescent="0.25">
      <c r="A413" s="2" t="str">
        <f ca="1">IFERROR(__xludf.DUMMYFUNCTION("""COMPUTED_VALUE"""),"REA-B8548")</f>
        <v>REA-B8548</v>
      </c>
      <c r="B413" s="3">
        <f ca="1">IFERROR(__xludf.DUMMYFUNCTION("""COMPUTED_VALUE"""),26219)</f>
        <v>26219</v>
      </c>
      <c r="C413" s="3">
        <f ca="1">IFERROR(__xludf.DUMMYFUNCTION("""COMPUTED_VALUE"""),5902557341580)</f>
        <v>5902557341580</v>
      </c>
      <c r="D413" s="4" t="str">
        <f ca="1">IFERROR(__xludf.DUMMYFUNCTION("""COMPUTED_VALUE"""),"BATERIA UMYWALKOWA PODTYN LUNGO RÓŻOWE ZŁOTO + BOX")</f>
        <v>BATERIA UMYWALKOWA PODTYN LUNGO RÓŻOWE ZŁOTO + BOX</v>
      </c>
      <c r="E413" s="31">
        <v>102.87804878048782</v>
      </c>
      <c r="F413" s="31">
        <f t="shared" si="6"/>
        <v>126.54</v>
      </c>
    </row>
    <row r="414" spans="1:6" ht="18.75" customHeight="1" x14ac:dyDescent="0.25">
      <c r="A414" s="2" t="str">
        <f ca="1">IFERROR(__xludf.DUMMYFUNCTION("""COMPUTED_VALUE"""),"REA-B8652")</f>
        <v>REA-B8652</v>
      </c>
      <c r="B414" s="3">
        <f ca="1">IFERROR(__xludf.DUMMYFUNCTION("""COMPUTED_VALUE"""),44917)</f>
        <v>44917</v>
      </c>
      <c r="C414" s="3">
        <f ca="1">IFERROR(__xludf.DUMMYFUNCTION("""COMPUTED_VALUE"""),5902557369959)</f>
        <v>5902557369959</v>
      </c>
      <c r="D414" s="4" t="str">
        <f ca="1">IFERROR(__xludf.DUMMYFUNCTION("""COMPUTED_VALUE"""),"BATERIA UMYWALKOWA PODTYN LUNGO ZŁOTA SZCZOT + BOX")</f>
        <v>BATERIA UMYWALKOWA PODTYN LUNGO ZŁOTA SZCZOT + BOX</v>
      </c>
      <c r="E414" s="31">
        <v>103.78048780487806</v>
      </c>
      <c r="F414" s="31">
        <f t="shared" si="6"/>
        <v>127.65000000000002</v>
      </c>
    </row>
    <row r="415" spans="1:6" ht="18.75" customHeight="1" x14ac:dyDescent="0.25">
      <c r="A415" s="2" t="str">
        <f ca="1">IFERROR(__xludf.DUMMYFUNCTION("""COMPUTED_VALUE"""),"REA-B0371")</f>
        <v>REA-B0371</v>
      </c>
      <c r="B415" s="3">
        <f ca="1">IFERROR(__xludf.DUMMYFUNCTION("""COMPUTED_VALUE"""),46448)</f>
        <v>46448</v>
      </c>
      <c r="C415" s="3">
        <f ca="1">IFERROR(__xludf.DUMMYFUNCTION("""COMPUTED_VALUE"""),5902557376001)</f>
        <v>5902557376001</v>
      </c>
      <c r="D415" s="4" t="str">
        <f ca="1">IFERROR(__xludf.DUMMYFUNCTION("""COMPUTED_VALUE"""),"BATERIA UMYWALKOWA PODTYNK LUNGO LONG CZARNA + BOX")</f>
        <v>BATERIA UMYWALKOWA PODTYNK LUNGO LONG CZARNA + BOX</v>
      </c>
      <c r="E415" s="31">
        <v>100.17073170731709</v>
      </c>
      <c r="F415" s="31">
        <f t="shared" si="6"/>
        <v>123.21000000000002</v>
      </c>
    </row>
    <row r="416" spans="1:6" ht="18.75" customHeight="1" x14ac:dyDescent="0.25">
      <c r="A416" s="2" t="str">
        <f ca="1">IFERROR(__xludf.DUMMYFUNCTION("""COMPUTED_VALUE"""),"REA-B0369")</f>
        <v>REA-B0369</v>
      </c>
      <c r="B416" s="3">
        <f ca="1">IFERROR(__xludf.DUMMYFUNCTION("""COMPUTED_VALUE"""),46449)</f>
        <v>46449</v>
      </c>
      <c r="C416" s="3">
        <f ca="1">IFERROR(__xludf.DUMMYFUNCTION("""COMPUTED_VALUE"""),5902557375981)</f>
        <v>5902557375981</v>
      </c>
      <c r="D416" s="4" t="str">
        <f ca="1">IFERROR(__xludf.DUMMYFUNCTION("""COMPUTED_VALUE"""),"BATERIA UMYWALKOWA PODTYNKO LUNGO LONG CHROM + BOX")</f>
        <v>BATERIA UMYWALKOWA PODTYNKO LUNGO LONG CHROM + BOX</v>
      </c>
      <c r="E416" s="31">
        <v>93.853658536585371</v>
      </c>
      <c r="F416" s="31">
        <f t="shared" si="6"/>
        <v>115.44</v>
      </c>
    </row>
    <row r="417" spans="1:6" ht="18.75" customHeight="1" x14ac:dyDescent="0.25">
      <c r="A417" s="2" t="str">
        <f ca="1">IFERROR(__xludf.DUMMYFUNCTION("""COMPUTED_VALUE"""),"REA-B0370")</f>
        <v>REA-B0370</v>
      </c>
      <c r="B417" s="3">
        <f ca="1">IFERROR(__xludf.DUMMYFUNCTION("""COMPUTED_VALUE"""),46450)</f>
        <v>46450</v>
      </c>
      <c r="C417" s="3">
        <f ca="1">IFERROR(__xludf.DUMMYFUNCTION("""COMPUTED_VALUE"""),5902557375998)</f>
        <v>5902557375998</v>
      </c>
      <c r="D417" s="4" t="str">
        <f ca="1">IFERROR(__xludf.DUMMYFUNCTION("""COMPUTED_VALUE"""),"BATERIA UMYWALKOWA PODTYNKO LUNGO LONG ZŁOTA + BOX")</f>
        <v>BATERIA UMYWALKOWA PODTYNKO LUNGO LONG ZŁOTA + BOX</v>
      </c>
      <c r="E417" s="31">
        <v>105.58536585365854</v>
      </c>
      <c r="F417" s="31">
        <f t="shared" si="6"/>
        <v>129.87</v>
      </c>
    </row>
    <row r="418" spans="1:6" ht="18.75" customHeight="1" x14ac:dyDescent="0.25">
      <c r="A418" s="2" t="str">
        <f ca="1">IFERROR(__xludf.DUMMYFUNCTION("""COMPUTED_VALUE"""),"REA-B8000")</f>
        <v>REA-B8000</v>
      </c>
      <c r="B418" s="3">
        <f ca="1">IFERROR(__xludf.DUMMYFUNCTION("""COMPUTED_VALUE"""),30274)</f>
        <v>30274</v>
      </c>
      <c r="C418" s="3">
        <f ca="1">IFERROR(__xludf.DUMMYFUNCTION("""COMPUTED_VALUE"""),5902557338580)</f>
        <v>5902557338580</v>
      </c>
      <c r="D418" s="4" t="str">
        <f ca="1">IFERROR(__xludf.DUMMYFUNCTION("""COMPUTED_VALUE"""),"BATERIA UMYWALKOWA PODTYNKOWA EXIT CZARNA + BOX")</f>
        <v>BATERIA UMYWALKOWA PODTYNKOWA EXIT CZARNA + BOX</v>
      </c>
      <c r="E418" s="31">
        <v>105.58536585365854</v>
      </c>
      <c r="F418" s="31">
        <f t="shared" si="6"/>
        <v>129.87</v>
      </c>
    </row>
    <row r="419" spans="1:6" ht="18.75" customHeight="1" x14ac:dyDescent="0.25">
      <c r="A419" s="2" t="str">
        <f ca="1">IFERROR(__xludf.DUMMYFUNCTION("""COMPUTED_VALUE"""),"REA-B5331")</f>
        <v>REA-B5331</v>
      </c>
      <c r="B419" s="3">
        <f ca="1">IFERROR(__xludf.DUMMYFUNCTION("""COMPUTED_VALUE"""),51200)</f>
        <v>51200</v>
      </c>
      <c r="C419" s="3">
        <f ca="1">IFERROR(__xludf.DUMMYFUNCTION("""COMPUTED_VALUE"""),5902557391622)</f>
        <v>5902557391622</v>
      </c>
      <c r="D419" s="4" t="str">
        <f ca="1">IFERROR(__xludf.DUMMYFUNCTION("""COMPUTED_VALUE"""),"BATERIA UMYWALKOWA PODTYNKOWA JS-W021 OWEN CHROM")</f>
        <v>BATERIA UMYWALKOWA PODTYNKOWA JS-W021 OWEN CHROM</v>
      </c>
      <c r="E419" s="31">
        <v>76.707317073170742</v>
      </c>
      <c r="F419" s="31">
        <f t="shared" si="6"/>
        <v>94.350000000000009</v>
      </c>
    </row>
    <row r="420" spans="1:6" ht="18.75" customHeight="1" x14ac:dyDescent="0.25">
      <c r="A420" s="2" t="str">
        <f ca="1">IFERROR(__xludf.DUMMYFUNCTION("""COMPUTED_VALUE"""),"REA-B5332")</f>
        <v>REA-B5332</v>
      </c>
      <c r="B420" s="3">
        <f ca="1">IFERROR(__xludf.DUMMYFUNCTION("""COMPUTED_VALUE"""),51197)</f>
        <v>51197</v>
      </c>
      <c r="C420" s="3">
        <f ca="1">IFERROR(__xludf.DUMMYFUNCTION("""COMPUTED_VALUE"""),5902557391639)</f>
        <v>5902557391639</v>
      </c>
      <c r="D420" s="4" t="str">
        <f ca="1">IFERROR(__xludf.DUMMYFUNCTION("""COMPUTED_VALUE"""),"BATERIA UMYWALKOWA PODTYNKOWA JS-W021B OWEN CZARNA")</f>
        <v>BATERIA UMYWALKOWA PODTYNKOWA JS-W021B OWEN CZARNA</v>
      </c>
      <c r="E420" s="31">
        <v>95.658536585365866</v>
      </c>
      <c r="F420" s="31">
        <f t="shared" si="6"/>
        <v>117.66000000000001</v>
      </c>
    </row>
    <row r="421" spans="1:6" ht="18.75" customHeight="1" x14ac:dyDescent="0.25">
      <c r="A421" s="2" t="str">
        <f ca="1">IFERROR(__xludf.DUMMYFUNCTION("""COMPUTED_VALUE"""),"REA-B5333")</f>
        <v>REA-B5333</v>
      </c>
      <c r="B421" s="3">
        <f ca="1">IFERROR(__xludf.DUMMYFUNCTION("""COMPUTED_VALUE"""),51199)</f>
        <v>51199</v>
      </c>
      <c r="C421" s="3">
        <f ca="1">IFERROR(__xludf.DUMMYFUNCTION("""COMPUTED_VALUE"""),5902557391646)</f>
        <v>5902557391646</v>
      </c>
      <c r="D421" s="4" t="str">
        <f ca="1">IFERROR(__xludf.DUMMYFUNCTION("""COMPUTED_VALUE"""),"BATERIA UMYWALKOWA PODTYNKOWA JS-W021G OWEN ZŁOTA")</f>
        <v>BATERIA UMYWALKOWA PODTYNKOWA JS-W021G OWEN ZŁOTA</v>
      </c>
      <c r="E421" s="31">
        <v>84.82926829268294</v>
      </c>
      <c r="F421" s="31">
        <f t="shared" si="6"/>
        <v>104.34000000000002</v>
      </c>
    </row>
    <row r="422" spans="1:6" ht="18.75" customHeight="1" x14ac:dyDescent="0.25">
      <c r="A422" s="2" t="str">
        <f ca="1">IFERROR(__xludf.DUMMYFUNCTION("""COMPUTED_VALUE"""),"REA-B9559")</f>
        <v>REA-B9559</v>
      </c>
      <c r="B422" s="3">
        <f ca="1">IFERROR(__xludf.DUMMYFUNCTION("""COMPUTED_VALUE"""),44825)</f>
        <v>44825</v>
      </c>
      <c r="C422" s="3">
        <f ca="1">IFERROR(__xludf.DUMMYFUNCTION("""COMPUTED_VALUE"""),5902557369935)</f>
        <v>5902557369935</v>
      </c>
      <c r="D422" s="4" t="str">
        <f ca="1">IFERROR(__xludf.DUMMYFUNCTION("""COMPUTED_VALUE"""),"BATERIA UMYWALKOWA PODTYNKOWA LUNGO BIAŁA + BOX")</f>
        <v>BATERIA UMYWALKOWA PODTYNKOWA LUNGO BIAŁA + BOX</v>
      </c>
      <c r="E422" s="31">
        <v>105.58536585365854</v>
      </c>
      <c r="F422" s="31">
        <f t="shared" si="6"/>
        <v>129.87</v>
      </c>
    </row>
    <row r="423" spans="1:6" ht="18.75" customHeight="1" x14ac:dyDescent="0.25">
      <c r="A423" s="2" t="str">
        <f ca="1">IFERROR(__xludf.DUMMYFUNCTION("""COMPUTED_VALUE"""),"REA-B0521")</f>
        <v>REA-B0521</v>
      </c>
      <c r="B423" s="3">
        <f ca="1">IFERROR(__xludf.DUMMYFUNCTION("""COMPUTED_VALUE"""),24113)</f>
        <v>24113</v>
      </c>
      <c r="C423" s="3">
        <f ca="1">IFERROR(__xludf.DUMMYFUNCTION("""COMPUTED_VALUE"""),5902557335909)</f>
        <v>5902557335909</v>
      </c>
      <c r="D423" s="4" t="str">
        <f ca="1">IFERROR(__xludf.DUMMYFUNCTION("""COMPUTED_VALUE"""),"BATERIA UMYWALKOWA PODTYNKOWA LUNGO CHROM + BOX")</f>
        <v>BATERIA UMYWALKOWA PODTYNKOWA LUNGO CHROM + BOX</v>
      </c>
      <c r="E423" s="31">
        <v>75.8</v>
      </c>
      <c r="F423" s="31">
        <f t="shared" si="6"/>
        <v>93.233999999999995</v>
      </c>
    </row>
    <row r="424" spans="1:6" ht="18.75" customHeight="1" x14ac:dyDescent="0.25">
      <c r="A424" s="2" t="str">
        <f ca="1">IFERROR(__xludf.DUMMYFUNCTION("""COMPUTED_VALUE"""),"BAT-B0969")</f>
        <v>BAT-B0969</v>
      </c>
      <c r="B424" s="3">
        <f ca="1">IFERROR(__xludf.DUMMYFUNCTION("""COMPUTED_VALUE"""),22576)</f>
        <v>22576</v>
      </c>
      <c r="C424" s="3">
        <f ca="1">IFERROR(__xludf.DUMMYFUNCTION("""COMPUTED_VALUE"""),5902557336036)</f>
        <v>5902557336036</v>
      </c>
      <c r="D424" s="4" t="str">
        <f ca="1">IFERROR(__xludf.DUMMYFUNCTION("""COMPUTED_VALUE"""),"BATERIA UMYWALKOWA PODTYNKOWA LUNGO CZARNA + BOX")</f>
        <v>BATERIA UMYWALKOWA PODTYNKOWA LUNGO CZARNA + BOX</v>
      </c>
      <c r="E424" s="31">
        <v>93.853658536585371</v>
      </c>
      <c r="F424" s="31">
        <f t="shared" si="6"/>
        <v>115.44</v>
      </c>
    </row>
    <row r="425" spans="1:6" ht="18.75" customHeight="1" x14ac:dyDescent="0.25">
      <c r="A425" s="2" t="str">
        <f ca="1">IFERROR(__xludf.DUMMYFUNCTION("""COMPUTED_VALUE"""),"REA-B4421")</f>
        <v>REA-B4421</v>
      </c>
      <c r="B425" s="3">
        <f ca="1">IFERROR(__xludf.DUMMYFUNCTION("""COMPUTED_VALUE"""),51074)</f>
        <v>51074</v>
      </c>
      <c r="C425" s="3">
        <f ca="1">IFERROR(__xludf.DUMMYFUNCTION("""COMPUTED_VALUE"""),5902557391721)</f>
        <v>5902557391721</v>
      </c>
      <c r="D425" s="4" t="str">
        <f ca="1">IFERROR(__xludf.DUMMYFUNCTION("""COMPUTED_VALUE"""),"BATERIA UMYWALKOWA PODTYNKOWA LUNGO CZARNA METALIC")</f>
        <v>BATERIA UMYWALKOWA PODTYNKOWA LUNGO CZARNA METALIC</v>
      </c>
      <c r="E425" s="31">
        <v>103.78048780487806</v>
      </c>
      <c r="F425" s="31">
        <f t="shared" si="6"/>
        <v>127.65000000000002</v>
      </c>
    </row>
    <row r="426" spans="1:6" ht="18.75" customHeight="1" x14ac:dyDescent="0.25">
      <c r="A426" s="2" t="str">
        <f ca="1">IFERROR(__xludf.DUMMYFUNCTION("""COMPUTED_VALUE"""),"REA-B7997")</f>
        <v>REA-B7997</v>
      </c>
      <c r="B426" s="3">
        <f ca="1">IFERROR(__xludf.DUMMYFUNCTION("""COMPUTED_VALUE"""),54088)</f>
        <v>54088</v>
      </c>
      <c r="C426" s="3">
        <f ca="1">IFERROR(__xludf.DUMMYFUNCTION("""COMPUTED_VALUE"""),5906366008634)</f>
        <v>5906366008634</v>
      </c>
      <c r="D426" s="4" t="str">
        <f ca="1">IFERROR(__xludf.DUMMYFUNCTION("""COMPUTED_VALUE"""),"BATERIA UMYWALKOWA PODTYNKOWA LUNGO MIEDŹ + BOX")</f>
        <v>BATERIA UMYWALKOWA PODTYNKOWA LUNGO MIEDŹ + BOX</v>
      </c>
      <c r="E426" s="31">
        <v>99.268292682926841</v>
      </c>
      <c r="F426" s="31">
        <f t="shared" si="6"/>
        <v>122.10000000000001</v>
      </c>
    </row>
    <row r="427" spans="1:6" ht="18.75" customHeight="1" x14ac:dyDescent="0.25">
      <c r="A427" s="2" t="str">
        <f ca="1">IFERROR(__xludf.DUMMYFUNCTION("""COMPUTED_VALUE"""),"REA-B8559")</f>
        <v>REA-B8559</v>
      </c>
      <c r="B427" s="3">
        <f ca="1">IFERROR(__xludf.DUMMYFUNCTION("""COMPUTED_VALUE"""),26217)</f>
        <v>26217</v>
      </c>
      <c r="C427" s="3">
        <f ca="1">IFERROR(__xludf.DUMMYFUNCTION("""COMPUTED_VALUE"""),5902557341573)</f>
        <v>5902557341573</v>
      </c>
      <c r="D427" s="4" t="str">
        <f ca="1">IFERROR(__xludf.DUMMYFUNCTION("""COMPUTED_VALUE"""),"BATERIA UMYWALKOWA PODTYNKOWA LUNGO ZŁOTA + BOX")</f>
        <v>BATERIA UMYWALKOWA PODTYNKOWA LUNGO ZŁOTA + BOX</v>
      </c>
      <c r="E427" s="31">
        <v>84.82926829268294</v>
      </c>
      <c r="F427" s="31">
        <f t="shared" si="6"/>
        <v>104.34000000000002</v>
      </c>
    </row>
    <row r="428" spans="1:6" ht="18.75" customHeight="1" x14ac:dyDescent="0.25">
      <c r="A428" s="2" t="str">
        <f ca="1">IFERROR(__xludf.DUMMYFUNCTION("""COMPUTED_VALUE"""),"REA-B0690")</f>
        <v>REA-B0690</v>
      </c>
      <c r="B428" s="3">
        <f ca="1">IFERROR(__xludf.DUMMYFUNCTION("""COMPUTED_VALUE"""),41667)</f>
        <v>41667</v>
      </c>
      <c r="C428" s="3">
        <f ca="1">IFERROR(__xludf.DUMMYFUNCTION("""COMPUTED_VALUE"""),5902557357550)</f>
        <v>5902557357550</v>
      </c>
      <c r="D428" s="4" t="str">
        <f ca="1">IFERROR(__xludf.DUMMYFUNCTION("""COMPUTED_VALUE"""),"BATERIA UMYWALKOWA PODTYNKOWA MASON CZARNA")</f>
        <v>BATERIA UMYWALKOWA PODTYNKOWA MASON CZARNA</v>
      </c>
      <c r="E428" s="31">
        <v>100.17073170731709</v>
      </c>
      <c r="F428" s="31">
        <f t="shared" si="6"/>
        <v>123.21000000000002</v>
      </c>
    </row>
    <row r="429" spans="1:6" ht="18.75" customHeight="1" x14ac:dyDescent="0.25">
      <c r="A429" s="2" t="str">
        <f ca="1">IFERROR(__xludf.DUMMYFUNCTION("""COMPUTED_VALUE"""),"REA-B5150")</f>
        <v>REA-B5150</v>
      </c>
      <c r="B429" s="3">
        <f ca="1">IFERROR(__xludf.DUMMYFUNCTION("""COMPUTED_VALUE"""),43053)</f>
        <v>43053</v>
      </c>
      <c r="C429" s="3">
        <f ca="1">IFERROR(__xludf.DUMMYFUNCTION("""COMPUTED_VALUE"""),5902557366743)</f>
        <v>5902557366743</v>
      </c>
      <c r="D429" s="4" t="str">
        <f ca="1">IFERROR(__xludf.DUMMYFUNCTION("""COMPUTED_VALUE"""),"BATERIA UMYWALKOWA PODTYNKOWA MASON ZŁOTA")</f>
        <v>BATERIA UMYWALKOWA PODTYNKOWA MASON ZŁOTA</v>
      </c>
      <c r="E429" s="31">
        <v>112.80487804878049</v>
      </c>
      <c r="F429" s="31">
        <f t="shared" si="6"/>
        <v>138.75</v>
      </c>
    </row>
    <row r="430" spans="1:6" ht="18.75" customHeight="1" x14ac:dyDescent="0.25">
      <c r="A430" s="2" t="str">
        <f ca="1">IFERROR(__xludf.DUMMYFUNCTION("""COMPUTED_VALUE"""),"REA-B5124")</f>
        <v>REA-B5124</v>
      </c>
      <c r="B430" s="3">
        <f ca="1">IFERROR(__xludf.DUMMYFUNCTION("""COMPUTED_VALUE"""),45277)</f>
        <v>45277</v>
      </c>
      <c r="C430" s="3">
        <f ca="1">IFERROR(__xludf.DUMMYFUNCTION("""COMPUTED_VALUE"""),5902557369850)</f>
        <v>5902557369850</v>
      </c>
      <c r="D430" s="4" t="str">
        <f ca="1">IFERROR(__xludf.DUMMYFUNCTION("""COMPUTED_VALUE"""),"BATERIA UMYWALKOWA PODTYNKOWA OVAL CHROM + BOX")</f>
        <v>BATERIA UMYWALKOWA PODTYNKOWA OVAL CHROM + BOX</v>
      </c>
      <c r="E430" s="31">
        <v>106.48780487804879</v>
      </c>
      <c r="F430" s="31">
        <f t="shared" si="6"/>
        <v>130.98000000000002</v>
      </c>
    </row>
    <row r="431" spans="1:6" ht="18.75" customHeight="1" x14ac:dyDescent="0.25">
      <c r="A431" s="2" t="str">
        <f ca="1">IFERROR(__xludf.DUMMYFUNCTION("""COMPUTED_VALUE"""),"REA-B8860")</f>
        <v>REA-B8860</v>
      </c>
      <c r="B431" s="3">
        <f ca="1">IFERROR(__xludf.DUMMYFUNCTION("""COMPUTED_VALUE"""),44955)</f>
        <v>44955</v>
      </c>
      <c r="C431" s="3">
        <f ca="1">IFERROR(__xludf.DUMMYFUNCTION("""COMPUTED_VALUE"""),5902557369867)</f>
        <v>5902557369867</v>
      </c>
      <c r="D431" s="4" t="str">
        <f ca="1">IFERROR(__xludf.DUMMYFUNCTION("""COMPUTED_VALUE"""),"BATERIA UMYWALKOWA PODTYNKOWA OVAL CZARNA + BOX")</f>
        <v>BATERIA UMYWALKOWA PODTYNKOWA OVAL CZARNA + BOX</v>
      </c>
      <c r="E431" s="31">
        <v>109.19512195121952</v>
      </c>
      <c r="F431" s="31">
        <f t="shared" si="6"/>
        <v>134.31</v>
      </c>
    </row>
    <row r="432" spans="1:6" ht="18.75" customHeight="1" x14ac:dyDescent="0.25">
      <c r="A432" s="2" t="str">
        <f ca="1">IFERROR(__xludf.DUMMYFUNCTION("""COMPUTED_VALUE"""),"REA-B5125")</f>
        <v>REA-B5125</v>
      </c>
      <c r="B432" s="3">
        <f ca="1">IFERROR(__xludf.DUMMYFUNCTION("""COMPUTED_VALUE"""),45276)</f>
        <v>45276</v>
      </c>
      <c r="C432" s="3">
        <f ca="1">IFERROR(__xludf.DUMMYFUNCTION("""COMPUTED_VALUE"""),5902557369874)</f>
        <v>5902557369874</v>
      </c>
      <c r="D432" s="4" t="str">
        <f ca="1">IFERROR(__xludf.DUMMYFUNCTION("""COMPUTED_VALUE"""),"BATERIA UMYWALKOWA PODTYNKOWA OVAL ZŁOTA + BOX")</f>
        <v>BATERIA UMYWALKOWA PODTYNKOWA OVAL ZŁOTA + BOX</v>
      </c>
      <c r="E432" s="31">
        <v>116.41463414634147</v>
      </c>
      <c r="F432" s="31">
        <f t="shared" si="6"/>
        <v>143.19</v>
      </c>
    </row>
    <row r="433" spans="1:6" ht="18.75" customHeight="1" x14ac:dyDescent="0.25">
      <c r="A433" s="2" t="str">
        <f ca="1">IFERROR(__xludf.DUMMYFUNCTION("""COMPUTED_VALUE"""),"REA-B0181")</f>
        <v>REA-B0181</v>
      </c>
      <c r="B433" s="3">
        <f ca="1">IFERROR(__xludf.DUMMYFUNCTION("""COMPUTED_VALUE"""),19010)</f>
        <v>19010</v>
      </c>
      <c r="C433" s="3">
        <f ca="1">IFERROR(__xludf.DUMMYFUNCTION("""COMPUTED_VALUE"""),5902557331529)</f>
        <v>5902557331529</v>
      </c>
      <c r="D433" s="4" t="str">
        <f ca="1">IFERROR(__xludf.DUMMYFUNCTION("""COMPUTED_VALUE"""),"BATERIA UMYWALKOWA PODTYNKOWA SONIC CZARNA + BOX")</f>
        <v>BATERIA UMYWALKOWA PODTYNKOWA SONIC CZARNA + BOX</v>
      </c>
      <c r="E433" s="31">
        <v>100.17073170731709</v>
      </c>
      <c r="F433" s="31">
        <f t="shared" si="6"/>
        <v>123.21000000000002</v>
      </c>
    </row>
    <row r="434" spans="1:6" ht="18.75" customHeight="1" x14ac:dyDescent="0.25">
      <c r="A434" s="2" t="str">
        <f ca="1">IFERROR(__xludf.DUMMYFUNCTION("""COMPUTED_VALUE"""),"REA-B0412")</f>
        <v>REA-B0412</v>
      </c>
      <c r="B434" s="3"/>
      <c r="C434" s="3">
        <f ca="1">IFERROR(__xludf.DUMMYFUNCTION("""COMPUTED_VALUE"""),5902557359431)</f>
        <v>5902557359431</v>
      </c>
      <c r="D434" s="4" t="str">
        <f ca="1">IFERROR(__xludf.DUMMYFUNCTION("""COMPUTED_VALUE"""),"BATERIA UMYWALKOWA PODTYNKOWA TESS CZARNA")</f>
        <v>BATERIA UMYWALKOWA PODTYNKOWA TESS CZARNA</v>
      </c>
      <c r="E434" s="31">
        <v>76.707317073170742</v>
      </c>
      <c r="F434" s="31">
        <f t="shared" si="6"/>
        <v>94.350000000000009</v>
      </c>
    </row>
    <row r="435" spans="1:6" ht="18.75" customHeight="1" x14ac:dyDescent="0.25">
      <c r="A435" s="2" t="str">
        <f ca="1">IFERROR(__xludf.DUMMYFUNCTION("""COMPUTED_VALUE"""),"REA-B0231")</f>
        <v>REA-B0231</v>
      </c>
      <c r="B435" s="3">
        <f ca="1">IFERROR(__xludf.DUMMYFUNCTION("""COMPUTED_VALUE"""),17398)</f>
        <v>17398</v>
      </c>
      <c r="C435" s="3">
        <f ca="1">IFERROR(__xludf.DUMMYFUNCTION("""COMPUTED_VALUE"""),5902557331871)</f>
        <v>5902557331871</v>
      </c>
      <c r="D435" s="4" t="str">
        <f ca="1">IFERROR(__xludf.DUMMYFUNCTION("""COMPUTED_VALUE"""),"BATERIA UMYWALKOWA PODTYNKOWA VIVA CZARNA+ BOX")</f>
        <v>BATERIA UMYWALKOWA PODTYNKOWA VIVA CZARNA+ BOX</v>
      </c>
      <c r="E435" s="31">
        <v>84.82926829268294</v>
      </c>
      <c r="F435" s="31">
        <f t="shared" si="6"/>
        <v>104.34000000000002</v>
      </c>
    </row>
    <row r="436" spans="1:6" ht="18.75" customHeight="1" x14ac:dyDescent="0.25">
      <c r="A436" s="2" t="str">
        <f ca="1">IFERROR(__xludf.DUMMYFUNCTION("""COMPUTED_VALUE"""),"REA-B6251")</f>
        <v>REA-B6251</v>
      </c>
      <c r="B436" s="3">
        <f ca="1">IFERROR(__xludf.DUMMYFUNCTION("""COMPUTED_VALUE"""),42202)</f>
        <v>42202</v>
      </c>
      <c r="C436" s="3">
        <f ca="1">IFERROR(__xludf.DUMMYFUNCTION("""COMPUTED_VALUE"""),5902557357536)</f>
        <v>5902557357536</v>
      </c>
      <c r="D436" s="4" t="str">
        <f ca="1">IFERROR(__xludf.DUMMYFUNCTION("""COMPUTED_VALUE"""),"BATERIA UMYWALKOWA PODTYNKOWA VIVA ZŁOTA + BOX")</f>
        <v>BATERIA UMYWALKOWA PODTYNKOWA VIVA ZŁOTA + BOX</v>
      </c>
      <c r="E436" s="31">
        <v>97.463414634146361</v>
      </c>
      <c r="F436" s="31">
        <f t="shared" si="6"/>
        <v>119.88000000000002</v>
      </c>
    </row>
    <row r="437" spans="1:6" ht="18.75" customHeight="1" x14ac:dyDescent="0.25">
      <c r="A437" s="2" t="str">
        <f ca="1">IFERROR(__xludf.DUMMYFUNCTION("""COMPUTED_VALUE"""),"REA-B0225")</f>
        <v>REA-B0225</v>
      </c>
      <c r="B437" s="3">
        <f ca="1">IFERROR(__xludf.DUMMYFUNCTION("""COMPUTED_VALUE"""),17816)</f>
        <v>17816</v>
      </c>
      <c r="C437" s="3">
        <f ca="1">IFERROR(__xludf.DUMMYFUNCTION("""COMPUTED_VALUE"""),5902557331673)</f>
        <v>5902557331673</v>
      </c>
      <c r="D437" s="4" t="str">
        <f ca="1">IFERROR(__xludf.DUMMYFUNCTION("""COMPUTED_VALUE"""),"BATERIA UMYWALKOWA RETRO CZARNA PRZECIERANA NISKA")</f>
        <v>BATERIA UMYWALKOWA RETRO CZARNA PRZECIERANA NISKA</v>
      </c>
      <c r="E437" s="31">
        <v>63.170731707317081</v>
      </c>
      <c r="F437" s="31">
        <f t="shared" si="6"/>
        <v>77.7</v>
      </c>
    </row>
    <row r="438" spans="1:6" ht="18.75" customHeight="1" x14ac:dyDescent="0.25">
      <c r="A438" s="2" t="str">
        <f ca="1">IFERROR(__xludf.DUMMYFUNCTION("""COMPUTED_VALUE"""),"REA-B5521")</f>
        <v>REA-B5521</v>
      </c>
      <c r="B438" s="3">
        <f ca="1">IFERROR(__xludf.DUMMYFUNCTION("""COMPUTED_VALUE"""),52178)</f>
        <v>52178</v>
      </c>
      <c r="C438" s="3">
        <f ca="1">IFERROR(__xludf.DUMMYFUNCTION("""COMPUTED_VALUE"""),5902557395989)</f>
        <v>5902557395989</v>
      </c>
      <c r="D438" s="4" t="str">
        <f ca="1">IFERROR(__xludf.DUMMYFUNCTION("""COMPUTED_VALUE"""),"BATERIA UMYWALKOWA RUSTICO ZŁOTA ANTYCZNA WYSOKA")</f>
        <v>BATERIA UMYWALKOWA RUSTICO ZŁOTA ANTYCZNA WYSOKA</v>
      </c>
      <c r="E438" s="31">
        <v>74.000000000000014</v>
      </c>
      <c r="F438" s="31">
        <f t="shared" si="6"/>
        <v>91.02000000000001</v>
      </c>
    </row>
    <row r="439" spans="1:6" ht="18.75" customHeight="1" x14ac:dyDescent="0.25">
      <c r="A439" s="2" t="str">
        <f ca="1">IFERROR(__xludf.DUMMYFUNCTION("""COMPUTED_VALUE"""),"REA-B6351")</f>
        <v>REA-B6351</v>
      </c>
      <c r="B439" s="3">
        <f ca="1">IFERROR(__xludf.DUMMYFUNCTION("""COMPUTED_VALUE"""),24374)</f>
        <v>24374</v>
      </c>
      <c r="C439" s="3">
        <f ca="1">IFERROR(__xludf.DUMMYFUNCTION("""COMPUTED_VALUE"""),5902557335961)</f>
        <v>5902557335961</v>
      </c>
      <c r="D439" s="4" t="str">
        <f ca="1">IFERROR(__xludf.DUMMYFUNCTION("""COMPUTED_VALUE"""),"BATERIA UMYWALKOWA SALTO CZARNA/ZŁOTA WYSOKA")</f>
        <v>BATERIA UMYWALKOWA SALTO CZARNA/ZŁOTA WYSOKA</v>
      </c>
      <c r="E439" s="31">
        <v>81.219512195121965</v>
      </c>
      <c r="F439" s="31">
        <f t="shared" si="6"/>
        <v>99.90000000000002</v>
      </c>
    </row>
    <row r="440" spans="1:6" ht="18.75" customHeight="1" x14ac:dyDescent="0.25">
      <c r="A440" s="2" t="str">
        <f ca="1">IFERROR(__xludf.DUMMYFUNCTION("""COMPUTED_VALUE"""),"REA-B1141")</f>
        <v>REA-B1141</v>
      </c>
      <c r="B440" s="3">
        <f ca="1">IFERROR(__xludf.DUMMYFUNCTION("""COMPUTED_VALUE"""),53859)</f>
        <v>53859</v>
      </c>
      <c r="C440" s="3">
        <f ca="1">IFERROR(__xludf.DUMMYFUNCTION("""COMPUTED_VALUE"""),5906366002847)</f>
        <v>5906366002847</v>
      </c>
      <c r="D440" s="4" t="str">
        <f ca="1">IFERROR(__xludf.DUMMYFUNCTION("""COMPUTED_VALUE"""),"BATERIA UMYWALKOWA SERRA CZARNA NISKA")</f>
        <v>BATERIA UMYWALKOWA SERRA CZARNA NISKA</v>
      </c>
      <c r="E440" s="31">
        <v>61.365853658536594</v>
      </c>
      <c r="F440" s="31">
        <f t="shared" si="6"/>
        <v>75.48</v>
      </c>
    </row>
    <row r="441" spans="1:6" ht="18.75" customHeight="1" x14ac:dyDescent="0.25">
      <c r="A441" s="2" t="str">
        <f ca="1">IFERROR(__xludf.DUMMYFUNCTION("""COMPUTED_VALUE"""),"REA-B1142")</f>
        <v>REA-B1142</v>
      </c>
      <c r="B441" s="3">
        <f ca="1">IFERROR(__xludf.DUMMYFUNCTION("""COMPUTED_VALUE"""),53860)</f>
        <v>53860</v>
      </c>
      <c r="C441" s="3">
        <f ca="1">IFERROR(__xludf.DUMMYFUNCTION("""COMPUTED_VALUE"""),5906366002854)</f>
        <v>5906366002854</v>
      </c>
      <c r="D441" s="4" t="str">
        <f ca="1">IFERROR(__xludf.DUMMYFUNCTION("""COMPUTED_VALUE"""),"BATERIA UMYWALKOWA SERRA CZARNA WYSOKA")</f>
        <v>BATERIA UMYWALKOWA SERRA CZARNA WYSOKA</v>
      </c>
      <c r="E441" s="31">
        <v>64.975609756097569</v>
      </c>
      <c r="F441" s="31">
        <f t="shared" si="6"/>
        <v>79.92</v>
      </c>
    </row>
    <row r="442" spans="1:6" ht="18.75" customHeight="1" x14ac:dyDescent="0.25">
      <c r="A442" s="2" t="str">
        <f ca="1">IFERROR(__xludf.DUMMYFUNCTION("""COMPUTED_VALUE"""),"REA-B1144")</f>
        <v>REA-B1144</v>
      </c>
      <c r="B442" s="3">
        <f ca="1">IFERROR(__xludf.DUMMYFUNCTION("""COMPUTED_VALUE"""),53861)</f>
        <v>53861</v>
      </c>
      <c r="C442" s="3">
        <f ca="1">IFERROR(__xludf.DUMMYFUNCTION("""COMPUTED_VALUE"""),5906366002892)</f>
        <v>5906366002892</v>
      </c>
      <c r="D442" s="4" t="str">
        <f ca="1">IFERROR(__xludf.DUMMYFUNCTION("""COMPUTED_VALUE"""),"BATERIA UMYWALKOWA SERRA ZŁOTA SZCZOTKOWANA NISKA")</f>
        <v>BATERIA UMYWALKOWA SERRA ZŁOTA SZCZOTKOWANA NISKA</v>
      </c>
      <c r="E442" s="31">
        <v>69.487804878048792</v>
      </c>
      <c r="F442" s="31">
        <f t="shared" si="6"/>
        <v>85.470000000000013</v>
      </c>
    </row>
    <row r="443" spans="1:6" ht="18.75" customHeight="1" x14ac:dyDescent="0.25">
      <c r="A443" s="2" t="str">
        <f ca="1">IFERROR(__xludf.DUMMYFUNCTION("""COMPUTED_VALUE"""),"REA-B1145")</f>
        <v>REA-B1145</v>
      </c>
      <c r="B443" s="3">
        <f ca="1">IFERROR(__xludf.DUMMYFUNCTION("""COMPUTED_VALUE"""),53862)</f>
        <v>53862</v>
      </c>
      <c r="C443" s="3">
        <f ca="1">IFERROR(__xludf.DUMMYFUNCTION("""COMPUTED_VALUE"""),5906366002885)</f>
        <v>5906366002885</v>
      </c>
      <c r="D443" s="4" t="str">
        <f ca="1">IFERROR(__xludf.DUMMYFUNCTION("""COMPUTED_VALUE"""),"BATERIA UMYWALKOWA SERRA ZŁOTA SZCZOTKOWANA WYSOKA")</f>
        <v>BATERIA UMYWALKOWA SERRA ZŁOTA SZCZOTKOWANA WYSOKA</v>
      </c>
      <c r="E443" s="31">
        <v>76.707317073170742</v>
      </c>
      <c r="F443" s="31">
        <f t="shared" si="6"/>
        <v>94.350000000000009</v>
      </c>
    </row>
    <row r="444" spans="1:6" ht="18.75" customHeight="1" x14ac:dyDescent="0.25">
      <c r="A444" s="2" t="str">
        <f ca="1">IFERROR(__xludf.DUMMYFUNCTION("""COMPUTED_VALUE"""),"REA-B8400")</f>
        <v>REA-B8400</v>
      </c>
      <c r="B444" s="3">
        <f ca="1">IFERROR(__xludf.DUMMYFUNCTION("""COMPUTED_VALUE"""),31454)</f>
        <v>31454</v>
      </c>
      <c r="C444" s="3">
        <f ca="1">IFERROR(__xludf.DUMMYFUNCTION("""COMPUTED_VALUE"""),5902557314515)</f>
        <v>5902557314515</v>
      </c>
      <c r="D444" s="4" t="str">
        <f ca="1">IFERROR(__xludf.DUMMYFUNCTION("""COMPUTED_VALUE"""),"BATERIA UMYWALKOWA SMART BIAŁA/ZŁOTA")</f>
        <v>BATERIA UMYWALKOWA SMART BIAŁA/ZŁOTA</v>
      </c>
      <c r="E444" s="31">
        <v>72.195121951219519</v>
      </c>
      <c r="F444" s="31">
        <f t="shared" si="6"/>
        <v>88.800000000000011</v>
      </c>
    </row>
    <row r="445" spans="1:6" ht="18.75" customHeight="1" x14ac:dyDescent="0.25">
      <c r="A445" s="2" t="str">
        <f ca="1">IFERROR(__xludf.DUMMYFUNCTION("""COMPUTED_VALUE"""),"REA-B7402")</f>
        <v>REA-B7402</v>
      </c>
      <c r="B445" s="3">
        <f ca="1">IFERROR(__xludf.DUMMYFUNCTION("""COMPUTED_VALUE"""),31455)</f>
        <v>31455</v>
      </c>
      <c r="C445" s="3">
        <f ca="1">IFERROR(__xludf.DUMMYFUNCTION("""COMPUTED_VALUE"""),5902557343355)</f>
        <v>5902557343355</v>
      </c>
      <c r="D445" s="4" t="str">
        <f ca="1">IFERROR(__xludf.DUMMYFUNCTION("""COMPUTED_VALUE"""),"BATERIA UMYWALKOWA SMART CZARNA/ZŁOTA")</f>
        <v>BATERIA UMYWALKOWA SMART CZARNA/ZŁOTA</v>
      </c>
      <c r="E445" s="31">
        <v>74.000000000000014</v>
      </c>
      <c r="F445" s="31">
        <f t="shared" si="6"/>
        <v>91.02000000000001</v>
      </c>
    </row>
    <row r="446" spans="1:6" ht="18.75" customHeight="1" x14ac:dyDescent="0.25">
      <c r="A446" s="2" t="str">
        <f ca="1">IFERROR(__xludf.DUMMYFUNCTION("""COMPUTED_VALUE"""),"REA-B8600")</f>
        <v>REA-B8600</v>
      </c>
      <c r="B446" s="3"/>
      <c r="C446" s="3">
        <f ca="1">IFERROR(__xludf.DUMMYFUNCTION("""COMPUTED_VALUE"""),5902557328765)</f>
        <v>5902557328765</v>
      </c>
      <c r="D446" s="4" t="str">
        <f ca="1">IFERROR(__xludf.DUMMYFUNCTION("""COMPUTED_VALUE"""),"BATERIA UMYWALKOWA SOHO BLACK NISKA")</f>
        <v>BATERIA UMYWALKOWA SOHO BLACK NISKA</v>
      </c>
      <c r="E446" s="31">
        <v>55.048780487804883</v>
      </c>
      <c r="F446" s="31">
        <f t="shared" si="6"/>
        <v>67.710000000000008</v>
      </c>
    </row>
    <row r="447" spans="1:6" ht="18.75" customHeight="1" x14ac:dyDescent="0.25">
      <c r="A447" s="2" t="str">
        <f ca="1">IFERROR(__xludf.DUMMYFUNCTION("""COMPUTED_VALUE"""),"REA-B8601")</f>
        <v>REA-B8601</v>
      </c>
      <c r="B447" s="3"/>
      <c r="C447" s="3">
        <f ca="1">IFERROR(__xludf.DUMMYFUNCTION("""COMPUTED_VALUE"""),5902557328772)</f>
        <v>5902557328772</v>
      </c>
      <c r="D447" s="4" t="str">
        <f ca="1">IFERROR(__xludf.DUMMYFUNCTION("""COMPUTED_VALUE"""),"BATERIA UMYWALKOWA SOHO BLACK WYSOKA")</f>
        <v>BATERIA UMYWALKOWA SOHO BLACK WYSOKA</v>
      </c>
      <c r="E447" s="31">
        <v>67.682926829268297</v>
      </c>
      <c r="F447" s="31">
        <f t="shared" si="6"/>
        <v>83.25</v>
      </c>
    </row>
    <row r="448" spans="1:6" ht="18.75" customHeight="1" x14ac:dyDescent="0.25">
      <c r="A448" s="2" t="str">
        <f ca="1">IFERROR(__xludf.DUMMYFUNCTION("""COMPUTED_VALUE"""),"BAT-00852")</f>
        <v>BAT-00852</v>
      </c>
      <c r="B448" s="3">
        <f ca="1">IFERROR(__xludf.DUMMYFUNCTION("""COMPUTED_VALUE"""),1817)</f>
        <v>1817</v>
      </c>
      <c r="C448" s="3">
        <f ca="1">IFERROR(__xludf.DUMMYFUNCTION("""COMPUTED_VALUE"""),5902557302482)</f>
        <v>5902557302482</v>
      </c>
      <c r="D448" s="4" t="str">
        <f ca="1">IFERROR(__xludf.DUMMYFUNCTION("""COMPUTED_VALUE"""),"BATERIA UMYWALKOWA SONIC CZARNA NISKA")</f>
        <v>BATERIA UMYWALKOWA SONIC CZARNA NISKA</v>
      </c>
      <c r="E448" s="31">
        <v>66.780487804878049</v>
      </c>
      <c r="F448" s="31">
        <f t="shared" si="6"/>
        <v>82.14</v>
      </c>
    </row>
    <row r="449" spans="1:6" ht="18.75" customHeight="1" x14ac:dyDescent="0.25">
      <c r="A449" s="2" t="str">
        <f ca="1">IFERROR(__xludf.DUMMYFUNCTION("""COMPUTED_VALUE"""),"BAT-09854")</f>
        <v>BAT-09854</v>
      </c>
      <c r="B449" s="3">
        <f ca="1">IFERROR(__xludf.DUMMYFUNCTION("""COMPUTED_VALUE"""),13993)</f>
        <v>13993</v>
      </c>
      <c r="C449" s="3">
        <f ca="1">IFERROR(__xludf.DUMMYFUNCTION("""COMPUTED_VALUE"""),5902557330201)</f>
        <v>5902557330201</v>
      </c>
      <c r="D449" s="4" t="str">
        <f ca="1">IFERROR(__xludf.DUMMYFUNCTION("""COMPUTED_VALUE"""),"BATERIA UMYWALKOWA SONIC CZARNA WYSOKA")</f>
        <v>BATERIA UMYWALKOWA SONIC CZARNA WYSOKA</v>
      </c>
      <c r="E449" s="31">
        <v>85.731707317073173</v>
      </c>
      <c r="F449" s="31">
        <f t="shared" si="6"/>
        <v>105.45</v>
      </c>
    </row>
    <row r="450" spans="1:6" ht="18.75" customHeight="1" x14ac:dyDescent="0.25">
      <c r="A450" s="2" t="str">
        <f ca="1">IFERROR(__xludf.DUMMYFUNCTION("""COMPUTED_VALUE"""),"REA-B8801")</f>
        <v>REA-B8801</v>
      </c>
      <c r="B450" s="3">
        <f ca="1">IFERROR(__xludf.DUMMYFUNCTION("""COMPUTED_VALUE"""),14104)</f>
        <v>14104</v>
      </c>
      <c r="C450" s="3">
        <f ca="1">IFERROR(__xludf.DUMMYFUNCTION("""COMPUTED_VALUE"""),5902557330225)</f>
        <v>5902557330225</v>
      </c>
      <c r="D450" s="4" t="str">
        <f ca="1">IFERROR(__xludf.DUMMYFUNCTION("""COMPUTED_VALUE"""),"BATERIA UMYWALKOWA TESS CHROM NISKA")</f>
        <v>BATERIA UMYWALKOWA TESS CHROM NISKA</v>
      </c>
      <c r="E450" s="31">
        <v>44.219512195121951</v>
      </c>
      <c r="F450" s="31">
        <f t="shared" si="6"/>
        <v>54.39</v>
      </c>
    </row>
    <row r="451" spans="1:6" ht="18.75" customHeight="1" x14ac:dyDescent="0.25">
      <c r="A451" s="2" t="str">
        <f ca="1">IFERROR(__xludf.DUMMYFUNCTION("""COMPUTED_VALUE"""),"REA-B8800")</f>
        <v>REA-B8800</v>
      </c>
      <c r="B451" s="3">
        <f ca="1">IFERROR(__xludf.DUMMYFUNCTION("""COMPUTED_VALUE"""),7423)</f>
        <v>7423</v>
      </c>
      <c r="C451" s="3">
        <f ca="1">IFERROR(__xludf.DUMMYFUNCTION("""COMPUTED_VALUE"""),5902557319725)</f>
        <v>5902557319725</v>
      </c>
      <c r="D451" s="4" t="str">
        <f ca="1">IFERROR(__xludf.DUMMYFUNCTION("""COMPUTED_VALUE"""),"BATERIA UMYWALKOWA TESS CHROM WYSOKA")</f>
        <v>BATERIA UMYWALKOWA TESS CHROM WYSOKA</v>
      </c>
      <c r="E451" s="31">
        <v>52.341463414634156</v>
      </c>
      <c r="F451" s="31">
        <f t="shared" ref="F451:F514" si="7">E451*1.23</f>
        <v>64.38000000000001</v>
      </c>
    </row>
    <row r="452" spans="1:6" ht="18.75" customHeight="1" x14ac:dyDescent="0.25">
      <c r="A452" s="2" t="str">
        <f ca="1">IFERROR(__xludf.DUMMYFUNCTION("""COMPUTED_VALUE"""),"REA-B8881")</f>
        <v>REA-B8881</v>
      </c>
      <c r="B452" s="3">
        <f ca="1">IFERROR(__xludf.DUMMYFUNCTION("""COMPUTED_VALUE"""),37912)</f>
        <v>37912</v>
      </c>
      <c r="C452" s="3">
        <f ca="1">IFERROR(__xludf.DUMMYFUNCTION("""COMPUTED_VALUE"""),5902557349494)</f>
        <v>5902557349494</v>
      </c>
      <c r="D452" s="4" t="str">
        <f ca="1">IFERROR(__xludf.DUMMYFUNCTION("""COMPUTED_VALUE"""),"BATERIA UMYWALKOWA TESS CZARNA NISKA")</f>
        <v>BATERIA UMYWALKOWA TESS CZARNA NISKA</v>
      </c>
      <c r="E452" s="31">
        <v>46.024390243902438</v>
      </c>
      <c r="F452" s="31">
        <f t="shared" si="7"/>
        <v>56.61</v>
      </c>
    </row>
    <row r="453" spans="1:6" ht="18.75" customHeight="1" x14ac:dyDescent="0.25">
      <c r="A453" s="2" t="str">
        <f ca="1">IFERROR(__xludf.DUMMYFUNCTION("""COMPUTED_VALUE"""),"REA-B0229")</f>
        <v>REA-B0229</v>
      </c>
      <c r="B453" s="3">
        <f ca="1">IFERROR(__xludf.DUMMYFUNCTION("""COMPUTED_VALUE"""),17399)</f>
        <v>17399</v>
      </c>
      <c r="C453" s="3">
        <f ca="1">IFERROR(__xludf.DUMMYFUNCTION("""COMPUTED_VALUE"""),5902557331505)</f>
        <v>5902557331505</v>
      </c>
      <c r="D453" s="4" t="str">
        <f ca="1">IFERROR(__xludf.DUMMYFUNCTION("""COMPUTED_VALUE"""),"BATERIA UMYWALKOWA TESS CZARNA WYSOKA")</f>
        <v>BATERIA UMYWALKOWA TESS CZARNA WYSOKA</v>
      </c>
      <c r="E453" s="31">
        <v>59.56</v>
      </c>
      <c r="F453" s="31">
        <f t="shared" si="7"/>
        <v>73.258800000000008</v>
      </c>
    </row>
    <row r="454" spans="1:6" ht="18.75" customHeight="1" x14ac:dyDescent="0.25">
      <c r="A454" s="2" t="str">
        <f ca="1">IFERROR(__xludf.DUMMYFUNCTION("""COMPUTED_VALUE"""),"REA-B8804")</f>
        <v>REA-B8804</v>
      </c>
      <c r="B454" s="3">
        <f ca="1">IFERROR(__xludf.DUMMYFUNCTION("""COMPUTED_VALUE"""),22451)</f>
        <v>22451</v>
      </c>
      <c r="C454" s="3">
        <f ca="1">IFERROR(__xludf.DUMMYFUNCTION("""COMPUTED_VALUE"""),5902557332885)</f>
        <v>5902557332885</v>
      </c>
      <c r="D454" s="4" t="str">
        <f ca="1">IFERROR(__xludf.DUMMYFUNCTION("""COMPUTED_VALUE"""),"BATERIA UMYWALKOWA TESS RÓŻOWE ZŁOTO WYSOKA")</f>
        <v>BATERIA UMYWALKOWA TESS RÓŻOWE ZŁOTO WYSOKA</v>
      </c>
      <c r="E454" s="31">
        <v>62.268292682926841</v>
      </c>
      <c r="F454" s="31">
        <f t="shared" si="7"/>
        <v>76.590000000000018</v>
      </c>
    </row>
    <row r="455" spans="1:6" ht="18.75" customHeight="1" x14ac:dyDescent="0.25">
      <c r="A455" s="2" t="str">
        <f ca="1">IFERROR(__xludf.DUMMYFUNCTION("""COMPUTED_VALUE"""),"REA-B8865")</f>
        <v>REA-B8865</v>
      </c>
      <c r="B455" s="3">
        <f ca="1">IFERROR(__xludf.DUMMYFUNCTION("""COMPUTED_VALUE"""),41666)</f>
        <v>41666</v>
      </c>
      <c r="C455" s="3">
        <f ca="1">IFERROR(__xludf.DUMMYFUNCTION("""COMPUTED_VALUE"""),5902557356966)</f>
        <v>5902557356966</v>
      </c>
      <c r="D455" s="4" t="str">
        <f ca="1">IFERROR(__xludf.DUMMYFUNCTION("""COMPUTED_VALUE"""),"BATERIA UMYWALKOWA TESS ZŁOTA NISKA")</f>
        <v>BATERIA UMYWALKOWA TESS ZŁOTA NISKA</v>
      </c>
      <c r="E455" s="31">
        <v>62.268292682926841</v>
      </c>
      <c r="F455" s="31">
        <f t="shared" si="7"/>
        <v>76.590000000000018</v>
      </c>
    </row>
    <row r="456" spans="1:6" ht="18.75" customHeight="1" x14ac:dyDescent="0.25">
      <c r="A456" s="2" t="str">
        <f ca="1">IFERROR(__xludf.DUMMYFUNCTION("""COMPUTED_VALUE"""),"REA-B5661")</f>
        <v>REA-B5661</v>
      </c>
      <c r="B456" s="3">
        <f ca="1">IFERROR(__xludf.DUMMYFUNCTION("""COMPUTED_VALUE"""),42831)</f>
        <v>42831</v>
      </c>
      <c r="C456" s="3">
        <f ca="1">IFERROR(__xludf.DUMMYFUNCTION("""COMPUTED_VALUE"""),5902557364022)</f>
        <v>5902557364022</v>
      </c>
      <c r="D456" s="4" t="str">
        <f ca="1">IFERROR(__xludf.DUMMYFUNCTION("""COMPUTED_VALUE"""),"BATERIA UMYWALKOWA TESS ZŁOTA SZCZOTKOWANA NISKA")</f>
        <v>BATERIA UMYWALKOWA TESS ZŁOTA SZCZOTKOWANA NISKA</v>
      </c>
      <c r="E456" s="31">
        <v>54.146341463414643</v>
      </c>
      <c r="F456" s="31">
        <f t="shared" si="7"/>
        <v>66.600000000000009</v>
      </c>
    </row>
    <row r="457" spans="1:6" ht="18.75" customHeight="1" x14ac:dyDescent="0.25">
      <c r="A457" s="2" t="str">
        <f ca="1">IFERROR(__xludf.DUMMYFUNCTION("""COMPUTED_VALUE"""),"REA-B5660")</f>
        <v>REA-B5660</v>
      </c>
      <c r="B457" s="3">
        <f ca="1">IFERROR(__xludf.DUMMYFUNCTION("""COMPUTED_VALUE"""),42832)</f>
        <v>42832</v>
      </c>
      <c r="C457" s="3">
        <f ca="1">IFERROR(__xludf.DUMMYFUNCTION("""COMPUTED_VALUE"""),5902557364015)</f>
        <v>5902557364015</v>
      </c>
      <c r="D457" s="4" t="str">
        <f ca="1">IFERROR(__xludf.DUMMYFUNCTION("""COMPUTED_VALUE"""),"BATERIA UMYWALKOWA TESS ZŁOTA SZCZOTKOWANA WYSOKA")</f>
        <v>BATERIA UMYWALKOWA TESS ZŁOTA SZCZOTKOWANA WYSOKA</v>
      </c>
      <c r="E457" s="31">
        <v>66.780487804878049</v>
      </c>
      <c r="F457" s="31">
        <f t="shared" si="7"/>
        <v>82.14</v>
      </c>
    </row>
    <row r="458" spans="1:6" ht="18.75" customHeight="1" x14ac:dyDescent="0.25">
      <c r="A458" s="2" t="str">
        <f ca="1">IFERROR(__xludf.DUMMYFUNCTION("""COMPUTED_VALUE"""),"REA-B8803")</f>
        <v>REA-B8803</v>
      </c>
      <c r="B458" s="3">
        <f ca="1">IFERROR(__xludf.DUMMYFUNCTION("""COMPUTED_VALUE"""),14002)</f>
        <v>14002</v>
      </c>
      <c r="C458" s="3">
        <f ca="1">IFERROR(__xludf.DUMMYFUNCTION("""COMPUTED_VALUE"""),5902557330249)</f>
        <v>5902557330249</v>
      </c>
      <c r="D458" s="4" t="str">
        <f ca="1">IFERROR(__xludf.DUMMYFUNCTION("""COMPUTED_VALUE"""),"BATERIA UMYWALKOWA TESS ZŁOTA WYSOKA")</f>
        <v>BATERIA UMYWALKOWA TESS ZŁOTA WYSOKA</v>
      </c>
      <c r="E458" s="31">
        <v>65.878048780487816</v>
      </c>
      <c r="F458" s="31">
        <f t="shared" si="7"/>
        <v>81.030000000000015</v>
      </c>
    </row>
    <row r="459" spans="1:6" ht="18.75" customHeight="1" x14ac:dyDescent="0.25">
      <c r="A459" s="2" t="str">
        <f ca="1">IFERROR(__xludf.DUMMYFUNCTION("""COMPUTED_VALUE"""),"REA-B9406")</f>
        <v>REA-B9406</v>
      </c>
      <c r="B459" s="3">
        <f ca="1">IFERROR(__xludf.DUMMYFUNCTION("""COMPUTED_VALUE"""),30034)</f>
        <v>30034</v>
      </c>
      <c r="C459" s="3">
        <f ca="1">IFERROR(__xludf.DUMMYFUNCTION("""COMPUTED_VALUE"""),5902557338771)</f>
        <v>5902557338771</v>
      </c>
      <c r="D459" s="4" t="str">
        <f ca="1">IFERROR(__xludf.DUMMYFUNCTION("""COMPUTED_VALUE"""),"BATERIA UMYWALKOWA TOMI GUN SZARA WYSOKA")</f>
        <v>BATERIA UMYWALKOWA TOMI GUN SZARA WYSOKA</v>
      </c>
      <c r="E459" s="31">
        <v>47.829268292682933</v>
      </c>
      <c r="F459" s="31">
        <f t="shared" si="7"/>
        <v>58.830000000000005</v>
      </c>
    </row>
    <row r="460" spans="1:6" ht="18.75" customHeight="1" x14ac:dyDescent="0.25">
      <c r="A460" s="2" t="str">
        <f ca="1">IFERROR(__xludf.DUMMYFUNCTION("""COMPUTED_VALUE"""),"REA-B7901")</f>
        <v>REA-B7901</v>
      </c>
      <c r="B460" s="3">
        <f ca="1">IFERROR(__xludf.DUMMYFUNCTION("""COMPUTED_VALUE"""),53649)</f>
        <v>53649</v>
      </c>
      <c r="C460" s="3">
        <f ca="1">IFERROR(__xludf.DUMMYFUNCTION("""COMPUTED_VALUE"""),5906366003554)</f>
        <v>5906366003554</v>
      </c>
      <c r="D460" s="4" t="str">
        <f ca="1">IFERROR(__xludf.DUMMYFUNCTION("""COMPUTED_VALUE"""),"BATERIA UMYWALKOWA VERSO CZARNA NISKA")</f>
        <v>BATERIA UMYWALKOWA VERSO CZARNA NISKA</v>
      </c>
      <c r="E460" s="31">
        <v>62.268292682926841</v>
      </c>
      <c r="F460" s="31">
        <f t="shared" si="7"/>
        <v>76.590000000000018</v>
      </c>
    </row>
    <row r="461" spans="1:6" ht="18.75" customHeight="1" x14ac:dyDescent="0.25">
      <c r="A461" s="2" t="str">
        <f ca="1">IFERROR(__xludf.DUMMYFUNCTION("""COMPUTED_VALUE"""),"REA-B7902")</f>
        <v>REA-B7902</v>
      </c>
      <c r="B461" s="3">
        <f ca="1">IFERROR(__xludf.DUMMYFUNCTION("""COMPUTED_VALUE"""),53651)</f>
        <v>53651</v>
      </c>
      <c r="C461" s="3">
        <f ca="1">IFERROR(__xludf.DUMMYFUNCTION("""COMPUTED_VALUE"""),5906366003561)</f>
        <v>5906366003561</v>
      </c>
      <c r="D461" s="4" t="str">
        <f ca="1">IFERROR(__xludf.DUMMYFUNCTION("""COMPUTED_VALUE"""),"BATERIA UMYWALKOWA VERSO CZARNA WYSOKA")</f>
        <v>BATERIA UMYWALKOWA VERSO CZARNA WYSOKA</v>
      </c>
      <c r="E461" s="31">
        <v>84.82926829268294</v>
      </c>
      <c r="F461" s="31">
        <f t="shared" si="7"/>
        <v>104.34000000000002</v>
      </c>
    </row>
    <row r="462" spans="1:6" ht="18.75" customHeight="1" x14ac:dyDescent="0.25">
      <c r="A462" s="2" t="str">
        <f ca="1">IFERROR(__xludf.DUMMYFUNCTION("""COMPUTED_VALUE"""),"REA-B9141")</f>
        <v>REA-B9141</v>
      </c>
      <c r="B462" s="3">
        <f ca="1">IFERROR(__xludf.DUMMYFUNCTION("""COMPUTED_VALUE"""),47377)</f>
        <v>47377</v>
      </c>
      <c r="C462" s="3">
        <f ca="1">IFERROR(__xludf.DUMMYFUNCTION("""COMPUTED_VALUE"""),5902557375417)</f>
        <v>5902557375417</v>
      </c>
      <c r="D462" s="4" t="str">
        <f ca="1">IFERROR(__xludf.DUMMYFUNCTION("""COMPUTED_VALUE"""),"BATERIA UMYWALKOWA VERSO NIKIEL SZCZOTKOWANY NISKA")</f>
        <v>BATERIA UMYWALKOWA VERSO NIKIEL SZCZOTKOWANY NISKA</v>
      </c>
      <c r="E462" s="31">
        <v>78.512195121951223</v>
      </c>
      <c r="F462" s="31">
        <f t="shared" si="7"/>
        <v>96.570000000000007</v>
      </c>
    </row>
    <row r="463" spans="1:6" ht="18.75" customHeight="1" x14ac:dyDescent="0.25">
      <c r="A463" s="2" t="str">
        <f ca="1">IFERROR(__xludf.DUMMYFUNCTION("""COMPUTED_VALUE"""),"REA-B6555")</f>
        <v>REA-B6555</v>
      </c>
      <c r="B463" s="3">
        <f ca="1">IFERROR(__xludf.DUMMYFUNCTION("""COMPUTED_VALUE"""),46472)</f>
        <v>46472</v>
      </c>
      <c r="C463" s="3">
        <f ca="1">IFERROR(__xludf.DUMMYFUNCTION("""COMPUTED_VALUE"""),5902557375400)</f>
        <v>5902557375400</v>
      </c>
      <c r="D463" s="4" t="str">
        <f ca="1">IFERROR(__xludf.DUMMYFUNCTION("""COMPUTED_VALUE"""),"BATERIA UMYWALKOWA VERSO ZŁOTA SZCZOTKOWANA NISKA")</f>
        <v>BATERIA UMYWALKOWA VERSO ZŁOTA SZCZOTKOWANA NISKA</v>
      </c>
      <c r="E463" s="31">
        <v>69.487804878048792</v>
      </c>
      <c r="F463" s="31">
        <f t="shared" si="7"/>
        <v>85.470000000000013</v>
      </c>
    </row>
    <row r="464" spans="1:6" ht="18.75" customHeight="1" x14ac:dyDescent="0.25">
      <c r="A464" s="2" t="str">
        <f ca="1">IFERROR(__xludf.DUMMYFUNCTION("""COMPUTED_VALUE"""),"REA-B6564")</f>
        <v>REA-B6564</v>
      </c>
      <c r="B464" s="3">
        <f ca="1">IFERROR(__xludf.DUMMYFUNCTION("""COMPUTED_VALUE"""),46473)</f>
        <v>46473</v>
      </c>
      <c r="C464" s="3">
        <f ca="1">IFERROR(__xludf.DUMMYFUNCTION("""COMPUTED_VALUE"""),5902557375424)</f>
        <v>5902557375424</v>
      </c>
      <c r="D464" s="4" t="str">
        <f ca="1">IFERROR(__xludf.DUMMYFUNCTION("""COMPUTED_VALUE"""),"BATERIA UMYWALKOWA VERSO ZŁOTA SZCZOTKOWANA WYSOKA")</f>
        <v>BATERIA UMYWALKOWA VERSO ZŁOTA SZCZOTKOWANA WYSOKA</v>
      </c>
      <c r="E464" s="31">
        <v>92.951219512195124</v>
      </c>
      <c r="F464" s="31">
        <f t="shared" si="7"/>
        <v>114.33</v>
      </c>
    </row>
    <row r="465" spans="1:6" ht="18.75" customHeight="1" x14ac:dyDescent="0.25">
      <c r="A465" s="2" t="str">
        <f ca="1">IFERROR(__xludf.DUMMYFUNCTION("""COMPUTED_VALUE"""),"REA-B8767")</f>
        <v>REA-B8767</v>
      </c>
      <c r="B465" s="3">
        <f ca="1">IFERROR(__xludf.DUMMYFUNCTION("""COMPUTED_VALUE"""),41897)</f>
        <v>41897</v>
      </c>
      <c r="C465" s="3">
        <f ca="1">IFERROR(__xludf.DUMMYFUNCTION("""COMPUTED_VALUE"""),5902557356928)</f>
        <v>5902557356928</v>
      </c>
      <c r="D465" s="4" t="str">
        <f ca="1">IFERROR(__xludf.DUMMYFUNCTION("""COMPUTED_VALUE"""),"BATERIA UMYWALKOWA VERTIGO SIDE CZARNA WYSOKA")</f>
        <v>BATERIA UMYWALKOWA VERTIGO SIDE CZARNA WYSOKA</v>
      </c>
      <c r="E465" s="31">
        <v>71.292682926829286</v>
      </c>
      <c r="F465" s="31">
        <f t="shared" si="7"/>
        <v>87.690000000000026</v>
      </c>
    </row>
    <row r="466" spans="1:6" ht="18.75" customHeight="1" x14ac:dyDescent="0.25">
      <c r="A466" s="2" t="str">
        <f ca="1">IFERROR(__xludf.DUMMYFUNCTION("""COMPUTED_VALUE"""),"REA-B3921")</f>
        <v>REA-B3921</v>
      </c>
      <c r="B466" s="3">
        <f ca="1">IFERROR(__xludf.DUMMYFUNCTION("""COMPUTED_VALUE"""),41745)</f>
        <v>41745</v>
      </c>
      <c r="C466" s="3">
        <f ca="1">IFERROR(__xludf.DUMMYFUNCTION("""COMPUTED_VALUE"""),5902557356942)</f>
        <v>5902557356942</v>
      </c>
      <c r="D466" s="4" t="str">
        <f ca="1">IFERROR(__xludf.DUMMYFUNCTION("""COMPUTED_VALUE"""),"BATERIA UMYWALKOWA VERTIGO UP CZARNA WYSOKA")</f>
        <v>BATERIA UMYWALKOWA VERTIGO UP CZARNA WYSOKA</v>
      </c>
      <c r="E466" s="31">
        <v>59.560975609756099</v>
      </c>
      <c r="F466" s="31">
        <f t="shared" si="7"/>
        <v>73.260000000000005</v>
      </c>
    </row>
    <row r="467" spans="1:6" ht="18.75" customHeight="1" x14ac:dyDescent="0.25">
      <c r="A467" s="2" t="str">
        <f ca="1">IFERROR(__xludf.DUMMYFUNCTION("""COMPUTED_VALUE"""),"REA-B0226")</f>
        <v>REA-B0226</v>
      </c>
      <c r="B467" s="3">
        <f ca="1">IFERROR(__xludf.DUMMYFUNCTION("""COMPUTED_VALUE"""),17818)</f>
        <v>17818</v>
      </c>
      <c r="C467" s="3">
        <f ca="1">IFERROR(__xludf.DUMMYFUNCTION("""COMPUTED_VALUE"""),5902557331703)</f>
        <v>5902557331703</v>
      </c>
      <c r="D467" s="4" t="str">
        <f ca="1">IFERROR(__xludf.DUMMYFUNCTION("""COMPUTED_VALUE"""),"BATERIA UMYWALKOWA VINTAGE CZARNA PRZECIERAN NISKA")</f>
        <v>BATERIA UMYWALKOWA VINTAGE CZARNA PRZECIERAN NISKA</v>
      </c>
      <c r="E467" s="31">
        <v>74.902439024390262</v>
      </c>
      <c r="F467" s="31">
        <f t="shared" si="7"/>
        <v>92.130000000000024</v>
      </c>
    </row>
    <row r="468" spans="1:6" ht="18.75" customHeight="1" x14ac:dyDescent="0.25">
      <c r="A468" s="2" t="str">
        <f ca="1">IFERROR(__xludf.DUMMYFUNCTION("""COMPUTED_VALUE"""),"REA-B9601")</f>
        <v>REA-B9601</v>
      </c>
      <c r="B468" s="3"/>
      <c r="C468" s="3"/>
      <c r="D468" s="4" t="str">
        <f ca="1">IFERROR(__xludf.DUMMYFUNCTION("""COMPUTED_VALUE"""),"BATERIA UMYWALKOWA WYSOKA APOLLO BLACK/ROSE GOLD")</f>
        <v>BATERIA UMYWALKOWA WYSOKA APOLLO BLACK/ROSE GOLD</v>
      </c>
      <c r="E468" s="31">
        <v>60.463414634146346</v>
      </c>
      <c r="F468" s="31">
        <f t="shared" si="7"/>
        <v>74.37</v>
      </c>
    </row>
    <row r="469" spans="1:6" ht="18.75" customHeight="1" x14ac:dyDescent="0.25">
      <c r="A469" s="2" t="str">
        <f ca="1">IFERROR(__xludf.DUMMYFUNCTION("""COMPUTED_VALUE"""),"REA-B9603")</f>
        <v>REA-B9603</v>
      </c>
      <c r="B469" s="3"/>
      <c r="C469" s="3">
        <f ca="1">IFERROR(__xludf.DUMMYFUNCTION("""COMPUTED_VALUE"""),5902557336081)</f>
        <v>5902557336081</v>
      </c>
      <c r="D469" s="4" t="str">
        <f ca="1">IFERROR(__xludf.DUMMYFUNCTION("""COMPUTED_VALUE"""),"BATERIA UMYWALKOWA WYSOKA APOLLO WHITE/ROSE GOLD")</f>
        <v>BATERIA UMYWALKOWA WYSOKA APOLLO WHITE/ROSE GOLD</v>
      </c>
      <c r="E469" s="31">
        <v>60.463414634146346</v>
      </c>
      <c r="F469" s="31">
        <f t="shared" si="7"/>
        <v>74.37</v>
      </c>
    </row>
    <row r="470" spans="1:6" ht="18.75" customHeight="1" x14ac:dyDescent="0.25">
      <c r="A470" s="2" t="str">
        <f ca="1">IFERROR(__xludf.DUMMYFUNCTION("""COMPUTED_VALUE"""),"REA-B8035")</f>
        <v>REA-B8035</v>
      </c>
      <c r="B470" s="3">
        <f ca="1">IFERROR(__xludf.DUMMYFUNCTION("""COMPUTED_VALUE"""),30270)</f>
        <v>30270</v>
      </c>
      <c r="C470" s="3">
        <f ca="1">IFERROR(__xludf.DUMMYFUNCTION("""COMPUTED_VALUE"""),5902557338740)</f>
        <v>5902557338740</v>
      </c>
      <c r="D470" s="4" t="str">
        <f ca="1">IFERROR(__xludf.DUMMYFUNCTION("""COMPUTED_VALUE"""),"BATERIA UMYWALKOWA ZEN CZARNA WYSOKA")</f>
        <v>BATERIA UMYWALKOWA ZEN CZARNA WYSOKA</v>
      </c>
      <c r="E470" s="31">
        <v>66.780487804878049</v>
      </c>
      <c r="F470" s="31">
        <f t="shared" si="7"/>
        <v>82.14</v>
      </c>
    </row>
    <row r="471" spans="1:6" ht="18.75" customHeight="1" x14ac:dyDescent="0.25">
      <c r="A471" s="2" t="str">
        <f ca="1">IFERROR(__xludf.DUMMYFUNCTION("""COMPUTED_VALUE"""),"REA-B9903")</f>
        <v>REA-B9903</v>
      </c>
      <c r="B471" s="3">
        <f ca="1">IFERROR(__xludf.DUMMYFUNCTION("""COMPUTED_VALUE"""),44637)</f>
        <v>44637</v>
      </c>
      <c r="C471" s="3">
        <f ca="1">IFERROR(__xludf.DUMMYFUNCTION("""COMPUTED_VALUE"""),5902557368693)</f>
        <v>5902557368693</v>
      </c>
      <c r="D471" s="4" t="str">
        <f ca="1">IFERROR(__xludf.DUMMYFUNCTION("""COMPUTED_VALUE"""),"BATERIA WANN MY1709-3DBR ROMANO CZARNA PRZECIERANA")</f>
        <v>BATERIA WANN MY1709-3DBR ROMANO CZARNA PRZECIERANA</v>
      </c>
      <c r="E471" s="31">
        <v>83.024390243902445</v>
      </c>
      <c r="F471" s="31">
        <f t="shared" si="7"/>
        <v>102.12</v>
      </c>
    </row>
    <row r="472" spans="1:6" ht="18.75" customHeight="1" x14ac:dyDescent="0.25">
      <c r="A472" s="2" t="str">
        <f ca="1">IFERROR(__xludf.DUMMYFUNCTION("""COMPUTED_VALUE"""),"REA-B9975")</f>
        <v>REA-B9975</v>
      </c>
      <c r="B472" s="3">
        <f ca="1">IFERROR(__xludf.DUMMYFUNCTION("""COMPUTED_VALUE"""),44653)</f>
        <v>44653</v>
      </c>
      <c r="C472" s="3">
        <f ca="1">IFERROR(__xludf.DUMMYFUNCTION("""COMPUTED_VALUE"""),5902557369379)</f>
        <v>5902557369379</v>
      </c>
      <c r="D472" s="4" t="str">
        <f ca="1">IFERROR(__xludf.DUMMYFUNCTION("""COMPUTED_VALUE"""),"BATERIA WANN MY1803-3DBR BLADE CZARNA PRZECIERANA")</f>
        <v>BATERIA WANN MY1803-3DBR BLADE CZARNA PRZECIERANA</v>
      </c>
      <c r="E472" s="31">
        <v>79.41463414634147</v>
      </c>
      <c r="F472" s="31">
        <f t="shared" si="7"/>
        <v>97.68</v>
      </c>
    </row>
    <row r="473" spans="1:6" ht="18.75" customHeight="1" x14ac:dyDescent="0.25">
      <c r="A473" s="2" t="str">
        <f ca="1">IFERROR(__xludf.DUMMYFUNCTION("""COMPUTED_VALUE"""),"REA-B2024")</f>
        <v>REA-B2024</v>
      </c>
      <c r="B473" s="3">
        <f ca="1">IFERROR(__xludf.DUMMYFUNCTION("""COMPUTED_VALUE"""),45048)</f>
        <v>45048</v>
      </c>
      <c r="C473" s="3">
        <f ca="1">IFERROR(__xludf.DUMMYFUNCTION("""COMPUTED_VALUE"""),5902557370351)</f>
        <v>5902557370351</v>
      </c>
      <c r="D473" s="4" t="str">
        <f ca="1">IFERROR(__xludf.DUMMYFUNCTION("""COMPUTED_VALUE"""),"BATERIA WANNOWA  JS-634903G VIRAL ZŁOTA")</f>
        <v>BATERIA WANNOWA  JS-634903G VIRAL ZŁOTA</v>
      </c>
      <c r="E473" s="31">
        <v>80.317073170731717</v>
      </c>
      <c r="F473" s="31">
        <f t="shared" si="7"/>
        <v>98.79</v>
      </c>
    </row>
    <row r="474" spans="1:6" ht="18.75" customHeight="1" x14ac:dyDescent="0.25">
      <c r="A474" s="2" t="str">
        <f ca="1">IFERROR(__xludf.DUMMYFUNCTION("""COMPUTED_VALUE"""),"REA-B2034")</f>
        <v>REA-B2034</v>
      </c>
      <c r="B474" s="3">
        <f ca="1">IFERROR(__xludf.DUMMYFUNCTION("""COMPUTED_VALUE"""),45032)</f>
        <v>45032</v>
      </c>
      <c r="C474" s="3">
        <f ca="1">IFERROR(__xludf.DUMMYFUNCTION("""COMPUTED_VALUE"""),5902557370450)</f>
        <v>5902557370450</v>
      </c>
      <c r="D474" s="4" t="str">
        <f ca="1">IFERROR(__xludf.DUMMYFUNCTION("""COMPUTED_VALUE"""),"BATERIA WANNOWA  JS-723003G RUSEL ZŁOTA")</f>
        <v>BATERIA WANNOWA  JS-723003G RUSEL ZŁOTA</v>
      </c>
      <c r="E474" s="31">
        <v>69.487804878048792</v>
      </c>
      <c r="F474" s="31">
        <f t="shared" si="7"/>
        <v>85.470000000000013</v>
      </c>
    </row>
    <row r="475" spans="1:6" ht="18.75" customHeight="1" x14ac:dyDescent="0.25">
      <c r="A475" s="2" t="str">
        <f ca="1">IFERROR(__xludf.DUMMYFUNCTION("""COMPUTED_VALUE"""),"REA-B6630")</f>
        <v>REA-B6630</v>
      </c>
      <c r="B475" s="3">
        <f ca="1">IFERROR(__xludf.DUMMYFUNCTION("""COMPUTED_VALUE"""),37970)</f>
        <v>37970</v>
      </c>
      <c r="C475" s="3">
        <f ca="1">IFERROR(__xludf.DUMMYFUNCTION("""COMPUTED_VALUE"""),5902557349579)</f>
        <v>5902557349579</v>
      </c>
      <c r="D475" s="4" t="str">
        <f ca="1">IFERROR(__xludf.DUMMYFUNCTION("""COMPUTED_VALUE"""),"BATERIA WANNOWA 3-OTWOROWA GLEN CZARNA")</f>
        <v>BATERIA WANNOWA 3-OTWOROWA GLEN CZARNA</v>
      </c>
      <c r="E475" s="31">
        <v>180.48780487804879</v>
      </c>
      <c r="F475" s="31">
        <f t="shared" si="7"/>
        <v>222</v>
      </c>
    </row>
    <row r="476" spans="1:6" ht="18.75" customHeight="1" x14ac:dyDescent="0.25">
      <c r="A476" s="2" t="str">
        <f ca="1">IFERROR(__xludf.DUMMYFUNCTION("""COMPUTED_VALUE"""),"REA-B6631")</f>
        <v>REA-B6631</v>
      </c>
      <c r="B476" s="3">
        <f ca="1">IFERROR(__xludf.DUMMYFUNCTION("""COMPUTED_VALUE"""),37971)</f>
        <v>37971</v>
      </c>
      <c r="C476" s="3">
        <f ca="1">IFERROR(__xludf.DUMMYFUNCTION("""COMPUTED_VALUE"""),5902557349586)</f>
        <v>5902557349586</v>
      </c>
      <c r="D476" s="4" t="str">
        <f ca="1">IFERROR(__xludf.DUMMYFUNCTION("""COMPUTED_VALUE"""),"BATERIA WANNOWA 3-OTWOROWA GLEN ZŁOTA")</f>
        <v>BATERIA WANNOWA 3-OTWOROWA GLEN ZŁOTA</v>
      </c>
      <c r="E476" s="31">
        <v>184.09756097560975</v>
      </c>
      <c r="F476" s="31">
        <f t="shared" si="7"/>
        <v>226.44</v>
      </c>
    </row>
    <row r="477" spans="1:6" ht="18.75" customHeight="1" x14ac:dyDescent="0.25">
      <c r="A477" s="2" t="str">
        <f ca="1">IFERROR(__xludf.DUMMYFUNCTION("""COMPUTED_VALUE"""),"REA-B0185")</f>
        <v>REA-B0185</v>
      </c>
      <c r="B477" s="3">
        <f ca="1">IFERROR(__xludf.DUMMYFUNCTION("""COMPUTED_VALUE"""),18899)</f>
        <v>18899</v>
      </c>
      <c r="C477" s="3">
        <f ca="1">IFERROR(__xludf.DUMMYFUNCTION("""COMPUTED_VALUE"""),5902557331536)</f>
        <v>5902557331536</v>
      </c>
      <c r="D477" s="4" t="str">
        <f ca="1">IFERROR(__xludf.DUMMYFUNCTION("""COMPUTED_VALUE"""),"BATERIA WANNOWA 3-OTWOROWA SONIC CZARNA")</f>
        <v>BATERIA WANNOWA 3-OTWOROWA SONIC CZARNA</v>
      </c>
      <c r="E477" s="31">
        <v>164.2439024390244</v>
      </c>
      <c r="F477" s="31">
        <f t="shared" si="7"/>
        <v>202.02</v>
      </c>
    </row>
    <row r="478" spans="1:6" ht="18.75" customHeight="1" x14ac:dyDescent="0.25">
      <c r="A478" s="2" t="str">
        <f ca="1">IFERROR(__xludf.DUMMYFUNCTION("""COMPUTED_VALUE"""),"REA-B3622")</f>
        <v>REA-B3622</v>
      </c>
      <c r="B478" s="3">
        <f ca="1">IFERROR(__xludf.DUMMYFUNCTION("""COMPUTED_VALUE"""),43325)</f>
        <v>43325</v>
      </c>
      <c r="C478" s="3">
        <f ca="1">IFERROR(__xludf.DUMMYFUNCTION("""COMPUTED_VALUE"""),5902557357505)</f>
        <v>5902557357505</v>
      </c>
      <c r="D478" s="4" t="str">
        <f ca="1">IFERROR(__xludf.DUMMYFUNCTION("""COMPUTED_VALUE"""),"BATERIA WANNOWA 5-OTWOROWA ICON CZARNA/ZŁOTA")</f>
        <v>BATERIA WANNOWA 5-OTWOROWA ICON CZARNA/ZŁOTA</v>
      </c>
      <c r="E478" s="31">
        <v>191.31707317073173</v>
      </c>
      <c r="F478" s="31">
        <f t="shared" si="7"/>
        <v>235.32000000000002</v>
      </c>
    </row>
    <row r="479" spans="1:6" ht="18.75" customHeight="1" x14ac:dyDescent="0.25">
      <c r="A479" s="2" t="str">
        <f ca="1">IFERROR(__xludf.DUMMYFUNCTION("""COMPUTED_VALUE"""),"REA-B1128")</f>
        <v>REA-B1128</v>
      </c>
      <c r="B479" s="3">
        <f ca="1">IFERROR(__xludf.DUMMYFUNCTION("""COMPUTED_VALUE"""),53900)</f>
        <v>53900</v>
      </c>
      <c r="C479" s="3">
        <f ca="1">IFERROR(__xludf.DUMMYFUNCTION("""COMPUTED_VALUE"""),5906366002762)</f>
        <v>5906366002762</v>
      </c>
      <c r="D479" s="4" t="str">
        <f ca="1">IFERROR(__xludf.DUMMYFUNCTION("""COMPUTED_VALUE"""),"BATERIA WANNOWA AVALON CZARNA")</f>
        <v>BATERIA WANNOWA AVALON CZARNA</v>
      </c>
      <c r="E479" s="31">
        <v>78.512195121951223</v>
      </c>
      <c r="F479" s="31">
        <f t="shared" si="7"/>
        <v>96.570000000000007</v>
      </c>
    </row>
    <row r="480" spans="1:6" ht="18.75" customHeight="1" x14ac:dyDescent="0.25">
      <c r="A480" s="2" t="str">
        <f ca="1">IFERROR(__xludf.DUMMYFUNCTION("""COMPUTED_VALUE"""),"REA-B2706")</f>
        <v>REA-B2706</v>
      </c>
      <c r="B480" s="3">
        <f ca="1">IFERROR(__xludf.DUMMYFUNCTION("""COMPUTED_VALUE"""),52165)</f>
        <v>52165</v>
      </c>
      <c r="C480" s="3">
        <f ca="1">IFERROR(__xludf.DUMMYFUNCTION("""COMPUTED_VALUE"""),5902557391943)</f>
        <v>5902557391943</v>
      </c>
      <c r="D480" s="4" t="str">
        <f ca="1">IFERROR(__xludf.DUMMYFUNCTION("""COMPUTED_VALUE"""),"BATERIA WANNOWA AVALON TYTAN")</f>
        <v>BATERIA WANNOWA AVALON TYTAN</v>
      </c>
      <c r="E480" s="31">
        <v>91.146341463414643</v>
      </c>
      <c r="F480" s="31">
        <f t="shared" si="7"/>
        <v>112.11000000000001</v>
      </c>
    </row>
    <row r="481" spans="1:6" ht="18.75" customHeight="1" x14ac:dyDescent="0.25">
      <c r="A481" s="2" t="str">
        <f ca="1">IFERROR(__xludf.DUMMYFUNCTION("""COMPUTED_VALUE"""),"REA-B1129")</f>
        <v>REA-B1129</v>
      </c>
      <c r="B481" s="3">
        <f ca="1">IFERROR(__xludf.DUMMYFUNCTION("""COMPUTED_VALUE"""),53899)</f>
        <v>53899</v>
      </c>
      <c r="C481" s="3">
        <f ca="1">IFERROR(__xludf.DUMMYFUNCTION("""COMPUTED_VALUE"""),5906366002779)</f>
        <v>5906366002779</v>
      </c>
      <c r="D481" s="4" t="str">
        <f ca="1">IFERROR(__xludf.DUMMYFUNCTION("""COMPUTED_VALUE"""),"BATERIA WANNOWA AVALON ZŁOTA")</f>
        <v>BATERIA WANNOWA AVALON ZŁOTA</v>
      </c>
      <c r="E481" s="31">
        <v>89.341463414634148</v>
      </c>
      <c r="F481" s="31">
        <f t="shared" si="7"/>
        <v>109.89</v>
      </c>
    </row>
    <row r="482" spans="1:6" ht="18.75" customHeight="1" x14ac:dyDescent="0.25">
      <c r="A482" s="2" t="str">
        <f ca="1">IFERROR(__xludf.DUMMYFUNCTION("""COMPUTED_VALUE"""),"REA-B2707")</f>
        <v>REA-B2707</v>
      </c>
      <c r="B482" s="3">
        <f ca="1">IFERROR(__xludf.DUMMYFUNCTION("""COMPUTED_VALUE"""),52159)</f>
        <v>52159</v>
      </c>
      <c r="C482" s="3">
        <f ca="1">IFERROR(__xludf.DUMMYFUNCTION("""COMPUTED_VALUE"""),5902557391950)</f>
        <v>5902557391950</v>
      </c>
      <c r="D482" s="4" t="str">
        <f ca="1">IFERROR(__xludf.DUMMYFUNCTION("""COMPUTED_VALUE"""),"BATERIA WANNOWA AVALON ZŁOTA SZCZOTKOWANA")</f>
        <v>BATERIA WANNOWA AVALON ZŁOTA SZCZOTKOWANA</v>
      </c>
      <c r="E482" s="31">
        <v>89.341463414634148</v>
      </c>
      <c r="F482" s="31">
        <f t="shared" si="7"/>
        <v>109.89</v>
      </c>
    </row>
    <row r="483" spans="1:6" ht="18.75" customHeight="1" x14ac:dyDescent="0.25">
      <c r="A483" s="2" t="str">
        <f ca="1">IFERROR(__xludf.DUMMYFUNCTION("""COMPUTED_VALUE"""),"REA-B0456")</f>
        <v>REA-B0456</v>
      </c>
      <c r="B483" s="3">
        <f ca="1">IFERROR(__xludf.DUMMYFUNCTION("""COMPUTED_VALUE"""),52607)</f>
        <v>52607</v>
      </c>
      <c r="C483" s="3">
        <f ca="1">IFERROR(__xludf.DUMMYFUNCTION("""COMPUTED_VALUE"""),5902557319664)</f>
        <v>5902557319664</v>
      </c>
      <c r="D483" s="4" t="str">
        <f ca="1">IFERROR(__xludf.DUMMYFUNCTION("""COMPUTED_VALUE"""),"BATERIA WANNOWA AZUR CHROM")</f>
        <v>BATERIA WANNOWA AZUR CHROM</v>
      </c>
      <c r="E483" s="31">
        <v>131.75609756097563</v>
      </c>
      <c r="F483" s="31">
        <f t="shared" si="7"/>
        <v>162.06000000000003</v>
      </c>
    </row>
    <row r="484" spans="1:6" ht="18.75" customHeight="1" x14ac:dyDescent="0.25">
      <c r="A484" s="2" t="str">
        <f ca="1">IFERROR(__xludf.DUMMYFUNCTION("""COMPUTED_VALUE"""),"REA-B3421")</f>
        <v>REA-B3421</v>
      </c>
      <c r="B484" s="3">
        <f ca="1">IFERROR(__xludf.DUMMYFUNCTION("""COMPUTED_VALUE"""),41747)</f>
        <v>41747</v>
      </c>
      <c r="C484" s="3">
        <f ca="1">IFERROR(__xludf.DUMMYFUNCTION("""COMPUTED_VALUE"""),5902557356911)</f>
        <v>5902557356911</v>
      </c>
      <c r="D484" s="4" t="str">
        <f ca="1">IFERROR(__xludf.DUMMYFUNCTION("""COMPUTED_VALUE"""),"BATERIA WANNOWA BUZZ CZARNA")</f>
        <v>BATERIA WANNOWA BUZZ CZARNA</v>
      </c>
      <c r="E484" s="31">
        <v>74.000000000000014</v>
      </c>
      <c r="F484" s="31">
        <f t="shared" si="7"/>
        <v>91.02000000000001</v>
      </c>
    </row>
    <row r="485" spans="1:6" ht="18.75" customHeight="1" x14ac:dyDescent="0.25">
      <c r="A485" s="2" t="str">
        <f ca="1">IFERROR(__xludf.DUMMYFUNCTION("""COMPUTED_VALUE"""),"REA-B9667")</f>
        <v>REA-B9667</v>
      </c>
      <c r="B485" s="3">
        <f ca="1">IFERROR(__xludf.DUMMYFUNCTION("""COMPUTED_VALUE"""),42203)</f>
        <v>42203</v>
      </c>
      <c r="C485" s="3">
        <f ca="1">IFERROR(__xludf.DUMMYFUNCTION("""COMPUTED_VALUE"""),5902557357567)</f>
        <v>5902557357567</v>
      </c>
      <c r="D485" s="4" t="str">
        <f ca="1">IFERROR(__xludf.DUMMYFUNCTION("""COMPUTED_VALUE"""),"BATERIA WANNOWA CREEK CZARNA")</f>
        <v>BATERIA WANNOWA CREEK CZARNA</v>
      </c>
      <c r="E485" s="31">
        <v>89.341463414634148</v>
      </c>
      <c r="F485" s="31">
        <f t="shared" si="7"/>
        <v>109.89</v>
      </c>
    </row>
    <row r="486" spans="1:6" ht="18.75" customHeight="1" x14ac:dyDescent="0.25">
      <c r="A486" s="2" t="str">
        <f ca="1">IFERROR(__xludf.DUMMYFUNCTION("""COMPUTED_VALUE"""),"REA-B3301")</f>
        <v>REA-B3301</v>
      </c>
      <c r="B486" s="3">
        <f ca="1">IFERROR(__xludf.DUMMYFUNCTION("""COMPUTED_VALUE"""),51008)</f>
        <v>51008</v>
      </c>
      <c r="C486" s="3">
        <f ca="1">IFERROR(__xludf.DUMMYFUNCTION("""COMPUTED_VALUE"""),5902557390779)</f>
        <v>5902557390779</v>
      </c>
      <c r="D486" s="4" t="str">
        <f ca="1">IFERROR(__xludf.DUMMYFUNCTION("""COMPUTED_VALUE"""),"BATERIA WANNOWA DART CHROM")</f>
        <v>BATERIA WANNOWA DART CHROM</v>
      </c>
      <c r="E486" s="31">
        <v>83.024390243902445</v>
      </c>
      <c r="F486" s="31">
        <f t="shared" si="7"/>
        <v>102.12</v>
      </c>
    </row>
    <row r="487" spans="1:6" ht="18.75" customHeight="1" x14ac:dyDescent="0.25">
      <c r="A487" s="2" t="str">
        <f ca="1">IFERROR(__xludf.DUMMYFUNCTION("""COMPUTED_VALUE"""),"REA-B3300")</f>
        <v>REA-B3300</v>
      </c>
      <c r="B487" s="3">
        <f ca="1">IFERROR(__xludf.DUMMYFUNCTION("""COMPUTED_VALUE"""),51003)</f>
        <v>51003</v>
      </c>
      <c r="C487" s="3">
        <f ca="1">IFERROR(__xludf.DUMMYFUNCTION("""COMPUTED_VALUE"""),5902557390786)</f>
        <v>5902557390786</v>
      </c>
      <c r="D487" s="4" t="str">
        <f ca="1">IFERROR(__xludf.DUMMYFUNCTION("""COMPUTED_VALUE"""),"BATERIA WANNOWA DART CZARNA")</f>
        <v>BATERIA WANNOWA DART CZARNA</v>
      </c>
      <c r="E487" s="31">
        <v>84.82926829268294</v>
      </c>
      <c r="F487" s="31">
        <f t="shared" si="7"/>
        <v>104.34000000000002</v>
      </c>
    </row>
    <row r="488" spans="1:6" ht="18.75" customHeight="1" x14ac:dyDescent="0.25">
      <c r="A488" s="2" t="str">
        <f ca="1">IFERROR(__xludf.DUMMYFUNCTION("""COMPUTED_VALUE"""),"REA-B5652")</f>
        <v>REA-B5652</v>
      </c>
      <c r="B488" s="3">
        <f ca="1">IFERROR(__xludf.DUMMYFUNCTION("""COMPUTED_VALUE"""),51430)</f>
        <v>51430</v>
      </c>
      <c r="C488" s="3">
        <f ca="1">IFERROR(__xludf.DUMMYFUNCTION("""COMPUTED_VALUE"""),5902557390762)</f>
        <v>5902557390762</v>
      </c>
      <c r="D488" s="4" t="str">
        <f ca="1">IFERROR(__xludf.DUMMYFUNCTION("""COMPUTED_VALUE"""),"BATERIA WANNOWA DART ZŁOTA")</f>
        <v>BATERIA WANNOWA DART ZŁOTA</v>
      </c>
      <c r="E488" s="31">
        <v>114.60975609756099</v>
      </c>
      <c r="F488" s="31">
        <f t="shared" si="7"/>
        <v>140.97000000000003</v>
      </c>
    </row>
    <row r="489" spans="1:6" ht="18.75" customHeight="1" x14ac:dyDescent="0.25">
      <c r="A489" s="2" t="str">
        <f ca="1">IFERROR(__xludf.DUMMYFUNCTION("""COMPUTED_VALUE"""),"REA-B0223")</f>
        <v>REA-B0223</v>
      </c>
      <c r="B489" s="3">
        <f ca="1">IFERROR(__xludf.DUMMYFUNCTION("""COMPUTED_VALUE"""),17392)</f>
        <v>17392</v>
      </c>
      <c r="C489" s="3">
        <f ca="1">IFERROR(__xludf.DUMMYFUNCTION("""COMPUTED_VALUE"""),5902557331628)</f>
        <v>5902557331628</v>
      </c>
      <c r="D489" s="4" t="str">
        <f ca="1">IFERROR(__xludf.DUMMYFUNCTION("""COMPUTED_VALUE"""),"BATERIA WANNOWA ENZO CHROM")</f>
        <v>BATERIA WANNOWA ENZO CHROM</v>
      </c>
      <c r="E489" s="31">
        <v>90.243902439024396</v>
      </c>
      <c r="F489" s="31">
        <f t="shared" si="7"/>
        <v>111</v>
      </c>
    </row>
    <row r="490" spans="1:6" ht="18.75" customHeight="1" x14ac:dyDescent="0.25">
      <c r="A490" s="2" t="str">
        <f ca="1">IFERROR(__xludf.DUMMYFUNCTION("""COMPUTED_VALUE"""),"REA-B0222")</f>
        <v>REA-B0222</v>
      </c>
      <c r="B490" s="3">
        <f ca="1">IFERROR(__xludf.DUMMYFUNCTION("""COMPUTED_VALUE"""),17394)</f>
        <v>17394</v>
      </c>
      <c r="C490" s="3">
        <f ca="1">IFERROR(__xludf.DUMMYFUNCTION("""COMPUTED_VALUE"""),5902557331611)</f>
        <v>5902557331611</v>
      </c>
      <c r="D490" s="4" t="str">
        <f ca="1">IFERROR(__xludf.DUMMYFUNCTION("""COMPUTED_VALUE"""),"BATERIA WANNOWA FALCON")</f>
        <v>BATERIA WANNOWA FALCON</v>
      </c>
      <c r="E490" s="31">
        <v>73.097560975609767</v>
      </c>
      <c r="F490" s="31">
        <f t="shared" si="7"/>
        <v>89.910000000000011</v>
      </c>
    </row>
    <row r="491" spans="1:6" ht="18.75" customHeight="1" x14ac:dyDescent="0.25">
      <c r="A491" s="2" t="str">
        <f ca="1">IFERROR(__xludf.DUMMYFUNCTION("""COMPUTED_VALUE"""),"REA-B5256")</f>
        <v>REA-B5256</v>
      </c>
      <c r="B491" s="3"/>
      <c r="C491" s="3">
        <f ca="1">IFERROR(__xludf.DUMMYFUNCTION("""COMPUTED_VALUE"""),5902557350056)</f>
        <v>5902557350056</v>
      </c>
      <c r="D491" s="4" t="str">
        <f ca="1">IFERROR(__xludf.DUMMYFUNCTION("""COMPUTED_VALUE"""),"BATERIA WANNOWA FALCON BLACK")</f>
        <v>BATERIA WANNOWA FALCON BLACK</v>
      </c>
      <c r="E491" s="31">
        <v>79.41463414634147</v>
      </c>
      <c r="F491" s="31">
        <f t="shared" si="7"/>
        <v>97.68</v>
      </c>
    </row>
    <row r="492" spans="1:6" ht="18.75" customHeight="1" x14ac:dyDescent="0.25">
      <c r="A492" s="2" t="str">
        <f ca="1">IFERROR(__xludf.DUMMYFUNCTION("""COMPUTED_VALUE"""),"REA-B8880")</f>
        <v>REA-B8880</v>
      </c>
      <c r="B492" s="3">
        <f ca="1">IFERROR(__xludf.DUMMYFUNCTION("""COMPUTED_VALUE"""),49261)</f>
        <v>49261</v>
      </c>
      <c r="C492" s="3">
        <f ca="1">IFERROR(__xludf.DUMMYFUNCTION("""COMPUTED_VALUE"""),5902557377893)</f>
        <v>5902557377893</v>
      </c>
      <c r="D492" s="4" t="str">
        <f ca="1">IFERROR(__xludf.DUMMYFUNCTION("""COMPUTED_VALUE"""),"BATERIA WANNOWA FENIX CHROM")</f>
        <v>BATERIA WANNOWA FENIX CHROM</v>
      </c>
      <c r="E492" s="31">
        <v>110.09756097560977</v>
      </c>
      <c r="F492" s="31">
        <f t="shared" si="7"/>
        <v>135.42000000000002</v>
      </c>
    </row>
    <row r="493" spans="1:6" ht="18.75" customHeight="1" x14ac:dyDescent="0.25">
      <c r="A493" s="2" t="str">
        <f ca="1">IFERROR(__xludf.DUMMYFUNCTION("""COMPUTED_VALUE"""),"REA-B3310")</f>
        <v>REA-B3310</v>
      </c>
      <c r="B493" s="3">
        <f ca="1">IFERROR(__xludf.DUMMYFUNCTION("""COMPUTED_VALUE"""),39099)</f>
        <v>39099</v>
      </c>
      <c r="C493" s="3">
        <f ca="1">IFERROR(__xludf.DUMMYFUNCTION("""COMPUTED_VALUE"""),5902557352081)</f>
        <v>5902557352081</v>
      </c>
      <c r="D493" s="4" t="str">
        <f ca="1">IFERROR(__xludf.DUMMYFUNCTION("""COMPUTED_VALUE"""),"BATERIA WANNOWA FENIX CZARNA")</f>
        <v>BATERIA WANNOWA FENIX CZARNA</v>
      </c>
      <c r="E493" s="31">
        <v>129.04878048780489</v>
      </c>
      <c r="F493" s="31">
        <f t="shared" si="7"/>
        <v>158.73000000000002</v>
      </c>
    </row>
    <row r="494" spans="1:6" ht="18.75" customHeight="1" x14ac:dyDescent="0.25">
      <c r="A494" s="2" t="str">
        <f ca="1">IFERROR(__xludf.DUMMYFUNCTION("""COMPUTED_VALUE"""),"REA-B5666")</f>
        <v>REA-B5666</v>
      </c>
      <c r="B494" s="3">
        <f ca="1">IFERROR(__xludf.DUMMYFUNCTION("""COMPUTED_VALUE"""),42833)</f>
        <v>42833</v>
      </c>
      <c r="C494" s="3">
        <f ca="1">IFERROR(__xludf.DUMMYFUNCTION("""COMPUTED_VALUE"""),5902557364077)</f>
        <v>5902557364077</v>
      </c>
      <c r="D494" s="4" t="str">
        <f ca="1">IFERROR(__xludf.DUMMYFUNCTION("""COMPUTED_VALUE"""),"BATERIA WANNOWA FENIX ZŁOTA")</f>
        <v>BATERIA WANNOWA FENIX ZŁOTA</v>
      </c>
      <c r="E494" s="31">
        <v>125.43902439024392</v>
      </c>
      <c r="F494" s="31">
        <f t="shared" si="7"/>
        <v>154.29000000000002</v>
      </c>
    </row>
    <row r="495" spans="1:6" ht="18.75" customHeight="1" x14ac:dyDescent="0.25">
      <c r="A495" s="2" t="str">
        <f ca="1">IFERROR(__xludf.DUMMYFUNCTION("""COMPUTED_VALUE"""),"REA-B0699")</f>
        <v>REA-B0699</v>
      </c>
      <c r="B495" s="3">
        <f ca="1">IFERROR(__xludf.DUMMYFUNCTION("""COMPUTED_VALUE"""),52485)</f>
        <v>52485</v>
      </c>
      <c r="C495" s="3">
        <f ca="1">IFERROR(__xludf.DUMMYFUNCTION("""COMPUTED_VALUE"""),5902557391769)</f>
        <v>5902557391769</v>
      </c>
      <c r="D495" s="4" t="str">
        <f ca="1">IFERROR(__xludf.DUMMYFUNCTION("""COMPUTED_VALUE"""),"BATERIA WANNOWA JAGER ZŁOTA")</f>
        <v>BATERIA WANNOWA JAGER ZŁOTA</v>
      </c>
      <c r="E495" s="31">
        <v>83.024390243902445</v>
      </c>
      <c r="F495" s="31">
        <f t="shared" si="7"/>
        <v>102.12</v>
      </c>
    </row>
    <row r="496" spans="1:6" ht="18.75" customHeight="1" x14ac:dyDescent="0.25">
      <c r="A496" s="2" t="str">
        <f ca="1">IFERROR(__xludf.DUMMYFUNCTION("""COMPUTED_VALUE"""),"REA-B2037")</f>
        <v>REA-B2037</v>
      </c>
      <c r="B496" s="3">
        <f ca="1">IFERROR(__xludf.DUMMYFUNCTION("""COMPUTED_VALUE"""),45044)</f>
        <v>45044</v>
      </c>
      <c r="C496" s="3">
        <f ca="1">IFERROR(__xludf.DUMMYFUNCTION("""COMPUTED_VALUE"""),5902557370481)</f>
        <v>5902557370481</v>
      </c>
      <c r="D496" s="4" t="str">
        <f ca="1">IFERROR(__xludf.DUMMYFUNCTION("""COMPUTED_VALUE"""),"BATERIA WANNOWA JS-620903 BERG CHROM")</f>
        <v>BATERIA WANNOWA JS-620903 BERG CHROM</v>
      </c>
      <c r="E496" s="31">
        <v>82.121951219512198</v>
      </c>
      <c r="F496" s="31">
        <f t="shared" si="7"/>
        <v>101.01</v>
      </c>
    </row>
    <row r="497" spans="1:6" ht="18.75" customHeight="1" x14ac:dyDescent="0.25">
      <c r="A497" s="2" t="str">
        <f ca="1">IFERROR(__xludf.DUMMYFUNCTION("""COMPUTED_VALUE"""),"REA-B2040")</f>
        <v>REA-B2040</v>
      </c>
      <c r="B497" s="3">
        <f ca="1">IFERROR(__xludf.DUMMYFUNCTION("""COMPUTED_VALUE"""),45042)</f>
        <v>45042</v>
      </c>
      <c r="C497" s="3">
        <f ca="1">IFERROR(__xludf.DUMMYFUNCTION("""COMPUTED_VALUE"""),5902557370511)</f>
        <v>5902557370511</v>
      </c>
      <c r="D497" s="4" t="str">
        <f ca="1">IFERROR(__xludf.DUMMYFUNCTION("""COMPUTED_VALUE"""),"BATERIA WANNOWA JS-620903B BERG CZARNA")</f>
        <v>BATERIA WANNOWA JS-620903B BERG CZARNA</v>
      </c>
      <c r="E497" s="31">
        <v>91.146341463414643</v>
      </c>
      <c r="F497" s="31">
        <f t="shared" si="7"/>
        <v>112.11000000000001</v>
      </c>
    </row>
    <row r="498" spans="1:6" ht="18.75" customHeight="1" x14ac:dyDescent="0.25">
      <c r="A498" s="2" t="str">
        <f ca="1">IFERROR(__xludf.DUMMYFUNCTION("""COMPUTED_VALUE"""),"REA-B2043")</f>
        <v>REA-B2043</v>
      </c>
      <c r="B498" s="3">
        <f ca="1">IFERROR(__xludf.DUMMYFUNCTION("""COMPUTED_VALUE"""),45043)</f>
        <v>45043</v>
      </c>
      <c r="C498" s="3">
        <f ca="1">IFERROR(__xludf.DUMMYFUNCTION("""COMPUTED_VALUE"""),5902557370542)</f>
        <v>5902557370542</v>
      </c>
      <c r="D498" s="4" t="str">
        <f ca="1">IFERROR(__xludf.DUMMYFUNCTION("""COMPUTED_VALUE"""),"BATERIA WANNOWA JS-620903G  BERG ZŁOTA")</f>
        <v>BATERIA WANNOWA JS-620903G  BERG ZŁOTA</v>
      </c>
      <c r="E498" s="31">
        <v>101.97560975609757</v>
      </c>
      <c r="F498" s="31">
        <f t="shared" si="7"/>
        <v>125.43</v>
      </c>
    </row>
    <row r="499" spans="1:6" ht="18.75" customHeight="1" x14ac:dyDescent="0.25">
      <c r="A499" s="2" t="str">
        <f ca="1">IFERROR(__xludf.DUMMYFUNCTION("""COMPUTED_VALUE"""),"REA-B2021")</f>
        <v>REA-B2021</v>
      </c>
      <c r="B499" s="3">
        <f ca="1">IFERROR(__xludf.DUMMYFUNCTION("""COMPUTED_VALUE"""),45047)</f>
        <v>45047</v>
      </c>
      <c r="C499" s="3">
        <f ca="1">IFERROR(__xludf.DUMMYFUNCTION("""COMPUTED_VALUE"""),5902557370320)</f>
        <v>5902557370320</v>
      </c>
      <c r="D499" s="4" t="str">
        <f ca="1">IFERROR(__xludf.DUMMYFUNCTION("""COMPUTED_VALUE"""),"BATERIA WANNOWA JS-634903 VIRAL CHROM")</f>
        <v>BATERIA WANNOWA JS-634903 VIRAL CHROM</v>
      </c>
      <c r="E499" s="31">
        <v>65.878048780487816</v>
      </c>
      <c r="F499" s="31">
        <f t="shared" si="7"/>
        <v>81.030000000000015</v>
      </c>
    </row>
    <row r="500" spans="1:6" ht="18.75" customHeight="1" x14ac:dyDescent="0.25">
      <c r="A500" s="2" t="str">
        <f ca="1">IFERROR(__xludf.DUMMYFUNCTION("""COMPUTED_VALUE"""),"REA-B2030")</f>
        <v>REA-B2030</v>
      </c>
      <c r="B500" s="3">
        <f ca="1">IFERROR(__xludf.DUMMYFUNCTION("""COMPUTED_VALUE"""),45046)</f>
        <v>45046</v>
      </c>
      <c r="C500" s="3">
        <f ca="1">IFERROR(__xludf.DUMMYFUNCTION("""COMPUTED_VALUE"""),5902557370412)</f>
        <v>5902557370412</v>
      </c>
      <c r="D500" s="4" t="str">
        <f ca="1">IFERROR(__xludf.DUMMYFUNCTION("""COMPUTED_VALUE"""),"BATERIA WANNOWA JS-634903B VIRAL CZARNA")</f>
        <v>BATERIA WANNOWA JS-634903B VIRAL CZARNA</v>
      </c>
      <c r="E500" s="31">
        <v>74.902439024390262</v>
      </c>
      <c r="F500" s="31">
        <f t="shared" si="7"/>
        <v>92.130000000000024</v>
      </c>
    </row>
    <row r="501" spans="1:6" ht="18.75" customHeight="1" x14ac:dyDescent="0.25">
      <c r="A501" s="2" t="str">
        <f ca="1">IFERROR(__xludf.DUMMYFUNCTION("""COMPUTED_VALUE"""),"REA-B5099")</f>
        <v>REA-B5099</v>
      </c>
      <c r="B501" s="3">
        <f ca="1">IFERROR(__xludf.DUMMYFUNCTION("""COMPUTED_VALUE"""),52873)</f>
        <v>52873</v>
      </c>
      <c r="C501" s="3">
        <f ca="1">IFERROR(__xludf.DUMMYFUNCTION("""COMPUTED_VALUE"""),5902557399666)</f>
        <v>5902557399666</v>
      </c>
      <c r="D501" s="4" t="str">
        <f ca="1">IFERROR(__xludf.DUMMYFUNCTION("""COMPUTED_VALUE"""),"BATERIA WANNOWA JS-701303B FOSS CZARNA")</f>
        <v>BATERIA WANNOWA JS-701303B FOSS CZARNA</v>
      </c>
      <c r="E501" s="31">
        <v>84.82926829268294</v>
      </c>
      <c r="F501" s="31">
        <f t="shared" si="7"/>
        <v>104.34000000000002</v>
      </c>
    </row>
    <row r="502" spans="1:6" ht="18.75" customHeight="1" x14ac:dyDescent="0.25">
      <c r="A502" s="2" t="str">
        <f ca="1">IFERROR(__xludf.DUMMYFUNCTION("""COMPUTED_VALUE"""),"REA-B5112")</f>
        <v>REA-B5112</v>
      </c>
      <c r="B502" s="3">
        <f ca="1">IFERROR(__xludf.DUMMYFUNCTION("""COMPUTED_VALUE"""),52871)</f>
        <v>52871</v>
      </c>
      <c r="C502" s="3">
        <f ca="1">IFERROR(__xludf.DUMMYFUNCTION("""COMPUTED_VALUE"""),5902557399697)</f>
        <v>5902557399697</v>
      </c>
      <c r="D502" s="4" t="str">
        <f ca="1">IFERROR(__xludf.DUMMYFUNCTION("""COMPUTED_VALUE"""),"BATERIA WANNOWA JS-701303BG FOSS ZŁOTY SZCZOT")</f>
        <v>BATERIA WANNOWA JS-701303BG FOSS ZŁOTY SZCZOT</v>
      </c>
      <c r="E502" s="31">
        <v>97.463414634146361</v>
      </c>
      <c r="F502" s="31">
        <f t="shared" si="7"/>
        <v>119.88000000000002</v>
      </c>
    </row>
    <row r="503" spans="1:6" ht="18.75" customHeight="1" x14ac:dyDescent="0.25">
      <c r="A503" s="2" t="str">
        <f ca="1">IFERROR(__xludf.DUMMYFUNCTION("""COMPUTED_VALUE"""),"REA-B4240")</f>
        <v>REA-B4240</v>
      </c>
      <c r="B503" s="3">
        <f ca="1">IFERROR(__xludf.DUMMYFUNCTION("""COMPUTED_VALUE"""),52872)</f>
        <v>52872</v>
      </c>
      <c r="C503" s="3">
        <f ca="1">IFERROR(__xludf.DUMMYFUNCTION("""COMPUTED_VALUE"""),5902557399734)</f>
        <v>5902557399734</v>
      </c>
      <c r="D503" s="4" t="str">
        <f ca="1">IFERROR(__xludf.DUMMYFUNCTION("""COMPUTED_VALUE"""),"BATERIA WANNOWA JS-702303B CLIF CZARNA")</f>
        <v>BATERIA WANNOWA JS-702303B CLIF CZARNA</v>
      </c>
      <c r="E503" s="31">
        <v>84.82926829268294</v>
      </c>
      <c r="F503" s="31">
        <f t="shared" si="7"/>
        <v>104.34000000000002</v>
      </c>
    </row>
    <row r="504" spans="1:6" ht="18.75" customHeight="1" x14ac:dyDescent="0.25">
      <c r="A504" s="2" t="str">
        <f ca="1">IFERROR(__xludf.DUMMYFUNCTION("""COMPUTED_VALUE"""),"REA-B4242")</f>
        <v>REA-B4242</v>
      </c>
      <c r="B504" s="3">
        <f ca="1">IFERROR(__xludf.DUMMYFUNCTION("""COMPUTED_VALUE"""),52870)</f>
        <v>52870</v>
      </c>
      <c r="C504" s="3">
        <f ca="1">IFERROR(__xludf.DUMMYFUNCTION("""COMPUTED_VALUE"""),5902557399703)</f>
        <v>5902557399703</v>
      </c>
      <c r="D504" s="4" t="str">
        <f ca="1">IFERROR(__xludf.DUMMYFUNCTION("""COMPUTED_VALUE"""),"BATERIA WANNOWA JS-702303BG CLIF ZŁOTY SZCZOT")</f>
        <v>BATERIA WANNOWA JS-702303BG CLIF ZŁOTY SZCZOT</v>
      </c>
      <c r="E504" s="31">
        <v>97.463414634146361</v>
      </c>
      <c r="F504" s="31">
        <f t="shared" si="7"/>
        <v>119.88000000000002</v>
      </c>
    </row>
    <row r="505" spans="1:6" ht="18.75" customHeight="1" x14ac:dyDescent="0.25">
      <c r="A505" s="2" t="str">
        <f ca="1">IFERROR(__xludf.DUMMYFUNCTION("""COMPUTED_VALUE"""),"REA-B6874")</f>
        <v>REA-B6874</v>
      </c>
      <c r="B505" s="3">
        <f ca="1">IFERROR(__xludf.DUMMYFUNCTION("""COMPUTED_VALUE"""),54324)</f>
        <v>54324</v>
      </c>
      <c r="C505" s="3">
        <f ca="1">IFERROR(__xludf.DUMMYFUNCTION("""COMPUTED_VALUE"""),5906366007521)</f>
        <v>5906366007521</v>
      </c>
      <c r="D505" s="4" t="str">
        <f ca="1">IFERROR(__xludf.DUMMYFUNCTION("""COMPUTED_VALUE"""),"BATERIA WANNOWA JS-702303N CLIF NIKIEL SZCZOTKOWAN")</f>
        <v>BATERIA WANNOWA JS-702303N CLIF NIKIEL SZCZOTKOWAN</v>
      </c>
      <c r="E505" s="31">
        <v>84.82926829268294</v>
      </c>
      <c r="F505" s="31">
        <f t="shared" si="7"/>
        <v>104.34000000000002</v>
      </c>
    </row>
    <row r="506" spans="1:6" ht="18.75" customHeight="1" x14ac:dyDescent="0.25">
      <c r="A506" s="2" t="str">
        <f ca="1">IFERROR(__xludf.DUMMYFUNCTION("""COMPUTED_VALUE"""),"REA-B2032")</f>
        <v>REA-B2032</v>
      </c>
      <c r="B506" s="3">
        <f ca="1">IFERROR(__xludf.DUMMYFUNCTION("""COMPUTED_VALUE"""),45033)</f>
        <v>45033</v>
      </c>
      <c r="C506" s="3">
        <f ca="1">IFERROR(__xludf.DUMMYFUNCTION("""COMPUTED_VALUE"""),5902557370436)</f>
        <v>5902557370436</v>
      </c>
      <c r="D506" s="4" t="str">
        <f ca="1">IFERROR(__xludf.DUMMYFUNCTION("""COMPUTED_VALUE"""),"BATERIA WANNOWA JS-723003 RUSEL CHROM")</f>
        <v>BATERIA WANNOWA JS-723003 RUSEL CHROM</v>
      </c>
      <c r="E506" s="31">
        <v>59.560975609756099</v>
      </c>
      <c r="F506" s="31">
        <f t="shared" si="7"/>
        <v>73.260000000000005</v>
      </c>
    </row>
    <row r="507" spans="1:6" ht="18.75" customHeight="1" x14ac:dyDescent="0.25">
      <c r="A507" s="2" t="str">
        <f ca="1">IFERROR(__xludf.DUMMYFUNCTION("""COMPUTED_VALUE"""),"REA-B2002")</f>
        <v>REA-B2002</v>
      </c>
      <c r="B507" s="3">
        <f ca="1">IFERROR(__xludf.DUMMYFUNCTION("""COMPUTED_VALUE"""),45049)</f>
        <v>45049</v>
      </c>
      <c r="C507" s="3">
        <f ca="1">IFERROR(__xludf.DUMMYFUNCTION("""COMPUTED_VALUE"""),5902557374533)</f>
        <v>5902557374533</v>
      </c>
      <c r="D507" s="4" t="str">
        <f ca="1">IFERROR(__xludf.DUMMYFUNCTION("""COMPUTED_VALUE"""),"BATERIA WANNOWA JS-8003 FLIP CHROM")</f>
        <v>BATERIA WANNOWA JS-8003 FLIP CHROM</v>
      </c>
      <c r="E507" s="31">
        <v>75.804878048780495</v>
      </c>
      <c r="F507" s="31">
        <f t="shared" si="7"/>
        <v>93.240000000000009</v>
      </c>
    </row>
    <row r="508" spans="1:6" ht="18.75" customHeight="1" x14ac:dyDescent="0.25">
      <c r="A508" s="2" t="str">
        <f ca="1">IFERROR(__xludf.DUMMYFUNCTION("""COMPUTED_VALUE"""),"REA-B2003")</f>
        <v>REA-B2003</v>
      </c>
      <c r="B508" s="3">
        <f ca="1">IFERROR(__xludf.DUMMYFUNCTION("""COMPUTED_VALUE"""),45041)</f>
        <v>45041</v>
      </c>
      <c r="C508" s="3">
        <f ca="1">IFERROR(__xludf.DUMMYFUNCTION("""COMPUTED_VALUE"""),5902557374526)</f>
        <v>5902557374526</v>
      </c>
      <c r="D508" s="4" t="str">
        <f ca="1">IFERROR(__xludf.DUMMYFUNCTION("""COMPUTED_VALUE"""),"BATERIA WANNOWA JS-8003B FLIP CZARNA")</f>
        <v>BATERIA WANNOWA JS-8003B FLIP CZARNA</v>
      </c>
      <c r="E508" s="31">
        <v>85.731707317073173</v>
      </c>
      <c r="F508" s="31">
        <f t="shared" si="7"/>
        <v>105.45</v>
      </c>
    </row>
    <row r="509" spans="1:6" ht="18.75" customHeight="1" x14ac:dyDescent="0.25">
      <c r="A509" s="2" t="str">
        <f ca="1">IFERROR(__xludf.DUMMYFUNCTION("""COMPUTED_VALUE"""),"REA-B7804")</f>
        <v>REA-B7804</v>
      </c>
      <c r="B509" s="3">
        <f ca="1">IFERROR(__xludf.DUMMYFUNCTION("""COMPUTED_VALUE"""),54333)</f>
        <v>54333</v>
      </c>
      <c r="C509" s="3">
        <f ca="1">IFERROR(__xludf.DUMMYFUNCTION("""COMPUTED_VALUE"""),5906366007576)</f>
        <v>5906366007576</v>
      </c>
      <c r="D509" s="4" t="str">
        <f ca="1">IFERROR(__xludf.DUMMYFUNCTION("""COMPUTED_VALUE"""),"BATERIA WANNOWA JS-B34803BG ARGON ZŁOTA SZCZOTKOWA")</f>
        <v>BATERIA WANNOWA JS-B34803BG ARGON ZŁOTA SZCZOTKOWA</v>
      </c>
      <c r="E509" s="31">
        <v>119.1219512195122</v>
      </c>
      <c r="F509" s="31">
        <f t="shared" si="7"/>
        <v>146.52000000000001</v>
      </c>
    </row>
    <row r="510" spans="1:6" ht="18.75" customHeight="1" x14ac:dyDescent="0.25">
      <c r="A510" s="2" t="str">
        <f ca="1">IFERROR(__xludf.DUMMYFUNCTION("""COMPUTED_VALUE"""),"REA-B7805")</f>
        <v>REA-B7805</v>
      </c>
      <c r="B510" s="3">
        <f ca="1">IFERROR(__xludf.DUMMYFUNCTION("""COMPUTED_VALUE"""),54339)</f>
        <v>54339</v>
      </c>
      <c r="C510" s="3">
        <f ca="1">IFERROR(__xludf.DUMMYFUNCTION("""COMPUTED_VALUE"""),5906366007583)</f>
        <v>5906366007583</v>
      </c>
      <c r="D510" s="4" t="str">
        <f ca="1">IFERROR(__xludf.DUMMYFUNCTION("""COMPUTED_VALUE"""),"BATERIA WANNOWA JS-B34803G ARGON ZŁOTA")</f>
        <v>BATERIA WANNOWA JS-B34803G ARGON ZŁOTA</v>
      </c>
      <c r="E510" s="31">
        <v>111.90243902439025</v>
      </c>
      <c r="F510" s="31">
        <f t="shared" si="7"/>
        <v>137.64000000000001</v>
      </c>
    </row>
    <row r="511" spans="1:6" ht="18.75" customHeight="1" x14ac:dyDescent="0.25">
      <c r="A511" s="2" t="str">
        <f ca="1">IFERROR(__xludf.DUMMYFUNCTION("""COMPUTED_VALUE"""),"REA-B8030")</f>
        <v>REA-B8030</v>
      </c>
      <c r="B511" s="3">
        <f ca="1">IFERROR(__xludf.DUMMYFUNCTION("""COMPUTED_VALUE"""),49750)</f>
        <v>49750</v>
      </c>
      <c r="C511" s="3">
        <f ca="1">IFERROR(__xludf.DUMMYFUNCTION("""COMPUTED_VALUE"""),5902557377732)</f>
        <v>5902557377732</v>
      </c>
      <c r="D511" s="4" t="str">
        <f ca="1">IFERROR(__xludf.DUMMYFUNCTION("""COMPUTED_VALUE"""),"BATERIA WANNOWA LUNGO BIAŁA")</f>
        <v>BATERIA WANNOWA LUNGO BIAŁA</v>
      </c>
      <c r="E511" s="31">
        <v>124.53658536585368</v>
      </c>
      <c r="F511" s="31">
        <f t="shared" si="7"/>
        <v>153.18000000000004</v>
      </c>
    </row>
    <row r="512" spans="1:6" ht="18.75" customHeight="1" x14ac:dyDescent="0.25">
      <c r="A512" s="2" t="str">
        <f ca="1">IFERROR(__xludf.DUMMYFUNCTION("""COMPUTED_VALUE"""),"REA-B6641")</f>
        <v>REA-B6641</v>
      </c>
      <c r="B512" s="3">
        <f ca="1">IFERROR(__xludf.DUMMYFUNCTION("""COMPUTED_VALUE"""),39594)</f>
        <v>39594</v>
      </c>
      <c r="C512" s="3">
        <f ca="1">IFERROR(__xludf.DUMMYFUNCTION("""COMPUTED_VALUE"""),5902557354719)</f>
        <v>5902557354719</v>
      </c>
      <c r="D512" s="4" t="str">
        <f ca="1">IFERROR(__xludf.DUMMYFUNCTION("""COMPUTED_VALUE"""),"BATERIA WANNOWA LUNGO CHROM")</f>
        <v>BATERIA WANNOWA LUNGO CHROM</v>
      </c>
      <c r="E512" s="31">
        <v>111.90243902439025</v>
      </c>
      <c r="F512" s="31">
        <f t="shared" si="7"/>
        <v>137.64000000000001</v>
      </c>
    </row>
    <row r="513" spans="1:6" ht="18.75" customHeight="1" x14ac:dyDescent="0.25">
      <c r="A513" s="2" t="str">
        <f ca="1">IFERROR(__xludf.DUMMYFUNCTION("""COMPUTED_VALUE"""),"REA-B6634")</f>
        <v>REA-B6634</v>
      </c>
      <c r="B513" s="3">
        <f ca="1">IFERROR(__xludf.DUMMYFUNCTION("""COMPUTED_VALUE"""),37870)</f>
        <v>37870</v>
      </c>
      <c r="C513" s="3">
        <f ca="1">IFERROR(__xludf.DUMMYFUNCTION("""COMPUTED_VALUE"""),5902557349616)</f>
        <v>5902557349616</v>
      </c>
      <c r="D513" s="4" t="str">
        <f ca="1">IFERROR(__xludf.DUMMYFUNCTION("""COMPUTED_VALUE"""),"BATERIA WANNOWA LUNGO CZARNA")</f>
        <v>BATERIA WANNOWA LUNGO CZARNA</v>
      </c>
      <c r="E513" s="31">
        <v>127.24390243902441</v>
      </c>
      <c r="F513" s="31">
        <f t="shared" si="7"/>
        <v>156.51000000000002</v>
      </c>
    </row>
    <row r="514" spans="1:6" ht="18.75" customHeight="1" x14ac:dyDescent="0.25">
      <c r="A514" s="2" t="str">
        <f ca="1">IFERROR(__xludf.DUMMYFUNCTION("""COMPUTED_VALUE"""),"REA-B4422")</f>
        <v>REA-B4422</v>
      </c>
      <c r="B514" s="3">
        <f ca="1">IFERROR(__xludf.DUMMYFUNCTION("""COMPUTED_VALUE"""),51051)</f>
        <v>51051</v>
      </c>
      <c r="C514" s="3">
        <f ca="1">IFERROR(__xludf.DUMMYFUNCTION("""COMPUTED_VALUE"""),5902557391745)</f>
        <v>5902557391745</v>
      </c>
      <c r="D514" s="4" t="str">
        <f ca="1">IFERROR(__xludf.DUMMYFUNCTION("""COMPUTED_VALUE"""),"BATERIA WANNOWA LUNGO CZARNA METALICZNA")</f>
        <v>BATERIA WANNOWA LUNGO CZARNA METALICZNA</v>
      </c>
      <c r="E514" s="31">
        <v>145.29268292682929</v>
      </c>
      <c r="F514" s="31">
        <f t="shared" si="7"/>
        <v>178.71</v>
      </c>
    </row>
    <row r="515" spans="1:6" ht="18.75" customHeight="1" x14ac:dyDescent="0.25">
      <c r="A515" s="2" t="str">
        <f ca="1">IFERROR(__xludf.DUMMYFUNCTION("""COMPUTED_VALUE"""),"rea-b7987")</f>
        <v>rea-b7987</v>
      </c>
      <c r="B515" s="3">
        <f ca="1">IFERROR(__xludf.DUMMYFUNCTION("""COMPUTED_VALUE"""),54100)</f>
        <v>54100</v>
      </c>
      <c r="C515" s="3">
        <f ca="1">IFERROR(__xludf.DUMMYFUNCTION("""COMPUTED_VALUE"""),5906366008696)</f>
        <v>5906366008696</v>
      </c>
      <c r="D515" s="4" t="str">
        <f ca="1">IFERROR(__xludf.DUMMYFUNCTION("""COMPUTED_VALUE"""),"BATERIA WANNOWA LUNGO MIEDŹ")</f>
        <v>BATERIA WANNOWA LUNGO MIEDŹ</v>
      </c>
      <c r="E515" s="31">
        <v>136.26829268292684</v>
      </c>
      <c r="F515" s="31">
        <f t="shared" ref="F515:F578" si="8">E515*1.23</f>
        <v>167.61</v>
      </c>
    </row>
    <row r="516" spans="1:6" ht="18.75" customHeight="1" x14ac:dyDescent="0.25">
      <c r="A516" s="2" t="str">
        <f ca="1">IFERROR(__xludf.DUMMYFUNCTION("""COMPUTED_VALUE"""),"REA-B1115")</f>
        <v>REA-B1115</v>
      </c>
      <c r="B516" s="3">
        <f ca="1">IFERROR(__xludf.DUMMYFUNCTION("""COMPUTED_VALUE"""),53888)</f>
        <v>53888</v>
      </c>
      <c r="C516" s="3">
        <f ca="1">IFERROR(__xludf.DUMMYFUNCTION("""COMPUTED_VALUE"""),5906366006746)</f>
        <v>5906366006746</v>
      </c>
      <c r="D516" s="4" t="str">
        <f ca="1">IFERROR(__xludf.DUMMYFUNCTION("""COMPUTED_VALUE"""),"BATERIA WANNOWA LUNGO MIEDŹ SZCZOTKOWANA")</f>
        <v>BATERIA WANNOWA LUNGO MIEDŹ SZCZOTKOWANA</v>
      </c>
      <c r="E516" s="31">
        <v>148.00000000000003</v>
      </c>
      <c r="F516" s="31">
        <f t="shared" si="8"/>
        <v>182.04000000000002</v>
      </c>
    </row>
    <row r="517" spans="1:6" ht="18.75" customHeight="1" x14ac:dyDescent="0.25">
      <c r="A517" s="2" t="str">
        <f ca="1">IFERROR(__xludf.DUMMYFUNCTION("""COMPUTED_VALUE"""),"REA-B6695")</f>
        <v>REA-B6695</v>
      </c>
      <c r="B517" s="3">
        <f ca="1">IFERROR(__xludf.DUMMYFUNCTION("""COMPUTED_VALUE"""),43251)</f>
        <v>43251</v>
      </c>
      <c r="C517" s="3">
        <f ca="1">IFERROR(__xludf.DUMMYFUNCTION("""COMPUTED_VALUE"""),5902557368327)</f>
        <v>5902557368327</v>
      </c>
      <c r="D517" s="4" t="str">
        <f ca="1">IFERROR(__xludf.DUMMYFUNCTION("""COMPUTED_VALUE"""),"BATERIA WANNOWA LUNGO RÓŻOWE ZŁOTO")</f>
        <v>BATERIA WANNOWA LUNGO RÓŻOWE ZŁOTO</v>
      </c>
      <c r="E517" s="31">
        <v>138.97560975609758</v>
      </c>
      <c r="F517" s="31">
        <f t="shared" si="8"/>
        <v>170.94000000000003</v>
      </c>
    </row>
    <row r="518" spans="1:6" ht="18.75" customHeight="1" x14ac:dyDescent="0.25">
      <c r="A518" s="2" t="str">
        <f ca="1">IFERROR(__xludf.DUMMYFUNCTION("""COMPUTED_VALUE"""),"REA-B6635")</f>
        <v>REA-B6635</v>
      </c>
      <c r="B518" s="3">
        <f ca="1">IFERROR(__xludf.DUMMYFUNCTION("""COMPUTED_VALUE"""),37976)</f>
        <v>37976</v>
      </c>
      <c r="C518" s="3">
        <f ca="1">IFERROR(__xludf.DUMMYFUNCTION("""COMPUTED_VALUE"""),5902557349623)</f>
        <v>5902557349623</v>
      </c>
      <c r="D518" s="4" t="str">
        <f ca="1">IFERROR(__xludf.DUMMYFUNCTION("""COMPUTED_VALUE"""),"BATERIA WANNOWA LUNGO ZŁOTA")</f>
        <v>BATERIA WANNOWA LUNGO ZŁOTA</v>
      </c>
      <c r="E518" s="31">
        <v>140.78048780487805</v>
      </c>
      <c r="F518" s="31">
        <f t="shared" si="8"/>
        <v>173.16</v>
      </c>
    </row>
    <row r="519" spans="1:6" ht="18.75" customHeight="1" x14ac:dyDescent="0.25">
      <c r="A519" s="2" t="str">
        <f ca="1">IFERROR(__xludf.DUMMYFUNCTION("""COMPUTED_VALUE"""),"REA-B8010")</f>
        <v>REA-B8010</v>
      </c>
      <c r="B519" s="3">
        <f ca="1">IFERROR(__xludf.DUMMYFUNCTION("""COMPUTED_VALUE"""),49384)</f>
        <v>49384</v>
      </c>
      <c r="C519" s="3">
        <f ca="1">IFERROR(__xludf.DUMMYFUNCTION("""COMPUTED_VALUE"""),5902557377749)</f>
        <v>5902557377749</v>
      </c>
      <c r="D519" s="4" t="str">
        <f ca="1">IFERROR(__xludf.DUMMYFUNCTION("""COMPUTED_VALUE"""),"BATERIA WANNOWA LUNGO ZŁOTA SZCZOTKOWANA")</f>
        <v>BATERIA WANNOWA LUNGO ZŁOTA SZCZOTKOWANA</v>
      </c>
      <c r="E519" s="31">
        <v>148.00000000000003</v>
      </c>
      <c r="F519" s="31">
        <f t="shared" si="8"/>
        <v>182.04000000000002</v>
      </c>
    </row>
    <row r="520" spans="1:6" ht="18.75" customHeight="1" x14ac:dyDescent="0.25">
      <c r="A520" s="2" t="str">
        <f ca="1">IFERROR(__xludf.DUMMYFUNCTION("""COMPUTED_VALUE"""),"REA-B5770")</f>
        <v>REA-B5770</v>
      </c>
      <c r="B520" s="3">
        <f ca="1">IFERROR(__xludf.DUMMYFUNCTION("""COMPUTED_VALUE"""),43202)</f>
        <v>43202</v>
      </c>
      <c r="C520" s="3">
        <f ca="1">IFERROR(__xludf.DUMMYFUNCTION("""COMPUTED_VALUE"""),5902557359493)</f>
        <v>5902557359493</v>
      </c>
      <c r="D520" s="4" t="str">
        <f ca="1">IFERROR(__xludf.DUMMYFUNCTION("""COMPUTED_VALUE"""),"BATERIA WANNOWA LUPPO CZARNA")</f>
        <v>BATERIA WANNOWA LUPPO CZARNA</v>
      </c>
      <c r="E520" s="31">
        <v>87.536585365853668</v>
      </c>
      <c r="F520" s="31">
        <f t="shared" si="8"/>
        <v>107.67000000000002</v>
      </c>
    </row>
    <row r="521" spans="1:6" ht="18.75" customHeight="1" x14ac:dyDescent="0.25">
      <c r="A521" s="2" t="str">
        <f ca="1">IFERROR(__xludf.DUMMYFUNCTION("""COMPUTED_VALUE"""),"REA-B5941")</f>
        <v>REA-B5941</v>
      </c>
      <c r="B521" s="3">
        <f ca="1">IFERROR(__xludf.DUMMYFUNCTION("""COMPUTED_VALUE"""),53748)</f>
        <v>53748</v>
      </c>
      <c r="C521" s="3">
        <f ca="1">IFERROR(__xludf.DUMMYFUNCTION("""COMPUTED_VALUE"""),5906366003646)</f>
        <v>5906366003646</v>
      </c>
      <c r="D521" s="4" t="str">
        <f ca="1">IFERROR(__xludf.DUMMYFUNCTION("""COMPUTED_VALUE"""),"BATERIA WANNOWA MARCO CZARNA")</f>
        <v>BATERIA WANNOWA MARCO CZARNA</v>
      </c>
      <c r="E521" s="31">
        <v>80.317073170731717</v>
      </c>
      <c r="F521" s="31">
        <f t="shared" si="8"/>
        <v>98.79</v>
      </c>
    </row>
    <row r="522" spans="1:6" ht="18.75" customHeight="1" x14ac:dyDescent="0.25">
      <c r="A522" s="2" t="str">
        <f ca="1">IFERROR(__xludf.DUMMYFUNCTION("""COMPUTED_VALUE"""),"REA-B5942")</f>
        <v>REA-B5942</v>
      </c>
      <c r="B522" s="3">
        <f ca="1">IFERROR(__xludf.DUMMYFUNCTION("""COMPUTED_VALUE"""),53751)</f>
        <v>53751</v>
      </c>
      <c r="C522" s="3">
        <f ca="1">IFERROR(__xludf.DUMMYFUNCTION("""COMPUTED_VALUE"""),5906366003653)</f>
        <v>5906366003653</v>
      </c>
      <c r="D522" s="4" t="str">
        <f ca="1">IFERROR(__xludf.DUMMYFUNCTION("""COMPUTED_VALUE"""),"BATERIA WANNOWA MARCO ZŁOTA SZCZOTKOWANA")</f>
        <v>BATERIA WANNOWA MARCO ZŁOTA SZCZOTKOWANA</v>
      </c>
      <c r="E522" s="31">
        <v>92.951219512195124</v>
      </c>
      <c r="F522" s="31">
        <f t="shared" si="8"/>
        <v>114.33</v>
      </c>
    </row>
    <row r="523" spans="1:6" ht="18.75" customHeight="1" x14ac:dyDescent="0.25">
      <c r="A523" s="2" t="str">
        <f ca="1">IFERROR(__xludf.DUMMYFUNCTION("""COMPUTED_VALUE"""),"REA-B9634")</f>
        <v>REA-B9634</v>
      </c>
      <c r="B523" s="3">
        <f ca="1">IFERROR(__xludf.DUMMYFUNCTION("""COMPUTED_VALUE"""),42549)</f>
        <v>42549</v>
      </c>
      <c r="C523" s="3">
        <f ca="1">IFERROR(__xludf.DUMMYFUNCTION("""COMPUTED_VALUE"""),5902557362745)</f>
        <v>5902557362745</v>
      </c>
      <c r="D523" s="4" t="str">
        <f ca="1">IFERROR(__xludf.DUMMYFUNCTION("""COMPUTED_VALUE"""),"BATERIA WANNOWA MAYSON CZARNA")</f>
        <v>BATERIA WANNOWA MAYSON CZARNA</v>
      </c>
      <c r="E523" s="31">
        <v>85.731707317073173</v>
      </c>
      <c r="F523" s="31">
        <f t="shared" si="8"/>
        <v>105.45</v>
      </c>
    </row>
    <row r="524" spans="1:6" ht="18.75" customHeight="1" x14ac:dyDescent="0.25">
      <c r="A524" s="2" t="str">
        <f ca="1">IFERROR(__xludf.DUMMYFUNCTION("""COMPUTED_VALUE"""),"REA-B5662")</f>
        <v>REA-B5662</v>
      </c>
      <c r="B524" s="3">
        <f ca="1">IFERROR(__xludf.DUMMYFUNCTION("""COMPUTED_VALUE"""),42834)</f>
        <v>42834</v>
      </c>
      <c r="C524" s="3">
        <f ca="1">IFERROR(__xludf.DUMMYFUNCTION("""COMPUTED_VALUE"""),5902557362752)</f>
        <v>5902557362752</v>
      </c>
      <c r="D524" s="4" t="str">
        <f ca="1">IFERROR(__xludf.DUMMYFUNCTION("""COMPUTED_VALUE"""),"BATERIA WANNOWA MAYSON ZŁOTA")</f>
        <v>BATERIA WANNOWA MAYSON ZŁOTA</v>
      </c>
      <c r="E524" s="31">
        <v>87.536585365853668</v>
      </c>
      <c r="F524" s="31">
        <f t="shared" si="8"/>
        <v>107.67000000000002</v>
      </c>
    </row>
    <row r="525" spans="1:6" ht="18.75" customHeight="1" x14ac:dyDescent="0.25">
      <c r="A525" s="2" t="str">
        <f ca="1">IFERROR(__xludf.DUMMYFUNCTION("""COMPUTED_VALUE"""),"REA-B2710")</f>
        <v>REA-B2710</v>
      </c>
      <c r="B525" s="3">
        <f ca="1">IFERROR(__xludf.DUMMYFUNCTION("""COMPUTED_VALUE"""),52167)</f>
        <v>52167</v>
      </c>
      <c r="C525" s="3">
        <f ca="1">IFERROR(__xludf.DUMMYFUNCTION("""COMPUTED_VALUE"""),5902557392049)</f>
        <v>5902557392049</v>
      </c>
      <c r="D525" s="4" t="str">
        <f ca="1">IFERROR(__xludf.DUMMYFUNCTION("""COMPUTED_VALUE"""),"BATERIA WANNOWA MELIA BIAŁA/ZŁOTA")</f>
        <v>BATERIA WANNOWA MELIA BIAŁA/ZŁOTA</v>
      </c>
      <c r="E525" s="31">
        <v>93.853658536585371</v>
      </c>
      <c r="F525" s="31">
        <f t="shared" si="8"/>
        <v>115.44</v>
      </c>
    </row>
    <row r="526" spans="1:6" ht="18.75" customHeight="1" x14ac:dyDescent="0.25">
      <c r="A526" s="2" t="str">
        <f ca="1">IFERROR(__xludf.DUMMYFUNCTION("""COMPUTED_VALUE"""),"REA-B4813")</f>
        <v>REA-B4813</v>
      </c>
      <c r="B526" s="3">
        <f ca="1">IFERROR(__xludf.DUMMYFUNCTION("""COMPUTED_VALUE"""),48838)</f>
        <v>48838</v>
      </c>
      <c r="C526" s="3">
        <f ca="1">IFERROR(__xludf.DUMMYFUNCTION("""COMPUTED_VALUE"""),5902557376421)</f>
        <v>5902557376421</v>
      </c>
      <c r="D526" s="4" t="str">
        <f ca="1">IFERROR(__xludf.DUMMYFUNCTION("""COMPUTED_VALUE"""),"BATERIA WANNOWA MILD CZARNA/RÓŻOWE ZŁOTO")</f>
        <v>BATERIA WANNOWA MILD CZARNA/RÓŻOWE ZŁOTO</v>
      </c>
      <c r="E526" s="31">
        <v>87.536585365853668</v>
      </c>
      <c r="F526" s="31">
        <f t="shared" si="8"/>
        <v>107.67000000000002</v>
      </c>
    </row>
    <row r="527" spans="1:6" ht="18.75" customHeight="1" x14ac:dyDescent="0.25">
      <c r="A527" s="2" t="str">
        <f ca="1">IFERROR(__xludf.DUMMYFUNCTION("""COMPUTED_VALUE"""),"REA-B9910")</f>
        <v>REA-B9910</v>
      </c>
      <c r="B527" s="3">
        <f ca="1">IFERROR(__xludf.DUMMYFUNCTION("""COMPUTED_VALUE"""),44634)</f>
        <v>44634</v>
      </c>
      <c r="C527" s="3">
        <f ca="1">IFERROR(__xludf.DUMMYFUNCTION("""COMPUTED_VALUE"""),5902557368761)</f>
        <v>5902557368761</v>
      </c>
      <c r="D527" s="4" t="str">
        <f ca="1">IFERROR(__xludf.DUMMYFUNCTION("""COMPUTED_VALUE"""),"BATERIA WANNOWA MY1802-3B URBAN CZARNA")</f>
        <v>BATERIA WANNOWA MY1802-3B URBAN CZARNA</v>
      </c>
      <c r="E527" s="31">
        <v>76.707317073170742</v>
      </c>
      <c r="F527" s="31">
        <f t="shared" si="8"/>
        <v>94.350000000000009</v>
      </c>
    </row>
    <row r="528" spans="1:6" ht="18.75" customHeight="1" x14ac:dyDescent="0.25">
      <c r="A528" s="2" t="str">
        <f ca="1">IFERROR(__xludf.DUMMYFUNCTION("""COMPUTED_VALUE"""),"REA-B9906")</f>
        <v>REA-B9906</v>
      </c>
      <c r="B528" s="3">
        <f ca="1">IFERROR(__xludf.DUMMYFUNCTION("""COMPUTED_VALUE"""),44640)</f>
        <v>44640</v>
      </c>
      <c r="C528" s="3">
        <f ca="1">IFERROR(__xludf.DUMMYFUNCTION("""COMPUTED_VALUE"""),5902557368723)</f>
        <v>5902557368723</v>
      </c>
      <c r="D528" s="4" t="str">
        <f ca="1">IFERROR(__xludf.DUMMYFUNCTION("""COMPUTED_VALUE"""),"BATERIA WANNOWA MY1802-3C URBAN CHROM")</f>
        <v>BATERIA WANNOWA MY1802-3C URBAN CHROM</v>
      </c>
      <c r="E528" s="31">
        <v>68.585365853658544</v>
      </c>
      <c r="F528" s="31">
        <f t="shared" si="8"/>
        <v>84.360000000000014</v>
      </c>
    </row>
    <row r="529" spans="1:6" ht="18.75" customHeight="1" x14ac:dyDescent="0.25">
      <c r="A529" s="2" t="str">
        <f ca="1">IFERROR(__xludf.DUMMYFUNCTION("""COMPUTED_VALUE"""),"REA-B9914")</f>
        <v>REA-B9914</v>
      </c>
      <c r="B529" s="3">
        <f ca="1">IFERROR(__xludf.DUMMYFUNCTION("""COMPUTED_VALUE"""),44636)</f>
        <v>44636</v>
      </c>
      <c r="C529" s="3">
        <f ca="1">IFERROR(__xludf.DUMMYFUNCTION("""COMPUTED_VALUE"""),5902557368808)</f>
        <v>5902557368808</v>
      </c>
      <c r="D529" s="4" t="str">
        <f ca="1">IFERROR(__xludf.DUMMYFUNCTION("""COMPUTED_VALUE"""),"BATERIA WANNOWA MY1802-3G URBAN ZŁOTA")</f>
        <v>BATERIA WANNOWA MY1802-3G URBAN ZŁOTA</v>
      </c>
      <c r="E529" s="31">
        <v>93.853658536585371</v>
      </c>
      <c r="F529" s="31">
        <f t="shared" si="8"/>
        <v>115.44</v>
      </c>
    </row>
    <row r="530" spans="1:6" ht="18.75" customHeight="1" x14ac:dyDescent="0.25">
      <c r="A530" s="2" t="str">
        <f ca="1">IFERROR(__xludf.DUMMYFUNCTION("""COMPUTED_VALUE"""),"REA-B9939")</f>
        <v>REA-B9939</v>
      </c>
      <c r="B530" s="3">
        <f ca="1">IFERROR(__xludf.DUMMYFUNCTION("""COMPUTED_VALUE"""),44648)</f>
        <v>44648</v>
      </c>
      <c r="C530" s="3">
        <f ca="1">IFERROR(__xludf.DUMMYFUNCTION("""COMPUTED_VALUE"""),5902557368938)</f>
        <v>5902557368938</v>
      </c>
      <c r="D530" s="4" t="str">
        <f ca="1">IFERROR(__xludf.DUMMYFUNCTION("""COMPUTED_VALUE"""),"BATERIA WANNOWA MY1805-3BG BLOOM CZARNA/ZŁOTA")</f>
        <v>BATERIA WANNOWA MY1805-3BG BLOOM CZARNA/ZŁOTA</v>
      </c>
      <c r="E530" s="31">
        <v>92.951219512195124</v>
      </c>
      <c r="F530" s="31">
        <f t="shared" si="8"/>
        <v>114.33</v>
      </c>
    </row>
    <row r="531" spans="1:6" ht="18.75" customHeight="1" x14ac:dyDescent="0.25">
      <c r="A531" s="2" t="str">
        <f ca="1">IFERROR(__xludf.DUMMYFUNCTION("""COMPUTED_VALUE"""),"REA-B9918")</f>
        <v>REA-B9918</v>
      </c>
      <c r="B531" s="3">
        <f ca="1">IFERROR(__xludf.DUMMYFUNCTION("""COMPUTED_VALUE"""),44649)</f>
        <v>44649</v>
      </c>
      <c r="C531" s="3">
        <f ca="1">IFERROR(__xludf.DUMMYFUNCTION("""COMPUTED_VALUE"""),5902557368846)</f>
        <v>5902557368846</v>
      </c>
      <c r="D531" s="4" t="str">
        <f ca="1">IFERROR(__xludf.DUMMYFUNCTION("""COMPUTED_VALUE"""),"BATERIA WANNOWA MY1805-3CW BLOOM BIAŁA/CHROM")</f>
        <v>BATERIA WANNOWA MY1805-3CW BLOOM BIAŁA/CHROM</v>
      </c>
      <c r="E531" s="31">
        <v>72.195121951219519</v>
      </c>
      <c r="F531" s="31">
        <f t="shared" si="8"/>
        <v>88.800000000000011</v>
      </c>
    </row>
    <row r="532" spans="1:6" ht="18.75" customHeight="1" x14ac:dyDescent="0.25">
      <c r="A532" s="2" t="str">
        <f ca="1">IFERROR(__xludf.DUMMYFUNCTION("""COMPUTED_VALUE"""),"REA-B9932")</f>
        <v>REA-B9932</v>
      </c>
      <c r="B532" s="3">
        <f ca="1">IFERROR(__xludf.DUMMYFUNCTION("""COMPUTED_VALUE"""),44630)</f>
        <v>44630</v>
      </c>
      <c r="C532" s="3">
        <f ca="1">IFERROR(__xludf.DUMMYFUNCTION("""COMPUTED_VALUE"""),5902557368884)</f>
        <v>5902557368884</v>
      </c>
      <c r="D532" s="4" t="str">
        <f ca="1">IFERROR(__xludf.DUMMYFUNCTION("""COMPUTED_VALUE"""),"BATERIA WANNOWA MY1805-3WG BLOOM BIAŁA/ZŁOTA")</f>
        <v>BATERIA WANNOWA MY1805-3WG BLOOM BIAŁA/ZŁOTA</v>
      </c>
      <c r="E532" s="31">
        <v>97.463414634146361</v>
      </c>
      <c r="F532" s="31">
        <f t="shared" si="8"/>
        <v>119.88000000000002</v>
      </c>
    </row>
    <row r="533" spans="1:6" ht="18.75" customHeight="1" x14ac:dyDescent="0.25">
      <c r="A533" s="2" t="str">
        <f ca="1">IFERROR(__xludf.DUMMYFUNCTION("""COMPUTED_VALUE"""),"REA-B9979")</f>
        <v>REA-B9979</v>
      </c>
      <c r="B533" s="3">
        <f ca="1">IFERROR(__xludf.DUMMYFUNCTION("""COMPUTED_VALUE"""),44642)</f>
        <v>44642</v>
      </c>
      <c r="C533" s="3">
        <f ca="1">IFERROR(__xludf.DUMMYFUNCTION("""COMPUTED_VALUE"""),5902557369003)</f>
        <v>5902557369003</v>
      </c>
      <c r="D533" s="4" t="str">
        <f ca="1">IFERROR(__xludf.DUMMYFUNCTION("""COMPUTED_VALUE"""),"BATERIA WANNOWA MY1806-3BG POLO CZARNA/ZŁOTA")</f>
        <v>BATERIA WANNOWA MY1806-3BG POLO CZARNA/ZŁOTA</v>
      </c>
      <c r="E533" s="31">
        <v>95.658536585365866</v>
      </c>
      <c r="F533" s="31">
        <f t="shared" si="8"/>
        <v>117.66000000000001</v>
      </c>
    </row>
    <row r="534" spans="1:6" ht="18.75" customHeight="1" x14ac:dyDescent="0.25">
      <c r="A534" s="2" t="str">
        <f ca="1">IFERROR(__xludf.DUMMYFUNCTION("""COMPUTED_VALUE"""),"REA-B9943")</f>
        <v>REA-B9943</v>
      </c>
      <c r="B534" s="3">
        <f ca="1">IFERROR(__xludf.DUMMYFUNCTION("""COMPUTED_VALUE"""),44643)</f>
        <v>44643</v>
      </c>
      <c r="C534" s="3">
        <f ca="1">IFERROR(__xludf.DUMMYFUNCTION("""COMPUTED_VALUE"""),5902557368976)</f>
        <v>5902557368976</v>
      </c>
      <c r="D534" s="4" t="str">
        <f ca="1">IFERROR(__xludf.DUMMYFUNCTION("""COMPUTED_VALUE"""),"BATERIA WANNOWA MY1806-3CW POLO BIAŁA/CHROM")</f>
        <v>BATERIA WANNOWA MY1806-3CW POLO BIAŁA/CHROM</v>
      </c>
      <c r="E534" s="31">
        <v>93.853658536585371</v>
      </c>
      <c r="F534" s="31">
        <f t="shared" si="8"/>
        <v>115.44</v>
      </c>
    </row>
    <row r="535" spans="1:6" ht="18.75" customHeight="1" x14ac:dyDescent="0.25">
      <c r="A535" s="2" t="str">
        <f ca="1">IFERROR(__xludf.DUMMYFUNCTION("""COMPUTED_VALUE"""),"REA-B9989")</f>
        <v>REA-B9989</v>
      </c>
      <c r="B535" s="3">
        <f ca="1">IFERROR(__xludf.DUMMYFUNCTION("""COMPUTED_VALUE"""),44664)</f>
        <v>44664</v>
      </c>
      <c r="C535" s="3">
        <f ca="1">IFERROR(__xludf.DUMMYFUNCTION("""COMPUTED_VALUE"""),5902557369102)</f>
        <v>5902557369102</v>
      </c>
      <c r="D535" s="4" t="str">
        <f ca="1">IFERROR(__xludf.DUMMYFUNCTION("""COMPUTED_VALUE"""),"BATERIA WANNOWA MY1902-3B STORM CZARNA")</f>
        <v>BATERIA WANNOWA MY1902-3B STORM CZARNA</v>
      </c>
      <c r="E535" s="31">
        <v>83.024390243902445</v>
      </c>
      <c r="F535" s="31">
        <f t="shared" si="8"/>
        <v>102.12</v>
      </c>
    </row>
    <row r="536" spans="1:6" ht="18.75" customHeight="1" x14ac:dyDescent="0.25">
      <c r="A536" s="2" t="str">
        <f ca="1">IFERROR(__xludf.DUMMYFUNCTION("""COMPUTED_VALUE"""),"REA-B6204")</f>
        <v>REA-B6204</v>
      </c>
      <c r="B536" s="3">
        <f ca="1">IFERROR(__xludf.DUMMYFUNCTION("""COMPUTED_VALUE"""),44912)</f>
        <v>44912</v>
      </c>
      <c r="C536" s="3">
        <f ca="1">IFERROR(__xludf.DUMMYFUNCTION("""COMPUTED_VALUE"""),5902557373673)</f>
        <v>5902557373673</v>
      </c>
      <c r="D536" s="4" t="str">
        <f ca="1">IFERROR(__xludf.DUMMYFUNCTION("""COMPUTED_VALUE"""),"BATERIA WANNOWA MY1902-3C STORM CHROM")</f>
        <v>BATERIA WANNOWA MY1902-3C STORM CHROM</v>
      </c>
      <c r="E536" s="31">
        <v>83.024390243902445</v>
      </c>
      <c r="F536" s="31">
        <f t="shared" si="8"/>
        <v>102.12</v>
      </c>
    </row>
    <row r="537" spans="1:6" ht="18.75" customHeight="1" x14ac:dyDescent="0.25">
      <c r="A537" s="2" t="str">
        <f ca="1">IFERROR(__xludf.DUMMYFUNCTION("""COMPUTED_VALUE"""),"REA-B9985")</f>
        <v>REA-B9985</v>
      </c>
      <c r="B537" s="3">
        <f ca="1">IFERROR(__xludf.DUMMYFUNCTION("""COMPUTED_VALUE"""),44656)</f>
        <v>44656</v>
      </c>
      <c r="C537" s="3">
        <f ca="1">IFERROR(__xludf.DUMMYFUNCTION("""COMPUTED_VALUE"""),5902557369065)</f>
        <v>5902557369065</v>
      </c>
      <c r="D537" s="4" t="str">
        <f ca="1">IFERROR(__xludf.DUMMYFUNCTION("""COMPUTED_VALUE"""),"BATERIA WANNOWA MY1902-3G STORM ZŁOTA")</f>
        <v>BATERIA WANNOWA MY1902-3G STORM ZŁOTA</v>
      </c>
      <c r="E537" s="31">
        <v>101.97560975609757</v>
      </c>
      <c r="F537" s="31">
        <f t="shared" si="8"/>
        <v>125.43</v>
      </c>
    </row>
    <row r="538" spans="1:6" ht="18.75" customHeight="1" x14ac:dyDescent="0.25">
      <c r="A538" s="2" t="str">
        <f ca="1">IFERROR(__xludf.DUMMYFUNCTION("""COMPUTED_VALUE"""),"REA-B4585")</f>
        <v>REA-B4585</v>
      </c>
      <c r="B538" s="3">
        <f ca="1">IFERROR(__xludf.DUMMYFUNCTION("""COMPUTED_VALUE"""),51096)</f>
        <v>51096</v>
      </c>
      <c r="C538" s="3">
        <f ca="1">IFERROR(__xludf.DUMMYFUNCTION("""COMPUTED_VALUE"""),5902557393404)</f>
        <v>5902557393404</v>
      </c>
      <c r="D538" s="4" t="str">
        <f ca="1">IFERROR(__xludf.DUMMYFUNCTION("""COMPUTED_VALUE"""),"BATERIA WANNOWA MY1902-3H STORM GUN SZARY")</f>
        <v>BATERIA WANNOWA MY1902-3H STORM GUN SZARY</v>
      </c>
      <c r="E538" s="31">
        <v>105.58536585365854</v>
      </c>
      <c r="F538" s="31">
        <f t="shared" si="8"/>
        <v>129.87</v>
      </c>
    </row>
    <row r="539" spans="1:6" ht="18.75" customHeight="1" x14ac:dyDescent="0.25">
      <c r="A539" s="2" t="str">
        <f ca="1">IFERROR(__xludf.DUMMYFUNCTION("""COMPUTED_VALUE"""),"REA-B9997")</f>
        <v>REA-B9997</v>
      </c>
      <c r="B539" s="3">
        <f ca="1">IFERROR(__xludf.DUMMYFUNCTION("""COMPUTED_VALUE"""),44652)</f>
        <v>44652</v>
      </c>
      <c r="C539" s="3">
        <f ca="1">IFERROR(__xludf.DUMMYFUNCTION("""COMPUTED_VALUE"""),5902557369171)</f>
        <v>5902557369171</v>
      </c>
      <c r="D539" s="4" t="str">
        <f ca="1">IFERROR(__xludf.DUMMYFUNCTION("""COMPUTED_VALUE"""),"BATERIA WANNOWA MY1906-3B SOUL CZARNA")</f>
        <v>BATERIA WANNOWA MY1906-3B SOUL CZARNA</v>
      </c>
      <c r="E539" s="31">
        <v>83.024390243902445</v>
      </c>
      <c r="F539" s="31">
        <f t="shared" si="8"/>
        <v>102.12</v>
      </c>
    </row>
    <row r="540" spans="1:6" ht="18.75" customHeight="1" x14ac:dyDescent="0.25">
      <c r="A540" s="2" t="str">
        <f ca="1">IFERROR(__xludf.DUMMYFUNCTION("""COMPUTED_VALUE"""),"REA-B9923")</f>
        <v>REA-B9923</v>
      </c>
      <c r="B540" s="3">
        <f ca="1">IFERROR(__xludf.DUMMYFUNCTION("""COMPUTED_VALUE"""),44661)</f>
        <v>44661</v>
      </c>
      <c r="C540" s="3">
        <f ca="1">IFERROR(__xludf.DUMMYFUNCTION("""COMPUTED_VALUE"""),5902557369225)</f>
        <v>5902557369225</v>
      </c>
      <c r="D540" s="4" t="str">
        <f ca="1">IFERROR(__xludf.DUMMYFUNCTION("""COMPUTED_VALUE"""),"BATERIA WANNOWA MY1906-3G SOUL ZŁOTA")</f>
        <v>BATERIA WANNOWA MY1906-3G SOUL ZŁOTA</v>
      </c>
      <c r="E540" s="31">
        <v>100.17073170731709</v>
      </c>
      <c r="F540" s="31">
        <f t="shared" si="8"/>
        <v>123.21000000000002</v>
      </c>
    </row>
    <row r="541" spans="1:6" ht="18.75" customHeight="1" x14ac:dyDescent="0.25">
      <c r="A541" s="2" t="str">
        <f ca="1">IFERROR(__xludf.DUMMYFUNCTION("""COMPUTED_VALUE"""),"REA-B6407")</f>
        <v>REA-B6407</v>
      </c>
      <c r="B541" s="3">
        <f ca="1">IFERROR(__xludf.DUMMYFUNCTION("""COMPUTED_VALUE"""),51095)</f>
        <v>51095</v>
      </c>
      <c r="C541" s="3">
        <f ca="1">IFERROR(__xludf.DUMMYFUNCTION("""COMPUTED_VALUE"""),5902557393039)</f>
        <v>5902557393039</v>
      </c>
      <c r="D541" s="4" t="str">
        <f ca="1">IFERROR(__xludf.DUMMYFUNCTION("""COMPUTED_VALUE"""),"BATERIA WANNOWA MY2021-3B ARGUS CZARNA")</f>
        <v>BATERIA WANNOWA MY2021-3B ARGUS CZARNA</v>
      </c>
      <c r="E541" s="31">
        <v>62.268292682926841</v>
      </c>
      <c r="F541" s="31">
        <f t="shared" si="8"/>
        <v>76.590000000000018</v>
      </c>
    </row>
    <row r="542" spans="1:6" ht="18.75" customHeight="1" x14ac:dyDescent="0.25">
      <c r="A542" s="2" t="str">
        <f ca="1">IFERROR(__xludf.DUMMYFUNCTION("""COMPUTED_VALUE"""),"REA-B6409")</f>
        <v>REA-B6409</v>
      </c>
      <c r="B542" s="3">
        <f ca="1">IFERROR(__xludf.DUMMYFUNCTION("""COMPUTED_VALUE"""),51104)</f>
        <v>51104</v>
      </c>
      <c r="C542" s="3">
        <f ca="1">IFERROR(__xludf.DUMMYFUNCTION("""COMPUTED_VALUE"""),5902557393077)</f>
        <v>5902557393077</v>
      </c>
      <c r="D542" s="4" t="str">
        <f ca="1">IFERROR(__xludf.DUMMYFUNCTION("""COMPUTED_VALUE"""),"BATERIA WANNOWA MY2021-3G ARGUS ZŁOTA POŁYSK")</f>
        <v>BATERIA WANNOWA MY2021-3G ARGUS ZŁOTA POŁYSK</v>
      </c>
      <c r="E542" s="31">
        <v>80.317073170731717</v>
      </c>
      <c r="F542" s="31">
        <f t="shared" si="8"/>
        <v>98.79</v>
      </c>
    </row>
    <row r="543" spans="1:6" ht="18.75" customHeight="1" x14ac:dyDescent="0.25">
      <c r="A543" s="2" t="str">
        <f ca="1">IFERROR(__xludf.DUMMYFUNCTION("""COMPUTED_VALUE"""),"REA-B6414")</f>
        <v>REA-B6414</v>
      </c>
      <c r="B543" s="3">
        <f ca="1">IFERROR(__xludf.DUMMYFUNCTION("""COMPUTED_VALUE"""),51113)</f>
        <v>51113</v>
      </c>
      <c r="C543" s="3">
        <f ca="1">IFERROR(__xludf.DUMMYFUNCTION("""COMPUTED_VALUE"""),5902557393121)</f>
        <v>5902557393121</v>
      </c>
      <c r="D543" s="4" t="str">
        <f ca="1">IFERROR(__xludf.DUMMYFUNCTION("""COMPUTED_VALUE"""),"BATERIA WANNOWA MY2021-3GG ARGUS ZŁOTA SZCZOTKOWAN")</f>
        <v>BATERIA WANNOWA MY2021-3GG ARGUS ZŁOTA SZCZOTKOWAN</v>
      </c>
      <c r="E543" s="31">
        <v>89.341463414634148</v>
      </c>
      <c r="F543" s="31">
        <f t="shared" si="8"/>
        <v>109.89</v>
      </c>
    </row>
    <row r="544" spans="1:6" ht="18.75" customHeight="1" x14ac:dyDescent="0.25">
      <c r="A544" s="2" t="str">
        <f ca="1">IFERROR(__xludf.DUMMYFUNCTION("""COMPUTED_VALUE"""),"REA-B9967")</f>
        <v>REA-B9967</v>
      </c>
      <c r="B544" s="3">
        <f ca="1">IFERROR(__xludf.DUMMYFUNCTION("""COMPUTED_VALUE"""),44631)</f>
        <v>44631</v>
      </c>
      <c r="C544" s="3">
        <f ca="1">IFERROR(__xludf.DUMMYFUNCTION("""COMPUTED_VALUE"""),5902557369294)</f>
        <v>5902557369294</v>
      </c>
      <c r="D544" s="4" t="str">
        <f ca="1">IFERROR(__xludf.DUMMYFUNCTION("""COMPUTED_VALUE"""),"BATERIA WANNOWA MY2061-3B HASS CZARNA")</f>
        <v>BATERIA WANNOWA MY2061-3B HASS CZARNA</v>
      </c>
      <c r="E544" s="31">
        <v>83.024390243902445</v>
      </c>
      <c r="F544" s="31">
        <f t="shared" si="8"/>
        <v>102.12</v>
      </c>
    </row>
    <row r="545" spans="1:6" ht="18.75" customHeight="1" x14ac:dyDescent="0.25">
      <c r="A545" s="2" t="str">
        <f ca="1">IFERROR(__xludf.DUMMYFUNCTION("""COMPUTED_VALUE"""),"REA-B7100")</f>
        <v>REA-B7100</v>
      </c>
      <c r="B545" s="3">
        <f ca="1">IFERROR(__xludf.DUMMYFUNCTION("""COMPUTED_VALUE"""),52624)</f>
        <v>52624</v>
      </c>
      <c r="C545" s="3">
        <f ca="1">IFERROR(__xludf.DUMMYFUNCTION("""COMPUTED_VALUE"""),5902557397310)</f>
        <v>5902557397310</v>
      </c>
      <c r="D545" s="4" t="str">
        <f ca="1">IFERROR(__xludf.DUMMYFUNCTION("""COMPUTED_VALUE"""),"BATERIA WANNOWA MY2061-3GG HASS ZŁOTA SZCZOTKOWANA")</f>
        <v>BATERIA WANNOWA MY2061-3GG HASS ZŁOTA SZCZOTKOWANA</v>
      </c>
      <c r="E545" s="31">
        <v>104.68292682926831</v>
      </c>
      <c r="F545" s="31">
        <f t="shared" si="8"/>
        <v>128.76000000000002</v>
      </c>
    </row>
    <row r="546" spans="1:6" ht="18.75" customHeight="1" x14ac:dyDescent="0.25">
      <c r="A546" s="2" t="str">
        <f ca="1">IFERROR(__xludf.DUMMYFUNCTION("""COMPUTED_VALUE"""),"REA-B6424")</f>
        <v>REA-B6424</v>
      </c>
      <c r="B546" s="3">
        <f ca="1">IFERROR(__xludf.DUMMYFUNCTION("""COMPUTED_VALUE"""),51102)</f>
        <v>51102</v>
      </c>
      <c r="C546" s="3">
        <f ca="1">IFERROR(__xludf.DUMMYFUNCTION("""COMPUTED_VALUE"""),5902557393145)</f>
        <v>5902557393145</v>
      </c>
      <c r="D546" s="4" t="str">
        <f ca="1">IFERROR(__xludf.DUMMYFUNCTION("""COMPUTED_VALUE"""),"BATERIA WANNOWA MY2102-3C VENETA CHROM")</f>
        <v>BATERIA WANNOWA MY2102-3C VENETA CHROM</v>
      </c>
      <c r="E546" s="31">
        <v>81.219512195121965</v>
      </c>
      <c r="F546" s="31">
        <f t="shared" si="8"/>
        <v>99.90000000000002</v>
      </c>
    </row>
    <row r="547" spans="1:6" ht="18.75" customHeight="1" x14ac:dyDescent="0.25">
      <c r="A547" s="2" t="str">
        <f ca="1">IFERROR(__xludf.DUMMYFUNCTION("""COMPUTED_VALUE"""),"REA-B6422")</f>
        <v>REA-B6422</v>
      </c>
      <c r="B547" s="3">
        <f ca="1">IFERROR(__xludf.DUMMYFUNCTION("""COMPUTED_VALUE"""),51110)</f>
        <v>51110</v>
      </c>
      <c r="C547" s="3">
        <f ca="1">IFERROR(__xludf.DUMMYFUNCTION("""COMPUTED_VALUE"""),5902557393152)</f>
        <v>5902557393152</v>
      </c>
      <c r="D547" s="4" t="str">
        <f ca="1">IFERROR(__xludf.DUMMYFUNCTION("""COMPUTED_VALUE"""),"BATERIA WANNOWA MY2102-3G VENETA ZŁOTA")</f>
        <v>BATERIA WANNOWA MY2102-3G VENETA ZŁOTA</v>
      </c>
      <c r="E547" s="31">
        <v>95.658536585365866</v>
      </c>
      <c r="F547" s="31">
        <f t="shared" si="8"/>
        <v>117.66000000000001</v>
      </c>
    </row>
    <row r="548" spans="1:6" ht="18.75" customHeight="1" x14ac:dyDescent="0.25">
      <c r="A548" s="2" t="str">
        <f ca="1">IFERROR(__xludf.DUMMYFUNCTION("""COMPUTED_VALUE"""),"REA-B5132")</f>
        <v>REA-B5132</v>
      </c>
      <c r="B548" s="3">
        <f ca="1">IFERROR(__xludf.DUMMYFUNCTION("""COMPUTED_VALUE"""),45063)</f>
        <v>45063</v>
      </c>
      <c r="C548" s="3">
        <f ca="1">IFERROR(__xludf.DUMMYFUNCTION("""COMPUTED_VALUE"""),5902557369621)</f>
        <v>5902557369621</v>
      </c>
      <c r="D548" s="4" t="str">
        <f ca="1">IFERROR(__xludf.DUMMYFUNCTION("""COMPUTED_VALUE"""),"BATERIA WANNOWA ORIX CHROM")</f>
        <v>BATERIA WANNOWA ORIX CHROM</v>
      </c>
      <c r="E548" s="31">
        <v>87.536585365853668</v>
      </c>
      <c r="F548" s="31">
        <f t="shared" si="8"/>
        <v>107.67000000000002</v>
      </c>
    </row>
    <row r="549" spans="1:6" ht="18.75" customHeight="1" x14ac:dyDescent="0.25">
      <c r="A549" s="2" t="str">
        <f ca="1">IFERROR(__xludf.DUMMYFUNCTION("""COMPUTED_VALUE"""),"REA-B5133")</f>
        <v>REA-B5133</v>
      </c>
      <c r="B549" s="3">
        <f ca="1">IFERROR(__xludf.DUMMYFUNCTION("""COMPUTED_VALUE"""),45061)</f>
        <v>45061</v>
      </c>
      <c r="C549" s="3">
        <f ca="1">IFERROR(__xludf.DUMMYFUNCTION("""COMPUTED_VALUE"""),5902557369638)</f>
        <v>5902557369638</v>
      </c>
      <c r="D549" s="4" t="str">
        <f ca="1">IFERROR(__xludf.DUMMYFUNCTION("""COMPUTED_VALUE"""),"BATERIA WANNOWA ORIX CZARNA")</f>
        <v>BATERIA WANNOWA ORIX CZARNA</v>
      </c>
      <c r="E549" s="31">
        <v>101.97560975609757</v>
      </c>
      <c r="F549" s="31">
        <f t="shared" si="8"/>
        <v>125.43</v>
      </c>
    </row>
    <row r="550" spans="1:6" ht="18.75" customHeight="1" x14ac:dyDescent="0.25">
      <c r="A550" s="2" t="str">
        <f ca="1">IFERROR(__xludf.DUMMYFUNCTION("""COMPUTED_VALUE"""),"REA-B5134")</f>
        <v>REA-B5134</v>
      </c>
      <c r="B550" s="3">
        <f ca="1">IFERROR(__xludf.DUMMYFUNCTION("""COMPUTED_VALUE"""),45064)</f>
        <v>45064</v>
      </c>
      <c r="C550" s="3">
        <f ca="1">IFERROR(__xludf.DUMMYFUNCTION("""COMPUTED_VALUE"""),5902557369645)</f>
        <v>5902557369645</v>
      </c>
      <c r="D550" s="4" t="str">
        <f ca="1">IFERROR(__xludf.DUMMYFUNCTION("""COMPUTED_VALUE"""),"BATERIA WANNOWA ORIX ZŁOTA")</f>
        <v>BATERIA WANNOWA ORIX ZŁOTA</v>
      </c>
      <c r="E550" s="31">
        <v>114.60975609756099</v>
      </c>
      <c r="F550" s="31">
        <f t="shared" si="8"/>
        <v>140.97000000000003</v>
      </c>
    </row>
    <row r="551" spans="1:6" ht="18.75" customHeight="1" x14ac:dyDescent="0.25">
      <c r="A551" s="2" t="str">
        <f ca="1">IFERROR(__xludf.DUMMYFUNCTION("""COMPUTED_VALUE"""),"REA-B6404")</f>
        <v>REA-B6404</v>
      </c>
      <c r="B551" s="3">
        <f ca="1">IFERROR(__xludf.DUMMYFUNCTION("""COMPUTED_VALUE"""),51079)</f>
        <v>51079</v>
      </c>
      <c r="C551" s="3">
        <f ca="1">IFERROR(__xludf.DUMMYFUNCTION("""COMPUTED_VALUE"""),5902557394197)</f>
        <v>5902557394197</v>
      </c>
      <c r="D551" s="4" t="str">
        <f ca="1">IFERROR(__xludf.DUMMYFUNCTION("""COMPUTED_VALUE"""),"BATERIA WANNOWA PODŁOG MY2061-38GG HASS ZŁOTA SZCZ")</f>
        <v>BATERIA WANNOWA PODŁOG MY2061-38GG HASS ZŁOTA SZCZ</v>
      </c>
      <c r="E551" s="31">
        <v>233.73170731707319</v>
      </c>
      <c r="F551" s="31">
        <f t="shared" si="8"/>
        <v>287.49</v>
      </c>
    </row>
    <row r="552" spans="1:6" ht="18.75" customHeight="1" x14ac:dyDescent="0.25">
      <c r="A552" s="2" t="str">
        <f ca="1">IFERROR(__xludf.DUMMYFUNCTION("""COMPUTED_VALUE"""),"REA-B2718")</f>
        <v>REA-B2718</v>
      </c>
      <c r="B552" s="3">
        <f ca="1">IFERROR(__xludf.DUMMYFUNCTION("""COMPUTED_VALUE"""),52212)</f>
        <v>52212</v>
      </c>
      <c r="C552" s="3">
        <f ca="1">IFERROR(__xludf.DUMMYFUNCTION("""COMPUTED_VALUE"""),5902557392186)</f>
        <v>5902557392186</v>
      </c>
      <c r="D552" s="4" t="str">
        <f ca="1">IFERROR(__xludf.DUMMYFUNCTION("""COMPUTED_VALUE"""),"BATERIA WANNOWA PODŁOGOWA ARAS CHROM")</f>
        <v>BATERIA WANNOWA PODŁOGOWA ARAS CHROM</v>
      </c>
      <c r="E552" s="31">
        <v>186.80487804878049</v>
      </c>
      <c r="F552" s="31">
        <f t="shared" si="8"/>
        <v>229.77</v>
      </c>
    </row>
    <row r="553" spans="1:6" ht="18.75" customHeight="1" x14ac:dyDescent="0.25">
      <c r="A553" s="2" t="str">
        <f ca="1">IFERROR(__xludf.DUMMYFUNCTION("""COMPUTED_VALUE"""),"REA-B2717")</f>
        <v>REA-B2717</v>
      </c>
      <c r="B553" s="3">
        <f ca="1">IFERROR(__xludf.DUMMYFUNCTION("""COMPUTED_VALUE"""),52172)</f>
        <v>52172</v>
      </c>
      <c r="C553" s="3">
        <f ca="1">IFERROR(__xludf.DUMMYFUNCTION("""COMPUTED_VALUE"""),5902557392193)</f>
        <v>5902557392193</v>
      </c>
      <c r="D553" s="4" t="str">
        <f ca="1">IFERROR(__xludf.DUMMYFUNCTION("""COMPUTED_VALUE"""),"BATERIA WANNOWA PODŁOGOWA ARAS CZARNA")</f>
        <v>BATERIA WANNOWA PODŁOGOWA ARAS CZARNA</v>
      </c>
      <c r="E553" s="31">
        <v>199.43902439024393</v>
      </c>
      <c r="F553" s="31">
        <f t="shared" si="8"/>
        <v>245.31000000000003</v>
      </c>
    </row>
    <row r="554" spans="1:6" ht="18.75" customHeight="1" x14ac:dyDescent="0.25">
      <c r="A554" s="2" t="str">
        <f ca="1">IFERROR(__xludf.DUMMYFUNCTION("""COMPUTED_VALUE"""),"REA-B2719")</f>
        <v>REA-B2719</v>
      </c>
      <c r="B554" s="3">
        <f ca="1">IFERROR(__xludf.DUMMYFUNCTION("""COMPUTED_VALUE"""),52181)</f>
        <v>52181</v>
      </c>
      <c r="C554" s="3">
        <f ca="1">IFERROR(__xludf.DUMMYFUNCTION("""COMPUTED_VALUE"""),5902557392209)</f>
        <v>5902557392209</v>
      </c>
      <c r="D554" s="4" t="str">
        <f ca="1">IFERROR(__xludf.DUMMYFUNCTION("""COMPUTED_VALUE"""),"BATERIA WANNOWA PODŁOGOWA ARAS ZŁOTA SZCZOTKOWANA")</f>
        <v>BATERIA WANNOWA PODŁOGOWA ARAS ZŁOTA SZCZOTKOWANA</v>
      </c>
      <c r="E554" s="31">
        <v>246.36585365853662</v>
      </c>
      <c r="F554" s="31">
        <f t="shared" si="8"/>
        <v>303.03000000000003</v>
      </c>
    </row>
    <row r="555" spans="1:6" ht="18.75" customHeight="1" x14ac:dyDescent="0.25">
      <c r="A555" s="2" t="str">
        <f ca="1">IFERROR(__xludf.DUMMYFUNCTION("""COMPUTED_VALUE"""),"REA-B5423")</f>
        <v>REA-B5423</v>
      </c>
      <c r="B555" s="3">
        <f ca="1">IFERROR(__xludf.DUMMYFUNCTION("""COMPUTED_VALUE"""),42508)</f>
        <v>42508</v>
      </c>
      <c r="C555" s="3">
        <f ca="1">IFERROR(__xludf.DUMMYFUNCTION("""COMPUTED_VALUE"""),5902557363988)</f>
        <v>5902557363988</v>
      </c>
      <c r="D555" s="4" t="str">
        <f ca="1">IFERROR(__xludf.DUMMYFUNCTION("""COMPUTED_VALUE"""),"BATERIA WANNOWA PODŁOGOWA CARAT CZARNA")</f>
        <v>BATERIA WANNOWA PODŁOGOWA CARAT CZARNA</v>
      </c>
      <c r="E555" s="31">
        <v>314.04878048780489</v>
      </c>
      <c r="F555" s="31">
        <f t="shared" si="8"/>
        <v>386.28000000000003</v>
      </c>
    </row>
    <row r="556" spans="1:6" ht="18.75" customHeight="1" x14ac:dyDescent="0.25">
      <c r="A556" s="2" t="str">
        <f ca="1">IFERROR(__xludf.DUMMYFUNCTION("""COMPUTED_VALUE"""),"REA-B5231")</f>
        <v>REA-B5231</v>
      </c>
      <c r="B556" s="3">
        <f ca="1">IFERROR(__xludf.DUMMYFUNCTION("""COMPUTED_VALUE"""),45066)</f>
        <v>45066</v>
      </c>
      <c r="C556" s="3">
        <f ca="1">IFERROR(__xludf.DUMMYFUNCTION("""COMPUTED_VALUE"""),5902557374960)</f>
        <v>5902557374960</v>
      </c>
      <c r="D556" s="4" t="str">
        <f ca="1">IFERROR(__xludf.DUMMYFUNCTION("""COMPUTED_VALUE"""),"BATERIA WANNOWA PODŁOGOWA CARAT ZŁOTA")</f>
        <v>BATERIA WANNOWA PODŁOGOWA CARAT ZŁOTA</v>
      </c>
      <c r="E556" s="31">
        <v>388.95121951219517</v>
      </c>
      <c r="F556" s="31">
        <f t="shared" si="8"/>
        <v>478.41</v>
      </c>
    </row>
    <row r="557" spans="1:6" ht="18.75" customHeight="1" x14ac:dyDescent="0.25">
      <c r="A557" s="2" t="str">
        <f ca="1">IFERROR(__xludf.DUMMYFUNCTION("""COMPUTED_VALUE"""),"REA-B6522")</f>
        <v>REA-B6522</v>
      </c>
      <c r="B557" s="3">
        <f ca="1">IFERROR(__xludf.DUMMYFUNCTION("""COMPUTED_VALUE"""),49447)</f>
        <v>49447</v>
      </c>
      <c r="C557" s="3">
        <f ca="1">IFERROR(__xludf.DUMMYFUNCTION("""COMPUTED_VALUE"""),5902557377909)</f>
        <v>5902557377909</v>
      </c>
      <c r="D557" s="4" t="str">
        <f ca="1">IFERROR(__xludf.DUMMYFUNCTION("""COMPUTED_VALUE"""),"BATERIA WANNOWA PODŁOGOWA CARAT ZŁOTA SZCZOTKOWANA")</f>
        <v>BATERIA WANNOWA PODŁOGOWA CARAT ZŁOTA SZCZOTKOWANA</v>
      </c>
      <c r="E557" s="31">
        <v>320.36585365853659</v>
      </c>
      <c r="F557" s="31">
        <f t="shared" si="8"/>
        <v>394.05</v>
      </c>
    </row>
    <row r="558" spans="1:6" ht="18.75" customHeight="1" x14ac:dyDescent="0.25">
      <c r="A558" s="2" t="str">
        <f ca="1">IFERROR(__xludf.DUMMYFUNCTION("""COMPUTED_VALUE"""),"REA-B2712")</f>
        <v>REA-B2712</v>
      </c>
      <c r="B558" s="3">
        <f ca="1">IFERROR(__xludf.DUMMYFUNCTION("""COMPUTED_VALUE"""),52201)</f>
        <v>52201</v>
      </c>
      <c r="C558" s="3">
        <f ca="1">IFERROR(__xludf.DUMMYFUNCTION("""COMPUTED_VALUE"""),5902557392124)</f>
        <v>5902557392124</v>
      </c>
      <c r="D558" s="4" t="str">
        <f ca="1">IFERROR(__xludf.DUMMYFUNCTION("""COMPUTED_VALUE"""),"BATERIA WANNOWA PODŁOGOWA FLORES CHROM")</f>
        <v>BATERIA WANNOWA PODŁOGOWA FLORES CHROM</v>
      </c>
      <c r="E558" s="31">
        <v>207.56097560975613</v>
      </c>
      <c r="F558" s="31">
        <f t="shared" si="8"/>
        <v>255.30000000000004</v>
      </c>
    </row>
    <row r="559" spans="1:6" ht="18.75" customHeight="1" x14ac:dyDescent="0.25">
      <c r="A559" s="2" t="str">
        <f ca="1">IFERROR(__xludf.DUMMYFUNCTION("""COMPUTED_VALUE"""),"REA-B2711")</f>
        <v>REA-B2711</v>
      </c>
      <c r="B559" s="3">
        <f ca="1">IFERROR(__xludf.DUMMYFUNCTION("""COMPUTED_VALUE"""),52161)</f>
        <v>52161</v>
      </c>
      <c r="C559" s="3">
        <f ca="1">IFERROR(__xludf.DUMMYFUNCTION("""COMPUTED_VALUE"""),5902557392131)</f>
        <v>5902557392131</v>
      </c>
      <c r="D559" s="4" t="str">
        <f ca="1">IFERROR(__xludf.DUMMYFUNCTION("""COMPUTED_VALUE"""),"BATERIA WANNOWA PODŁOGOWA FLORES CZARNA")</f>
        <v>BATERIA WANNOWA PODŁOGOWA FLORES CZARNA</v>
      </c>
      <c r="E559" s="31">
        <v>203.95121951219514</v>
      </c>
      <c r="F559" s="31">
        <f t="shared" si="8"/>
        <v>250.86</v>
      </c>
    </row>
    <row r="560" spans="1:6" ht="18.75" customHeight="1" x14ac:dyDescent="0.25">
      <c r="A560" s="2" t="str">
        <f ca="1">IFERROR(__xludf.DUMMYFUNCTION("""COMPUTED_VALUE"""),"REA-B2713")</f>
        <v>REA-B2713</v>
      </c>
      <c r="B560" s="3">
        <f ca="1">IFERROR(__xludf.DUMMYFUNCTION("""COMPUTED_VALUE"""),52162)</f>
        <v>52162</v>
      </c>
      <c r="C560" s="3">
        <f ca="1">IFERROR(__xludf.DUMMYFUNCTION("""COMPUTED_VALUE"""),5902557392148)</f>
        <v>5902557392148</v>
      </c>
      <c r="D560" s="4" t="str">
        <f ca="1">IFERROR(__xludf.DUMMYFUNCTION("""COMPUTED_VALUE"""),"BATERIA WANNOWA PODŁOGOWA FLORES ZŁOTA SZCZOTKOWAN")</f>
        <v>BATERIA WANNOWA PODŁOGOWA FLORES ZŁOTA SZCZOTKOWAN</v>
      </c>
      <c r="E560" s="31">
        <v>249.07317073170736</v>
      </c>
      <c r="F560" s="31">
        <f t="shared" si="8"/>
        <v>306.36000000000007</v>
      </c>
    </row>
    <row r="561" spans="1:6" ht="18.75" customHeight="1" x14ac:dyDescent="0.25">
      <c r="A561" s="2" t="str">
        <f ca="1">IFERROR(__xludf.DUMMYFUNCTION("""COMPUTED_VALUE"""),"REA-B1011")</f>
        <v>REA-B1011</v>
      </c>
      <c r="B561" s="3">
        <f ca="1">IFERROR(__xludf.DUMMYFUNCTION("""COMPUTED_VALUE"""),1786)</f>
        <v>1786</v>
      </c>
      <c r="C561" s="3">
        <f ca="1">IFERROR(__xludf.DUMMYFUNCTION("""COMPUTED_VALUE"""),5902557314744)</f>
        <v>5902557314744</v>
      </c>
      <c r="D561" s="4" t="str">
        <f ca="1">IFERROR(__xludf.DUMMYFUNCTION("""COMPUTED_VALUE"""),"BATERIA WANNOWA PODŁOGOWA LUNGO ORTIS CHROM")</f>
        <v>BATERIA WANNOWA PODŁOGOWA LUNGO ORTIS CHROM</v>
      </c>
      <c r="E561" s="31">
        <v>240.95121951219514</v>
      </c>
      <c r="F561" s="31">
        <f t="shared" si="8"/>
        <v>296.37</v>
      </c>
    </row>
    <row r="562" spans="1:6" ht="18.75" customHeight="1" x14ac:dyDescent="0.25">
      <c r="A562" s="2" t="str">
        <f ca="1">IFERROR(__xludf.DUMMYFUNCTION("""COMPUTED_VALUE"""),"REA-B0232")</f>
        <v>REA-B0232</v>
      </c>
      <c r="B562" s="3">
        <f ca="1">IFERROR(__xludf.DUMMYFUNCTION("""COMPUTED_VALUE"""),17396)</f>
        <v>17396</v>
      </c>
      <c r="C562" s="3">
        <f ca="1">IFERROR(__xludf.DUMMYFUNCTION("""COMPUTED_VALUE"""),5902557331512)</f>
        <v>5902557331512</v>
      </c>
      <c r="D562" s="4" t="str">
        <f ca="1">IFERROR(__xludf.DUMMYFUNCTION("""COMPUTED_VALUE"""),"BATERIA WANNOWA PODŁOGOWA LUNGO ORTIS CZARNA")</f>
        <v>BATERIA WANNOWA PODŁOGOWA LUNGO ORTIS CZARNA</v>
      </c>
      <c r="E562" s="31">
        <v>233.73170731707319</v>
      </c>
      <c r="F562" s="31">
        <f t="shared" si="8"/>
        <v>287.49</v>
      </c>
    </row>
    <row r="563" spans="1:6" ht="18.75" customHeight="1" x14ac:dyDescent="0.25">
      <c r="A563" s="2" t="str">
        <f ca="1">IFERROR(__xludf.DUMMYFUNCTION("""COMPUTED_VALUE"""),"REA-B7430")</f>
        <v>REA-B7430</v>
      </c>
      <c r="B563" s="3">
        <f ca="1">IFERROR(__xludf.DUMMYFUNCTION("""COMPUTED_VALUE"""),29268)</f>
        <v>29268</v>
      </c>
      <c r="C563" s="3">
        <f ca="1">IFERROR(__xludf.DUMMYFUNCTION("""COMPUTED_VALUE"""),5902557338948)</f>
        <v>5902557338948</v>
      </c>
      <c r="D563" s="4" t="str">
        <f ca="1">IFERROR(__xludf.DUMMYFUNCTION("""COMPUTED_VALUE"""),"BATERIA WANNOWA PODŁOGOWA LUNGO ORTIS ZŁOTA")</f>
        <v>BATERIA WANNOWA PODŁOGOWA LUNGO ORTIS ZŁOTA</v>
      </c>
      <c r="E563" s="31">
        <v>233.73170731707319</v>
      </c>
      <c r="F563" s="31">
        <f t="shared" si="8"/>
        <v>287.49</v>
      </c>
    </row>
    <row r="564" spans="1:6" ht="18.75" customHeight="1" x14ac:dyDescent="0.25">
      <c r="A564" s="2" t="str">
        <f ca="1">IFERROR(__xludf.DUMMYFUNCTION("""COMPUTED_VALUE"""),"REA-B2715")</f>
        <v>REA-B2715</v>
      </c>
      <c r="B564" s="3">
        <f ca="1">IFERROR(__xludf.DUMMYFUNCTION("""COMPUTED_VALUE"""),52164)</f>
        <v>52164</v>
      </c>
      <c r="C564" s="3">
        <f ca="1">IFERROR(__xludf.DUMMYFUNCTION("""COMPUTED_VALUE"""),5902557392155)</f>
        <v>5902557392155</v>
      </c>
      <c r="D564" s="4" t="str">
        <f ca="1">IFERROR(__xludf.DUMMYFUNCTION("""COMPUTED_VALUE"""),"BATERIA WANNOWA PODŁOGOWA MONO CHROM")</f>
        <v>BATERIA WANNOWA PODŁOGOWA MONO CHROM</v>
      </c>
      <c r="E564" s="31">
        <v>182.29268292682929</v>
      </c>
      <c r="F564" s="31">
        <f t="shared" si="8"/>
        <v>224.22000000000003</v>
      </c>
    </row>
    <row r="565" spans="1:6" ht="18.75" customHeight="1" x14ac:dyDescent="0.25">
      <c r="A565" s="2" t="str">
        <f ca="1">IFERROR(__xludf.DUMMYFUNCTION("""COMPUTED_VALUE"""),"REA-B2714")</f>
        <v>REA-B2714</v>
      </c>
      <c r="B565" s="3">
        <f ca="1">IFERROR(__xludf.DUMMYFUNCTION("""COMPUTED_VALUE"""),52113)</f>
        <v>52113</v>
      </c>
      <c r="C565" s="3">
        <f ca="1">IFERROR(__xludf.DUMMYFUNCTION("""COMPUTED_VALUE"""),5902557392162)</f>
        <v>5902557392162</v>
      </c>
      <c r="D565" s="4" t="str">
        <f ca="1">IFERROR(__xludf.DUMMYFUNCTION("""COMPUTED_VALUE"""),"BATERIA WANNOWA PODŁOGOWA MONO CZARNA")</f>
        <v>BATERIA WANNOWA PODŁOGOWA MONO CZARNA</v>
      </c>
      <c r="E565" s="31">
        <v>178.6829268292683</v>
      </c>
      <c r="F565" s="31">
        <f t="shared" si="8"/>
        <v>219.78</v>
      </c>
    </row>
    <row r="566" spans="1:6" ht="18.75" customHeight="1" x14ac:dyDescent="0.25">
      <c r="A566" s="2" t="str">
        <f ca="1">IFERROR(__xludf.DUMMYFUNCTION("""COMPUTED_VALUE"""),"REA-B1130")</f>
        <v>REA-B1130</v>
      </c>
      <c r="B566" s="3">
        <f ca="1">IFERROR(__xludf.DUMMYFUNCTION("""COMPUTED_VALUE"""),53892)</f>
        <v>53892</v>
      </c>
      <c r="C566" s="3">
        <f ca="1">IFERROR(__xludf.DUMMYFUNCTION("""COMPUTED_VALUE"""),5906366002809)</f>
        <v>5906366002809</v>
      </c>
      <c r="D566" s="4" t="str">
        <f ca="1">IFERROR(__xludf.DUMMYFUNCTION("""COMPUTED_VALUE"""),"BATERIA WANNOWA PODŁOGOWA MONO ZŁOTA")</f>
        <v>BATERIA WANNOWA PODŁOGOWA MONO ZŁOTA</v>
      </c>
      <c r="E566" s="31">
        <v>212.07317073170734</v>
      </c>
      <c r="F566" s="31">
        <f t="shared" si="8"/>
        <v>260.85000000000002</v>
      </c>
    </row>
    <row r="567" spans="1:6" ht="18.75" customHeight="1" x14ac:dyDescent="0.25">
      <c r="A567" s="2" t="str">
        <f ca="1">IFERROR(__xludf.DUMMYFUNCTION("""COMPUTED_VALUE"""),"REA-B2716")</f>
        <v>REA-B2716</v>
      </c>
      <c r="B567" s="3">
        <f ca="1">IFERROR(__xludf.DUMMYFUNCTION("""COMPUTED_VALUE"""),52163)</f>
        <v>52163</v>
      </c>
      <c r="C567" s="3">
        <f ca="1">IFERROR(__xludf.DUMMYFUNCTION("""COMPUTED_VALUE"""),5902557392179)</f>
        <v>5902557392179</v>
      </c>
      <c r="D567" s="4" t="str">
        <f ca="1">IFERROR(__xludf.DUMMYFUNCTION("""COMPUTED_VALUE"""),"BATERIA WANNOWA PODŁOGOWA MONO ZŁOTA SZCZOTKOWANA")</f>
        <v>BATERIA WANNOWA PODŁOGOWA MONO ZŁOTA SZCZOTKOWANA</v>
      </c>
      <c r="E567" s="31">
        <v>212.07317073170734</v>
      </c>
      <c r="F567" s="31">
        <f t="shared" si="8"/>
        <v>260.85000000000002</v>
      </c>
    </row>
    <row r="568" spans="1:6" ht="18.75" customHeight="1" x14ac:dyDescent="0.25">
      <c r="A568" s="2" t="str">
        <f ca="1">IFERROR(__xludf.DUMMYFUNCTION("""COMPUTED_VALUE"""),"REA-B6401")</f>
        <v>REA-B6401</v>
      </c>
      <c r="B568" s="3">
        <f ca="1">IFERROR(__xludf.DUMMYFUNCTION("""COMPUTED_VALUE"""),51076)</f>
        <v>51076</v>
      </c>
      <c r="C568" s="3">
        <f ca="1">IFERROR(__xludf.DUMMYFUNCTION("""COMPUTED_VALUE"""),5902557394210)</f>
        <v>5902557394210</v>
      </c>
      <c r="D568" s="4" t="str">
        <f ca="1">IFERROR(__xludf.DUMMYFUNCTION("""COMPUTED_VALUE"""),"BATERIA WANNOWA PODŁOGOWA MY2061-38B HASS CZARNA")</f>
        <v>BATERIA WANNOWA PODŁOGOWA MY2061-38B HASS CZARNA</v>
      </c>
      <c r="E568" s="31">
        <v>181.39024390243904</v>
      </c>
      <c r="F568" s="31">
        <f t="shared" si="8"/>
        <v>223.11</v>
      </c>
    </row>
    <row r="569" spans="1:6" ht="18.75" customHeight="1" x14ac:dyDescent="0.25">
      <c r="A569" s="2" t="str">
        <f ca="1">IFERROR(__xludf.DUMMYFUNCTION("""COMPUTED_VALUE"""),"REA-B6400")</f>
        <v>REA-B6400</v>
      </c>
      <c r="B569" s="3">
        <f ca="1">IFERROR(__xludf.DUMMYFUNCTION("""COMPUTED_VALUE"""),51075)</f>
        <v>51075</v>
      </c>
      <c r="C569" s="3">
        <f ca="1">IFERROR(__xludf.DUMMYFUNCTION("""COMPUTED_VALUE"""),5902557394203)</f>
        <v>5902557394203</v>
      </c>
      <c r="D569" s="4" t="str">
        <f ca="1">IFERROR(__xludf.DUMMYFUNCTION("""COMPUTED_VALUE"""),"BATERIA WANNOWA PODŁOGOWA MY2061-38C HASS CHROM")</f>
        <v>BATERIA WANNOWA PODŁOGOWA MY2061-38C HASS CHROM</v>
      </c>
      <c r="E569" s="31">
        <v>175.07317073170734</v>
      </c>
      <c r="F569" s="31">
        <f t="shared" si="8"/>
        <v>215.34000000000003</v>
      </c>
    </row>
    <row r="570" spans="1:6" ht="18.75" customHeight="1" x14ac:dyDescent="0.25">
      <c r="A570" s="2" t="str">
        <f ca="1">IFERROR(__xludf.DUMMYFUNCTION("""COMPUTED_VALUE"""),"REA-B0184")</f>
        <v>REA-B0184</v>
      </c>
      <c r="B570" s="3">
        <f ca="1">IFERROR(__xludf.DUMMYFUNCTION("""COMPUTED_VALUE"""),18990)</f>
        <v>18990</v>
      </c>
      <c r="C570" s="3">
        <f ca="1">IFERROR(__xludf.DUMMYFUNCTION("""COMPUTED_VALUE"""),5902557331864)</f>
        <v>5902557331864</v>
      </c>
      <c r="D570" s="4" t="str">
        <f ca="1">IFERROR(__xludf.DUMMYFUNCTION("""COMPUTED_VALUE"""),"BATERIA WANNOWA PODŁOGOWA SOHO  BLACK")</f>
        <v>BATERIA WANNOWA PODŁOGOWA SOHO  BLACK</v>
      </c>
      <c r="E570" s="31">
        <v>237.34146341463415</v>
      </c>
      <c r="F570" s="31">
        <f t="shared" si="8"/>
        <v>291.93</v>
      </c>
    </row>
    <row r="571" spans="1:6" ht="18.75" customHeight="1" x14ac:dyDescent="0.25">
      <c r="A571" s="2" t="str">
        <f ca="1">IFERROR(__xludf.DUMMYFUNCTION("""COMPUTED_VALUE"""),"REA-B5301")</f>
        <v>REA-B5301</v>
      </c>
      <c r="B571" s="3">
        <f ca="1">IFERROR(__xludf.DUMMYFUNCTION("""COMPUTED_VALUE"""),51174)</f>
        <v>51174</v>
      </c>
      <c r="C571" s="3">
        <f ca="1">IFERROR(__xludf.DUMMYFUNCTION("""COMPUTED_VALUE"""),5902557391318)</f>
        <v>5902557391318</v>
      </c>
      <c r="D571" s="4" t="str">
        <f ca="1">IFERROR(__xludf.DUMMYFUNCTION("""COMPUTED_VALUE"""),"BATERIA WANNOWA PODŁOGOWA ST004 CLARK CHROM")</f>
        <v>BATERIA WANNOWA PODŁOGOWA ST004 CLARK CHROM</v>
      </c>
      <c r="E571" s="31">
        <v>212.07317073170734</v>
      </c>
      <c r="F571" s="31">
        <f t="shared" si="8"/>
        <v>260.85000000000002</v>
      </c>
    </row>
    <row r="572" spans="1:6" ht="18.75" customHeight="1" x14ac:dyDescent="0.25">
      <c r="A572" s="2" t="str">
        <f ca="1">IFERROR(__xludf.DUMMYFUNCTION("""COMPUTED_VALUE"""),"REA-B5300")</f>
        <v>REA-B5300</v>
      </c>
      <c r="B572" s="3">
        <f ca="1">IFERROR(__xludf.DUMMYFUNCTION("""COMPUTED_VALUE"""),51369)</f>
        <v>51369</v>
      </c>
      <c r="C572" s="3">
        <f ca="1">IFERROR(__xludf.DUMMYFUNCTION("""COMPUTED_VALUE"""),5902557391325)</f>
        <v>5902557391325</v>
      </c>
      <c r="D572" s="4" t="str">
        <f ca="1">IFERROR(__xludf.DUMMYFUNCTION("""COMPUTED_VALUE"""),"BATERIA WANNOWA PODŁOGOWA ST004 CLARK CZARNA")</f>
        <v>BATERIA WANNOWA PODŁOGOWA ST004 CLARK CZARNA</v>
      </c>
      <c r="E572" s="31">
        <v>218.39024390243904</v>
      </c>
      <c r="F572" s="31">
        <f t="shared" si="8"/>
        <v>268.62</v>
      </c>
    </row>
    <row r="573" spans="1:6" ht="18.75" customHeight="1" x14ac:dyDescent="0.25">
      <c r="A573" s="2" t="str">
        <f ca="1">IFERROR(__xludf.DUMMYFUNCTION("""COMPUTED_VALUE"""),"REA-B5302")</f>
        <v>REA-B5302</v>
      </c>
      <c r="B573" s="3">
        <f ca="1">IFERROR(__xludf.DUMMYFUNCTION("""COMPUTED_VALUE"""),51367)</f>
        <v>51367</v>
      </c>
      <c r="C573" s="3">
        <f ca="1">IFERROR(__xludf.DUMMYFUNCTION("""COMPUTED_VALUE"""),5902557391332)</f>
        <v>5902557391332</v>
      </c>
      <c r="D573" s="4" t="str">
        <f ca="1">IFERROR(__xludf.DUMMYFUNCTION("""COMPUTED_VALUE"""),"BATERIA WANNOWA PODŁOGOWA ST004 CLARK ZŁOTA")</f>
        <v>BATERIA WANNOWA PODŁOGOWA ST004 CLARK ZŁOTA</v>
      </c>
      <c r="E573" s="31">
        <v>237.34146341463415</v>
      </c>
      <c r="F573" s="31">
        <f t="shared" si="8"/>
        <v>291.93</v>
      </c>
    </row>
    <row r="574" spans="1:6" ht="18.75" customHeight="1" x14ac:dyDescent="0.25">
      <c r="A574" s="2" t="str">
        <f ca="1">IFERROR(__xludf.DUMMYFUNCTION("""COMPUTED_VALUE"""),"REA-B5303")</f>
        <v>REA-B5303</v>
      </c>
      <c r="B574" s="3">
        <f ca="1">IFERROR(__xludf.DUMMYFUNCTION("""COMPUTED_VALUE"""),51366)</f>
        <v>51366</v>
      </c>
      <c r="C574" s="3">
        <f ca="1">IFERROR(__xludf.DUMMYFUNCTION("""COMPUTED_VALUE"""),5902557391349)</f>
        <v>5902557391349</v>
      </c>
      <c r="D574" s="4" t="str">
        <f ca="1">IFERROR(__xludf.DUMMYFUNCTION("""COMPUTED_VALUE"""),"BATERIA WANNOWA PODŁOGOWA ST004 CLARK ZŁOTA SZCZOT")</f>
        <v>BATERIA WANNOWA PODŁOGOWA ST004 CLARK ZŁOTA SZCZOT</v>
      </c>
      <c r="E574" s="31">
        <v>248.17073170731712</v>
      </c>
      <c r="F574" s="31">
        <f t="shared" si="8"/>
        <v>305.25000000000006</v>
      </c>
    </row>
    <row r="575" spans="1:6" ht="18.75" customHeight="1" x14ac:dyDescent="0.25">
      <c r="A575" s="2" t="str">
        <f ca="1">IFERROR(__xludf.DUMMYFUNCTION("""COMPUTED_VALUE"""),"REA-B5305")</f>
        <v>REA-B5305</v>
      </c>
      <c r="B575" s="3">
        <f ca="1">IFERROR(__xludf.DUMMYFUNCTION("""COMPUTED_VALUE"""),51180)</f>
        <v>51180</v>
      </c>
      <c r="C575" s="3">
        <f ca="1">IFERROR(__xludf.DUMMYFUNCTION("""COMPUTED_VALUE"""),5902557391356)</f>
        <v>5902557391356</v>
      </c>
      <c r="D575" s="4" t="str">
        <f ca="1">IFERROR(__xludf.DUMMYFUNCTION("""COMPUTED_VALUE"""),"BATERIA WANNOWA PODŁOGOWA ST005 TERY CHROM")</f>
        <v>BATERIA WANNOWA PODŁOGOWA ST005 TERY CHROM</v>
      </c>
      <c r="E575" s="31">
        <v>208.46341463414637</v>
      </c>
      <c r="F575" s="31">
        <f t="shared" si="8"/>
        <v>256.41000000000003</v>
      </c>
    </row>
    <row r="576" spans="1:6" ht="18.75" customHeight="1" x14ac:dyDescent="0.25">
      <c r="A576" s="2" t="str">
        <f ca="1">IFERROR(__xludf.DUMMYFUNCTION("""COMPUTED_VALUE"""),"REA-B5304")</f>
        <v>REA-B5304</v>
      </c>
      <c r="B576" s="3">
        <f ca="1">IFERROR(__xludf.DUMMYFUNCTION("""COMPUTED_VALUE"""),51176)</f>
        <v>51176</v>
      </c>
      <c r="C576" s="3">
        <f ca="1">IFERROR(__xludf.DUMMYFUNCTION("""COMPUTED_VALUE"""),5902557391363)</f>
        <v>5902557391363</v>
      </c>
      <c r="D576" s="4" t="str">
        <f ca="1">IFERROR(__xludf.DUMMYFUNCTION("""COMPUTED_VALUE"""),"BATERIA WANNOWA PODŁOGOWA ST005 TERY CZARNA")</f>
        <v>BATERIA WANNOWA PODŁOGOWA ST005 TERY CZARNA</v>
      </c>
      <c r="E576" s="31">
        <v>218.39024390243904</v>
      </c>
      <c r="F576" s="31">
        <f t="shared" si="8"/>
        <v>268.62</v>
      </c>
    </row>
    <row r="577" spans="1:6" ht="18.75" customHeight="1" x14ac:dyDescent="0.25">
      <c r="A577" s="2" t="str">
        <f ca="1">IFERROR(__xludf.DUMMYFUNCTION("""COMPUTED_VALUE"""),"REA-B5306")</f>
        <v>REA-B5306</v>
      </c>
      <c r="B577" s="3">
        <f ca="1">IFERROR(__xludf.DUMMYFUNCTION("""COMPUTED_VALUE"""),51365)</f>
        <v>51365</v>
      </c>
      <c r="C577" s="3">
        <f ca="1">IFERROR(__xludf.DUMMYFUNCTION("""COMPUTED_VALUE"""),5902557391370)</f>
        <v>5902557391370</v>
      </c>
      <c r="D577" s="4" t="str">
        <f ca="1">IFERROR(__xludf.DUMMYFUNCTION("""COMPUTED_VALUE"""),"BATERIA WANNOWA PODŁOGOWA ST005 TERY ZŁOTA")</f>
        <v>BATERIA WANNOWA PODŁOGOWA ST005 TERY ZŁOTA</v>
      </c>
      <c r="E577" s="31">
        <v>227.41463414634148</v>
      </c>
      <c r="F577" s="31">
        <f t="shared" si="8"/>
        <v>279.72000000000003</v>
      </c>
    </row>
    <row r="578" spans="1:6" ht="18.75" customHeight="1" x14ac:dyDescent="0.25">
      <c r="A578" s="2" t="str">
        <f ca="1">IFERROR(__xludf.DUMMYFUNCTION("""COMPUTED_VALUE"""),"REA-B5307")</f>
        <v>REA-B5307</v>
      </c>
      <c r="B578" s="3">
        <f ca="1">IFERROR(__xludf.DUMMYFUNCTION("""COMPUTED_VALUE"""),51364)</f>
        <v>51364</v>
      </c>
      <c r="C578" s="3">
        <f ca="1">IFERROR(__xludf.DUMMYFUNCTION("""COMPUTED_VALUE"""),5902557391387)</f>
        <v>5902557391387</v>
      </c>
      <c r="D578" s="4" t="str">
        <f ca="1">IFERROR(__xludf.DUMMYFUNCTION("""COMPUTED_VALUE"""),"BATERIA WANNOWA PODŁOGOWA ST005 TERY ZŁOTA SZCZOTK")</f>
        <v>BATERIA WANNOWA PODŁOGOWA ST005 TERY ZŁOTA SZCZOTK</v>
      </c>
      <c r="E578" s="31">
        <v>243.65853658536591</v>
      </c>
      <c r="F578" s="31">
        <f t="shared" si="8"/>
        <v>299.70000000000005</v>
      </c>
    </row>
    <row r="579" spans="1:6" ht="18.75" customHeight="1" x14ac:dyDescent="0.25">
      <c r="A579" s="2" t="str">
        <f ca="1">IFERROR(__xludf.DUMMYFUNCTION("""COMPUTED_VALUE"""),"REA-B7996")</f>
        <v>REA-B7996</v>
      </c>
      <c r="B579" s="3">
        <f ca="1">IFERROR(__xludf.DUMMYFUNCTION("""COMPUTED_VALUE"""),54094)</f>
        <v>54094</v>
      </c>
      <c r="C579" s="3">
        <f ca="1">IFERROR(__xludf.DUMMYFUNCTION("""COMPUTED_VALUE"""),5906366008726)</f>
        <v>5906366008726</v>
      </c>
      <c r="D579" s="4" t="str">
        <f ca="1">IFERROR(__xludf.DUMMYFUNCTION("""COMPUTED_VALUE"""),"BATERIA WANNOWA PODTYNKOWA LUNGO MIEDŹ + BOX")</f>
        <v>BATERIA WANNOWA PODTYNKOWA LUNGO MIEDŹ + BOX</v>
      </c>
      <c r="E579" s="31">
        <v>158.82926829268294</v>
      </c>
      <c r="F579" s="31">
        <f t="shared" ref="F579:F642" si="9">E579*1.23</f>
        <v>195.36</v>
      </c>
    </row>
    <row r="580" spans="1:6" ht="18.75" customHeight="1" x14ac:dyDescent="0.25">
      <c r="A580" s="2" t="str">
        <f ca="1">IFERROR(__xludf.DUMMYFUNCTION("""COMPUTED_VALUE"""),"REA-B0224")</f>
        <v>REA-B0224</v>
      </c>
      <c r="B580" s="3">
        <f ca="1">IFERROR(__xludf.DUMMYFUNCTION("""COMPUTED_VALUE"""),17822)</f>
        <v>17822</v>
      </c>
      <c r="C580" s="3">
        <f ca="1">IFERROR(__xludf.DUMMYFUNCTION("""COMPUTED_VALUE"""),5902557331659)</f>
        <v>5902557331659</v>
      </c>
      <c r="D580" s="4" t="str">
        <f ca="1">IFERROR(__xludf.DUMMYFUNCTION("""COMPUTED_VALUE"""),"BATERIA WANNOWA RETRO CZARNA PRZECIERANA")</f>
        <v>BATERIA WANNOWA RETRO CZARNA PRZECIERANA</v>
      </c>
      <c r="E580" s="31">
        <v>120.92682926829269</v>
      </c>
      <c r="F580" s="31">
        <f t="shared" si="9"/>
        <v>148.74</v>
      </c>
    </row>
    <row r="581" spans="1:6" ht="18.75" customHeight="1" x14ac:dyDescent="0.25">
      <c r="A581" s="2" t="str">
        <f ca="1">IFERROR(__xludf.DUMMYFUNCTION("""COMPUTED_VALUE"""),"REA-B0457")</f>
        <v>REA-B0457</v>
      </c>
      <c r="B581" s="3">
        <f ca="1">IFERROR(__xludf.DUMMYFUNCTION("""COMPUTED_VALUE"""),7484)</f>
        <v>7484</v>
      </c>
      <c r="C581" s="3">
        <f ca="1">IFERROR(__xludf.DUMMYFUNCTION("""COMPUTED_VALUE"""),5902557302208)</f>
        <v>5902557302208</v>
      </c>
      <c r="D581" s="4" t="str">
        <f ca="1">IFERROR(__xludf.DUMMYFUNCTION("""COMPUTED_VALUE"""),"BATERIA WANNOWA RIVEN CHROM")</f>
        <v>BATERIA WANNOWA RIVEN CHROM</v>
      </c>
      <c r="E581" s="31">
        <v>107.39024390243904</v>
      </c>
      <c r="F581" s="31">
        <f t="shared" si="9"/>
        <v>132.09</v>
      </c>
    </row>
    <row r="582" spans="1:6" ht="18.75" customHeight="1" x14ac:dyDescent="0.25">
      <c r="A582" s="2" t="str">
        <f ca="1">IFERROR(__xludf.DUMMYFUNCTION("""COMPUTED_VALUE"""),"REA-B0497")</f>
        <v>REA-B0497</v>
      </c>
      <c r="B582" s="3">
        <f ca="1">IFERROR(__xludf.DUMMYFUNCTION("""COMPUTED_VALUE"""),43277)</f>
        <v>43277</v>
      </c>
      <c r="C582" s="3">
        <f ca="1">IFERROR(__xludf.DUMMYFUNCTION("""COMPUTED_VALUE"""),5902557366804)</f>
        <v>5902557366804</v>
      </c>
      <c r="D582" s="4" t="str">
        <f ca="1">IFERROR(__xludf.DUMMYFUNCTION("""COMPUTED_VALUE"""),"BATERIA WANNOWA RIVEN ZŁOTA")</f>
        <v>BATERIA WANNOWA RIVEN ZŁOTA</v>
      </c>
      <c r="E582" s="31">
        <v>105.58536585365854</v>
      </c>
      <c r="F582" s="31">
        <f t="shared" si="9"/>
        <v>129.87</v>
      </c>
    </row>
    <row r="583" spans="1:6" ht="18.75" customHeight="1" x14ac:dyDescent="0.25">
      <c r="A583" s="2" t="str">
        <f ca="1">IFERROR(__xludf.DUMMYFUNCTION("""COMPUTED_VALUE"""),"REA-B0701")</f>
        <v>REA-B0701</v>
      </c>
      <c r="B583" s="3">
        <f ca="1">IFERROR(__xludf.DUMMYFUNCTION("""COMPUTED_VALUE"""),52179)</f>
        <v>52179</v>
      </c>
      <c r="C583" s="3">
        <f ca="1">IFERROR(__xludf.DUMMYFUNCTION("""COMPUTED_VALUE"""),5902557396719)</f>
        <v>5902557396719</v>
      </c>
      <c r="D583" s="4" t="str">
        <f ca="1">IFERROR(__xludf.DUMMYFUNCTION("""COMPUTED_VALUE"""),"BATERIA WANNOWA RUSTICO CZARNA PRZECIERANA")</f>
        <v>BATERIA WANNOWA RUSTICO CZARNA PRZECIERANA</v>
      </c>
      <c r="E583" s="31">
        <v>116.41463414634147</v>
      </c>
      <c r="F583" s="31">
        <f t="shared" si="9"/>
        <v>143.19</v>
      </c>
    </row>
    <row r="584" spans="1:6" ht="18.75" customHeight="1" x14ac:dyDescent="0.25">
      <c r="A584" s="2" t="str">
        <f ca="1">IFERROR(__xludf.DUMMYFUNCTION("""COMPUTED_VALUE"""),"REA-B0702")</f>
        <v>REA-B0702</v>
      </c>
      <c r="B584" s="3">
        <f ca="1">IFERROR(__xludf.DUMMYFUNCTION("""COMPUTED_VALUE"""),52180)</f>
        <v>52180</v>
      </c>
      <c r="C584" s="3">
        <f ca="1">IFERROR(__xludf.DUMMYFUNCTION("""COMPUTED_VALUE"""),5902557395996)</f>
        <v>5902557395996</v>
      </c>
      <c r="D584" s="4" t="str">
        <f ca="1">IFERROR(__xludf.DUMMYFUNCTION("""COMPUTED_VALUE"""),"BATERIA WANNOWA RUSTICO ZŁOTA ANTYCZNA")</f>
        <v>BATERIA WANNOWA RUSTICO ZŁOTA ANTYCZNA</v>
      </c>
      <c r="E584" s="31">
        <v>119.1219512195122</v>
      </c>
      <c r="F584" s="31">
        <f t="shared" si="9"/>
        <v>146.52000000000001</v>
      </c>
    </row>
    <row r="585" spans="1:6" ht="18.75" customHeight="1" x14ac:dyDescent="0.25">
      <c r="A585" s="2" t="str">
        <f ca="1">IFERROR(__xludf.DUMMYFUNCTION("""COMPUTED_VALUE"""),"REA-B6352")</f>
        <v>REA-B6352</v>
      </c>
      <c r="B585" s="3">
        <f ca="1">IFERROR(__xludf.DUMMYFUNCTION("""COMPUTED_VALUE"""),24376)</f>
        <v>24376</v>
      </c>
      <c r="C585" s="3">
        <f ca="1">IFERROR(__xludf.DUMMYFUNCTION("""COMPUTED_VALUE"""),5902557335978)</f>
        <v>5902557335978</v>
      </c>
      <c r="D585" s="4" t="str">
        <f ca="1">IFERROR(__xludf.DUMMYFUNCTION("""COMPUTED_VALUE"""),"BATERIA WANNOWA SALTO CZARNA/ZŁOTA")</f>
        <v>BATERIA WANNOWA SALTO CZARNA/ZŁOTA</v>
      </c>
      <c r="E585" s="31">
        <v>111.00000000000001</v>
      </c>
      <c r="F585" s="31">
        <f t="shared" si="9"/>
        <v>136.53000000000003</v>
      </c>
    </row>
    <row r="586" spans="1:6" ht="18.75" customHeight="1" x14ac:dyDescent="0.25">
      <c r="A586" s="2" t="str">
        <f ca="1">IFERROR(__xludf.DUMMYFUNCTION("""COMPUTED_VALUE"""),"REA-B9510")</f>
        <v>REA-B9510</v>
      </c>
      <c r="B586" s="3"/>
      <c r="C586" s="3">
        <f ca="1">IFERROR(__xludf.DUMMYFUNCTION("""COMPUTED_VALUE"""),5902557342068)</f>
        <v>5902557342068</v>
      </c>
      <c r="D586" s="4" t="str">
        <f ca="1">IFERROR(__xludf.DUMMYFUNCTION("""COMPUTED_VALUE"""),"BATERIA WANNOWA ŚCIENNA SONATA CZARNA/RÓŻOWE ZŁOTO")</f>
        <v>BATERIA WANNOWA ŚCIENNA SONATA CZARNA/RÓŻOWE ZŁOTO</v>
      </c>
      <c r="E586" s="31">
        <v>87.536585365853668</v>
      </c>
      <c r="F586" s="31">
        <f t="shared" si="9"/>
        <v>107.67000000000002</v>
      </c>
    </row>
    <row r="587" spans="1:6" ht="18.75" customHeight="1" x14ac:dyDescent="0.25">
      <c r="A587" s="2" t="str">
        <f ca="1">IFERROR(__xludf.DUMMYFUNCTION("""COMPUTED_VALUE"""),"REA-B7903")</f>
        <v>REA-B7903</v>
      </c>
      <c r="B587" s="3">
        <f ca="1">IFERROR(__xludf.DUMMYFUNCTION("""COMPUTED_VALUE"""),53652)</f>
        <v>53652</v>
      </c>
      <c r="C587" s="3">
        <f ca="1">IFERROR(__xludf.DUMMYFUNCTION("""COMPUTED_VALUE"""),5906366003578)</f>
        <v>5906366003578</v>
      </c>
      <c r="D587" s="4" t="str">
        <f ca="1">IFERROR(__xludf.DUMMYFUNCTION("""COMPUTED_VALUE"""),"BATERIA WANNOWA VERSO CZARNA")</f>
        <v>BATERIA WANNOWA VERSO CZARNA</v>
      </c>
      <c r="E587" s="31">
        <v>94.756097560975633</v>
      </c>
      <c r="F587" s="31">
        <f t="shared" si="9"/>
        <v>116.55000000000003</v>
      </c>
    </row>
    <row r="588" spans="1:6" ht="18.75" customHeight="1" x14ac:dyDescent="0.25">
      <c r="A588" s="2" t="str">
        <f ca="1">IFERROR(__xludf.DUMMYFUNCTION("""COMPUTED_VALUE"""),"REA-B6565")</f>
        <v>REA-B6565</v>
      </c>
      <c r="B588" s="3">
        <f ca="1">IFERROR(__xludf.DUMMYFUNCTION("""COMPUTED_VALUE"""),46486)</f>
        <v>46486</v>
      </c>
      <c r="C588" s="3">
        <f ca="1">IFERROR(__xludf.DUMMYFUNCTION("""COMPUTED_VALUE"""),5902557375462)</f>
        <v>5902557375462</v>
      </c>
      <c r="D588" s="4" t="str">
        <f ca="1">IFERROR(__xludf.DUMMYFUNCTION("""COMPUTED_VALUE"""),"BATERIA WANNOWA VERSO ZŁOTA SZCZOTKOWANA")</f>
        <v>BATERIA WANNOWA VERSO ZŁOTA SZCZOTKOWANA</v>
      </c>
      <c r="E588" s="31">
        <v>110.09756097560977</v>
      </c>
      <c r="F588" s="31">
        <f t="shared" si="9"/>
        <v>135.42000000000002</v>
      </c>
    </row>
    <row r="589" spans="1:6" ht="18.75" customHeight="1" x14ac:dyDescent="0.25">
      <c r="A589" s="2" t="str">
        <f ca="1">IFERROR(__xludf.DUMMYFUNCTION("""COMPUTED_VALUE"""),"REA-B9669")</f>
        <v>REA-B9669</v>
      </c>
      <c r="B589" s="3">
        <f ca="1">IFERROR(__xludf.DUMMYFUNCTION("""COMPUTED_VALUE"""),41939)</f>
        <v>41939</v>
      </c>
      <c r="C589" s="3">
        <f ca="1">IFERROR(__xludf.DUMMYFUNCTION("""COMPUTED_VALUE"""),5902557356935)</f>
        <v>5902557356935</v>
      </c>
      <c r="D589" s="4" t="str">
        <f ca="1">IFERROR(__xludf.DUMMYFUNCTION("""COMPUTED_VALUE"""),"BATERIA WANNOWA VERTIGO CZARNA")</f>
        <v>BATERIA WANNOWA VERTIGO CZARNA</v>
      </c>
      <c r="E589" s="31">
        <v>131.75609756097563</v>
      </c>
      <c r="F589" s="31">
        <f t="shared" si="9"/>
        <v>162.06000000000003</v>
      </c>
    </row>
    <row r="590" spans="1:6" ht="18.75" customHeight="1" x14ac:dyDescent="0.25">
      <c r="A590" s="2" t="str">
        <f ca="1">IFERROR(__xludf.DUMMYFUNCTION("""COMPUTED_VALUE"""),"REA-B1183")</f>
        <v>REA-B1183</v>
      </c>
      <c r="B590" s="3"/>
      <c r="C590" s="3">
        <f ca="1">IFERROR(__xludf.DUMMYFUNCTION("""COMPUTED_VALUE"""),5902557349715)</f>
        <v>5902557349715</v>
      </c>
      <c r="D590" s="4" t="str">
        <f ca="1">IFERROR(__xludf.DUMMYFUNCTION("""COMPUTED_VALUE"""),"BATERIA WYSOKA BONA OLD BLACK/GOLD")</f>
        <v>BATERIA WYSOKA BONA OLD BLACK/GOLD</v>
      </c>
      <c r="E590" s="31">
        <v>38.804878048780495</v>
      </c>
      <c r="F590" s="31">
        <f t="shared" si="9"/>
        <v>47.730000000000011</v>
      </c>
    </row>
    <row r="591" spans="1:6" ht="18.75" customHeight="1" x14ac:dyDescent="0.25">
      <c r="A591" s="2" t="str">
        <f ca="1">IFERROR(__xludf.DUMMYFUNCTION("""COMPUTED_VALUE"""),"REA-C2276")</f>
        <v>REA-C2276</v>
      </c>
      <c r="B591" s="3">
        <f ca="1">IFERROR(__xludf.DUMMYFUNCTION("""COMPUTED_VALUE"""),12602)</f>
        <v>12602</v>
      </c>
      <c r="C591" s="3">
        <f ca="1">IFERROR(__xludf.DUMMYFUNCTION("""COMPUTED_VALUE"""),5902557330355)</f>
        <v>5902557330355</v>
      </c>
      <c r="D591" s="4" t="str">
        <f ca="1">IFERROR(__xludf.DUMMYFUNCTION("""COMPUTED_VALUE"""),"BIDET CARLO MINI")</f>
        <v>BIDET CARLO MINI</v>
      </c>
      <c r="E591" s="31">
        <v>111.90243902439025</v>
      </c>
      <c r="F591" s="31">
        <f t="shared" si="9"/>
        <v>137.64000000000001</v>
      </c>
    </row>
    <row r="592" spans="1:6" ht="18.75" customHeight="1" x14ac:dyDescent="0.25">
      <c r="A592" s="2" t="str">
        <f ca="1">IFERROR(__xludf.DUMMYFUNCTION("""COMPUTED_VALUE"""),"REA-C6380")</f>
        <v>REA-C6380</v>
      </c>
      <c r="B592" s="3">
        <f ca="1">IFERROR(__xludf.DUMMYFUNCTION("""COMPUTED_VALUE"""),44412)</f>
        <v>44412</v>
      </c>
      <c r="C592" s="3">
        <f ca="1">IFERROR(__xludf.DUMMYFUNCTION("""COMPUTED_VALUE"""),5902557366736)</f>
        <v>5902557366736</v>
      </c>
      <c r="D592" s="4" t="str">
        <f ca="1">IFERROR(__xludf.DUMMYFUNCTION("""COMPUTED_VALUE"""),"BIDET CARLO MINI BLACK")</f>
        <v>BIDET CARLO MINI BLACK</v>
      </c>
      <c r="E592" s="31">
        <v>169.65853658536588</v>
      </c>
      <c r="F592" s="31">
        <f t="shared" si="9"/>
        <v>208.68000000000004</v>
      </c>
    </row>
    <row r="593" spans="1:6" ht="18.75" customHeight="1" x14ac:dyDescent="0.25">
      <c r="A593" s="2" t="str">
        <f ca="1">IFERROR(__xludf.DUMMYFUNCTION("""COMPUTED_VALUE"""),"REA-C9901")</f>
        <v>REA-C9901</v>
      </c>
      <c r="B593" s="3">
        <f ca="1">IFERROR(__xludf.DUMMYFUNCTION("""COMPUTED_VALUE"""),26769)</f>
        <v>26769</v>
      </c>
      <c r="C593" s="3">
        <f ca="1">IFERROR(__xludf.DUMMYFUNCTION("""COMPUTED_VALUE"""),5902557334995)</f>
        <v>5902557334995</v>
      </c>
      <c r="D593" s="4" t="str">
        <f ca="1">IFERROR(__xludf.DUMMYFUNCTION("""COMPUTED_VALUE"""),"BIDET CARLO MINI BLACK MATT")</f>
        <v>BIDET CARLO MINI BLACK MATT</v>
      </c>
      <c r="E593" s="31">
        <v>180.48780487804879</v>
      </c>
      <c r="F593" s="31">
        <f t="shared" si="9"/>
        <v>222</v>
      </c>
    </row>
    <row r="594" spans="1:6" ht="18.75" customHeight="1" x14ac:dyDescent="0.25">
      <c r="A594" s="2" t="str">
        <f ca="1">IFERROR(__xludf.DUMMYFUNCTION("""COMPUTED_VALUE"""),"REA-C2288")</f>
        <v>REA-C2288</v>
      </c>
      <c r="B594" s="3">
        <f ca="1">IFERROR(__xludf.DUMMYFUNCTION("""COMPUTED_VALUE"""),44829)</f>
        <v>44829</v>
      </c>
      <c r="C594" s="3">
        <f ca="1">IFERROR(__xludf.DUMMYFUNCTION("""COMPUTED_VALUE"""),5902557370085)</f>
        <v>5902557370085</v>
      </c>
      <c r="D594" s="4" t="str">
        <f ca="1">IFERROR(__xludf.DUMMYFUNCTION("""COMPUTED_VALUE"""),"BIDET CARLO MINI GOLD WHITE")</f>
        <v>BIDET CARLO MINI GOLD WHITE</v>
      </c>
      <c r="E594" s="31">
        <v>209.36585365853662</v>
      </c>
      <c r="F594" s="31">
        <f t="shared" si="9"/>
        <v>257.52000000000004</v>
      </c>
    </row>
    <row r="595" spans="1:6" ht="18.75" customHeight="1" x14ac:dyDescent="0.25">
      <c r="A595" s="2" t="str">
        <f ca="1">IFERROR(__xludf.DUMMYFUNCTION("""COMPUTED_VALUE"""),"REA-C6990")</f>
        <v>REA-C6990</v>
      </c>
      <c r="B595" s="3">
        <f ca="1">IFERROR(__xludf.DUMMYFUNCTION("""COMPUTED_VALUE"""),46281)</f>
        <v>46281</v>
      </c>
      <c r="C595" s="3">
        <f ca="1">IFERROR(__xludf.DUMMYFUNCTION("""COMPUTED_VALUE"""),5902557375271)</f>
        <v>5902557375271</v>
      </c>
      <c r="D595" s="4" t="str">
        <f ca="1">IFERROR(__xludf.DUMMYFUNCTION("""COMPUTED_VALUE"""),"BIDET CARLO MINI WHITE GOLD EDGE")</f>
        <v>BIDET CARLO MINI WHITE GOLD EDGE</v>
      </c>
      <c r="E595" s="31">
        <v>150.70731707317074</v>
      </c>
      <c r="F595" s="31">
        <f t="shared" si="9"/>
        <v>185.37</v>
      </c>
    </row>
    <row r="596" spans="1:6" ht="18.75" customHeight="1" x14ac:dyDescent="0.25">
      <c r="A596" s="2" t="str">
        <f ca="1">IFERROR(__xludf.DUMMYFUNCTION("""COMPUTED_VALUE"""),"REA-C6579")</f>
        <v>REA-C6579</v>
      </c>
      <c r="B596" s="3">
        <f ca="1">IFERROR(__xludf.DUMMYFUNCTION("""COMPUTED_VALUE"""),41920)</f>
        <v>41920</v>
      </c>
      <c r="C596" s="3">
        <f ca="1">IFERROR(__xludf.DUMMYFUNCTION("""COMPUTED_VALUE"""),5902557356195)</f>
        <v>5902557356195</v>
      </c>
      <c r="D596" s="4" t="str">
        <f ca="1">IFERROR(__xludf.DUMMYFUNCTION("""COMPUTED_VALUE"""),"BIDET HARY")</f>
        <v>BIDET HARY</v>
      </c>
      <c r="E596" s="31">
        <v>111.00000000000001</v>
      </c>
      <c r="F596" s="31">
        <f t="shared" si="9"/>
        <v>136.53000000000003</v>
      </c>
    </row>
    <row r="597" spans="1:6" ht="18.75" customHeight="1" x14ac:dyDescent="0.25">
      <c r="A597" s="2" t="str">
        <f ca="1">IFERROR(__xludf.DUMMYFUNCTION("""COMPUTED_VALUE"""),"REA-C6501")</f>
        <v>REA-C6501</v>
      </c>
      <c r="B597" s="3">
        <f ca="1">IFERROR(__xludf.DUMMYFUNCTION("""COMPUTED_VALUE"""),49819)</f>
        <v>49819</v>
      </c>
      <c r="C597" s="3">
        <f ca="1">IFERROR(__xludf.DUMMYFUNCTION("""COMPUTED_VALUE"""),5902557383092)</f>
        <v>5902557383092</v>
      </c>
      <c r="D597" s="4" t="str">
        <f ca="1">IFERROR(__xludf.DUMMYFUNCTION("""COMPUTED_VALUE"""),"BIDET OLIVIER")</f>
        <v>BIDET OLIVIER</v>
      </c>
      <c r="E597" s="31">
        <v>112.80487804878049</v>
      </c>
      <c r="F597" s="31">
        <f t="shared" si="9"/>
        <v>138.75</v>
      </c>
    </row>
    <row r="598" spans="1:6" ht="18.75" customHeight="1" x14ac:dyDescent="0.25">
      <c r="A598" s="2" t="str">
        <f ca="1">IFERROR(__xludf.DUMMYFUNCTION("""COMPUTED_VALUE"""),"REA-C3600")</f>
        <v>REA-C3600</v>
      </c>
      <c r="B598" s="3">
        <f ca="1">IFERROR(__xludf.DUMMYFUNCTION("""COMPUTED_VALUE"""),26230)</f>
        <v>26230</v>
      </c>
      <c r="C598" s="3">
        <f ca="1">IFERROR(__xludf.DUMMYFUNCTION("""COMPUTED_VALUE"""),5902557334285)</f>
        <v>5902557334285</v>
      </c>
      <c r="D598" s="4" t="str">
        <f ca="1">IFERROR(__xludf.DUMMYFUNCTION("""COMPUTED_VALUE"""),"BIDET PORTER")</f>
        <v>BIDET PORTER</v>
      </c>
      <c r="E598" s="31">
        <v>81.219512195121965</v>
      </c>
      <c r="F598" s="31">
        <f t="shared" si="9"/>
        <v>99.90000000000002</v>
      </c>
    </row>
    <row r="599" spans="1:6" ht="18.75" customHeight="1" x14ac:dyDescent="0.25">
      <c r="A599" s="2" t="str">
        <f ca="1">IFERROR(__xludf.DUMMYFUNCTION("""COMPUTED_VALUE"""),"REA-C6601")</f>
        <v>REA-C6601</v>
      </c>
      <c r="B599" s="3">
        <f ca="1">IFERROR(__xludf.DUMMYFUNCTION("""COMPUTED_VALUE"""),16933)</f>
        <v>16933</v>
      </c>
      <c r="C599" s="3">
        <f ca="1">IFERROR(__xludf.DUMMYFUNCTION("""COMPUTED_VALUE"""),5902557330522)</f>
        <v>5902557330522</v>
      </c>
      <c r="D599" s="4" t="str">
        <f ca="1">IFERROR(__xludf.DUMMYFUNCTION("""COMPUTED_VALUE"""),"BIDET RICO")</f>
        <v>BIDET RICO</v>
      </c>
      <c r="E599" s="31">
        <v>74.000000000000014</v>
      </c>
      <c r="F599" s="31">
        <f t="shared" si="9"/>
        <v>91.02000000000001</v>
      </c>
    </row>
    <row r="600" spans="1:6" ht="18.75" customHeight="1" x14ac:dyDescent="0.25">
      <c r="A600" s="2" t="str">
        <f ca="1">IFERROR(__xludf.DUMMYFUNCTION("""COMPUTED_VALUE"""),"REA-K3304")</f>
        <v>REA-K3304</v>
      </c>
      <c r="B600" s="3">
        <f ca="1">IFERROR(__xludf.DUMMYFUNCTION("""COMPUTED_VALUE"""),50933)</f>
        <v>50933</v>
      </c>
      <c r="C600" s="3">
        <f ca="1">IFERROR(__xludf.DUMMYFUNCTION("""COMPUTED_VALUE"""),5902557387656)</f>
        <v>5902557387656</v>
      </c>
      <c r="D600" s="4" t="str">
        <f ca="1">IFERROR(__xludf.DUMMYFUNCTION("""COMPUTED_VALUE"""),"BRODZIK BAZALT BLACK 80x100")</f>
        <v>BRODZIK BAZALT BLACK 80x100</v>
      </c>
      <c r="E600" s="31">
        <v>156.12195121951223</v>
      </c>
      <c r="F600" s="31">
        <f t="shared" si="9"/>
        <v>192.03000000000003</v>
      </c>
    </row>
    <row r="601" spans="1:6" ht="18.75" customHeight="1" x14ac:dyDescent="0.25">
      <c r="A601" s="2" t="str">
        <f ca="1">IFERROR(__xludf.DUMMYFUNCTION("""COMPUTED_VALUE"""),"REA-K3305")</f>
        <v>REA-K3305</v>
      </c>
      <c r="B601" s="3">
        <f ca="1">IFERROR(__xludf.DUMMYFUNCTION("""COMPUTED_VALUE"""),50934)</f>
        <v>50934</v>
      </c>
      <c r="C601" s="3">
        <f ca="1">IFERROR(__xludf.DUMMYFUNCTION("""COMPUTED_VALUE"""),5902557387663)</f>
        <v>5902557387663</v>
      </c>
      <c r="D601" s="4" t="str">
        <f ca="1">IFERROR(__xludf.DUMMYFUNCTION("""COMPUTED_VALUE"""),"BRODZIK BAZALT BLACK 80x120")</f>
        <v>BRODZIK BAZALT BLACK 80x120</v>
      </c>
      <c r="E601" s="31">
        <v>176.8780487804878</v>
      </c>
      <c r="F601" s="31">
        <f t="shared" si="9"/>
        <v>217.56</v>
      </c>
    </row>
    <row r="602" spans="1:6" ht="18.75" customHeight="1" x14ac:dyDescent="0.25">
      <c r="A602" s="2" t="str">
        <f ca="1">IFERROR(__xludf.DUMMYFUNCTION("""COMPUTED_VALUE"""),"REA-K3306")</f>
        <v>REA-K3306</v>
      </c>
      <c r="B602" s="3">
        <f ca="1">IFERROR(__xludf.DUMMYFUNCTION("""COMPUTED_VALUE"""),50935)</f>
        <v>50935</v>
      </c>
      <c r="C602" s="3">
        <f ca="1">IFERROR(__xludf.DUMMYFUNCTION("""COMPUTED_VALUE"""),5902557387670)</f>
        <v>5902557387670</v>
      </c>
      <c r="D602" s="4" t="str">
        <f ca="1">IFERROR(__xludf.DUMMYFUNCTION("""COMPUTED_VALUE"""),"BRODZIK BAZALT BLACK 90x120")</f>
        <v>BRODZIK BAZALT BLACK 90x120</v>
      </c>
      <c r="E602" s="31">
        <v>197.63414634146343</v>
      </c>
      <c r="F602" s="31">
        <f t="shared" si="9"/>
        <v>243.09000000000003</v>
      </c>
    </row>
    <row r="603" spans="1:6" ht="18.75" customHeight="1" x14ac:dyDescent="0.25">
      <c r="A603" s="2" t="str">
        <f ca="1">IFERROR(__xludf.DUMMYFUNCTION("""COMPUTED_VALUE"""),"REA-K3307")</f>
        <v>REA-K3307</v>
      </c>
      <c r="B603" s="3">
        <f ca="1">IFERROR(__xludf.DUMMYFUNCTION("""COMPUTED_VALUE"""),50913)</f>
        <v>50913</v>
      </c>
      <c r="C603" s="3">
        <f ca="1">IFERROR(__xludf.DUMMYFUNCTION("""COMPUTED_VALUE"""),5902557387687)</f>
        <v>5902557387687</v>
      </c>
      <c r="D603" s="4" t="str">
        <f ca="1">IFERROR(__xludf.DUMMYFUNCTION("""COMPUTED_VALUE"""),"BRODZIK BAZALT BLACK 90x90")</f>
        <v>BRODZIK BAZALT BLACK 90x90</v>
      </c>
      <c r="E603" s="31">
        <v>158.82926829268294</v>
      </c>
      <c r="F603" s="31">
        <f t="shared" si="9"/>
        <v>195.36</v>
      </c>
    </row>
    <row r="604" spans="1:6" ht="18.75" customHeight="1" x14ac:dyDescent="0.25">
      <c r="A604" s="2" t="str">
        <f ca="1">IFERROR(__xludf.DUMMYFUNCTION("""COMPUTED_VALUE"""),"REA-K7003")</f>
        <v>REA-K7003</v>
      </c>
      <c r="B604" s="3">
        <f ca="1">IFERROR(__xludf.DUMMYFUNCTION("""COMPUTED_VALUE"""),53444)</f>
        <v>53444</v>
      </c>
      <c r="C604" s="3">
        <f ca="1">IFERROR(__xludf.DUMMYFUNCTION("""COMPUTED_VALUE"""),5906366005565)</f>
        <v>5906366005565</v>
      </c>
      <c r="D604" s="4" t="str">
        <f ca="1">IFERROR(__xludf.DUMMYFUNCTION("""COMPUTED_VALUE"""),"BRODZIK BAZALT CARRARA BLACK 90x90")</f>
        <v>BRODZIK BAZALT CARRARA BLACK 90x90</v>
      </c>
      <c r="E604" s="31">
        <v>192.21951219512198</v>
      </c>
      <c r="F604" s="31">
        <f t="shared" si="9"/>
        <v>236.43000000000004</v>
      </c>
    </row>
    <row r="605" spans="1:6" ht="18.75" customHeight="1" x14ac:dyDescent="0.25">
      <c r="A605" s="2" t="str">
        <f ca="1">IFERROR(__xludf.DUMMYFUNCTION("""COMPUTED_VALUE"""),"REA-K7000")</f>
        <v>REA-K7000</v>
      </c>
      <c r="B605" s="3">
        <f ca="1">IFERROR(__xludf.DUMMYFUNCTION("""COMPUTED_VALUE"""),53442)</f>
        <v>53442</v>
      </c>
      <c r="C605" s="3">
        <f ca="1">IFERROR(__xludf.DUMMYFUNCTION("""COMPUTED_VALUE"""),5906366005596)</f>
        <v>5906366005596</v>
      </c>
      <c r="D605" s="4" t="str">
        <f ca="1">IFERROR(__xludf.DUMMYFUNCTION("""COMPUTED_VALUE"""),"BRODZIK BAZALT CARRARA WHITE 80x100")</f>
        <v>BRODZIK BAZALT CARRARA WHITE 80x100</v>
      </c>
      <c r="E605" s="31">
        <v>175.97560975609758</v>
      </c>
      <c r="F605" s="31">
        <f t="shared" si="9"/>
        <v>216.45000000000002</v>
      </c>
    </row>
    <row r="606" spans="1:6" ht="18.75" customHeight="1" x14ac:dyDescent="0.25">
      <c r="A606" s="2" t="str">
        <f ca="1">IFERROR(__xludf.DUMMYFUNCTION("""COMPUTED_VALUE"""),"REA-K7001")</f>
        <v>REA-K7001</v>
      </c>
      <c r="B606" s="3">
        <f ca="1">IFERROR(__xludf.DUMMYFUNCTION("""COMPUTED_VALUE"""),53443)</f>
        <v>53443</v>
      </c>
      <c r="C606" s="3">
        <f ca="1">IFERROR(__xludf.DUMMYFUNCTION("""COMPUTED_VALUE"""),5906366005572)</f>
        <v>5906366005572</v>
      </c>
      <c r="D606" s="4" t="str">
        <f ca="1">IFERROR(__xludf.DUMMYFUNCTION("""COMPUTED_VALUE"""),"BRODZIK BAZALT CARRARA WHITE 90x120")</f>
        <v>BRODZIK BAZALT CARRARA WHITE 90x120</v>
      </c>
      <c r="E606" s="31">
        <v>224.70731707317074</v>
      </c>
      <c r="F606" s="31">
        <f t="shared" si="9"/>
        <v>276.39</v>
      </c>
    </row>
    <row r="607" spans="1:6" ht="18.75" customHeight="1" x14ac:dyDescent="0.25">
      <c r="A607" s="2" t="str">
        <f ca="1">IFERROR(__xludf.DUMMYFUNCTION("""COMPUTED_VALUE"""),"REA-K7002")</f>
        <v>REA-K7002</v>
      </c>
      <c r="B607" s="3">
        <f ca="1">IFERROR(__xludf.DUMMYFUNCTION("""COMPUTED_VALUE"""),53441)</f>
        <v>53441</v>
      </c>
      <c r="C607" s="3">
        <f ca="1">IFERROR(__xludf.DUMMYFUNCTION("""COMPUTED_VALUE"""),5906366005589)</f>
        <v>5906366005589</v>
      </c>
      <c r="D607" s="4" t="str">
        <f ca="1">IFERROR(__xludf.DUMMYFUNCTION("""COMPUTED_VALUE"""),"BRODZIK BAZALT CARRARA WHITE 90x90")</f>
        <v>BRODZIK BAZALT CARRARA WHITE 90x90</v>
      </c>
      <c r="E607" s="31">
        <v>169.65853658536588</v>
      </c>
      <c r="F607" s="31">
        <f t="shared" si="9"/>
        <v>208.68000000000004</v>
      </c>
    </row>
    <row r="608" spans="1:6" ht="18.75" customHeight="1" x14ac:dyDescent="0.25">
      <c r="A608" s="2" t="str">
        <f ca="1">IFERROR(__xludf.DUMMYFUNCTION("""COMPUTED_VALUE"""),"REA-K4105")</f>
        <v>REA-K4105</v>
      </c>
      <c r="B608" s="3">
        <f ca="1">IFERROR(__xludf.DUMMYFUNCTION("""COMPUTED_VALUE"""),53028)</f>
        <v>53028</v>
      </c>
      <c r="C608" s="3">
        <f ca="1">IFERROR(__xludf.DUMMYFUNCTION("""COMPUTED_VALUE"""),5906366004025)</f>
        <v>5906366004025</v>
      </c>
      <c r="D608" s="4" t="str">
        <f ca="1">IFERROR(__xludf.DUMMYFUNCTION("""COMPUTED_VALUE"""),"BRODZIK BAZALT GREY 90x90")</f>
        <v>BRODZIK BAZALT GREY 90x90</v>
      </c>
      <c r="E608" s="31">
        <v>161.53658536585368</v>
      </c>
      <c r="F608" s="31">
        <f t="shared" si="9"/>
        <v>198.69000000000003</v>
      </c>
    </row>
    <row r="609" spans="1:6" ht="18.75" customHeight="1" x14ac:dyDescent="0.25">
      <c r="A609" s="2" t="str">
        <f ca="1">IFERROR(__xludf.DUMMYFUNCTION("""COMPUTED_VALUE"""),"REA-K3323")</f>
        <v>REA-K3323</v>
      </c>
      <c r="B609" s="3">
        <f ca="1">IFERROR(__xludf.DUMMYFUNCTION("""COMPUTED_VALUE"""),50914)</f>
        <v>50914</v>
      </c>
      <c r="C609" s="3">
        <f ca="1">IFERROR(__xludf.DUMMYFUNCTION("""COMPUTED_VALUE"""),5902557387649)</f>
        <v>5902557387649</v>
      </c>
      <c r="D609" s="4" t="str">
        <f ca="1">IFERROR(__xludf.DUMMYFUNCTION("""COMPUTED_VALUE"""),"BRODZIK BAZALT LONG BLACK 80x100")</f>
        <v>BRODZIK BAZALT LONG BLACK 80x100</v>
      </c>
      <c r="E609" s="31">
        <v>156.12195121951223</v>
      </c>
      <c r="F609" s="31">
        <f t="shared" si="9"/>
        <v>192.03000000000003</v>
      </c>
    </row>
    <row r="610" spans="1:6" ht="18.75" customHeight="1" x14ac:dyDescent="0.25">
      <c r="A610" s="2" t="str">
        <f ca="1">IFERROR(__xludf.DUMMYFUNCTION("""COMPUTED_VALUE"""),"REA-K3324")</f>
        <v>REA-K3324</v>
      </c>
      <c r="B610" s="3">
        <f ca="1">IFERROR(__xludf.DUMMYFUNCTION("""COMPUTED_VALUE"""),50919)</f>
        <v>50919</v>
      </c>
      <c r="C610" s="3">
        <f ca="1">IFERROR(__xludf.DUMMYFUNCTION("""COMPUTED_VALUE"""),5902557387632)</f>
        <v>5902557387632</v>
      </c>
      <c r="D610" s="4" t="str">
        <f ca="1">IFERROR(__xludf.DUMMYFUNCTION("""COMPUTED_VALUE"""),"BRODZIK BAZALT LONG BLACK 80x120")</f>
        <v>BRODZIK BAZALT LONG BLACK 80x120</v>
      </c>
      <c r="E610" s="31">
        <v>176.8780487804878</v>
      </c>
      <c r="F610" s="31">
        <f t="shared" si="9"/>
        <v>217.56</v>
      </c>
    </row>
    <row r="611" spans="1:6" ht="18.75" customHeight="1" x14ac:dyDescent="0.25">
      <c r="A611" s="2" t="str">
        <f ca="1">IFERROR(__xludf.DUMMYFUNCTION("""COMPUTED_VALUE"""),"REA-K3325")</f>
        <v>REA-K3325</v>
      </c>
      <c r="B611" s="3">
        <f ca="1">IFERROR(__xludf.DUMMYFUNCTION("""COMPUTED_VALUE"""),50921)</f>
        <v>50921</v>
      </c>
      <c r="C611" s="3">
        <f ca="1">IFERROR(__xludf.DUMMYFUNCTION("""COMPUTED_VALUE"""),5902557387625)</f>
        <v>5902557387625</v>
      </c>
      <c r="D611" s="4" t="str">
        <f ca="1">IFERROR(__xludf.DUMMYFUNCTION("""COMPUTED_VALUE"""),"BRODZIK BAZALT LONG BLACK 90x120")</f>
        <v>BRODZIK BAZALT LONG BLACK 90x120</v>
      </c>
      <c r="E611" s="31">
        <v>197.63414634146343</v>
      </c>
      <c r="F611" s="31">
        <f t="shared" si="9"/>
        <v>243.09000000000003</v>
      </c>
    </row>
    <row r="612" spans="1:6" ht="18.75" customHeight="1" x14ac:dyDescent="0.25">
      <c r="A612" s="2" t="str">
        <f ca="1">IFERROR(__xludf.DUMMYFUNCTION("""COMPUTED_VALUE"""),"REA-K3320")</f>
        <v>REA-K3320</v>
      </c>
      <c r="B612" s="3">
        <f ca="1">IFERROR(__xludf.DUMMYFUNCTION("""COMPUTED_VALUE"""),50923)</f>
        <v>50923</v>
      </c>
      <c r="C612" s="3">
        <f ca="1">IFERROR(__xludf.DUMMYFUNCTION("""COMPUTED_VALUE"""),5902557387595)</f>
        <v>5902557387595</v>
      </c>
      <c r="D612" s="4" t="str">
        <f ca="1">IFERROR(__xludf.DUMMYFUNCTION("""COMPUTED_VALUE"""),"BRODZIK BAZALT LONG WHITE 80x100")</f>
        <v>BRODZIK BAZALT LONG WHITE 80x100</v>
      </c>
      <c r="E612" s="31">
        <v>145.29268292682929</v>
      </c>
      <c r="F612" s="31">
        <f t="shared" si="9"/>
        <v>178.71</v>
      </c>
    </row>
    <row r="613" spans="1:6" ht="18.75" customHeight="1" x14ac:dyDescent="0.25">
      <c r="A613" s="2" t="str">
        <f ca="1">IFERROR(__xludf.DUMMYFUNCTION("""COMPUTED_VALUE"""),"REA-K3321")</f>
        <v>REA-K3321</v>
      </c>
      <c r="B613" s="3">
        <f ca="1">IFERROR(__xludf.DUMMYFUNCTION("""COMPUTED_VALUE"""),50925)</f>
        <v>50925</v>
      </c>
      <c r="C613" s="3">
        <f ca="1">IFERROR(__xludf.DUMMYFUNCTION("""COMPUTED_VALUE"""),5902557387601)</f>
        <v>5902557387601</v>
      </c>
      <c r="D613" s="4" t="str">
        <f ca="1">IFERROR(__xludf.DUMMYFUNCTION("""COMPUTED_VALUE"""),"BRODZIK BAZALT LONG WHITE 80x120")</f>
        <v>BRODZIK BAZALT LONG WHITE 80x120</v>
      </c>
      <c r="E613" s="31">
        <v>166.04878048780489</v>
      </c>
      <c r="F613" s="31">
        <f t="shared" si="9"/>
        <v>204.24</v>
      </c>
    </row>
    <row r="614" spans="1:6" ht="18.75" customHeight="1" x14ac:dyDescent="0.25">
      <c r="A614" s="2" t="str">
        <f ca="1">IFERROR(__xludf.DUMMYFUNCTION("""COMPUTED_VALUE"""),"REA-K3322")</f>
        <v>REA-K3322</v>
      </c>
      <c r="B614" s="3">
        <f ca="1">IFERROR(__xludf.DUMMYFUNCTION("""COMPUTED_VALUE"""),50927)</f>
        <v>50927</v>
      </c>
      <c r="C614" s="3">
        <f ca="1">IFERROR(__xludf.DUMMYFUNCTION("""COMPUTED_VALUE"""),5902557387618)</f>
        <v>5902557387618</v>
      </c>
      <c r="D614" s="4" t="str">
        <f ca="1">IFERROR(__xludf.DUMMYFUNCTION("""COMPUTED_VALUE"""),"BRODZIK BAZALT LONG WHITE 90x120")</f>
        <v>BRODZIK BAZALT LONG WHITE 90x120</v>
      </c>
      <c r="E614" s="31">
        <v>186.80487804878049</v>
      </c>
      <c r="F614" s="31">
        <f t="shared" si="9"/>
        <v>229.77</v>
      </c>
    </row>
    <row r="615" spans="1:6" ht="18.75" customHeight="1" x14ac:dyDescent="0.25">
      <c r="A615" s="2" t="str">
        <f ca="1">IFERROR(__xludf.DUMMYFUNCTION("""COMPUTED_VALUE"""),"REA-K3300")</f>
        <v>REA-K3300</v>
      </c>
      <c r="B615" s="3">
        <f ca="1">IFERROR(__xludf.DUMMYFUNCTION("""COMPUTED_VALUE"""),50930)</f>
        <v>50930</v>
      </c>
      <c r="C615" s="3">
        <f ca="1">IFERROR(__xludf.DUMMYFUNCTION("""COMPUTED_VALUE"""),5902557387724)</f>
        <v>5902557387724</v>
      </c>
      <c r="D615" s="4" t="str">
        <f ca="1">IFERROR(__xludf.DUMMYFUNCTION("""COMPUTED_VALUE"""),"BRODZIK BAZALT WHITE 80x100")</f>
        <v>BRODZIK BAZALT WHITE 80x100</v>
      </c>
      <c r="E615" s="31">
        <v>150.70731707317074</v>
      </c>
      <c r="F615" s="31">
        <f t="shared" si="9"/>
        <v>185.37</v>
      </c>
    </row>
    <row r="616" spans="1:6" ht="18.75" customHeight="1" x14ac:dyDescent="0.25">
      <c r="A616" s="2" t="str">
        <f ca="1">IFERROR(__xludf.DUMMYFUNCTION("""COMPUTED_VALUE"""),"REA-K3301")</f>
        <v>REA-K3301</v>
      </c>
      <c r="B616" s="3">
        <f ca="1">IFERROR(__xludf.DUMMYFUNCTION("""COMPUTED_VALUE"""),50931)</f>
        <v>50931</v>
      </c>
      <c r="C616" s="3">
        <f ca="1">IFERROR(__xludf.DUMMYFUNCTION("""COMPUTED_VALUE"""),5902557387717)</f>
        <v>5902557387717</v>
      </c>
      <c r="D616" s="4" t="str">
        <f ca="1">IFERROR(__xludf.DUMMYFUNCTION("""COMPUTED_VALUE"""),"BRODZIK BAZALT WHITE 80x120")</f>
        <v>BRODZIK BAZALT WHITE 80x120</v>
      </c>
      <c r="E616" s="31">
        <v>166.04878048780489</v>
      </c>
      <c r="F616" s="31">
        <f t="shared" si="9"/>
        <v>204.24</v>
      </c>
    </row>
    <row r="617" spans="1:6" ht="18.75" customHeight="1" x14ac:dyDescent="0.25">
      <c r="A617" s="2" t="str">
        <f ca="1">IFERROR(__xludf.DUMMYFUNCTION("""COMPUTED_VALUE"""),"REA-K3302")</f>
        <v>REA-K3302</v>
      </c>
      <c r="B617" s="3">
        <f ca="1">IFERROR(__xludf.DUMMYFUNCTION("""COMPUTED_VALUE"""),50932)</f>
        <v>50932</v>
      </c>
      <c r="C617" s="3">
        <f ca="1">IFERROR(__xludf.DUMMYFUNCTION("""COMPUTED_VALUE"""),5902557387700)</f>
        <v>5902557387700</v>
      </c>
      <c r="D617" s="4" t="str">
        <f ca="1">IFERROR(__xludf.DUMMYFUNCTION("""COMPUTED_VALUE"""),"BRODZIK BAZALT WHITE 90x120")</f>
        <v>BRODZIK BAZALT WHITE 90x120</v>
      </c>
      <c r="E617" s="31">
        <v>194.92682926829272</v>
      </c>
      <c r="F617" s="31">
        <f t="shared" si="9"/>
        <v>239.76000000000005</v>
      </c>
    </row>
    <row r="618" spans="1:6" ht="18.75" customHeight="1" x14ac:dyDescent="0.25">
      <c r="A618" s="2" t="str">
        <f ca="1">IFERROR(__xludf.DUMMYFUNCTION("""COMPUTED_VALUE"""),"REA-K3303")</f>
        <v>REA-K3303</v>
      </c>
      <c r="B618" s="3">
        <f ca="1">IFERROR(__xludf.DUMMYFUNCTION("""COMPUTED_VALUE"""),50929)</f>
        <v>50929</v>
      </c>
      <c r="C618" s="3">
        <f ca="1">IFERROR(__xludf.DUMMYFUNCTION("""COMPUTED_VALUE"""),5902557387694)</f>
        <v>5902557387694</v>
      </c>
      <c r="D618" s="4" t="str">
        <f ca="1">IFERROR(__xludf.DUMMYFUNCTION("""COMPUTED_VALUE"""),"BRODZIK BAZALT WHITE 90x90")</f>
        <v>BRODZIK BAZALT WHITE 90x90</v>
      </c>
      <c r="E618" s="31">
        <v>152.51219512195124</v>
      </c>
      <c r="F618" s="31">
        <f t="shared" si="9"/>
        <v>187.59000000000003</v>
      </c>
    </row>
    <row r="619" spans="1:6" ht="18.75" customHeight="1" x14ac:dyDescent="0.25">
      <c r="A619" s="2" t="str">
        <f ca="1">IFERROR(__xludf.DUMMYFUNCTION("""COMPUTED_VALUE"""),"REA-K012Y")</f>
        <v>REA-K012Y</v>
      </c>
      <c r="B619" s="3">
        <f ca="1">IFERROR(__xludf.DUMMYFUNCTION("""COMPUTED_VALUE"""),7376)</f>
        <v>7376</v>
      </c>
      <c r="C619" s="3">
        <f ca="1">IFERROR(__xludf.DUMMYFUNCTION("""COMPUTED_VALUE"""),5902557325078)</f>
        <v>5902557325078</v>
      </c>
      <c r="D619" s="4" t="str">
        <f ca="1">IFERROR(__xludf.DUMMYFUNCTION("""COMPUTED_VALUE"""),"BRODZIK BRENO 80 X 100 + SYFON")</f>
        <v>BRODZIK BRENO 80 X 100 + SYFON</v>
      </c>
      <c r="E619" s="31">
        <v>83.024390243902445</v>
      </c>
      <c r="F619" s="31">
        <f t="shared" si="9"/>
        <v>102.12</v>
      </c>
    </row>
    <row r="620" spans="1:6" ht="18.75" customHeight="1" x14ac:dyDescent="0.25">
      <c r="A620" s="2" t="str">
        <f ca="1">IFERROR(__xludf.DUMMYFUNCTION("""COMPUTED_VALUE"""),"REA-K012T")</f>
        <v>REA-K012T</v>
      </c>
      <c r="B620" s="3">
        <f ca="1">IFERROR(__xludf.DUMMYFUNCTION("""COMPUTED_VALUE"""),7487)</f>
        <v>7487</v>
      </c>
      <c r="C620" s="3">
        <f ca="1">IFERROR(__xludf.DUMMYFUNCTION("""COMPUTED_VALUE"""),5902557325085)</f>
        <v>5902557325085</v>
      </c>
      <c r="D620" s="4" t="str">
        <f ca="1">IFERROR(__xludf.DUMMYFUNCTION("""COMPUTED_VALUE"""),"BRODZIK BRENO 80 X 100 BLACK + SYFON")</f>
        <v>BRODZIK BRENO 80 X 100 BLACK + SYFON</v>
      </c>
      <c r="E620" s="31">
        <v>74.000000000000014</v>
      </c>
      <c r="F620" s="31">
        <f t="shared" si="9"/>
        <v>91.02000000000001</v>
      </c>
    </row>
    <row r="621" spans="1:6" ht="18.75" customHeight="1" x14ac:dyDescent="0.25">
      <c r="A621" s="2" t="str">
        <f ca="1">IFERROR(__xludf.DUMMYFUNCTION("""COMPUTED_VALUE"""),"REA-K012E")</f>
        <v>REA-K012E</v>
      </c>
      <c r="B621" s="3">
        <f ca="1">IFERROR(__xludf.DUMMYFUNCTION("""COMPUTED_VALUE"""),7377)</f>
        <v>7377</v>
      </c>
      <c r="C621" s="3">
        <f ca="1">IFERROR(__xludf.DUMMYFUNCTION("""COMPUTED_VALUE"""),5902557325061)</f>
        <v>5902557325061</v>
      </c>
      <c r="D621" s="4" t="str">
        <f ca="1">IFERROR(__xludf.DUMMYFUNCTION("""COMPUTED_VALUE"""),"BRODZIK BRENO 80 X 120 + SYFON")</f>
        <v>BRODZIK BRENO 80 X 120 + SYFON</v>
      </c>
      <c r="E621" s="31">
        <v>74.000000000000014</v>
      </c>
      <c r="F621" s="31">
        <f t="shared" si="9"/>
        <v>91.02000000000001</v>
      </c>
    </row>
    <row r="622" spans="1:6" ht="18.75" customHeight="1" x14ac:dyDescent="0.25">
      <c r="A622" s="2" t="str">
        <f ca="1">IFERROR(__xludf.DUMMYFUNCTION("""COMPUTED_VALUE"""),"REA-K012G")</f>
        <v>REA-K012G</v>
      </c>
      <c r="B622" s="3">
        <f ca="1">IFERROR(__xludf.DUMMYFUNCTION("""COMPUTED_VALUE"""),7488)</f>
        <v>7488</v>
      </c>
      <c r="C622" s="3">
        <f ca="1">IFERROR(__xludf.DUMMYFUNCTION("""COMPUTED_VALUE"""),5902557325092)</f>
        <v>5902557325092</v>
      </c>
      <c r="D622" s="4" t="str">
        <f ca="1">IFERROR(__xludf.DUMMYFUNCTION("""COMPUTED_VALUE"""),"BRODZIK BRENO 80 X 120 BLACK + SYFON")</f>
        <v>BRODZIK BRENO 80 X 120 BLACK + SYFON</v>
      </c>
      <c r="E622" s="31">
        <v>82.121951219512198</v>
      </c>
      <c r="F622" s="31">
        <f t="shared" si="9"/>
        <v>101.01</v>
      </c>
    </row>
    <row r="623" spans="1:6" ht="18.75" customHeight="1" x14ac:dyDescent="0.25">
      <c r="A623" s="2" t="str">
        <f ca="1">IFERROR(__xludf.DUMMYFUNCTION("""COMPUTED_VALUE"""),"REA-K5692")</f>
        <v>REA-K5692</v>
      </c>
      <c r="B623" s="3">
        <f ca="1">IFERROR(__xludf.DUMMYFUNCTION("""COMPUTED_VALUE"""),7378)</f>
        <v>7378</v>
      </c>
      <c r="C623" s="3">
        <f ca="1">IFERROR(__xludf.DUMMYFUNCTION("""COMPUTED_VALUE"""),5902557325054)</f>
        <v>5902557325054</v>
      </c>
      <c r="D623" s="4" t="str">
        <f ca="1">IFERROR(__xludf.DUMMYFUNCTION("""COMPUTED_VALUE"""),"BRODZIK BRENO 90X120 + SYFON")</f>
        <v>BRODZIK BRENO 90X120 + SYFON</v>
      </c>
      <c r="E623" s="31">
        <v>78.512195121951223</v>
      </c>
      <c r="F623" s="31">
        <f t="shared" si="9"/>
        <v>96.570000000000007</v>
      </c>
    </row>
    <row r="624" spans="1:6" ht="18.75" customHeight="1" x14ac:dyDescent="0.25">
      <c r="A624" s="2" t="str">
        <f ca="1">IFERROR(__xludf.DUMMYFUNCTION("""COMPUTED_VALUE"""),"REA-K3965")</f>
        <v>REA-K3965</v>
      </c>
      <c r="B624" s="3">
        <f ca="1">IFERROR(__xludf.DUMMYFUNCTION("""COMPUTED_VALUE"""),17800)</f>
        <v>17800</v>
      </c>
      <c r="C624" s="3">
        <f ca="1">IFERROR(__xludf.DUMMYFUNCTION("""COMPUTED_VALUE"""),5902557324958)</f>
        <v>5902557324958</v>
      </c>
      <c r="D624" s="4" t="str">
        <f ca="1">IFERROR(__xludf.DUMMYFUNCTION("""COMPUTED_VALUE"""),"BRODZIK CALISTO 80X100X15 + SYFON")</f>
        <v>BRODZIK CALISTO 80X100X15 + SYFON</v>
      </c>
      <c r="E624" s="31">
        <v>77.609756097560989</v>
      </c>
      <c r="F624" s="31">
        <f t="shared" si="9"/>
        <v>95.460000000000022</v>
      </c>
    </row>
    <row r="625" spans="1:6" ht="18.75" customHeight="1" x14ac:dyDescent="0.25">
      <c r="A625" s="2" t="str">
        <f ca="1">IFERROR(__xludf.DUMMYFUNCTION("""COMPUTED_VALUE"""),"REA-K8964")</f>
        <v>REA-K8964</v>
      </c>
      <c r="B625" s="3">
        <f ca="1">IFERROR(__xludf.DUMMYFUNCTION("""COMPUTED_VALUE"""),17809)</f>
        <v>17809</v>
      </c>
      <c r="C625" s="3">
        <f ca="1">IFERROR(__xludf.DUMMYFUNCTION("""COMPUTED_VALUE"""),5902557324965)</f>
        <v>5902557324965</v>
      </c>
      <c r="D625" s="4" t="str">
        <f ca="1">IFERROR(__xludf.DUMMYFUNCTION("""COMPUTED_VALUE"""),"BRODZIK CALISTO 80X120X15 + SYFON")</f>
        <v>BRODZIK CALISTO 80X120X15 + SYFON</v>
      </c>
      <c r="E625" s="31">
        <v>80.317073170731717</v>
      </c>
      <c r="F625" s="31">
        <f t="shared" si="9"/>
        <v>98.79</v>
      </c>
    </row>
    <row r="626" spans="1:6" ht="18.75" customHeight="1" x14ac:dyDescent="0.25">
      <c r="A626" s="2" t="str">
        <f ca="1">IFERROR(__xludf.DUMMYFUNCTION("""COMPUTED_VALUE"""),"REA-K0701")</f>
        <v>REA-K0701</v>
      </c>
      <c r="B626" s="3">
        <f ca="1">IFERROR(__xludf.DUMMYFUNCTION("""COMPUTED_VALUE"""),7369)</f>
        <v>7369</v>
      </c>
      <c r="C626" s="3">
        <f ca="1">IFERROR(__xludf.DUMMYFUNCTION("""COMPUTED_VALUE"""),5902557324989)</f>
        <v>5902557324989</v>
      </c>
      <c r="D626" s="4" t="str">
        <f ca="1">IFERROR(__xludf.DUMMYFUNCTION("""COMPUTED_VALUE"""),"BRODZIK CALISTO 80X80X15 + SYFON")</f>
        <v>BRODZIK CALISTO 80X80X15 + SYFON</v>
      </c>
      <c r="E626" s="31">
        <v>70.390243902439025</v>
      </c>
      <c r="F626" s="31">
        <f t="shared" si="9"/>
        <v>86.58</v>
      </c>
    </row>
    <row r="627" spans="1:6" ht="18.75" customHeight="1" x14ac:dyDescent="0.25">
      <c r="A627" s="2" t="str">
        <f ca="1">IFERROR(__xludf.DUMMYFUNCTION("""COMPUTED_VALUE"""),"REA-K0702")</f>
        <v>REA-K0702</v>
      </c>
      <c r="B627" s="3">
        <f ca="1">IFERROR(__xludf.DUMMYFUNCTION("""COMPUTED_VALUE"""),17791)</f>
        <v>17791</v>
      </c>
      <c r="C627" s="3">
        <f ca="1">IFERROR(__xludf.DUMMYFUNCTION("""COMPUTED_VALUE"""),5902557324972)</f>
        <v>5902557324972</v>
      </c>
      <c r="D627" s="4" t="str">
        <f ca="1">IFERROR(__xludf.DUMMYFUNCTION("""COMPUTED_VALUE"""),"BRODZIK CALISTO 90X90X15 + SYFON")</f>
        <v>BRODZIK CALISTO 90X90X15 + SYFON</v>
      </c>
      <c r="E627" s="31">
        <v>77.609756097560989</v>
      </c>
      <c r="F627" s="31">
        <f t="shared" si="9"/>
        <v>95.460000000000022</v>
      </c>
    </row>
    <row r="628" spans="1:6" ht="18.75" customHeight="1" x14ac:dyDescent="0.25">
      <c r="A628" s="2" t="str">
        <f ca="1">IFERROR(__xludf.DUMMYFUNCTION("""COMPUTED_VALUE"""),"REA-K8543")</f>
        <v>REA-K8543</v>
      </c>
      <c r="B628" s="3">
        <f ca="1">IFERROR(__xludf.DUMMYFUNCTION("""COMPUTED_VALUE"""),42238)</f>
        <v>42238</v>
      </c>
      <c r="C628" s="3">
        <f ca="1">IFERROR(__xludf.DUMMYFUNCTION("""COMPUTED_VALUE"""),5902557360192)</f>
        <v>5902557360192</v>
      </c>
      <c r="D628" s="4" t="str">
        <f ca="1">IFERROR(__xludf.DUMMYFUNCTION("""COMPUTED_VALUE"""),"BRODZIK DIAMOND BLACK 90x90x5cm")</f>
        <v>BRODZIK DIAMOND BLACK 90x90x5cm</v>
      </c>
      <c r="E628" s="31">
        <v>138.07317073170734</v>
      </c>
      <c r="F628" s="31">
        <f t="shared" si="9"/>
        <v>169.83</v>
      </c>
    </row>
    <row r="629" spans="1:6" ht="18.75" customHeight="1" x14ac:dyDescent="0.25">
      <c r="A629" s="2" t="str">
        <f ca="1">IFERROR(__xludf.DUMMYFUNCTION("""COMPUTED_VALUE"""),"REA-K8544")</f>
        <v>REA-K8544</v>
      </c>
      <c r="B629" s="3">
        <f ca="1">IFERROR(__xludf.DUMMYFUNCTION("""COMPUTED_VALUE"""),42237)</f>
        <v>42237</v>
      </c>
      <c r="C629" s="3">
        <f ca="1">IFERROR(__xludf.DUMMYFUNCTION("""COMPUTED_VALUE"""),5902557360215)</f>
        <v>5902557360215</v>
      </c>
      <c r="D629" s="4" t="str">
        <f ca="1">IFERROR(__xludf.DUMMYFUNCTION("""COMPUTED_VALUE"""),"BRODZIK DIAMOND WHITE 80x80x5cm")</f>
        <v>BRODZIK DIAMOND WHITE 80x80x5cm</v>
      </c>
      <c r="E629" s="31">
        <v>125.43902439024392</v>
      </c>
      <c r="F629" s="31">
        <f t="shared" si="9"/>
        <v>154.29000000000002</v>
      </c>
    </row>
    <row r="630" spans="1:6" ht="18.75" customHeight="1" x14ac:dyDescent="0.25">
      <c r="A630" s="2" t="str">
        <f ca="1">IFERROR(__xludf.DUMMYFUNCTION("""COMPUTED_VALUE"""),"REA-K6522")</f>
        <v>REA-K6522</v>
      </c>
      <c r="B630" s="3">
        <f ca="1">IFERROR(__xludf.DUMMYFUNCTION("""COMPUTED_VALUE"""),42236)</f>
        <v>42236</v>
      </c>
      <c r="C630" s="3">
        <f ca="1">IFERROR(__xludf.DUMMYFUNCTION("""COMPUTED_VALUE"""),5902557360208)</f>
        <v>5902557360208</v>
      </c>
      <c r="D630" s="4" t="str">
        <f ca="1">IFERROR(__xludf.DUMMYFUNCTION("""COMPUTED_VALUE"""),"BRODZIK DIAMOND WHITE 90x90x5cm")</f>
        <v>BRODZIK DIAMOND WHITE 90x90x5cm</v>
      </c>
      <c r="E630" s="31">
        <v>133.5609756097561</v>
      </c>
      <c r="F630" s="31">
        <f t="shared" si="9"/>
        <v>164.28</v>
      </c>
    </row>
    <row r="631" spans="1:6" ht="18.75" customHeight="1" x14ac:dyDescent="0.25">
      <c r="A631" s="2" t="str">
        <f ca="1">IFERROR(__xludf.DUMMYFUNCTION("""COMPUTED_VALUE"""),"REA-K4593")</f>
        <v>REA-K4593</v>
      </c>
      <c r="B631" s="3">
        <f ca="1">IFERROR(__xludf.DUMMYFUNCTION("""COMPUTED_VALUE"""),42777)</f>
        <v>42777</v>
      </c>
      <c r="C631" s="3">
        <f ca="1">IFERROR(__xludf.DUMMYFUNCTION("""COMPUTED_VALUE"""),5902557363575)</f>
        <v>5902557363575</v>
      </c>
      <c r="D631" s="4" t="str">
        <f ca="1">IFERROR(__xludf.DUMMYFUNCTION("""COMPUTED_VALUE"""),"BRODZIK GRAND BLACK 80x100")</f>
        <v>BRODZIK GRAND BLACK 80x100</v>
      </c>
      <c r="E631" s="31">
        <v>185.90243902439025</v>
      </c>
      <c r="F631" s="31">
        <f t="shared" si="9"/>
        <v>228.66</v>
      </c>
    </row>
    <row r="632" spans="1:6" ht="18.75" customHeight="1" x14ac:dyDescent="0.25">
      <c r="A632" s="2" t="str">
        <f ca="1">IFERROR(__xludf.DUMMYFUNCTION("""COMPUTED_VALUE"""),"REA-K4594")</f>
        <v>REA-K4594</v>
      </c>
      <c r="B632" s="3">
        <f ca="1">IFERROR(__xludf.DUMMYFUNCTION("""COMPUTED_VALUE"""),42778)</f>
        <v>42778</v>
      </c>
      <c r="C632" s="3">
        <f ca="1">IFERROR(__xludf.DUMMYFUNCTION("""COMPUTED_VALUE"""),5902557363582)</f>
        <v>5902557363582</v>
      </c>
      <c r="D632" s="4" t="str">
        <f ca="1">IFERROR(__xludf.DUMMYFUNCTION("""COMPUTED_VALUE"""),"BRODZIK GRAND BLACK 90x120")</f>
        <v>BRODZIK GRAND BLACK 90x120</v>
      </c>
      <c r="E632" s="31">
        <v>255.39024390243907</v>
      </c>
      <c r="F632" s="31">
        <f t="shared" si="9"/>
        <v>314.13000000000005</v>
      </c>
    </row>
    <row r="633" spans="1:6" ht="18.75" customHeight="1" x14ac:dyDescent="0.25">
      <c r="A633" s="2" t="str">
        <f ca="1">IFERROR(__xludf.DUMMYFUNCTION("""COMPUTED_VALUE"""),"REA-K4595")</f>
        <v>REA-K4595</v>
      </c>
      <c r="B633" s="3">
        <f ca="1">IFERROR(__xludf.DUMMYFUNCTION("""COMPUTED_VALUE"""),42779)</f>
        <v>42779</v>
      </c>
      <c r="C633" s="3">
        <f ca="1">IFERROR(__xludf.DUMMYFUNCTION("""COMPUTED_VALUE"""),5902557363599)</f>
        <v>5902557363599</v>
      </c>
      <c r="D633" s="4" t="str">
        <f ca="1">IFERROR(__xludf.DUMMYFUNCTION("""COMPUTED_VALUE"""),"BRODZIK GRAND BLACK 90x90")</f>
        <v>BRODZIK GRAND BLACK 90x90</v>
      </c>
      <c r="E633" s="31">
        <v>200.34146341463418</v>
      </c>
      <c r="F633" s="31">
        <f t="shared" si="9"/>
        <v>246.42000000000004</v>
      </c>
    </row>
    <row r="634" spans="1:6" ht="18.75" customHeight="1" x14ac:dyDescent="0.25">
      <c r="A634" s="2" t="str">
        <f ca="1">IFERROR(__xludf.DUMMYFUNCTION("""COMPUTED_VALUE"""),"REA-K4590")</f>
        <v>REA-K4590</v>
      </c>
      <c r="B634" s="3">
        <f ca="1">IFERROR(__xludf.DUMMYFUNCTION("""COMPUTED_VALUE"""),42774)</f>
        <v>42774</v>
      </c>
      <c r="C634" s="3">
        <f ca="1">IFERROR(__xludf.DUMMYFUNCTION("""COMPUTED_VALUE"""),5902557363544)</f>
        <v>5902557363544</v>
      </c>
      <c r="D634" s="4" t="str">
        <f ca="1">IFERROR(__xludf.DUMMYFUNCTION("""COMPUTED_VALUE"""),"BRODZIK GRAND WHITE 80x100")</f>
        <v>BRODZIK GRAND WHITE 80x100</v>
      </c>
      <c r="E634" s="31">
        <v>183.19512195121951</v>
      </c>
      <c r="F634" s="31">
        <f t="shared" si="9"/>
        <v>225.32999999999998</v>
      </c>
    </row>
    <row r="635" spans="1:6" ht="18.75" customHeight="1" x14ac:dyDescent="0.25">
      <c r="A635" s="2" t="str">
        <f ca="1">IFERROR(__xludf.DUMMYFUNCTION("""COMPUTED_VALUE"""),"REA-K4591")</f>
        <v>REA-K4591</v>
      </c>
      <c r="B635" s="3">
        <f ca="1">IFERROR(__xludf.DUMMYFUNCTION("""COMPUTED_VALUE"""),42775)</f>
        <v>42775</v>
      </c>
      <c r="C635" s="3">
        <f ca="1">IFERROR(__xludf.DUMMYFUNCTION("""COMPUTED_VALUE"""),5902557363551)</f>
        <v>5902557363551</v>
      </c>
      <c r="D635" s="4" t="str">
        <f ca="1">IFERROR(__xludf.DUMMYFUNCTION("""COMPUTED_VALUE"""),"BRODZIK GRAND WHITE 90x120")</f>
        <v>BRODZIK GRAND WHITE 90x120</v>
      </c>
      <c r="E635" s="31">
        <v>249.97560975609761</v>
      </c>
      <c r="F635" s="31">
        <f t="shared" si="9"/>
        <v>307.47000000000008</v>
      </c>
    </row>
    <row r="636" spans="1:6" ht="18.75" customHeight="1" x14ac:dyDescent="0.25">
      <c r="A636" s="2" t="str">
        <f ca="1">IFERROR(__xludf.DUMMYFUNCTION("""COMPUTED_VALUE"""),"REA-K4592")</f>
        <v>REA-K4592</v>
      </c>
      <c r="B636" s="3">
        <f ca="1">IFERROR(__xludf.DUMMYFUNCTION("""COMPUTED_VALUE"""),42776)</f>
        <v>42776</v>
      </c>
      <c r="C636" s="3">
        <f ca="1">IFERROR(__xludf.DUMMYFUNCTION("""COMPUTED_VALUE"""),5902557363568)</f>
        <v>5902557363568</v>
      </c>
      <c r="D636" s="4" t="str">
        <f ca="1">IFERROR(__xludf.DUMMYFUNCTION("""COMPUTED_VALUE"""),"BRODZIK GRAND WHITE 90x90")</f>
        <v>BRODZIK GRAND WHITE 90x90</v>
      </c>
      <c r="E636" s="31">
        <v>182.29268292682929</v>
      </c>
      <c r="F636" s="31">
        <f t="shared" si="9"/>
        <v>224.22000000000003</v>
      </c>
    </row>
    <row r="637" spans="1:6" ht="18.75" customHeight="1" x14ac:dyDescent="0.25">
      <c r="A637" s="2" t="str">
        <f ca="1">IFERROR(__xludf.DUMMYFUNCTION("""COMPUTED_VALUE"""),"REA-K7909")</f>
        <v>REA-K7909</v>
      </c>
      <c r="B637" s="3">
        <f ca="1">IFERROR(__xludf.DUMMYFUNCTION("""COMPUTED_VALUE"""),49659)</f>
        <v>49659</v>
      </c>
      <c r="C637" s="3">
        <f ca="1">IFERROR(__xludf.DUMMYFUNCTION("""COMPUTED_VALUE"""),5902557380480)</f>
        <v>5902557380480</v>
      </c>
      <c r="D637" s="4" t="str">
        <f ca="1">IFERROR(__xludf.DUMMYFUNCTION("""COMPUTED_VALUE"""),"BRODZIK LOOK WHITE 80x100 LEWY")</f>
        <v>BRODZIK LOOK WHITE 80x100 LEWY</v>
      </c>
      <c r="E637" s="31">
        <v>89.341463414634148</v>
      </c>
      <c r="F637" s="31">
        <f t="shared" si="9"/>
        <v>109.89</v>
      </c>
    </row>
    <row r="638" spans="1:6" ht="18.75" customHeight="1" x14ac:dyDescent="0.25">
      <c r="A638" s="2" t="str">
        <f ca="1">IFERROR(__xludf.DUMMYFUNCTION("""COMPUTED_VALUE"""),"REA-K7906")</f>
        <v>REA-K7906</v>
      </c>
      <c r="B638" s="3">
        <f ca="1">IFERROR(__xludf.DUMMYFUNCTION("""COMPUTED_VALUE"""),49660)</f>
        <v>49660</v>
      </c>
      <c r="C638" s="3">
        <f ca="1">IFERROR(__xludf.DUMMYFUNCTION("""COMPUTED_VALUE"""),5902557384624)</f>
        <v>5902557384624</v>
      </c>
      <c r="D638" s="4" t="str">
        <f ca="1">IFERROR(__xludf.DUMMYFUNCTION("""COMPUTED_VALUE"""),"BRODZIK LOOK WHITE 80x100 PRAWY")</f>
        <v>BRODZIK LOOK WHITE 80x100 PRAWY</v>
      </c>
      <c r="E638" s="31">
        <v>83.024390243902445</v>
      </c>
      <c r="F638" s="31">
        <f t="shared" si="9"/>
        <v>102.12</v>
      </c>
    </row>
    <row r="639" spans="1:6" ht="18.75" customHeight="1" x14ac:dyDescent="0.25">
      <c r="A639" s="2" t="str">
        <f ca="1">IFERROR(__xludf.DUMMYFUNCTION("""COMPUTED_VALUE"""),"REA-K7908")</f>
        <v>REA-K7908</v>
      </c>
      <c r="B639" s="3">
        <f ca="1">IFERROR(__xludf.DUMMYFUNCTION("""COMPUTED_VALUE"""),49662)</f>
        <v>49662</v>
      </c>
      <c r="C639" s="3">
        <f ca="1">IFERROR(__xludf.DUMMYFUNCTION("""COMPUTED_VALUE"""),5902557380466)</f>
        <v>5902557380466</v>
      </c>
      <c r="D639" s="4" t="str">
        <f ca="1">IFERROR(__xludf.DUMMYFUNCTION("""COMPUTED_VALUE"""),"BRODZIK LOOK WHITE 80x80")</f>
        <v>BRODZIK LOOK WHITE 80x80</v>
      </c>
      <c r="E639" s="31">
        <v>76.707317073170742</v>
      </c>
      <c r="F639" s="31">
        <f t="shared" si="9"/>
        <v>94.350000000000009</v>
      </c>
    </row>
    <row r="640" spans="1:6" ht="18.75" customHeight="1" x14ac:dyDescent="0.25">
      <c r="A640" s="2" t="str">
        <f ca="1">IFERROR(__xludf.DUMMYFUNCTION("""COMPUTED_VALUE"""),"REA-K7907")</f>
        <v>REA-K7907</v>
      </c>
      <c r="B640" s="3">
        <f ca="1">IFERROR(__xludf.DUMMYFUNCTION("""COMPUTED_VALUE"""),49663)</f>
        <v>49663</v>
      </c>
      <c r="C640" s="3">
        <f ca="1">IFERROR(__xludf.DUMMYFUNCTION("""COMPUTED_VALUE"""),5902557380473)</f>
        <v>5902557380473</v>
      </c>
      <c r="D640" s="4" t="str">
        <f ca="1">IFERROR(__xludf.DUMMYFUNCTION("""COMPUTED_VALUE"""),"BRODZIK LOOK WHITE 90x90")</f>
        <v>BRODZIK LOOK WHITE 90x90</v>
      </c>
      <c r="E640" s="31">
        <v>81.219512195121965</v>
      </c>
      <c r="F640" s="31">
        <f t="shared" si="9"/>
        <v>99.90000000000002</v>
      </c>
    </row>
    <row r="641" spans="1:6" ht="18.75" customHeight="1" x14ac:dyDescent="0.25">
      <c r="A641" s="2" t="str">
        <f ca="1">IFERROR(__xludf.DUMMYFUNCTION("""COMPUTED_VALUE"""),"REA-K3330")</f>
        <v>REA-K3330</v>
      </c>
      <c r="B641" s="3">
        <f ca="1">IFERROR(__xludf.DUMMYFUNCTION("""COMPUTED_VALUE"""),50916)</f>
        <v>50916</v>
      </c>
      <c r="C641" s="3">
        <f ca="1">IFERROR(__xludf.DUMMYFUNCTION("""COMPUTED_VALUE"""),5902557387809)</f>
        <v>5902557387809</v>
      </c>
      <c r="D641" s="4" t="str">
        <f ca="1">IFERROR(__xludf.DUMMYFUNCTION("""COMPUTED_VALUE"""),"BRODZIK MAGNUM BLACK 80x100")</f>
        <v>BRODZIK MAGNUM BLACK 80x100</v>
      </c>
      <c r="E641" s="31">
        <v>138.07317073170734</v>
      </c>
      <c r="F641" s="31">
        <f t="shared" si="9"/>
        <v>169.83</v>
      </c>
    </row>
    <row r="642" spans="1:6" ht="18.75" customHeight="1" x14ac:dyDescent="0.25">
      <c r="A642" s="2" t="str">
        <f ca="1">IFERROR(__xludf.DUMMYFUNCTION("""COMPUTED_VALUE"""),"REA-K3331")</f>
        <v>REA-K3331</v>
      </c>
      <c r="B642" s="3">
        <f ca="1">IFERROR(__xludf.DUMMYFUNCTION("""COMPUTED_VALUE"""),50917)</f>
        <v>50917</v>
      </c>
      <c r="C642" s="3">
        <f ca="1">IFERROR(__xludf.DUMMYFUNCTION("""COMPUTED_VALUE"""),5902557387793)</f>
        <v>5902557387793</v>
      </c>
      <c r="D642" s="4" t="str">
        <f ca="1">IFERROR(__xludf.DUMMYFUNCTION("""COMPUTED_VALUE"""),"BRODZIK MAGNUM BLACK 80x120")</f>
        <v>BRODZIK MAGNUM BLACK 80x120</v>
      </c>
      <c r="E642" s="31">
        <v>154.31707317073173</v>
      </c>
      <c r="F642" s="31">
        <f t="shared" si="9"/>
        <v>189.81000000000003</v>
      </c>
    </row>
    <row r="643" spans="1:6" ht="18.75" customHeight="1" x14ac:dyDescent="0.25">
      <c r="A643" s="2" t="str">
        <f ca="1">IFERROR(__xludf.DUMMYFUNCTION("""COMPUTED_VALUE"""),"REA-K3332")</f>
        <v>REA-K3332</v>
      </c>
      <c r="B643" s="3">
        <f ca="1">IFERROR(__xludf.DUMMYFUNCTION("""COMPUTED_VALUE"""),50918)</f>
        <v>50918</v>
      </c>
      <c r="C643" s="3">
        <f ca="1">IFERROR(__xludf.DUMMYFUNCTION("""COMPUTED_VALUE"""),5902557387786)</f>
        <v>5902557387786</v>
      </c>
      <c r="D643" s="4" t="str">
        <f ca="1">IFERROR(__xludf.DUMMYFUNCTION("""COMPUTED_VALUE"""),"BRODZIK MAGNUM BLACK 90x120")</f>
        <v>BRODZIK MAGNUM BLACK 90x120</v>
      </c>
      <c r="E643" s="31">
        <v>158.82926829268294</v>
      </c>
      <c r="F643" s="31">
        <f t="shared" ref="F643:F706" si="10">E643*1.23</f>
        <v>195.36</v>
      </c>
    </row>
    <row r="644" spans="1:6" ht="18.75" customHeight="1" x14ac:dyDescent="0.25">
      <c r="A644" s="2" t="str">
        <f ca="1">IFERROR(__xludf.DUMMYFUNCTION("""COMPUTED_VALUE"""),"REA-K3334")</f>
        <v>REA-K3334</v>
      </c>
      <c r="B644" s="3">
        <f ca="1">IFERROR(__xludf.DUMMYFUNCTION("""COMPUTED_VALUE"""),50915)</f>
        <v>50915</v>
      </c>
      <c r="C644" s="3">
        <f ca="1">IFERROR(__xludf.DUMMYFUNCTION("""COMPUTED_VALUE"""),5902557387779)</f>
        <v>5902557387779</v>
      </c>
      <c r="D644" s="4" t="str">
        <f ca="1">IFERROR(__xludf.DUMMYFUNCTION("""COMPUTED_VALUE"""),"BRODZIK MAGNUM BLACK 90x90")</f>
        <v>BRODZIK MAGNUM BLACK 90x90</v>
      </c>
      <c r="E644" s="31">
        <v>138.07317073170734</v>
      </c>
      <c r="F644" s="31">
        <f t="shared" si="10"/>
        <v>169.83</v>
      </c>
    </row>
    <row r="645" spans="1:6" ht="18.75" customHeight="1" x14ac:dyDescent="0.25">
      <c r="A645" s="2" t="str">
        <f ca="1">IFERROR(__xludf.DUMMYFUNCTION("""COMPUTED_VALUE"""),"REA-K7007")</f>
        <v>REA-K7007</v>
      </c>
      <c r="B645" s="3">
        <f ca="1">IFERROR(__xludf.DUMMYFUNCTION("""COMPUTED_VALUE"""),53439)</f>
        <v>53439</v>
      </c>
      <c r="C645" s="3">
        <f ca="1">IFERROR(__xludf.DUMMYFUNCTION("""COMPUTED_VALUE"""),5906366005503)</f>
        <v>5906366005503</v>
      </c>
      <c r="D645" s="4" t="str">
        <f ca="1">IFERROR(__xludf.DUMMYFUNCTION("""COMPUTED_VALUE"""),"BRODZIK MAGNUM CARRARA BLACK 80x100")</f>
        <v>BRODZIK MAGNUM CARRARA BLACK 80x100</v>
      </c>
      <c r="E645" s="31">
        <v>131.75609756097563</v>
      </c>
      <c r="F645" s="31">
        <f t="shared" si="10"/>
        <v>162.06000000000003</v>
      </c>
    </row>
    <row r="646" spans="1:6" ht="18.75" customHeight="1" x14ac:dyDescent="0.25">
      <c r="A646" s="2" t="str">
        <f ca="1">IFERROR(__xludf.DUMMYFUNCTION("""COMPUTED_VALUE"""),"REA-K7009")</f>
        <v>REA-K7009</v>
      </c>
      <c r="B646" s="3">
        <f ca="1">IFERROR(__xludf.DUMMYFUNCTION("""COMPUTED_VALUE"""),53438)</f>
        <v>53438</v>
      </c>
      <c r="C646" s="3">
        <f ca="1">IFERROR(__xludf.DUMMYFUNCTION("""COMPUTED_VALUE"""),5906366005534)</f>
        <v>5906366005534</v>
      </c>
      <c r="D646" s="4" t="str">
        <f ca="1">IFERROR(__xludf.DUMMYFUNCTION("""COMPUTED_VALUE"""),"BRODZIK MAGNUM CARRARA BLACK 90x120")</f>
        <v>BRODZIK MAGNUM CARRARA BLACK 90x120</v>
      </c>
      <c r="E646" s="31">
        <v>174.17073170731709</v>
      </c>
      <c r="F646" s="31">
        <f t="shared" si="10"/>
        <v>214.23000000000002</v>
      </c>
    </row>
    <row r="647" spans="1:6" ht="18.75" customHeight="1" x14ac:dyDescent="0.25">
      <c r="A647" s="2" t="str">
        <f ca="1">IFERROR(__xludf.DUMMYFUNCTION("""COMPUTED_VALUE"""),"REA-K7008")</f>
        <v>REA-K7008</v>
      </c>
      <c r="B647" s="3">
        <f ca="1">IFERROR(__xludf.DUMMYFUNCTION("""COMPUTED_VALUE"""),53437)</f>
        <v>53437</v>
      </c>
      <c r="C647" s="3">
        <f ca="1">IFERROR(__xludf.DUMMYFUNCTION("""COMPUTED_VALUE"""),5906366005510)</f>
        <v>5906366005510</v>
      </c>
      <c r="D647" s="4" t="str">
        <f ca="1">IFERROR(__xludf.DUMMYFUNCTION("""COMPUTED_VALUE"""),"BRODZIK MAGNUM CARRARA BLACK 90x90")</f>
        <v>BRODZIK MAGNUM CARRARA BLACK 90x90</v>
      </c>
      <c r="E647" s="31">
        <v>131.75609756097563</v>
      </c>
      <c r="F647" s="31">
        <f t="shared" si="10"/>
        <v>162.06000000000003</v>
      </c>
    </row>
    <row r="648" spans="1:6" ht="18.75" customHeight="1" x14ac:dyDescent="0.25">
      <c r="A648" s="2" t="str">
        <f ca="1">IFERROR(__xludf.DUMMYFUNCTION("""COMPUTED_VALUE"""),"REA-K7004")</f>
        <v>REA-K7004</v>
      </c>
      <c r="B648" s="3">
        <f ca="1">IFERROR(__xludf.DUMMYFUNCTION("""COMPUTED_VALUE"""),53436)</f>
        <v>53436</v>
      </c>
      <c r="C648" s="3">
        <f ca="1">IFERROR(__xludf.DUMMYFUNCTION("""COMPUTED_VALUE"""),5906366005541)</f>
        <v>5906366005541</v>
      </c>
      <c r="D648" s="4" t="str">
        <f ca="1">IFERROR(__xludf.DUMMYFUNCTION("""COMPUTED_VALUE"""),"BRODZIK MAGNUM CARRARA WHITE 80x100")</f>
        <v>BRODZIK MAGNUM CARRARA WHITE 80x100</v>
      </c>
      <c r="E648" s="31">
        <v>127.24390243902441</v>
      </c>
      <c r="F648" s="31">
        <f t="shared" si="10"/>
        <v>156.51000000000002</v>
      </c>
    </row>
    <row r="649" spans="1:6" ht="18.75" customHeight="1" x14ac:dyDescent="0.25">
      <c r="A649" s="2" t="str">
        <f ca="1">IFERROR(__xludf.DUMMYFUNCTION("""COMPUTED_VALUE"""),"REA-K7006")</f>
        <v>REA-K7006</v>
      </c>
      <c r="B649" s="3">
        <f ca="1">IFERROR(__xludf.DUMMYFUNCTION("""COMPUTED_VALUE"""),53435)</f>
        <v>53435</v>
      </c>
      <c r="C649" s="3">
        <f ca="1">IFERROR(__xludf.DUMMYFUNCTION("""COMPUTED_VALUE"""),5906366005527)</f>
        <v>5906366005527</v>
      </c>
      <c r="D649" s="4" t="str">
        <f ca="1">IFERROR(__xludf.DUMMYFUNCTION("""COMPUTED_VALUE"""),"BRODZIK MAGNUM CARRARA WHITE 90x120")</f>
        <v>BRODZIK MAGNUM CARRARA WHITE 90x120</v>
      </c>
      <c r="E649" s="31">
        <v>169.65853658536588</v>
      </c>
      <c r="F649" s="31">
        <f t="shared" si="10"/>
        <v>208.68000000000004</v>
      </c>
    </row>
    <row r="650" spans="1:6" ht="18.75" customHeight="1" x14ac:dyDescent="0.25">
      <c r="A650" s="2" t="str">
        <f ca="1">IFERROR(__xludf.DUMMYFUNCTION("""COMPUTED_VALUE"""),"REA-K7005")</f>
        <v>REA-K7005</v>
      </c>
      <c r="B650" s="3">
        <f ca="1">IFERROR(__xludf.DUMMYFUNCTION("""COMPUTED_VALUE"""),53434)</f>
        <v>53434</v>
      </c>
      <c r="C650" s="3">
        <f ca="1">IFERROR(__xludf.DUMMYFUNCTION("""COMPUTED_VALUE"""),5906366005558)</f>
        <v>5906366005558</v>
      </c>
      <c r="D650" s="4" t="str">
        <f ca="1">IFERROR(__xludf.DUMMYFUNCTION("""COMPUTED_VALUE"""),"BRODZIK MAGNUM CARRARA WHITE 90x90")</f>
        <v>BRODZIK MAGNUM CARRARA WHITE 90x90</v>
      </c>
      <c r="E650" s="31">
        <v>127.24390243902441</v>
      </c>
      <c r="F650" s="31">
        <f t="shared" si="10"/>
        <v>156.51000000000002</v>
      </c>
    </row>
    <row r="651" spans="1:6" ht="18.75" customHeight="1" x14ac:dyDescent="0.25">
      <c r="A651" s="2" t="str">
        <f ca="1">IFERROR(__xludf.DUMMYFUNCTION("""COMPUTED_VALUE"""),"REA-K4107")</f>
        <v>REA-K4107</v>
      </c>
      <c r="B651" s="3">
        <f ca="1">IFERROR(__xludf.DUMMYFUNCTION("""COMPUTED_VALUE"""),53029)</f>
        <v>53029</v>
      </c>
      <c r="C651" s="3">
        <f ca="1">IFERROR(__xludf.DUMMYFUNCTION("""COMPUTED_VALUE"""),5906366004032)</f>
        <v>5906366004032</v>
      </c>
      <c r="D651" s="4" t="str">
        <f ca="1">IFERROR(__xludf.DUMMYFUNCTION("""COMPUTED_VALUE"""),"BRODZIK MAGNUM GREY 80x100")</f>
        <v>BRODZIK MAGNUM GREY 80x100</v>
      </c>
      <c r="E651" s="31">
        <v>138.07317073170734</v>
      </c>
      <c r="F651" s="31">
        <f t="shared" si="10"/>
        <v>169.83</v>
      </c>
    </row>
    <row r="652" spans="1:6" ht="18.75" customHeight="1" x14ac:dyDescent="0.25">
      <c r="A652" s="2" t="str">
        <f ca="1">IFERROR(__xludf.DUMMYFUNCTION("""COMPUTED_VALUE"""),"REA-K4108")</f>
        <v>REA-K4108</v>
      </c>
      <c r="B652" s="3">
        <f ca="1">IFERROR(__xludf.DUMMYFUNCTION("""COMPUTED_VALUE"""),53031)</f>
        <v>53031</v>
      </c>
      <c r="C652" s="3">
        <f ca="1">IFERROR(__xludf.DUMMYFUNCTION("""COMPUTED_VALUE"""),5906366004056)</f>
        <v>5906366004056</v>
      </c>
      <c r="D652" s="4" t="str">
        <f ca="1">IFERROR(__xludf.DUMMYFUNCTION("""COMPUTED_VALUE"""),"BRODZIK MAGNUM GREY 90x120")</f>
        <v>BRODZIK MAGNUM GREY 90x120</v>
      </c>
      <c r="E652" s="31">
        <v>158.82926829268294</v>
      </c>
      <c r="F652" s="31">
        <f t="shared" si="10"/>
        <v>195.36</v>
      </c>
    </row>
    <row r="653" spans="1:6" ht="18.75" customHeight="1" x14ac:dyDescent="0.25">
      <c r="A653" s="2" t="str">
        <f ca="1">IFERROR(__xludf.DUMMYFUNCTION("""COMPUTED_VALUE"""),"REA-K4106")</f>
        <v>REA-K4106</v>
      </c>
      <c r="B653" s="3">
        <f ca="1">IFERROR(__xludf.DUMMYFUNCTION("""COMPUTED_VALUE"""),53030)</f>
        <v>53030</v>
      </c>
      <c r="C653" s="3">
        <f ca="1">IFERROR(__xludf.DUMMYFUNCTION("""COMPUTED_VALUE"""),5906366004049)</f>
        <v>5906366004049</v>
      </c>
      <c r="D653" s="4" t="str">
        <f ca="1">IFERROR(__xludf.DUMMYFUNCTION("""COMPUTED_VALUE"""),"BRODZIK MAGNUM GREY 90x90")</f>
        <v>BRODZIK MAGNUM GREY 90x90</v>
      </c>
      <c r="E653" s="31">
        <v>138.07317073170734</v>
      </c>
      <c r="F653" s="31">
        <f t="shared" si="10"/>
        <v>169.83</v>
      </c>
    </row>
    <row r="654" spans="1:6" ht="18.75" customHeight="1" x14ac:dyDescent="0.25">
      <c r="A654" s="2" t="str">
        <f ca="1">IFERROR(__xludf.DUMMYFUNCTION("""COMPUTED_VALUE"""),"REA-K3335")</f>
        <v>REA-K3335</v>
      </c>
      <c r="B654" s="3">
        <f ca="1">IFERROR(__xludf.DUMMYFUNCTION("""COMPUTED_VALUE"""),50924)</f>
        <v>50924</v>
      </c>
      <c r="C654" s="3">
        <f ca="1">IFERROR(__xludf.DUMMYFUNCTION("""COMPUTED_VALUE"""),5902557387731)</f>
        <v>5902557387731</v>
      </c>
      <c r="D654" s="4" t="str">
        <f ca="1">IFERROR(__xludf.DUMMYFUNCTION("""COMPUTED_VALUE"""),"BRODZIK MAGNUM WHITE 80x100")</f>
        <v>BRODZIK MAGNUM WHITE 80x100</v>
      </c>
      <c r="E654" s="31">
        <v>131.75609756097563</v>
      </c>
      <c r="F654" s="31">
        <f t="shared" si="10"/>
        <v>162.06000000000003</v>
      </c>
    </row>
    <row r="655" spans="1:6" ht="18.75" customHeight="1" x14ac:dyDescent="0.25">
      <c r="A655" s="2" t="str">
        <f ca="1">IFERROR(__xludf.DUMMYFUNCTION("""COMPUTED_VALUE"""),"REA-K3336")</f>
        <v>REA-K3336</v>
      </c>
      <c r="B655" s="3">
        <f ca="1">IFERROR(__xludf.DUMMYFUNCTION("""COMPUTED_VALUE"""),50926)</f>
        <v>50926</v>
      </c>
      <c r="C655" s="3">
        <f ca="1">IFERROR(__xludf.DUMMYFUNCTION("""COMPUTED_VALUE"""),5902557387748)</f>
        <v>5902557387748</v>
      </c>
      <c r="D655" s="4" t="str">
        <f ca="1">IFERROR(__xludf.DUMMYFUNCTION("""COMPUTED_VALUE"""),"BRODZIK MAGNUM WHITE 80x120")</f>
        <v>BRODZIK MAGNUM WHITE 80x120</v>
      </c>
      <c r="E655" s="31">
        <v>145.29268292682929</v>
      </c>
      <c r="F655" s="31">
        <f t="shared" si="10"/>
        <v>178.71</v>
      </c>
    </row>
    <row r="656" spans="1:6" ht="18.75" customHeight="1" x14ac:dyDescent="0.25">
      <c r="A656" s="2" t="str">
        <f ca="1">IFERROR(__xludf.DUMMYFUNCTION("""COMPUTED_VALUE"""),"REA-K3337")</f>
        <v>REA-K3337</v>
      </c>
      <c r="B656" s="3">
        <f ca="1">IFERROR(__xludf.DUMMYFUNCTION("""COMPUTED_VALUE"""),50928)</f>
        <v>50928</v>
      </c>
      <c r="C656" s="3">
        <f ca="1">IFERROR(__xludf.DUMMYFUNCTION("""COMPUTED_VALUE"""),5902557387755)</f>
        <v>5902557387755</v>
      </c>
      <c r="D656" s="4" t="str">
        <f ca="1">IFERROR(__xludf.DUMMYFUNCTION("""COMPUTED_VALUE"""),"BRODZIK MAGNUM WHITE 90x120")</f>
        <v>BRODZIK MAGNUM WHITE 90x120</v>
      </c>
      <c r="E656" s="31">
        <v>150.70731707317074</v>
      </c>
      <c r="F656" s="31">
        <f t="shared" si="10"/>
        <v>185.37</v>
      </c>
    </row>
    <row r="657" spans="1:6" ht="18.75" customHeight="1" x14ac:dyDescent="0.25">
      <c r="A657" s="2" t="str">
        <f ca="1">IFERROR(__xludf.DUMMYFUNCTION("""COMPUTED_VALUE"""),"REA-K3338")</f>
        <v>REA-K3338</v>
      </c>
      <c r="B657" s="3">
        <f ca="1">IFERROR(__xludf.DUMMYFUNCTION("""COMPUTED_VALUE"""),50922)</f>
        <v>50922</v>
      </c>
      <c r="C657" s="3">
        <f ca="1">IFERROR(__xludf.DUMMYFUNCTION("""COMPUTED_VALUE"""),5902557387762)</f>
        <v>5902557387762</v>
      </c>
      <c r="D657" s="4" t="str">
        <f ca="1">IFERROR(__xludf.DUMMYFUNCTION("""COMPUTED_VALUE"""),"BRODZIK MAGNUM WHITE 90x90")</f>
        <v>BRODZIK MAGNUM WHITE 90x90</v>
      </c>
      <c r="E657" s="31">
        <v>131.75609756097563</v>
      </c>
      <c r="F657" s="31">
        <f t="shared" si="10"/>
        <v>162.06000000000003</v>
      </c>
    </row>
    <row r="658" spans="1:6" ht="18.75" customHeight="1" x14ac:dyDescent="0.25">
      <c r="A658" s="2" t="str">
        <f ca="1">IFERROR(__xludf.DUMMYFUNCTION("""COMPUTED_VALUE"""),"REA-K011P")</f>
        <v>REA-K011P</v>
      </c>
      <c r="B658" s="3">
        <f ca="1">IFERROR(__xludf.DUMMYFUNCTION("""COMPUTED_VALUE"""),7403)</f>
        <v>7403</v>
      </c>
      <c r="C658" s="3">
        <f ca="1">IFERROR(__xludf.DUMMYFUNCTION("""COMPUTED_VALUE"""),5902557325115)</f>
        <v>5902557325115</v>
      </c>
      <c r="D658" s="4" t="str">
        <f ca="1">IFERROR(__xludf.DUMMYFUNCTION("""COMPUTED_VALUE"""),"BRODZIK PERFECT SPACE 80 EG05 + SYFON")</f>
        <v>BRODZIK PERFECT SPACE 80 EG05 + SYFON</v>
      </c>
      <c r="E658" s="31">
        <v>76.707317073170742</v>
      </c>
      <c r="F658" s="31">
        <f t="shared" si="10"/>
        <v>94.350000000000009</v>
      </c>
    </row>
    <row r="659" spans="1:6" ht="18.75" customHeight="1" x14ac:dyDescent="0.25">
      <c r="A659" s="2" t="str">
        <f ca="1">IFERROR(__xludf.DUMMYFUNCTION("""COMPUTED_VALUE"""),"REA-K012K")</f>
        <v>REA-K012K</v>
      </c>
      <c r="B659" s="3"/>
      <c r="C659" s="3">
        <f ca="1">IFERROR(__xludf.DUMMYFUNCTION("""COMPUTED_VALUE"""),5902557325108)</f>
        <v>5902557325108</v>
      </c>
      <c r="D659" s="4" t="str">
        <f ca="1">IFERROR(__xludf.DUMMYFUNCTION("""COMPUTED_VALUE"""),"BRODZIK PERFECT SPACE 90 EG05 + SYFON")</f>
        <v>BRODZIK PERFECT SPACE 90 EG05 + SYFON</v>
      </c>
      <c r="E659" s="31">
        <v>80.317073170731717</v>
      </c>
      <c r="F659" s="31">
        <f t="shared" si="10"/>
        <v>98.79</v>
      </c>
    </row>
    <row r="660" spans="1:6" ht="18.75" customHeight="1" x14ac:dyDescent="0.25">
      <c r="A660" s="2" t="str">
        <f ca="1">IFERROR(__xludf.DUMMYFUNCTION("""COMPUTED_VALUE"""),"REA-K090K")</f>
        <v>REA-K090K</v>
      </c>
      <c r="B660" s="3">
        <f ca="1">IFERROR(__xludf.DUMMYFUNCTION("""COMPUTED_VALUE"""),7362)</f>
        <v>7362</v>
      </c>
      <c r="C660" s="3">
        <f ca="1">IFERROR(__xludf.DUMMYFUNCTION("""COMPUTED_VALUE"""),5902557325047)</f>
        <v>5902557325047</v>
      </c>
      <c r="D660" s="4" t="str">
        <f ca="1">IFERROR(__xludf.DUMMYFUNCTION("""COMPUTED_VALUE"""),"BRODZIK PORTA 80 X 120 LEWY + SYFON")</f>
        <v>BRODZIK PORTA 80 X 120 LEWY + SYFON</v>
      </c>
      <c r="E660" s="31">
        <v>80.317073170731717</v>
      </c>
      <c r="F660" s="31">
        <f t="shared" si="10"/>
        <v>98.79</v>
      </c>
    </row>
    <row r="661" spans="1:6" ht="18.75" customHeight="1" x14ac:dyDescent="0.25">
      <c r="A661" s="2" t="str">
        <f ca="1">IFERROR(__xludf.DUMMYFUNCTION("""COMPUTED_VALUE"""),"REA-K090H")</f>
        <v>REA-K090H</v>
      </c>
      <c r="B661" s="3">
        <f ca="1">IFERROR(__xludf.DUMMYFUNCTION("""COMPUTED_VALUE"""),7363)</f>
        <v>7363</v>
      </c>
      <c r="C661" s="3">
        <f ca="1">IFERROR(__xludf.DUMMYFUNCTION("""COMPUTED_VALUE"""),5902557325030)</f>
        <v>5902557325030</v>
      </c>
      <c r="D661" s="4" t="str">
        <f ca="1">IFERROR(__xludf.DUMMYFUNCTION("""COMPUTED_VALUE"""),"BRODZIK PORTA 80 X 120 PRAWY + SYFON")</f>
        <v>BRODZIK PORTA 80 X 120 PRAWY + SYFON</v>
      </c>
      <c r="E661" s="31">
        <v>80.317073170731717</v>
      </c>
      <c r="F661" s="31">
        <f t="shared" si="10"/>
        <v>98.79</v>
      </c>
    </row>
    <row r="662" spans="1:6" ht="18.75" customHeight="1" x14ac:dyDescent="0.25">
      <c r="A662" s="2" t="str">
        <f ca="1">IFERROR(__xludf.DUMMYFUNCTION("""COMPUTED_VALUE"""),"REA-K6932")</f>
        <v>REA-K6932</v>
      </c>
      <c r="B662" s="3">
        <f ca="1">IFERROR(__xludf.DUMMYFUNCTION("""COMPUTED_VALUE"""),24192)</f>
        <v>24192</v>
      </c>
      <c r="C662" s="3">
        <f ca="1">IFERROR(__xludf.DUMMYFUNCTION("""COMPUTED_VALUE"""),5902557333189)</f>
        <v>5902557333189</v>
      </c>
      <c r="D662" s="4" t="str">
        <f ca="1">IFERROR(__xludf.DUMMYFUNCTION("""COMPUTED_VALUE"""),"BRODZIK PORTA 80 X 90 LEWY + SYFON")</f>
        <v>BRODZIK PORTA 80 X 90 LEWY + SYFON</v>
      </c>
      <c r="E662" s="31">
        <v>89.341463414634148</v>
      </c>
      <c r="F662" s="31">
        <f t="shared" si="10"/>
        <v>109.89</v>
      </c>
    </row>
    <row r="663" spans="1:6" ht="18.75" customHeight="1" x14ac:dyDescent="0.25">
      <c r="A663" s="2" t="str">
        <f ca="1">IFERROR(__xludf.DUMMYFUNCTION("""COMPUTED_VALUE"""),"REA-K6874")</f>
        <v>REA-K6874</v>
      </c>
      <c r="B663" s="3">
        <f ca="1">IFERROR(__xludf.DUMMYFUNCTION("""COMPUTED_VALUE"""),24193)</f>
        <v>24193</v>
      </c>
      <c r="C663" s="3">
        <f ca="1">IFERROR(__xludf.DUMMYFUNCTION("""COMPUTED_VALUE"""),5902557333196)</f>
        <v>5902557333196</v>
      </c>
      <c r="D663" s="4" t="str">
        <f ca="1">IFERROR(__xludf.DUMMYFUNCTION("""COMPUTED_VALUE"""),"BRODZIK PORTA 80 X 90 PRAWY + SYFON")</f>
        <v>BRODZIK PORTA 80 X 90 PRAWY + SYFON</v>
      </c>
      <c r="E663" s="31">
        <v>89.341463414634148</v>
      </c>
      <c r="F663" s="31">
        <f t="shared" si="10"/>
        <v>109.89</v>
      </c>
    </row>
    <row r="664" spans="1:6" ht="18.75" customHeight="1" x14ac:dyDescent="0.25">
      <c r="A664" s="2" t="str">
        <f ca="1">IFERROR(__xludf.DUMMYFUNCTION("""COMPUTED_VALUE"""),"REA-K6322")</f>
        <v>REA-K6322</v>
      </c>
      <c r="B664" s="3">
        <f ca="1">IFERROR(__xludf.DUMMYFUNCTION("""COMPUTED_VALUE"""),24188)</f>
        <v>24188</v>
      </c>
      <c r="C664" s="3">
        <f ca="1">IFERROR(__xludf.DUMMYFUNCTION("""COMPUTED_VALUE"""),5902557333219)</f>
        <v>5902557333219</v>
      </c>
      <c r="D664" s="4" t="str">
        <f ca="1">IFERROR(__xludf.DUMMYFUNCTION("""COMPUTED_VALUE"""),"BRODZIK PORTA 90 X 100 LEWY + SYFON")</f>
        <v>BRODZIK PORTA 90 X 100 LEWY + SYFON</v>
      </c>
      <c r="E664" s="31">
        <v>100.17073170731709</v>
      </c>
      <c r="F664" s="31">
        <f t="shared" si="10"/>
        <v>123.21000000000002</v>
      </c>
    </row>
    <row r="665" spans="1:6" ht="18.75" customHeight="1" x14ac:dyDescent="0.25">
      <c r="A665" s="2" t="str">
        <f ca="1">IFERROR(__xludf.DUMMYFUNCTION("""COMPUTED_VALUE"""),"REA-K4578")</f>
        <v>REA-K4578</v>
      </c>
      <c r="B665" s="3">
        <f ca="1">IFERROR(__xludf.DUMMYFUNCTION("""COMPUTED_VALUE"""),40066)</f>
        <v>40066</v>
      </c>
      <c r="C665" s="3">
        <f ca="1">IFERROR(__xludf.DUMMYFUNCTION("""COMPUTED_VALUE"""),5902557355389)</f>
        <v>5902557355389</v>
      </c>
      <c r="D665" s="4" t="str">
        <f ca="1">IFERROR(__xludf.DUMMYFUNCTION("""COMPUTED_VALUE"""),"BRODZIK ROCK BLACK 80x100")</f>
        <v>BRODZIK ROCK BLACK 80x100</v>
      </c>
      <c r="E665" s="31">
        <v>161.53658536585368</v>
      </c>
      <c r="F665" s="31">
        <f t="shared" si="10"/>
        <v>198.69000000000003</v>
      </c>
    </row>
    <row r="666" spans="1:6" ht="18.75" customHeight="1" x14ac:dyDescent="0.25">
      <c r="A666" s="2" t="str">
        <f ca="1">IFERROR(__xludf.DUMMYFUNCTION("""COMPUTED_VALUE"""),"REA-K4579")</f>
        <v>REA-K4579</v>
      </c>
      <c r="B666" s="3">
        <f ca="1">IFERROR(__xludf.DUMMYFUNCTION("""COMPUTED_VALUE"""),40065)</f>
        <v>40065</v>
      </c>
      <c r="C666" s="3">
        <f ca="1">IFERROR(__xludf.DUMMYFUNCTION("""COMPUTED_VALUE"""),5902557355396)</f>
        <v>5902557355396</v>
      </c>
      <c r="D666" s="4" t="str">
        <f ca="1">IFERROR(__xludf.DUMMYFUNCTION("""COMPUTED_VALUE"""),"BRODZIK ROCK BLACK 80x120")</f>
        <v>BRODZIK ROCK BLACK 80x120</v>
      </c>
      <c r="E666" s="31">
        <v>198.53658536585368</v>
      </c>
      <c r="F666" s="31">
        <f t="shared" si="10"/>
        <v>244.20000000000002</v>
      </c>
    </row>
    <row r="667" spans="1:6" ht="18.75" customHeight="1" x14ac:dyDescent="0.25">
      <c r="A667" s="2" t="str">
        <f ca="1">IFERROR(__xludf.DUMMYFUNCTION("""COMPUTED_VALUE"""),"REA-K4580")</f>
        <v>REA-K4580</v>
      </c>
      <c r="B667" s="3">
        <f ca="1">IFERROR(__xludf.DUMMYFUNCTION("""COMPUTED_VALUE"""),40064)</f>
        <v>40064</v>
      </c>
      <c r="C667" s="3">
        <f ca="1">IFERROR(__xludf.DUMMYFUNCTION("""COMPUTED_VALUE"""),5902557355402)</f>
        <v>5902557355402</v>
      </c>
      <c r="D667" s="4" t="str">
        <f ca="1">IFERROR(__xludf.DUMMYFUNCTION("""COMPUTED_VALUE"""),"BRODZIK ROCK BLACK 90x120")</f>
        <v>BRODZIK ROCK BLACK 90x120</v>
      </c>
      <c r="E667" s="31">
        <v>222.90243902439028</v>
      </c>
      <c r="F667" s="31">
        <f t="shared" si="10"/>
        <v>274.17</v>
      </c>
    </row>
    <row r="668" spans="1:6" ht="18.75" customHeight="1" x14ac:dyDescent="0.25">
      <c r="A668" s="2" t="str">
        <f ca="1">IFERROR(__xludf.DUMMYFUNCTION("""COMPUTED_VALUE"""),"REA-K4581")</f>
        <v>REA-K4581</v>
      </c>
      <c r="B668" s="3">
        <f ca="1">IFERROR(__xludf.DUMMYFUNCTION("""COMPUTED_VALUE"""),40063)</f>
        <v>40063</v>
      </c>
      <c r="C668" s="3">
        <f ca="1">IFERROR(__xludf.DUMMYFUNCTION("""COMPUTED_VALUE"""),5902557355419)</f>
        <v>5902557355419</v>
      </c>
      <c r="D668" s="4" t="str">
        <f ca="1">IFERROR(__xludf.DUMMYFUNCTION("""COMPUTED_VALUE"""),"BRODZIK ROCK BLACK 90x90")</f>
        <v>BRODZIK ROCK BLACK 90x90</v>
      </c>
      <c r="E668" s="31">
        <v>184.09756097560975</v>
      </c>
      <c r="F668" s="31">
        <f t="shared" si="10"/>
        <v>226.44</v>
      </c>
    </row>
    <row r="669" spans="1:6" ht="18.75" customHeight="1" x14ac:dyDescent="0.25">
      <c r="A669" s="2" t="str">
        <f ca="1">IFERROR(__xludf.DUMMYFUNCTION("""COMPUTED_VALUE"""),"REA-K4582")</f>
        <v>REA-K4582</v>
      </c>
      <c r="B669" s="3">
        <f ca="1">IFERROR(__xludf.DUMMYFUNCTION("""COMPUTED_VALUE"""),40067)</f>
        <v>40067</v>
      </c>
      <c r="C669" s="3">
        <f ca="1">IFERROR(__xludf.DUMMYFUNCTION("""COMPUTED_VALUE"""),5902557355433)</f>
        <v>5902557355433</v>
      </c>
      <c r="D669" s="4" t="str">
        <f ca="1">IFERROR(__xludf.DUMMYFUNCTION("""COMPUTED_VALUE"""),"BRODZIK ROCK GREY 80x100")</f>
        <v>BRODZIK ROCK GREY 80x100</v>
      </c>
      <c r="E669" s="31">
        <v>161.53658536585368</v>
      </c>
      <c r="F669" s="31">
        <f t="shared" si="10"/>
        <v>198.69000000000003</v>
      </c>
    </row>
    <row r="670" spans="1:6" ht="18.75" customHeight="1" x14ac:dyDescent="0.25">
      <c r="A670" s="2" t="str">
        <f ca="1">IFERROR(__xludf.DUMMYFUNCTION("""COMPUTED_VALUE"""),"REA-K4583")</f>
        <v>REA-K4583</v>
      </c>
      <c r="B670" s="3">
        <f ca="1">IFERROR(__xludf.DUMMYFUNCTION("""COMPUTED_VALUE"""),40068)</f>
        <v>40068</v>
      </c>
      <c r="C670" s="3">
        <f ca="1">IFERROR(__xludf.DUMMYFUNCTION("""COMPUTED_VALUE"""),5902557355440)</f>
        <v>5902557355440</v>
      </c>
      <c r="D670" s="4" t="str">
        <f ca="1">IFERROR(__xludf.DUMMYFUNCTION("""COMPUTED_VALUE"""),"BRODZIK ROCK GREY 80x120")</f>
        <v>BRODZIK ROCK GREY 80x120</v>
      </c>
      <c r="E670" s="31">
        <v>198.53658536585368</v>
      </c>
      <c r="F670" s="31">
        <f t="shared" si="10"/>
        <v>244.20000000000002</v>
      </c>
    </row>
    <row r="671" spans="1:6" ht="18.75" customHeight="1" x14ac:dyDescent="0.25">
      <c r="A671" s="2" t="str">
        <f ca="1">IFERROR(__xludf.DUMMYFUNCTION("""COMPUTED_VALUE"""),"REA-K4584")</f>
        <v>REA-K4584</v>
      </c>
      <c r="B671" s="3">
        <f ca="1">IFERROR(__xludf.DUMMYFUNCTION("""COMPUTED_VALUE"""),40069)</f>
        <v>40069</v>
      </c>
      <c r="C671" s="3">
        <f ca="1">IFERROR(__xludf.DUMMYFUNCTION("""COMPUTED_VALUE"""),5902557355457)</f>
        <v>5902557355457</v>
      </c>
      <c r="D671" s="4" t="str">
        <f ca="1">IFERROR(__xludf.DUMMYFUNCTION("""COMPUTED_VALUE"""),"BRODZIK ROCK GREY 90x120")</f>
        <v>BRODZIK ROCK GREY 90x120</v>
      </c>
      <c r="E671" s="31">
        <v>239.14634146341464</v>
      </c>
      <c r="F671" s="31">
        <f t="shared" si="10"/>
        <v>294.15000000000003</v>
      </c>
    </row>
    <row r="672" spans="1:6" ht="18.75" customHeight="1" x14ac:dyDescent="0.25">
      <c r="A672" s="2" t="str">
        <f ca="1">IFERROR(__xludf.DUMMYFUNCTION("""COMPUTED_VALUE"""),"REA-K4585")</f>
        <v>REA-K4585</v>
      </c>
      <c r="B672" s="3">
        <f ca="1">IFERROR(__xludf.DUMMYFUNCTION("""COMPUTED_VALUE"""),40070)</f>
        <v>40070</v>
      </c>
      <c r="C672" s="3">
        <f ca="1">IFERROR(__xludf.DUMMYFUNCTION("""COMPUTED_VALUE"""),5902557355426)</f>
        <v>5902557355426</v>
      </c>
      <c r="D672" s="4" t="str">
        <f ca="1">IFERROR(__xludf.DUMMYFUNCTION("""COMPUTED_VALUE"""),"BRODZIK ROCK GREY 90x90")</f>
        <v>BRODZIK ROCK GREY 90x90</v>
      </c>
      <c r="E672" s="31">
        <v>170.5609756097561</v>
      </c>
      <c r="F672" s="31">
        <f t="shared" si="10"/>
        <v>209.79</v>
      </c>
    </row>
    <row r="673" spans="1:6" ht="18.75" customHeight="1" x14ac:dyDescent="0.25">
      <c r="A673" s="2" t="str">
        <f ca="1">IFERROR(__xludf.DUMMYFUNCTION("""COMPUTED_VALUE"""),"REA-K5581")</f>
        <v>REA-K5581</v>
      </c>
      <c r="B673" s="3">
        <f ca="1">IFERROR(__xludf.DUMMYFUNCTION("""COMPUTED_VALUE"""),43729)</f>
        <v>43729</v>
      </c>
      <c r="C673" s="3">
        <f ca="1">IFERROR(__xludf.DUMMYFUNCTION("""COMPUTED_VALUE"""),5902557367283)</f>
        <v>5902557367283</v>
      </c>
      <c r="D673" s="4" t="str">
        <f ca="1">IFERROR(__xludf.DUMMYFUNCTION("""COMPUTED_VALUE"""),"BRODZIK ROCK WHITE 80x100")</f>
        <v>BRODZIK ROCK WHITE 80x100</v>
      </c>
      <c r="E673" s="31">
        <v>161.53658536585368</v>
      </c>
      <c r="F673" s="31">
        <f t="shared" si="10"/>
        <v>198.69000000000003</v>
      </c>
    </row>
    <row r="674" spans="1:6" ht="18.75" customHeight="1" x14ac:dyDescent="0.25">
      <c r="A674" s="2" t="str">
        <f ca="1">IFERROR(__xludf.DUMMYFUNCTION("""COMPUTED_VALUE"""),"REA-K5582")</f>
        <v>REA-K5582</v>
      </c>
      <c r="B674" s="3">
        <f ca="1">IFERROR(__xludf.DUMMYFUNCTION("""COMPUTED_VALUE"""),43730)</f>
        <v>43730</v>
      </c>
      <c r="C674" s="3">
        <f ca="1">IFERROR(__xludf.DUMMYFUNCTION("""COMPUTED_VALUE"""),5902557367290)</f>
        <v>5902557367290</v>
      </c>
      <c r="D674" s="4" t="str">
        <f ca="1">IFERROR(__xludf.DUMMYFUNCTION("""COMPUTED_VALUE"""),"BRODZIK ROCK WHITE 90x120")</f>
        <v>BRODZIK ROCK WHITE 90x120</v>
      </c>
      <c r="E674" s="31">
        <v>222.90243902439028</v>
      </c>
      <c r="F674" s="31">
        <f t="shared" si="10"/>
        <v>274.17</v>
      </c>
    </row>
    <row r="675" spans="1:6" ht="18.75" customHeight="1" x14ac:dyDescent="0.25">
      <c r="A675" s="2" t="str">
        <f ca="1">IFERROR(__xludf.DUMMYFUNCTION("""COMPUTED_VALUE"""),"REA-K5580")</f>
        <v>REA-K5580</v>
      </c>
      <c r="B675" s="3">
        <f ca="1">IFERROR(__xludf.DUMMYFUNCTION("""COMPUTED_VALUE"""),43732)</f>
        <v>43732</v>
      </c>
      <c r="C675" s="3">
        <f ca="1">IFERROR(__xludf.DUMMYFUNCTION("""COMPUTED_VALUE"""),5902557367276)</f>
        <v>5902557367276</v>
      </c>
      <c r="D675" s="4" t="str">
        <f ca="1">IFERROR(__xludf.DUMMYFUNCTION("""COMPUTED_VALUE"""),"BRODZIK ROCK WHITE 90x90")</f>
        <v>BRODZIK ROCK WHITE 90x90</v>
      </c>
      <c r="E675" s="31">
        <v>170.5609756097561</v>
      </c>
      <c r="F675" s="31">
        <f t="shared" si="10"/>
        <v>209.79</v>
      </c>
    </row>
    <row r="676" spans="1:6" ht="18.75" customHeight="1" x14ac:dyDescent="0.25">
      <c r="A676" s="2" t="str">
        <f ca="1">IFERROR(__xludf.DUMMYFUNCTION("""COMPUTED_VALUE"""),"REA-K4087")</f>
        <v>REA-K4087</v>
      </c>
      <c r="B676" s="3">
        <f ca="1">IFERROR(__xludf.DUMMYFUNCTION("""COMPUTED_VALUE"""),43245)</f>
        <v>43245</v>
      </c>
      <c r="C676" s="3">
        <f ca="1">IFERROR(__xludf.DUMMYFUNCTION("""COMPUTED_VALUE"""),5902557354740)</f>
        <v>5902557354740</v>
      </c>
      <c r="D676" s="4" t="str">
        <f ca="1">IFERROR(__xludf.DUMMYFUNCTION("""COMPUTED_VALUE"""),"BRODZIK SAVOY BLACK 80x100x6cm + SYFON")</f>
        <v>BRODZIK SAVOY BLACK 80x100x6cm + SYFON</v>
      </c>
      <c r="E676" s="31">
        <v>105.58499999999999</v>
      </c>
      <c r="F676" s="31">
        <f t="shared" si="10"/>
        <v>129.86955</v>
      </c>
    </row>
    <row r="677" spans="1:6" ht="18.75" customHeight="1" x14ac:dyDescent="0.25">
      <c r="A677" s="2" t="str">
        <f ca="1">IFERROR(__xludf.DUMMYFUNCTION("""COMPUTED_VALUE"""),"REA-K4804")</f>
        <v>REA-K4804</v>
      </c>
      <c r="B677" s="3">
        <f ca="1">IFERROR(__xludf.DUMMYFUNCTION("""COMPUTED_VALUE"""),46410)</f>
        <v>46410</v>
      </c>
      <c r="C677" s="3">
        <f ca="1">IFERROR(__xludf.DUMMYFUNCTION("""COMPUTED_VALUE"""),5902557350766)</f>
        <v>5902557350766</v>
      </c>
      <c r="D677" s="4" t="str">
        <f ca="1">IFERROR(__xludf.DUMMYFUNCTION("""COMPUTED_VALUE"""),"BRODZIK SAVOY BLACK 80x80x6cm + SYFON")</f>
        <v>BRODZIK SAVOY BLACK 80x80x6cm + SYFON</v>
      </c>
      <c r="E677" s="31">
        <v>99.268292682926841</v>
      </c>
      <c r="F677" s="31">
        <f t="shared" si="10"/>
        <v>122.10000000000001</v>
      </c>
    </row>
    <row r="678" spans="1:6" ht="18.75" customHeight="1" x14ac:dyDescent="0.25">
      <c r="A678" s="2" t="str">
        <f ca="1">IFERROR(__xludf.DUMMYFUNCTION("""COMPUTED_VALUE"""),"REA-K4803")</f>
        <v>REA-K4803</v>
      </c>
      <c r="B678" s="3">
        <f ca="1">IFERROR(__xludf.DUMMYFUNCTION("""COMPUTED_VALUE"""),46411)</f>
        <v>46411</v>
      </c>
      <c r="C678" s="3">
        <f ca="1">IFERROR(__xludf.DUMMYFUNCTION("""COMPUTED_VALUE"""),5902557350773)</f>
        <v>5902557350773</v>
      </c>
      <c r="D678" s="4" t="str">
        <f ca="1">IFERROR(__xludf.DUMMYFUNCTION("""COMPUTED_VALUE"""),"BRODZIK SAVOY BLACK 90x90x6cm + SYFON")</f>
        <v>BRODZIK SAVOY BLACK 90x90x6cm + SYFON</v>
      </c>
      <c r="E678" s="31">
        <v>105.58536585365854</v>
      </c>
      <c r="F678" s="31">
        <f t="shared" si="10"/>
        <v>129.87</v>
      </c>
    </row>
    <row r="679" spans="1:6" ht="18.75" customHeight="1" x14ac:dyDescent="0.25">
      <c r="A679" s="2" t="str">
        <f ca="1">IFERROR(__xludf.DUMMYFUNCTION("""COMPUTED_VALUE"""),"REA-K5332")</f>
        <v>REA-K5332</v>
      </c>
      <c r="B679" s="3">
        <f ca="1">IFERROR(__xludf.DUMMYFUNCTION("""COMPUTED_VALUE"""),42310)</f>
        <v>42310</v>
      </c>
      <c r="C679" s="3">
        <f ca="1">IFERROR(__xludf.DUMMYFUNCTION("""COMPUTED_VALUE"""),5902557362769)</f>
        <v>5902557362769</v>
      </c>
      <c r="D679" s="4" t="str">
        <f ca="1">IFERROR(__xludf.DUMMYFUNCTION("""COMPUTED_VALUE"""),"BRODZIK SAVOY WHITE 80x100x6cm + SYFON")</f>
        <v>BRODZIK SAVOY WHITE 80x100x6cm + SYFON</v>
      </c>
      <c r="E679" s="31">
        <v>99.268292682926841</v>
      </c>
      <c r="F679" s="31">
        <f t="shared" si="10"/>
        <v>122.10000000000001</v>
      </c>
    </row>
    <row r="680" spans="1:6" ht="18.75" customHeight="1" x14ac:dyDescent="0.25">
      <c r="A680" s="2" t="str">
        <f ca="1">IFERROR(__xludf.DUMMYFUNCTION("""COMPUTED_VALUE"""),"REA-K1906")</f>
        <v>REA-K1906</v>
      </c>
      <c r="B680" s="3">
        <f ca="1">IFERROR(__xludf.DUMMYFUNCTION("""COMPUTED_VALUE"""),51655)</f>
        <v>51655</v>
      </c>
      <c r="C680" s="3">
        <f ca="1">IFERROR(__xludf.DUMMYFUNCTION("""COMPUTED_VALUE"""),5902557329663)</f>
        <v>5902557329663</v>
      </c>
      <c r="D680" s="4" t="str">
        <f ca="1">IFERROR(__xludf.DUMMYFUNCTION("""COMPUTED_VALUE"""),"BRODZIK SAVOY WHITE 80x80x6cm + SYFON")</f>
        <v>BRODZIK SAVOY WHITE 80x80x6cm + SYFON</v>
      </c>
      <c r="E680" s="31">
        <v>95.658536585365866</v>
      </c>
      <c r="F680" s="31">
        <f t="shared" si="10"/>
        <v>117.66000000000001</v>
      </c>
    </row>
    <row r="681" spans="1:6" ht="18.75" customHeight="1" x14ac:dyDescent="0.25">
      <c r="A681" s="2" t="str">
        <f ca="1">IFERROR(__xludf.DUMMYFUNCTION("""COMPUTED_VALUE"""),"REA-K1907")</f>
        <v>REA-K1907</v>
      </c>
      <c r="B681" s="3">
        <f ca="1">IFERROR(__xludf.DUMMYFUNCTION("""COMPUTED_VALUE"""),51654)</f>
        <v>51654</v>
      </c>
      <c r="C681" s="3">
        <f ca="1">IFERROR(__xludf.DUMMYFUNCTION("""COMPUTED_VALUE"""),5902557329670)</f>
        <v>5902557329670</v>
      </c>
      <c r="D681" s="4" t="str">
        <f ca="1">IFERROR(__xludf.DUMMYFUNCTION("""COMPUTED_VALUE"""),"BRODZIK SAVOY WHITE 90X90X6cm + SYFON")</f>
        <v>BRODZIK SAVOY WHITE 90X90X6cm + SYFON</v>
      </c>
      <c r="E681" s="31">
        <v>90.243902439024396</v>
      </c>
      <c r="F681" s="31">
        <f t="shared" si="10"/>
        <v>111</v>
      </c>
    </row>
    <row r="682" spans="1:6" ht="18.75" customHeight="1" x14ac:dyDescent="0.25">
      <c r="A682" s="2" t="str">
        <f ca="1">IFERROR(__xludf.DUMMYFUNCTION("""COMPUTED_VALUE"""),"REA-K9756")</f>
        <v>REA-K9756</v>
      </c>
      <c r="B682" s="3">
        <f ca="1">IFERROR(__xludf.DUMMYFUNCTION("""COMPUTED_VALUE"""),40060)</f>
        <v>40060</v>
      </c>
      <c r="C682" s="3">
        <f ca="1">IFERROR(__xludf.DUMMYFUNCTION("""COMPUTED_VALUE"""),5902557332977)</f>
        <v>5902557332977</v>
      </c>
      <c r="D682" s="4" t="str">
        <f ca="1">IFERROR(__xludf.DUMMYFUNCTION("""COMPUTED_VALUE"""),"BRODZIK STONE BLACK 80x100")</f>
        <v>BRODZIK STONE BLACK 80x100</v>
      </c>
      <c r="E682" s="31">
        <v>231.02439024390245</v>
      </c>
      <c r="F682" s="31">
        <f t="shared" si="10"/>
        <v>284.16000000000003</v>
      </c>
    </row>
    <row r="683" spans="1:6" ht="18.75" customHeight="1" x14ac:dyDescent="0.25">
      <c r="A683" s="2" t="str">
        <f ca="1">IFERROR(__xludf.DUMMYFUNCTION("""COMPUTED_VALUE"""),"REA-K9602")</f>
        <v>REA-K9602</v>
      </c>
      <c r="B683" s="3">
        <f ca="1">IFERROR(__xludf.DUMMYFUNCTION("""COMPUTED_VALUE"""),40061)</f>
        <v>40061</v>
      </c>
      <c r="C683" s="3">
        <f ca="1">IFERROR(__xludf.DUMMYFUNCTION("""COMPUTED_VALUE"""),5902557319978)</f>
        <v>5902557319978</v>
      </c>
      <c r="D683" s="4" t="str">
        <f ca="1">IFERROR(__xludf.DUMMYFUNCTION("""COMPUTED_VALUE"""),"BRODZIK STONE BLACK 80x120")</f>
        <v>BRODZIK STONE BLACK 80x120</v>
      </c>
      <c r="E683" s="31">
        <v>289.68292682926835</v>
      </c>
      <c r="F683" s="31">
        <f t="shared" si="10"/>
        <v>356.31000000000006</v>
      </c>
    </row>
    <row r="684" spans="1:6" ht="18.75" customHeight="1" x14ac:dyDescent="0.25">
      <c r="A684" s="2" t="str">
        <f ca="1">IFERROR(__xludf.DUMMYFUNCTION("""COMPUTED_VALUE"""),"REA-K9603")</f>
        <v>REA-K9603</v>
      </c>
      <c r="B684" s="3">
        <f ca="1">IFERROR(__xludf.DUMMYFUNCTION("""COMPUTED_VALUE"""),40062)</f>
        <v>40062</v>
      </c>
      <c r="C684" s="3">
        <f ca="1">IFERROR(__xludf.DUMMYFUNCTION("""COMPUTED_VALUE"""),5902557319961)</f>
        <v>5902557319961</v>
      </c>
      <c r="D684" s="4" t="str">
        <f ca="1">IFERROR(__xludf.DUMMYFUNCTION("""COMPUTED_VALUE"""),"BRODZIK STONE BLACK 90x120")</f>
        <v>BRODZIK STONE BLACK 90x120</v>
      </c>
      <c r="E684" s="31">
        <v>325.78048780487808</v>
      </c>
      <c r="F684" s="31">
        <f t="shared" si="10"/>
        <v>400.71000000000004</v>
      </c>
    </row>
    <row r="685" spans="1:6" ht="18.75" customHeight="1" x14ac:dyDescent="0.25">
      <c r="A685" s="2" t="str">
        <f ca="1">IFERROR(__xludf.DUMMYFUNCTION("""COMPUTED_VALUE"""),"REA-K9601")</f>
        <v>REA-K9601</v>
      </c>
      <c r="B685" s="3">
        <f ca="1">IFERROR(__xludf.DUMMYFUNCTION("""COMPUTED_VALUE"""),40059)</f>
        <v>40059</v>
      </c>
      <c r="C685" s="3">
        <f ca="1">IFERROR(__xludf.DUMMYFUNCTION("""COMPUTED_VALUE"""),5902557319954)</f>
        <v>5902557319954</v>
      </c>
      <c r="D685" s="4" t="str">
        <f ca="1">IFERROR(__xludf.DUMMYFUNCTION("""COMPUTED_VALUE"""),"BRODZIK STONE BLACK 90x90")</f>
        <v>BRODZIK STONE BLACK 90x90</v>
      </c>
      <c r="E685" s="31">
        <v>226.51219512195124</v>
      </c>
      <c r="F685" s="31">
        <f t="shared" si="10"/>
        <v>278.61</v>
      </c>
    </row>
    <row r="686" spans="1:6" ht="18.75" customHeight="1" x14ac:dyDescent="0.25">
      <c r="A686" s="2" t="str">
        <f ca="1">IFERROR(__xludf.DUMMYFUNCTION("""COMPUTED_VALUE"""),"REA-C6520")</f>
        <v>REA-C6520</v>
      </c>
      <c r="B686" s="3">
        <f ca="1">IFERROR(__xludf.DUMMYFUNCTION("""COMPUTED_VALUE"""),50787)</f>
        <v>50787</v>
      </c>
      <c r="C686" s="3">
        <f ca="1">IFERROR(__xludf.DUMMYFUNCTION("""COMPUTED_VALUE"""),5902557395552)</f>
        <v>5902557395552</v>
      </c>
      <c r="D686" s="4" t="str">
        <f ca="1">IFERROR(__xludf.DUMMYFUNCTION("""COMPUTED_VALUE"""),"DESKA DO WC - MARTIN / RAUL")</f>
        <v>DESKA DO WC - MARTIN / RAUL</v>
      </c>
      <c r="E686" s="31">
        <v>30.682926829268297</v>
      </c>
      <c r="F686" s="31">
        <f t="shared" si="10"/>
        <v>37.74</v>
      </c>
    </row>
    <row r="687" spans="1:6" ht="18.75" customHeight="1" x14ac:dyDescent="0.25">
      <c r="A687" s="2" t="str">
        <f ca="1">IFERROR(__xludf.DUMMYFUNCTION("""COMPUTED_VALUE"""),"REA-C4620")</f>
        <v>REA-C4620</v>
      </c>
      <c r="B687" s="3">
        <f ca="1">IFERROR(__xludf.DUMMYFUNCTION("""COMPUTED_VALUE"""),43317)</f>
        <v>43317</v>
      </c>
      <c r="C687" s="3">
        <f ca="1">IFERROR(__xludf.DUMMYFUNCTION("""COMPUTED_VALUE"""),5902557380077)</f>
        <v>5902557380077</v>
      </c>
      <c r="D687" s="4" t="str">
        <f ca="1">IFERROR(__xludf.DUMMYFUNCTION("""COMPUTED_VALUE"""),"DESKA WC - 203 LAVA MATT DUROPLAST/SLIM/ZM")</f>
        <v>DESKA WC - 203 LAVA MATT DUROPLAST/SLIM/ZM</v>
      </c>
      <c r="E687" s="31">
        <v>64.073170731707322</v>
      </c>
      <c r="F687" s="31">
        <f t="shared" si="10"/>
        <v>78.81</v>
      </c>
    </row>
    <row r="688" spans="1:6" ht="18.75" customHeight="1" x14ac:dyDescent="0.25">
      <c r="A688" s="2" t="str">
        <f ca="1">IFERROR(__xludf.DUMMYFUNCTION("""COMPUTED_VALUE"""),"REA-C6005")</f>
        <v>REA-C6005</v>
      </c>
      <c r="B688" s="3">
        <f ca="1">IFERROR(__xludf.DUMMYFUNCTION("""COMPUTED_VALUE"""),52155)</f>
        <v>52155</v>
      </c>
      <c r="C688" s="3">
        <f ca="1">IFERROR(__xludf.DUMMYFUNCTION("""COMPUTED_VALUE"""),5902557398607)</f>
        <v>5902557398607</v>
      </c>
      <c r="D688" s="4" t="str">
        <f ca="1">IFERROR(__xludf.DUMMYFUNCTION("""COMPUTED_VALUE"""),"DESKA WC - CARLO UF DUROPLAST FLAT BLACK")</f>
        <v>DESKA WC - CARLO UF DUROPLAST FLAT BLACK</v>
      </c>
      <c r="E688" s="31">
        <v>33.390243902439025</v>
      </c>
      <c r="F688" s="31">
        <f t="shared" si="10"/>
        <v>41.07</v>
      </c>
    </row>
    <row r="689" spans="1:6" ht="18.75" customHeight="1" x14ac:dyDescent="0.25">
      <c r="A689" s="2" t="str">
        <f ca="1">IFERROR(__xludf.DUMMYFUNCTION("""COMPUTED_VALUE"""),"REA-C6004")</f>
        <v>REA-C6004</v>
      </c>
      <c r="B689" s="3">
        <f ca="1">IFERROR(__xludf.DUMMYFUNCTION("""COMPUTED_VALUE"""),52151)</f>
        <v>52151</v>
      </c>
      <c r="C689" s="3">
        <f ca="1">IFERROR(__xludf.DUMMYFUNCTION("""COMPUTED_VALUE"""),5902557398614)</f>
        <v>5902557398614</v>
      </c>
      <c r="D689" s="4" t="str">
        <f ca="1">IFERROR(__xludf.DUMMYFUNCTION("""COMPUTED_VALUE"""),"DESKA WC - CARLO UF DUROPLAST FLAT BLACK MATT")</f>
        <v>DESKA WC - CARLO UF DUROPLAST FLAT BLACK MATT</v>
      </c>
      <c r="E689" s="31">
        <v>35.195121951219512</v>
      </c>
      <c r="F689" s="31">
        <f t="shared" si="10"/>
        <v>43.29</v>
      </c>
    </row>
    <row r="690" spans="1:6" ht="18.75" customHeight="1" x14ac:dyDescent="0.25">
      <c r="A690" s="2" t="str">
        <f ca="1">IFERROR(__xludf.DUMMYFUNCTION("""COMPUTED_VALUE"""),"REA-C6002")</f>
        <v>REA-C6002</v>
      </c>
      <c r="B690" s="3">
        <f ca="1">IFERROR(__xludf.DUMMYFUNCTION("""COMPUTED_VALUE"""),45266)</f>
        <v>45266</v>
      </c>
      <c r="C690" s="3">
        <f ca="1">IFERROR(__xludf.DUMMYFUNCTION("""COMPUTED_VALUE"""),5902557375059)</f>
        <v>5902557375059</v>
      </c>
      <c r="D690" s="4" t="str">
        <f ca="1">IFERROR(__xludf.DUMMYFUNCTION("""COMPUTED_VALUE"""),"DESKA WC - PP FLAT WHITE")</f>
        <v>DESKA WC - PP FLAT WHITE</v>
      </c>
      <c r="E690" s="31">
        <v>14.439024390243903</v>
      </c>
      <c r="F690" s="31">
        <f t="shared" si="10"/>
        <v>17.760000000000002</v>
      </c>
    </row>
    <row r="691" spans="1:6" ht="18.75" customHeight="1" x14ac:dyDescent="0.25">
      <c r="A691" s="2" t="str">
        <f ca="1">IFERROR(__xludf.DUMMYFUNCTION("""COMPUTED_VALUE"""),"REA-C6003")</f>
        <v>REA-C6003</v>
      </c>
      <c r="B691" s="3">
        <f ca="1">IFERROR(__xludf.DUMMYFUNCTION("""COMPUTED_VALUE"""),45265)</f>
        <v>45265</v>
      </c>
      <c r="C691" s="3">
        <f ca="1">IFERROR(__xludf.DUMMYFUNCTION("""COMPUTED_VALUE"""),5902557375066)</f>
        <v>5902557375066</v>
      </c>
      <c r="D691" s="4" t="str">
        <f ca="1">IFERROR(__xludf.DUMMYFUNCTION("""COMPUTED_VALUE"""),"DESKA WC - UF DUROPLAST FLAT BLACK")</f>
        <v>DESKA WC - UF DUROPLAST FLAT BLACK</v>
      </c>
      <c r="E691" s="31">
        <v>32.487804878048784</v>
      </c>
      <c r="F691" s="31">
        <f t="shared" si="10"/>
        <v>39.96</v>
      </c>
    </row>
    <row r="692" spans="1:6" ht="18.75" customHeight="1" x14ac:dyDescent="0.25">
      <c r="A692" s="2" t="str">
        <f ca="1">IFERROR(__xludf.DUMMYFUNCTION("""COMPUTED_VALUE"""),"REA-C6001")</f>
        <v>REA-C6001</v>
      </c>
      <c r="B692" s="3">
        <f ca="1">IFERROR(__xludf.DUMMYFUNCTION("""COMPUTED_VALUE"""),45263)</f>
        <v>45263</v>
      </c>
      <c r="C692" s="3">
        <f ca="1">IFERROR(__xludf.DUMMYFUNCTION("""COMPUTED_VALUE"""),5902557375042)</f>
        <v>5902557375042</v>
      </c>
      <c r="D692" s="4" t="str">
        <f ca="1">IFERROR(__xludf.DUMMYFUNCTION("""COMPUTED_VALUE"""),"DESKA WC - UF DUROPLAST FLAT WHITE")</f>
        <v>DESKA WC - UF DUROPLAST FLAT WHITE</v>
      </c>
      <c r="E692" s="31">
        <v>33.390243902439025</v>
      </c>
      <c r="F692" s="31">
        <f t="shared" si="10"/>
        <v>41.07</v>
      </c>
    </row>
    <row r="693" spans="1:6" ht="18.75" customHeight="1" x14ac:dyDescent="0.25">
      <c r="A693" s="2" t="str">
        <f ca="1">IFERROR(__xludf.DUMMYFUNCTION("""COMPUTED_VALUE"""),"REA-C6946")</f>
        <v>REA-C6946</v>
      </c>
      <c r="B693" s="3"/>
      <c r="C693" s="3"/>
      <c r="D693" s="4" t="str">
        <f ca="1">IFERROR(__xludf.DUMMYFUNCTION("""COMPUTED_VALUE"""),"DESKA WC - UF DUROPLAST RAUL WHITE")</f>
        <v>DESKA WC - UF DUROPLAST RAUL WHITE</v>
      </c>
      <c r="E693" s="31">
        <v>29.780487804878049</v>
      </c>
      <c r="F693" s="31">
        <f t="shared" si="10"/>
        <v>36.630000000000003</v>
      </c>
    </row>
    <row r="694" spans="1:6" ht="18.75" customHeight="1" x14ac:dyDescent="0.25">
      <c r="A694" s="2" t="str">
        <f ca="1">IFERROR(__xludf.DUMMYFUNCTION("""COMPUTED_VALUE"""),"REA-P0091")</f>
        <v>REA-P0091</v>
      </c>
      <c r="B694" s="3">
        <f ca="1">IFERROR(__xludf.DUMMYFUNCTION("""COMPUTED_VALUE"""),11149)</f>
        <v>11149</v>
      </c>
      <c r="C694" s="3">
        <f ca="1">IFERROR(__xludf.DUMMYFUNCTION("""COMPUTED_VALUE"""),5902557303007)</f>
        <v>5902557303007</v>
      </c>
      <c r="D694" s="4" t="str">
        <f ca="1">IFERROR(__xludf.DUMMYFUNCTION("""COMPUTED_VALUE"""),"DESZCZ. ULTRA SLIM 20 KWADRAT")</f>
        <v>DESZCZ. ULTRA SLIM 20 KWADRAT</v>
      </c>
      <c r="E694" s="31">
        <v>12.634146341463417</v>
      </c>
      <c r="F694" s="31">
        <f t="shared" si="10"/>
        <v>15.540000000000003</v>
      </c>
    </row>
    <row r="695" spans="1:6" ht="18.75" customHeight="1" x14ac:dyDescent="0.25">
      <c r="A695" s="2" t="str">
        <f ca="1">IFERROR(__xludf.DUMMYFUNCTION("""COMPUTED_VALUE"""),"REA-P0198")</f>
        <v>REA-P0198</v>
      </c>
      <c r="B695" s="3">
        <f ca="1">IFERROR(__xludf.DUMMYFUNCTION("""COMPUTED_VALUE"""),11151)</f>
        <v>11151</v>
      </c>
      <c r="C695" s="3">
        <f ca="1">IFERROR(__xludf.DUMMYFUNCTION("""COMPUTED_VALUE"""),5902557302994)</f>
        <v>5902557302994</v>
      </c>
      <c r="D695" s="4" t="str">
        <f ca="1">IFERROR(__xludf.DUMMYFUNCTION("""COMPUTED_VALUE"""),"DESZCZ. ULTRA SLIM 25 KWADRAT")</f>
        <v>DESZCZ. ULTRA SLIM 25 KWADRAT</v>
      </c>
      <c r="E695" s="31">
        <v>17.146341463414636</v>
      </c>
      <c r="F695" s="31">
        <f t="shared" si="10"/>
        <v>21.090000000000003</v>
      </c>
    </row>
    <row r="696" spans="1:6" ht="18.75" customHeight="1" x14ac:dyDescent="0.25">
      <c r="A696" s="2" t="str">
        <f ca="1">IFERROR(__xludf.DUMMYFUNCTION("""COMPUTED_VALUE"""),"REA-P0090")</f>
        <v>REA-P0090</v>
      </c>
      <c r="B696" s="3"/>
      <c r="C696" s="3">
        <f ca="1">IFERROR(__xludf.DUMMYFUNCTION("""COMPUTED_VALUE"""),5902557302987)</f>
        <v>5902557302987</v>
      </c>
      <c r="D696" s="4" t="str">
        <f ca="1">IFERROR(__xludf.DUMMYFUNCTION("""COMPUTED_VALUE"""),"DESZCZ. ULTRA SLIM 30 KWADRAT")</f>
        <v>DESZCZ. ULTRA SLIM 30 KWADRAT</v>
      </c>
      <c r="E696" s="31">
        <v>23.463414634146343</v>
      </c>
      <c r="F696" s="31">
        <f t="shared" si="10"/>
        <v>28.86</v>
      </c>
    </row>
    <row r="697" spans="1:6" ht="18.75" customHeight="1" x14ac:dyDescent="0.25">
      <c r="A697" s="2" t="str">
        <f ca="1">IFERROR(__xludf.DUMMYFUNCTION("""COMPUTED_VALUE"""),"REA-P0170")</f>
        <v>REA-P0170</v>
      </c>
      <c r="B697" s="3"/>
      <c r="C697" s="3">
        <f ca="1">IFERROR(__xludf.DUMMYFUNCTION("""COMPUTED_VALUE"""),5902557314720)</f>
        <v>5902557314720</v>
      </c>
      <c r="D697" s="4" t="str">
        <f ca="1">IFERROR(__xludf.DUMMYFUNCTION("""COMPUTED_VALUE"""),"DESZCZ. ULTRA SLIM 40 KWADRAT")</f>
        <v>DESZCZ. ULTRA SLIM 40 KWADRAT</v>
      </c>
      <c r="E697" s="31">
        <v>28.878048780487806</v>
      </c>
      <c r="F697" s="31">
        <f t="shared" si="10"/>
        <v>35.520000000000003</v>
      </c>
    </row>
    <row r="698" spans="1:6" ht="18.75" customHeight="1" x14ac:dyDescent="0.25">
      <c r="A698" s="2" t="str">
        <f ca="1">IFERROR(__xludf.DUMMYFUNCTION("""COMPUTED_VALUE"""),"REA-P0375")</f>
        <v>REA-P0375</v>
      </c>
      <c r="B698" s="3">
        <f ca="1">IFERROR(__xludf.DUMMYFUNCTION("""COMPUTED_VALUE"""),13586)</f>
        <v>13586</v>
      </c>
      <c r="C698" s="3">
        <f ca="1">IFERROR(__xludf.DUMMYFUNCTION("""COMPUTED_VALUE"""),5902557303014)</f>
        <v>5902557303014</v>
      </c>
      <c r="D698" s="4" t="str">
        <f ca="1">IFERROR(__xludf.DUMMYFUNCTION("""COMPUTED_VALUE"""),"DESZCZOWNICA MUSIC")</f>
        <v>DESZCZOWNICA MUSIC</v>
      </c>
      <c r="E698" s="31">
        <v>27.073170731707322</v>
      </c>
      <c r="F698" s="31">
        <f t="shared" si="10"/>
        <v>33.300000000000004</v>
      </c>
    </row>
    <row r="699" spans="1:6" ht="18.75" customHeight="1" x14ac:dyDescent="0.25">
      <c r="A699" s="2" t="str">
        <f ca="1">IFERROR(__xludf.DUMMYFUNCTION("""COMPUTED_VALUE"""),"REA-P0650")</f>
        <v>REA-P0650</v>
      </c>
      <c r="B699" s="3">
        <f ca="1">IFERROR(__xludf.DUMMYFUNCTION("""COMPUTED_VALUE"""),37983)</f>
        <v>37983</v>
      </c>
      <c r="C699" s="3">
        <f ca="1">IFERROR(__xludf.DUMMYFUNCTION("""COMPUTED_VALUE"""),5902557349685)</f>
        <v>5902557349685</v>
      </c>
      <c r="D699" s="4" t="str">
        <f ca="1">IFERROR(__xludf.DUMMYFUNCTION("""COMPUTED_VALUE"""),"DESZCZOWNICA ULTRA SLIM 30 KWADRAT BLACK")</f>
        <v>DESZCZOWNICA ULTRA SLIM 30 KWADRAT BLACK</v>
      </c>
      <c r="E699" s="31">
        <v>83.926829268292693</v>
      </c>
      <c r="F699" s="31">
        <f t="shared" si="10"/>
        <v>103.23</v>
      </c>
    </row>
    <row r="700" spans="1:6" ht="18.75" customHeight="1" x14ac:dyDescent="0.25">
      <c r="A700" s="2" t="str">
        <f ca="1">IFERROR(__xludf.DUMMYFUNCTION("""COMPUTED_VALUE"""),"REA-P0651")</f>
        <v>REA-P0651</v>
      </c>
      <c r="B700" s="3">
        <f ca="1">IFERROR(__xludf.DUMMYFUNCTION("""COMPUTED_VALUE"""),37984)</f>
        <v>37984</v>
      </c>
      <c r="C700" s="3">
        <f ca="1">IFERROR(__xludf.DUMMYFUNCTION("""COMPUTED_VALUE"""),5902557349678)</f>
        <v>5902557349678</v>
      </c>
      <c r="D700" s="4" t="str">
        <f ca="1">IFERROR(__xludf.DUMMYFUNCTION("""COMPUTED_VALUE"""),"DESZCZOWNICA ULTRA SLIM 30 KWADRAT L.GOLD")</f>
        <v>DESZCZOWNICA ULTRA SLIM 30 KWADRAT L.GOLD</v>
      </c>
      <c r="E700" s="31">
        <v>57.756097560975611</v>
      </c>
      <c r="F700" s="31">
        <f t="shared" si="10"/>
        <v>71.040000000000006</v>
      </c>
    </row>
    <row r="701" spans="1:6" ht="18.75" customHeight="1" x14ac:dyDescent="0.25">
      <c r="A701" s="2" t="str">
        <f ca="1">IFERROR(__xludf.DUMMYFUNCTION("""COMPUTED_VALUE"""),"BAT-00478")</f>
        <v>BAT-00478</v>
      </c>
      <c r="B701" s="3">
        <f ca="1">IFERROR(__xludf.DUMMYFUNCTION("""COMPUTED_VALUE"""),9206)</f>
        <v>9206</v>
      </c>
      <c r="C701" s="3">
        <f ca="1">IFERROR(__xludf.DUMMYFUNCTION("""COMPUTED_VALUE"""),5902557376476)</f>
        <v>5902557376476</v>
      </c>
      <c r="D701" s="4" t="str">
        <f ca="1">IFERROR(__xludf.DUMMYFUNCTION("""COMPUTED_VALUE"""),"DOZOWNIK DO MYDŁA CHROM 250 ML")</f>
        <v>DOZOWNIK DO MYDŁA CHROM 250 ML</v>
      </c>
      <c r="E701" s="31">
        <v>9.9268292682926838</v>
      </c>
      <c r="F701" s="31">
        <f t="shared" si="10"/>
        <v>12.21</v>
      </c>
    </row>
    <row r="702" spans="1:6" ht="18.75" customHeight="1" x14ac:dyDescent="0.25">
      <c r="A702" s="2" t="str">
        <f ca="1">IFERROR(__xludf.DUMMYFUNCTION("""COMPUTED_VALUE"""),"BAT-00100")</f>
        <v>BAT-00100</v>
      </c>
      <c r="B702" s="3"/>
      <c r="C702" s="3">
        <f ca="1">IFERROR(__xludf.DUMMYFUNCTION("""COMPUTED_VALUE"""),5902557319770)</f>
        <v>5902557319770</v>
      </c>
      <c r="D702" s="4" t="str">
        <f ca="1">IFERROR(__xludf.DUMMYFUNCTION("""COMPUTED_VALUE"""),"DOZOWNIK DO MYDŁA CZARNY 250 ML")</f>
        <v>DOZOWNIK DO MYDŁA CZARNY 250 ML</v>
      </c>
      <c r="E702" s="31">
        <v>9.9268292682926838</v>
      </c>
      <c r="F702" s="31">
        <f t="shared" si="10"/>
        <v>12.21</v>
      </c>
    </row>
    <row r="703" spans="1:6" ht="18.75" customHeight="1" x14ac:dyDescent="0.25">
      <c r="A703" s="2" t="str">
        <f ca="1">IFERROR(__xludf.DUMMYFUNCTION("""COMPUTED_VALUE"""),"BAT-00477")</f>
        <v>BAT-00477</v>
      </c>
      <c r="B703" s="3">
        <f ca="1">IFERROR(__xludf.DUMMYFUNCTION("""COMPUTED_VALUE"""),47615)</f>
        <v>47615</v>
      </c>
      <c r="C703" s="3">
        <f ca="1">IFERROR(__xludf.DUMMYFUNCTION("""COMPUTED_VALUE"""),5902557376469)</f>
        <v>5902557376469</v>
      </c>
      <c r="D703" s="4" t="str">
        <f ca="1">IFERROR(__xludf.DUMMYFUNCTION("""COMPUTED_VALUE"""),"DOZOWNIK DO MYDŁA NIKIEL SZCZOTKOWANY 250 ML")</f>
        <v>DOZOWNIK DO MYDŁA NIKIEL SZCZOTKOWANY 250 ML</v>
      </c>
      <c r="E703" s="31">
        <v>14.439024390243903</v>
      </c>
      <c r="F703" s="31">
        <f t="shared" si="10"/>
        <v>17.760000000000002</v>
      </c>
    </row>
    <row r="704" spans="1:6" ht="18.75" customHeight="1" x14ac:dyDescent="0.25">
      <c r="A704" s="2" t="str">
        <f ca="1">IFERROR(__xludf.DUMMYFUNCTION("""COMPUTED_VALUE"""),"BAT-08000")</f>
        <v>BAT-08000</v>
      </c>
      <c r="B704" s="3">
        <f ca="1">IFERROR(__xludf.DUMMYFUNCTION("""COMPUTED_VALUE"""),48730)</f>
        <v>48730</v>
      </c>
      <c r="C704" s="3">
        <f ca="1">IFERROR(__xludf.DUMMYFUNCTION("""COMPUTED_VALUE"""),5902557376490)</f>
        <v>5902557376490</v>
      </c>
      <c r="D704" s="4" t="str">
        <f ca="1">IFERROR(__xludf.DUMMYFUNCTION("""COMPUTED_VALUE"""),"DOZOWNIK DO MYDŁA ZŁOTY 250ML")</f>
        <v>DOZOWNIK DO MYDŁA ZŁOTY 250ML</v>
      </c>
      <c r="E704" s="31">
        <v>17.146341463414636</v>
      </c>
      <c r="F704" s="31">
        <f t="shared" si="10"/>
        <v>21.090000000000003</v>
      </c>
    </row>
    <row r="705" spans="1:6" ht="18.75" customHeight="1" x14ac:dyDescent="0.25">
      <c r="A705" s="2" t="str">
        <f ca="1">IFERROR(__xludf.DUMMYFUNCTION("""COMPUTED_VALUE"""),"BAT-08001")</f>
        <v>BAT-08001</v>
      </c>
      <c r="B705" s="3">
        <f ca="1">IFERROR(__xludf.DUMMYFUNCTION("""COMPUTED_VALUE"""),48728)</f>
        <v>48728</v>
      </c>
      <c r="C705" s="3">
        <f ca="1">IFERROR(__xludf.DUMMYFUNCTION("""COMPUTED_VALUE"""),5902557376506)</f>
        <v>5902557376506</v>
      </c>
      <c r="D705" s="4" t="str">
        <f ca="1">IFERROR(__xludf.DUMMYFUNCTION("""COMPUTED_VALUE"""),"DOZOWNIK DO MYDŁA ZŁOTY SZCZOTKOWANY 250ML")</f>
        <v>DOZOWNIK DO MYDŁA ZŁOTY SZCZOTKOWANY 250ML</v>
      </c>
      <c r="E705" s="31">
        <v>17.146341463414636</v>
      </c>
      <c r="F705" s="31">
        <f t="shared" si="10"/>
        <v>21.090000000000003</v>
      </c>
    </row>
    <row r="706" spans="1:6" ht="18.75" customHeight="1" x14ac:dyDescent="0.25">
      <c r="A706" s="2" t="str">
        <f ca="1">IFERROR(__xludf.DUMMYFUNCTION("""COMPUTED_VALUE"""),"REA-K9639")</f>
        <v>REA-K9639</v>
      </c>
      <c r="B706" s="3">
        <f ca="1">IFERROR(__xludf.DUMMYFUNCTION("""COMPUTED_VALUE"""),50656)</f>
        <v>50656</v>
      </c>
      <c r="C706" s="3">
        <f ca="1">IFERROR(__xludf.DUMMYFUNCTION("""COMPUTED_VALUE"""),5902557354580)</f>
        <v>5902557354580</v>
      </c>
      <c r="D706" s="4" t="str">
        <f ca="1">IFERROR(__xludf.DUMMYFUNCTION("""COMPUTED_VALUE"""),"DRZWI PRYSZNICOWE ALEX BLACK 100")</f>
        <v>DRZWI PRYSZNICOWE ALEX BLACK 100</v>
      </c>
      <c r="E706" s="31">
        <v>208.46341463414637</v>
      </c>
      <c r="F706" s="31">
        <f t="shared" si="10"/>
        <v>256.41000000000003</v>
      </c>
    </row>
    <row r="707" spans="1:6" ht="18.75" customHeight="1" x14ac:dyDescent="0.25">
      <c r="A707" s="2" t="str">
        <f ca="1">IFERROR(__xludf.DUMMYFUNCTION("""COMPUTED_VALUE"""),"REA-K9638")</f>
        <v>REA-K9638</v>
      </c>
      <c r="B707" s="3">
        <f ca="1">IFERROR(__xludf.DUMMYFUNCTION("""COMPUTED_VALUE"""),50655)</f>
        <v>50655</v>
      </c>
      <c r="C707" s="3">
        <f ca="1">IFERROR(__xludf.DUMMYFUNCTION("""COMPUTED_VALUE"""),5902557354573)</f>
        <v>5902557354573</v>
      </c>
      <c r="D707" s="4" t="str">
        <f ca="1">IFERROR(__xludf.DUMMYFUNCTION("""COMPUTED_VALUE"""),"DRZWI PRYSZNICOWE ALEX BLACK 90")</f>
        <v>DRZWI PRYSZNICOWE ALEX BLACK 90</v>
      </c>
      <c r="E707" s="31">
        <v>199.43902439024393</v>
      </c>
      <c r="F707" s="31">
        <f t="shared" ref="F707:F770" si="11">E707*1.23</f>
        <v>245.31000000000003</v>
      </c>
    </row>
    <row r="708" spans="1:6" ht="18.75" customHeight="1" x14ac:dyDescent="0.25">
      <c r="A708" s="2" t="str">
        <f ca="1">IFERROR(__xludf.DUMMYFUNCTION("""COMPUTED_VALUE"""),"REA-K2506")</f>
        <v>REA-K2506</v>
      </c>
      <c r="B708" s="3">
        <f ca="1">IFERROR(__xludf.DUMMYFUNCTION("""COMPUTED_VALUE"""),54046)</f>
        <v>54046</v>
      </c>
      <c r="C708" s="3">
        <f ca="1">IFERROR(__xludf.DUMMYFUNCTION("""COMPUTED_VALUE"""),5906366007514)</f>
        <v>5906366007514</v>
      </c>
      <c r="D708" s="4" t="str">
        <f ca="1">IFERROR(__xludf.DUMMYFUNCTION("""COMPUTED_VALUE"""),"DRZWI PRYSZNICOWE ALEX BRUSH GOLD 90")</f>
        <v>DRZWI PRYSZNICOWE ALEX BRUSH GOLD 90</v>
      </c>
      <c r="E708" s="31">
        <v>229.21951219512198</v>
      </c>
      <c r="F708" s="31">
        <f t="shared" si="11"/>
        <v>281.94000000000005</v>
      </c>
    </row>
    <row r="709" spans="1:6" ht="18.75" customHeight="1" x14ac:dyDescent="0.25">
      <c r="A709" s="2" t="str">
        <f ca="1">IFERROR(__xludf.DUMMYFUNCTION("""COMPUTED_VALUE"""),"REA-K0546")</f>
        <v>REA-K0546</v>
      </c>
      <c r="B709" s="3">
        <f ca="1">IFERROR(__xludf.DUMMYFUNCTION("""COMPUTED_VALUE"""),46147)</f>
        <v>46147</v>
      </c>
      <c r="C709" s="3">
        <f ca="1">IFERROR(__xludf.DUMMYFUNCTION("""COMPUTED_VALUE"""),5902557308224)</f>
        <v>5902557308224</v>
      </c>
      <c r="D709" s="4" t="str">
        <f ca="1">IFERROR(__xludf.DUMMYFUNCTION("""COMPUTED_VALUE"""),"DRZWI PRYSZNICOWE ALEX CHROM 100")</f>
        <v>DRZWI PRYSZNICOWE ALEX CHROM 100</v>
      </c>
      <c r="E709" s="31">
        <v>187.70731707317074</v>
      </c>
      <c r="F709" s="31">
        <f t="shared" si="11"/>
        <v>230.88</v>
      </c>
    </row>
    <row r="710" spans="1:6" ht="18.75" customHeight="1" x14ac:dyDescent="0.25">
      <c r="A710" s="2" t="str">
        <f ca="1">IFERROR(__xludf.DUMMYFUNCTION("""COMPUTED_VALUE"""),"REA-K0921")</f>
        <v>REA-K0921</v>
      </c>
      <c r="B710" s="3">
        <f ca="1">IFERROR(__xludf.DUMMYFUNCTION("""COMPUTED_VALUE"""),46148)</f>
        <v>46148</v>
      </c>
      <c r="C710" s="3">
        <f ca="1">IFERROR(__xludf.DUMMYFUNCTION("""COMPUTED_VALUE"""),5902557307500)</f>
        <v>5902557307500</v>
      </c>
      <c r="D710" s="4" t="str">
        <f ca="1">IFERROR(__xludf.DUMMYFUNCTION("""COMPUTED_VALUE"""),"DRZWI PRYSZNICOWE ALEX CHROM 120")</f>
        <v>DRZWI PRYSZNICOWE ALEX CHROM 120</v>
      </c>
      <c r="E710" s="31">
        <v>220.19512195121953</v>
      </c>
      <c r="F710" s="31">
        <f t="shared" si="11"/>
        <v>270.84000000000003</v>
      </c>
    </row>
    <row r="711" spans="1:6" ht="18.75" customHeight="1" x14ac:dyDescent="0.25">
      <c r="A711" s="2" t="str">
        <f ca="1">IFERROR(__xludf.DUMMYFUNCTION("""COMPUTED_VALUE"""),"REA-K0923")</f>
        <v>REA-K0923</v>
      </c>
      <c r="B711" s="3">
        <f ca="1">IFERROR(__xludf.DUMMYFUNCTION("""COMPUTED_VALUE"""),46149)</f>
        <v>46149</v>
      </c>
      <c r="C711" s="3">
        <f ca="1">IFERROR(__xludf.DUMMYFUNCTION("""COMPUTED_VALUE"""),5902557308064)</f>
        <v>5902557308064</v>
      </c>
      <c r="D711" s="4" t="str">
        <f ca="1">IFERROR(__xludf.DUMMYFUNCTION("""COMPUTED_VALUE"""),"DRZWI PRYSZNICOWE ALEX CHROM 130")</f>
        <v>DRZWI PRYSZNICOWE ALEX CHROM 130</v>
      </c>
      <c r="E711" s="31">
        <v>224.70731707317074</v>
      </c>
      <c r="F711" s="31">
        <f t="shared" si="11"/>
        <v>276.39</v>
      </c>
    </row>
    <row r="712" spans="1:6" ht="18.75" customHeight="1" x14ac:dyDescent="0.25">
      <c r="A712" s="2" t="str">
        <f ca="1">IFERROR(__xludf.DUMMYFUNCTION("""COMPUTED_VALUE"""),"REA-K0922")</f>
        <v>REA-K0922</v>
      </c>
      <c r="B712" s="3">
        <f ca="1">IFERROR(__xludf.DUMMYFUNCTION("""COMPUTED_VALUE"""),1904)</f>
        <v>1904</v>
      </c>
      <c r="C712" s="3">
        <f ca="1">IFERROR(__xludf.DUMMYFUNCTION("""COMPUTED_VALUE"""),5902557307470)</f>
        <v>5902557307470</v>
      </c>
      <c r="D712" s="4" t="str">
        <f ca="1">IFERROR(__xludf.DUMMYFUNCTION("""COMPUTED_VALUE"""),"DRZWI PRYSZNICOWE ALEX CHROM 140")</f>
        <v>DRZWI PRYSZNICOWE ALEX CHROM 140</v>
      </c>
      <c r="E712" s="31">
        <v>197.63414634146343</v>
      </c>
      <c r="F712" s="31">
        <f t="shared" si="11"/>
        <v>243.09000000000003</v>
      </c>
    </row>
    <row r="713" spans="1:6" ht="18.75" customHeight="1" x14ac:dyDescent="0.25">
      <c r="A713" s="2" t="str">
        <f ca="1">IFERROR(__xludf.DUMMYFUNCTION("""COMPUTED_VALUE"""),"REA-K0287")</f>
        <v>REA-K0287</v>
      </c>
      <c r="B713" s="3">
        <f ca="1">IFERROR(__xludf.DUMMYFUNCTION("""COMPUTED_VALUE"""),46141)</f>
        <v>46141</v>
      </c>
      <c r="C713" s="3">
        <f ca="1">IFERROR(__xludf.DUMMYFUNCTION("""COMPUTED_VALUE"""),5902557319350)</f>
        <v>5902557319350</v>
      </c>
      <c r="D713" s="4" t="str">
        <f ca="1">IFERROR(__xludf.DUMMYFUNCTION("""COMPUTED_VALUE"""),"DRZWI PRYSZNICOWE ALEX CHROM 80")</f>
        <v>DRZWI PRYSZNICOWE ALEX CHROM 80</v>
      </c>
      <c r="E713" s="31">
        <v>177.78048780487805</v>
      </c>
      <c r="F713" s="31">
        <f t="shared" si="11"/>
        <v>218.67</v>
      </c>
    </row>
    <row r="714" spans="1:6" ht="18.75" customHeight="1" x14ac:dyDescent="0.25">
      <c r="A714" s="2" t="str">
        <f ca="1">IFERROR(__xludf.DUMMYFUNCTION("""COMPUTED_VALUE"""),"REA-K0549")</f>
        <v>REA-K0549</v>
      </c>
      <c r="B714" s="3">
        <f ca="1">IFERROR(__xludf.DUMMYFUNCTION("""COMPUTED_VALUE"""),46142)</f>
        <v>46142</v>
      </c>
      <c r="C714" s="3">
        <f ca="1">IFERROR(__xludf.DUMMYFUNCTION("""COMPUTED_VALUE"""),5902557307432)</f>
        <v>5902557307432</v>
      </c>
      <c r="D714" s="4" t="str">
        <f ca="1">IFERROR(__xludf.DUMMYFUNCTION("""COMPUTED_VALUE"""),"DRZWI PRYSZNICOWE ALEX CHROM 90")</f>
        <v>DRZWI PRYSZNICOWE ALEX CHROM 90</v>
      </c>
      <c r="E714" s="31">
        <v>184.09756097560975</v>
      </c>
      <c r="F714" s="31">
        <f t="shared" si="11"/>
        <v>226.44</v>
      </c>
    </row>
    <row r="715" spans="1:6" ht="18.75" customHeight="1" x14ac:dyDescent="0.25">
      <c r="A715" s="2" t="str">
        <f ca="1">IFERROR(__xludf.DUMMYFUNCTION("""COMPUTED_VALUE"""),"REA-K2500")</f>
        <v>REA-K2500</v>
      </c>
      <c r="B715" s="3">
        <f ca="1">IFERROR(__xludf.DUMMYFUNCTION("""COMPUTED_VALUE"""),53358)</f>
        <v>53358</v>
      </c>
      <c r="C715" s="3">
        <f ca="1">IFERROR(__xludf.DUMMYFUNCTION("""COMPUTED_VALUE"""),5902557398850)</f>
        <v>5902557398850</v>
      </c>
      <c r="D715" s="4" t="str">
        <f ca="1">IFERROR(__xludf.DUMMYFUNCTION("""COMPUTED_VALUE"""),"DRZWI PRYSZNICOWE ALEX GOLD BRUSH 100")</f>
        <v>DRZWI PRYSZNICOWE ALEX GOLD BRUSH 100</v>
      </c>
      <c r="E715" s="31">
        <v>243.65853658536591</v>
      </c>
      <c r="F715" s="31">
        <f t="shared" si="11"/>
        <v>299.70000000000005</v>
      </c>
    </row>
    <row r="716" spans="1:6" ht="18.75" customHeight="1" x14ac:dyDescent="0.25">
      <c r="A716" s="2" t="str">
        <f ca="1">IFERROR(__xludf.DUMMYFUNCTION("""COMPUTED_VALUE"""),"REA-K2501")</f>
        <v>REA-K2501</v>
      </c>
      <c r="B716" s="3">
        <f ca="1">IFERROR(__xludf.DUMMYFUNCTION("""COMPUTED_VALUE"""),53367)</f>
        <v>53367</v>
      </c>
      <c r="C716" s="3">
        <f ca="1">IFERROR(__xludf.DUMMYFUNCTION("""COMPUTED_VALUE"""),5902557398843)</f>
        <v>5902557398843</v>
      </c>
      <c r="D716" s="4" t="str">
        <f ca="1">IFERROR(__xludf.DUMMYFUNCTION("""COMPUTED_VALUE"""),"DRZWI PRYSZNICOWE ALEX GOLD BRUSH 120")</f>
        <v>DRZWI PRYSZNICOWE ALEX GOLD BRUSH 120</v>
      </c>
      <c r="E716" s="31">
        <v>243.65853658536591</v>
      </c>
      <c r="F716" s="31">
        <f t="shared" si="11"/>
        <v>299.70000000000005</v>
      </c>
    </row>
    <row r="717" spans="1:6" ht="18.75" customHeight="1" x14ac:dyDescent="0.25">
      <c r="A717" s="2" t="str">
        <f ca="1">IFERROR(__xludf.DUMMYFUNCTION("""COMPUTED_VALUE"""),"REA-K6330")</f>
        <v>REA-K6330</v>
      </c>
      <c r="B717" s="3">
        <f ca="1">IFERROR(__xludf.DUMMYFUNCTION("""COMPUTED_VALUE"""),30762)</f>
        <v>30762</v>
      </c>
      <c r="C717" s="3">
        <f ca="1">IFERROR(__xludf.DUMMYFUNCTION("""COMPUTED_VALUE"""),5902557342181)</f>
        <v>5902557342181</v>
      </c>
      <c r="D717" s="4" t="str">
        <f ca="1">IFERROR(__xludf.DUMMYFUNCTION("""COMPUTED_VALUE"""),"DRZWI PRYSZNICOWE FARGO BLACK 100")</f>
        <v>DRZWI PRYSZNICOWE FARGO BLACK 100</v>
      </c>
      <c r="E717" s="31">
        <v>260.80487804878049</v>
      </c>
      <c r="F717" s="31">
        <f t="shared" si="11"/>
        <v>320.79000000000002</v>
      </c>
    </row>
    <row r="718" spans="1:6" ht="18.75" customHeight="1" x14ac:dyDescent="0.25">
      <c r="A718" s="2" t="str">
        <f ca="1">IFERROR(__xludf.DUMMYFUNCTION("""COMPUTED_VALUE"""),"REA-K6325")</f>
        <v>REA-K6325</v>
      </c>
      <c r="B718" s="3">
        <f ca="1">IFERROR(__xludf.DUMMYFUNCTION("""COMPUTED_VALUE"""),30764)</f>
        <v>30764</v>
      </c>
      <c r="C718" s="3">
        <f ca="1">IFERROR(__xludf.DUMMYFUNCTION("""COMPUTED_VALUE"""),5902557342198)</f>
        <v>5902557342198</v>
      </c>
      <c r="D718" s="4" t="str">
        <f ca="1">IFERROR(__xludf.DUMMYFUNCTION("""COMPUTED_VALUE"""),"DRZWI PRYSZNICOWE FARGO BLACK 110")</f>
        <v>DRZWI PRYSZNICOWE FARGO BLACK 110</v>
      </c>
      <c r="E718" s="31">
        <v>249.97560975609761</v>
      </c>
      <c r="F718" s="31">
        <f t="shared" si="11"/>
        <v>307.47000000000008</v>
      </c>
    </row>
    <row r="719" spans="1:6" ht="18.75" customHeight="1" x14ac:dyDescent="0.25">
      <c r="A719" s="2" t="str">
        <f ca="1">IFERROR(__xludf.DUMMYFUNCTION("""COMPUTED_VALUE"""),"REA-K6328")</f>
        <v>REA-K6328</v>
      </c>
      <c r="B719" s="3">
        <f ca="1">IFERROR(__xludf.DUMMYFUNCTION("""COMPUTED_VALUE"""),30763)</f>
        <v>30763</v>
      </c>
      <c r="C719" s="3">
        <f ca="1">IFERROR(__xludf.DUMMYFUNCTION("""COMPUTED_VALUE"""),5902557342204)</f>
        <v>5902557342204</v>
      </c>
      <c r="D719" s="4" t="str">
        <f ca="1">IFERROR(__xludf.DUMMYFUNCTION("""COMPUTED_VALUE"""),"DRZWI PRYSZNICOWE FARGO BLACK 120")</f>
        <v>DRZWI PRYSZNICOWE FARGO BLACK 120</v>
      </c>
      <c r="E719" s="31">
        <v>278.85365853658539</v>
      </c>
      <c r="F719" s="31">
        <f t="shared" si="11"/>
        <v>342.99</v>
      </c>
    </row>
    <row r="720" spans="1:6" ht="18.75" customHeight="1" x14ac:dyDescent="0.25">
      <c r="A720" s="2" t="str">
        <f ca="1">IFERROR(__xludf.DUMMYFUNCTION("""COMPUTED_VALUE"""),"REA-K6008")</f>
        <v>REA-K6008</v>
      </c>
      <c r="B720" s="3">
        <f ca="1">IFERROR(__xludf.DUMMYFUNCTION("""COMPUTED_VALUE"""),49823)</f>
        <v>49823</v>
      </c>
      <c r="C720" s="3">
        <f ca="1">IFERROR(__xludf.DUMMYFUNCTION("""COMPUTED_VALUE"""),5902557376612)</f>
        <v>5902557376612</v>
      </c>
      <c r="D720" s="4" t="str">
        <f ca="1">IFERROR(__xludf.DUMMYFUNCTION("""COMPUTED_VALUE"""),"DRZWI PRYSZNICOWE HUGO BLACK 100")</f>
        <v>DRZWI PRYSZNICOWE HUGO BLACK 100</v>
      </c>
      <c r="E720" s="31">
        <v>227.41463414634148</v>
      </c>
      <c r="F720" s="31">
        <f t="shared" si="11"/>
        <v>279.72000000000003</v>
      </c>
    </row>
    <row r="721" spans="1:6" ht="18.75" customHeight="1" x14ac:dyDescent="0.25">
      <c r="A721" s="2" t="str">
        <f ca="1">IFERROR(__xludf.DUMMYFUNCTION("""COMPUTED_VALUE"""),"REA-K6603")</f>
        <v>REA-K6603</v>
      </c>
      <c r="B721" s="3">
        <f ca="1">IFERROR(__xludf.DUMMYFUNCTION("""COMPUTED_VALUE"""),49821)</f>
        <v>49821</v>
      </c>
      <c r="C721" s="3">
        <f ca="1">IFERROR(__xludf.DUMMYFUNCTION("""COMPUTED_VALUE"""),5902557376599)</f>
        <v>5902557376599</v>
      </c>
      <c r="D721" s="4" t="str">
        <f ca="1">IFERROR(__xludf.DUMMYFUNCTION("""COMPUTED_VALUE"""),"DRZWI PRYSZNICOWE HUGO BLACK 80")</f>
        <v>DRZWI PRYSZNICOWE HUGO BLACK 80</v>
      </c>
      <c r="E721" s="31">
        <v>227.41463414634148</v>
      </c>
      <c r="F721" s="31">
        <f t="shared" si="11"/>
        <v>279.72000000000003</v>
      </c>
    </row>
    <row r="722" spans="1:6" ht="18.75" customHeight="1" x14ac:dyDescent="0.25">
      <c r="A722" s="2" t="str">
        <f ca="1">IFERROR(__xludf.DUMMYFUNCTION("""COMPUTED_VALUE"""),"REA-K6604")</f>
        <v>REA-K6604</v>
      </c>
      <c r="B722" s="3">
        <f ca="1">IFERROR(__xludf.DUMMYFUNCTION("""COMPUTED_VALUE"""),49822)</f>
        <v>49822</v>
      </c>
      <c r="C722" s="3">
        <f ca="1">IFERROR(__xludf.DUMMYFUNCTION("""COMPUTED_VALUE"""),5902557376605)</f>
        <v>5902557376605</v>
      </c>
      <c r="D722" s="4" t="str">
        <f ca="1">IFERROR(__xludf.DUMMYFUNCTION("""COMPUTED_VALUE"""),"DRZWI PRYSZNICOWE HUGO BLACK 90")</f>
        <v>DRZWI PRYSZNICOWE HUGO BLACK 90</v>
      </c>
      <c r="E722" s="31">
        <v>233.73170731707319</v>
      </c>
      <c r="F722" s="31">
        <f t="shared" si="11"/>
        <v>287.49</v>
      </c>
    </row>
    <row r="723" spans="1:6" ht="18.75" customHeight="1" x14ac:dyDescent="0.25">
      <c r="A723" s="2" t="str">
        <f ca="1">IFERROR(__xludf.DUMMYFUNCTION("""COMPUTED_VALUE"""),"REA-K8413")</f>
        <v>REA-K8413</v>
      </c>
      <c r="B723" s="3">
        <f ca="1">IFERROR(__xludf.DUMMYFUNCTION("""COMPUTED_VALUE"""),49833)</f>
        <v>49833</v>
      </c>
      <c r="C723" s="3">
        <f ca="1">IFERROR(__xludf.DUMMYFUNCTION("""COMPUTED_VALUE"""),5902557376711)</f>
        <v>5902557376711</v>
      </c>
      <c r="D723" s="4" t="str">
        <f ca="1">IFERROR(__xludf.DUMMYFUNCTION("""COMPUTED_VALUE"""),"DRZWI PRYSZNICOWE HUGO GOLD BRUSH 100")</f>
        <v>DRZWI PRYSZNICOWE HUGO GOLD BRUSH 100</v>
      </c>
      <c r="E723" s="31">
        <v>262.60975609756099</v>
      </c>
      <c r="F723" s="31">
        <f t="shared" si="11"/>
        <v>323.01</v>
      </c>
    </row>
    <row r="724" spans="1:6" ht="18.75" customHeight="1" x14ac:dyDescent="0.25">
      <c r="A724" s="2" t="str">
        <f ca="1">IFERROR(__xludf.DUMMYFUNCTION("""COMPUTED_VALUE"""),"REA-K8410")</f>
        <v>REA-K8410</v>
      </c>
      <c r="B724" s="3">
        <f ca="1">IFERROR(__xludf.DUMMYFUNCTION("""COMPUTED_VALUE"""),49831)</f>
        <v>49831</v>
      </c>
      <c r="C724" s="3">
        <f ca="1">IFERROR(__xludf.DUMMYFUNCTION("""COMPUTED_VALUE"""),5902557376698)</f>
        <v>5902557376698</v>
      </c>
      <c r="D724" s="4" t="str">
        <f ca="1">IFERROR(__xludf.DUMMYFUNCTION("""COMPUTED_VALUE"""),"DRZWI PRYSZNICOWE HUGO GOLD BRUSH 80")</f>
        <v>DRZWI PRYSZNICOWE HUGO GOLD BRUSH 80</v>
      </c>
      <c r="E724" s="31">
        <v>254.48780487804882</v>
      </c>
      <c r="F724" s="31">
        <f t="shared" si="11"/>
        <v>313.02000000000004</v>
      </c>
    </row>
    <row r="725" spans="1:6" ht="18.75" customHeight="1" x14ac:dyDescent="0.25">
      <c r="A725" s="2" t="str">
        <f ca="1">IFERROR(__xludf.DUMMYFUNCTION("""COMPUTED_VALUE"""),"REA-K8411")</f>
        <v>REA-K8411</v>
      </c>
      <c r="B725" s="3">
        <f ca="1">IFERROR(__xludf.DUMMYFUNCTION("""COMPUTED_VALUE"""),49832)</f>
        <v>49832</v>
      </c>
      <c r="C725" s="3">
        <f ca="1">IFERROR(__xludf.DUMMYFUNCTION("""COMPUTED_VALUE"""),5902557376704)</f>
        <v>5902557376704</v>
      </c>
      <c r="D725" s="4" t="str">
        <f ca="1">IFERROR(__xludf.DUMMYFUNCTION("""COMPUTED_VALUE"""),"DRZWI PRYSZNICOWE HUGO GOLD BRUSH 90")</f>
        <v>DRZWI PRYSZNICOWE HUGO GOLD BRUSH 90</v>
      </c>
      <c r="E725" s="31">
        <v>263.51219512195127</v>
      </c>
      <c r="F725" s="31">
        <f t="shared" si="11"/>
        <v>324.12000000000006</v>
      </c>
    </row>
    <row r="726" spans="1:6" ht="18.75" customHeight="1" x14ac:dyDescent="0.25">
      <c r="A726" s="2" t="str">
        <f ca="1">IFERROR(__xludf.DUMMYFUNCTION("""COMPUTED_VALUE"""),"REA-K6963")</f>
        <v>REA-K6963</v>
      </c>
      <c r="B726" s="3">
        <f ca="1">IFERROR(__xludf.DUMMYFUNCTION("""COMPUTED_VALUE"""),49732)</f>
        <v>49732</v>
      </c>
      <c r="C726" s="3">
        <f ca="1">IFERROR(__xludf.DUMMYFUNCTION("""COMPUTED_VALUE"""),5902557357369)</f>
        <v>5902557357369</v>
      </c>
      <c r="D726" s="4" t="str">
        <f ca="1">IFERROR(__xludf.DUMMYFUNCTION("""COMPUTED_VALUE"""),"DRZWI PRYSZNICOWE MOLIER BLACK 100")</f>
        <v>DRZWI PRYSZNICOWE MOLIER BLACK 100</v>
      </c>
      <c r="E726" s="31">
        <v>203.95121951219514</v>
      </c>
      <c r="F726" s="31">
        <f t="shared" si="11"/>
        <v>250.86</v>
      </c>
    </row>
    <row r="727" spans="1:6" ht="18.75" customHeight="1" x14ac:dyDescent="0.25">
      <c r="A727" s="2" t="str">
        <f ca="1">IFERROR(__xludf.DUMMYFUNCTION("""COMPUTED_VALUE"""),"REA-K5660")</f>
        <v>REA-K5660</v>
      </c>
      <c r="B727" s="3">
        <f ca="1">IFERROR(__xludf.DUMMYFUNCTION("""COMPUTED_VALUE"""),49733)</f>
        <v>49733</v>
      </c>
      <c r="C727" s="3">
        <f ca="1">IFERROR(__xludf.DUMMYFUNCTION("""COMPUTED_VALUE"""),5902557386406)</f>
        <v>5902557386406</v>
      </c>
      <c r="D727" s="4" t="str">
        <f ca="1">IFERROR(__xludf.DUMMYFUNCTION("""COMPUTED_VALUE"""),"DRZWI PRYSZNICOWE MOLIER BLACK 110")</f>
        <v>DRZWI PRYSZNICOWE MOLIER BLACK 110</v>
      </c>
      <c r="E727" s="31">
        <v>208.46341463414637</v>
      </c>
      <c r="F727" s="31">
        <f t="shared" si="11"/>
        <v>256.41000000000003</v>
      </c>
    </row>
    <row r="728" spans="1:6" ht="18.75" customHeight="1" x14ac:dyDescent="0.25">
      <c r="A728" s="2" t="str">
        <f ca="1">IFERROR(__xludf.DUMMYFUNCTION("""COMPUTED_VALUE"""),"REA-K8537")</f>
        <v>REA-K8537</v>
      </c>
      <c r="B728" s="3">
        <f ca="1">IFERROR(__xludf.DUMMYFUNCTION("""COMPUTED_VALUE"""),49730)</f>
        <v>49730</v>
      </c>
      <c r="C728" s="3">
        <f ca="1">IFERROR(__xludf.DUMMYFUNCTION("""COMPUTED_VALUE"""),5902557357345)</f>
        <v>5902557357345</v>
      </c>
      <c r="D728" s="4" t="str">
        <f ca="1">IFERROR(__xludf.DUMMYFUNCTION("""COMPUTED_VALUE"""),"DRZWI PRYSZNICOWE MOLIER BLACK 80")</f>
        <v>DRZWI PRYSZNICOWE MOLIER BLACK 80</v>
      </c>
      <c r="E728" s="31">
        <v>185.90243902439025</v>
      </c>
      <c r="F728" s="31">
        <f t="shared" si="11"/>
        <v>228.66</v>
      </c>
    </row>
    <row r="729" spans="1:6" ht="18.75" customHeight="1" x14ac:dyDescent="0.25">
      <c r="A729" s="2" t="str">
        <f ca="1">IFERROR(__xludf.DUMMYFUNCTION("""COMPUTED_VALUE"""),"REA-K8538")</f>
        <v>REA-K8538</v>
      </c>
      <c r="B729" s="3">
        <f ca="1">IFERROR(__xludf.DUMMYFUNCTION("""COMPUTED_VALUE"""),49731)</f>
        <v>49731</v>
      </c>
      <c r="C729" s="3">
        <f ca="1">IFERROR(__xludf.DUMMYFUNCTION("""COMPUTED_VALUE"""),5902557357352)</f>
        <v>5902557357352</v>
      </c>
      <c r="D729" s="4" t="str">
        <f ca="1">IFERROR(__xludf.DUMMYFUNCTION("""COMPUTED_VALUE"""),"DRZWI PRYSZNICOWE MOLIER BLACK 90")</f>
        <v>DRZWI PRYSZNICOWE MOLIER BLACK 90</v>
      </c>
      <c r="E729" s="31">
        <v>197.63414634146343</v>
      </c>
      <c r="F729" s="31">
        <f t="shared" si="11"/>
        <v>243.09000000000003</v>
      </c>
    </row>
    <row r="730" spans="1:6" ht="18.75" customHeight="1" x14ac:dyDescent="0.25">
      <c r="A730" s="2" t="str">
        <f ca="1">IFERROR(__xludf.DUMMYFUNCTION("""COMPUTED_VALUE"""),"REA-K6371")</f>
        <v>REA-K6371</v>
      </c>
      <c r="B730" s="3">
        <f ca="1">IFERROR(__xludf.DUMMYFUNCTION("""COMPUTED_VALUE"""),50268)</f>
        <v>50268</v>
      </c>
      <c r="C730" s="3">
        <f ca="1">IFERROR(__xludf.DUMMYFUNCTION("""COMPUTED_VALUE"""),5902557357338)</f>
        <v>5902557357338</v>
      </c>
      <c r="D730" s="4" t="str">
        <f ca="1">IFERROR(__xludf.DUMMYFUNCTION("""COMPUTED_VALUE"""),"DRZWI PRYSZNICOWE MOLIER CHROM 100")</f>
        <v>DRZWI PRYSZNICOWE MOLIER CHROM 100</v>
      </c>
      <c r="E730" s="31">
        <v>191.31707317073173</v>
      </c>
      <c r="F730" s="31">
        <f t="shared" si="11"/>
        <v>235.32000000000002</v>
      </c>
    </row>
    <row r="731" spans="1:6" ht="18.75" customHeight="1" x14ac:dyDescent="0.25">
      <c r="A731" s="2" t="str">
        <f ca="1">IFERROR(__xludf.DUMMYFUNCTION("""COMPUTED_VALUE"""),"REA-K6367")</f>
        <v>REA-K6367</v>
      </c>
      <c r="B731" s="3">
        <f ca="1">IFERROR(__xludf.DUMMYFUNCTION("""COMPUTED_VALUE"""),50266)</f>
        <v>50266</v>
      </c>
      <c r="C731" s="3">
        <f ca="1">IFERROR(__xludf.DUMMYFUNCTION("""COMPUTED_VALUE"""),5902557357314)</f>
        <v>5902557357314</v>
      </c>
      <c r="D731" s="4" t="str">
        <f ca="1">IFERROR(__xludf.DUMMYFUNCTION("""COMPUTED_VALUE"""),"DRZWI PRYSZNICOWE MOLIER CHROM 80")</f>
        <v>DRZWI PRYSZNICOWE MOLIER CHROM 80</v>
      </c>
      <c r="E731" s="31">
        <v>168.75609756097563</v>
      </c>
      <c r="F731" s="31">
        <f t="shared" si="11"/>
        <v>207.57000000000002</v>
      </c>
    </row>
    <row r="732" spans="1:6" ht="18.75" customHeight="1" x14ac:dyDescent="0.25">
      <c r="A732" s="2" t="str">
        <f ca="1">IFERROR(__xludf.DUMMYFUNCTION("""COMPUTED_VALUE"""),"REA-K8539")</f>
        <v>REA-K8539</v>
      </c>
      <c r="B732" s="3">
        <f ca="1">IFERROR(__xludf.DUMMYFUNCTION("""COMPUTED_VALUE"""),50267)</f>
        <v>50267</v>
      </c>
      <c r="C732" s="3">
        <f ca="1">IFERROR(__xludf.DUMMYFUNCTION("""COMPUTED_VALUE"""),5902557357321)</f>
        <v>5902557357321</v>
      </c>
      <c r="D732" s="4" t="str">
        <f ca="1">IFERROR(__xludf.DUMMYFUNCTION("""COMPUTED_VALUE"""),"DRZWI PRYSZNICOWE MOLIER CHROM 90")</f>
        <v>DRZWI PRYSZNICOWE MOLIER CHROM 90</v>
      </c>
      <c r="E732" s="31">
        <v>182.29268292682929</v>
      </c>
      <c r="F732" s="31">
        <f t="shared" si="11"/>
        <v>224.22000000000003</v>
      </c>
    </row>
    <row r="733" spans="1:6" ht="18.75" customHeight="1" x14ac:dyDescent="0.25">
      <c r="A733" s="2" t="str">
        <f ca="1">IFERROR(__xludf.DUMMYFUNCTION("""COMPUTED_VALUE"""),"REA-K2507")</f>
        <v>REA-K2507</v>
      </c>
      <c r="B733" s="3">
        <f ca="1">IFERROR(__xludf.DUMMYFUNCTION("""COMPUTED_VALUE"""),54191)</f>
        <v>54191</v>
      </c>
      <c r="C733" s="3">
        <f ca="1">IFERROR(__xludf.DUMMYFUNCTION("""COMPUTED_VALUE"""),5906366006524)</f>
        <v>5906366006524</v>
      </c>
      <c r="D733" s="4" t="str">
        <f ca="1">IFERROR(__xludf.DUMMYFUNCTION("""COMPUTED_VALUE"""),"DRZWI PRYSZNICOWE MONTANA BRUSH GOLD 100")</f>
        <v>DRZWI PRYSZNICOWE MONTANA BRUSH GOLD 100</v>
      </c>
      <c r="E733" s="31">
        <v>233.73170731707319</v>
      </c>
      <c r="F733" s="31">
        <f t="shared" si="11"/>
        <v>287.49</v>
      </c>
    </row>
    <row r="734" spans="1:6" ht="18.75" customHeight="1" x14ac:dyDescent="0.25">
      <c r="A734" s="2" t="str">
        <f ca="1">IFERROR(__xludf.DUMMYFUNCTION("""COMPUTED_VALUE"""),"REA-K2505")</f>
        <v>REA-K2505</v>
      </c>
      <c r="B734" s="3">
        <f ca="1">IFERROR(__xludf.DUMMYFUNCTION("""COMPUTED_VALUE"""),54192)</f>
        <v>54192</v>
      </c>
      <c r="C734" s="3">
        <f ca="1">IFERROR(__xludf.DUMMYFUNCTION("""COMPUTED_VALUE"""),5906366006531)</f>
        <v>5906366006531</v>
      </c>
      <c r="D734" s="4" t="str">
        <f ca="1">IFERROR(__xludf.DUMMYFUNCTION("""COMPUTED_VALUE"""),"DRZWI PRYSZNICOWE MONTANA BRUSH GOLD 110")</f>
        <v>DRZWI PRYSZNICOWE MONTANA BRUSH GOLD 110</v>
      </c>
      <c r="E734" s="31">
        <v>237.34146341463415</v>
      </c>
      <c r="F734" s="31">
        <f t="shared" si="11"/>
        <v>291.93</v>
      </c>
    </row>
    <row r="735" spans="1:6" ht="18.75" customHeight="1" x14ac:dyDescent="0.25">
      <c r="A735" s="2" t="str">
        <f ca="1">IFERROR(__xludf.DUMMYFUNCTION("""COMPUTED_VALUE"""),"REA-K2508")</f>
        <v>REA-K2508</v>
      </c>
      <c r="B735" s="3">
        <f ca="1">IFERROR(__xludf.DUMMYFUNCTION("""COMPUTED_VALUE"""),54193)</f>
        <v>54193</v>
      </c>
      <c r="C735" s="3">
        <f ca="1">IFERROR(__xludf.DUMMYFUNCTION("""COMPUTED_VALUE"""),5906366006548)</f>
        <v>5906366006548</v>
      </c>
      <c r="D735" s="4" t="str">
        <f ca="1">IFERROR(__xludf.DUMMYFUNCTION("""COMPUTED_VALUE"""),"DRZWI PRYSZNICOWE MONTANA BRUSH GOLD 120")</f>
        <v>DRZWI PRYSZNICOWE MONTANA BRUSH GOLD 120</v>
      </c>
      <c r="E735" s="31">
        <v>252.68292682926833</v>
      </c>
      <c r="F735" s="31">
        <f t="shared" si="11"/>
        <v>310.8</v>
      </c>
    </row>
    <row r="736" spans="1:6" ht="18.75" customHeight="1" x14ac:dyDescent="0.25">
      <c r="A736" s="2" t="str">
        <f ca="1">IFERROR(__xludf.DUMMYFUNCTION("""COMPUTED_VALUE"""),"REA-K2504")</f>
        <v>REA-K2504</v>
      </c>
      <c r="B736" s="3">
        <f ca="1">IFERROR(__xludf.DUMMYFUNCTION("""COMPUTED_VALUE"""),54194)</f>
        <v>54194</v>
      </c>
      <c r="C736" s="3">
        <f ca="1">IFERROR(__xludf.DUMMYFUNCTION("""COMPUTED_VALUE"""),5906366006555)</f>
        <v>5906366006555</v>
      </c>
      <c r="D736" s="4" t="str">
        <f ca="1">IFERROR(__xludf.DUMMYFUNCTION("""COMPUTED_VALUE"""),"DRZWI PRYSZNICOWE MONTANA BRUSH GOLD 130")</f>
        <v>DRZWI PRYSZNICOWE MONTANA BRUSH GOLD 130</v>
      </c>
      <c r="E736" s="31">
        <v>255.39024390243907</v>
      </c>
      <c r="F736" s="31">
        <f t="shared" si="11"/>
        <v>314.13000000000005</v>
      </c>
    </row>
    <row r="737" spans="1:6" ht="18.75" customHeight="1" x14ac:dyDescent="0.25">
      <c r="A737" s="2" t="str">
        <f ca="1">IFERROR(__xludf.DUMMYFUNCTION("""COMPUTED_VALUE"""),"REA-K2499")</f>
        <v>REA-K2499</v>
      </c>
      <c r="B737" s="3">
        <f ca="1">IFERROR(__xludf.DUMMYFUNCTION("""COMPUTED_VALUE"""),54195)</f>
        <v>54195</v>
      </c>
      <c r="C737" s="3">
        <f ca="1">IFERROR(__xludf.DUMMYFUNCTION("""COMPUTED_VALUE"""),5906366006562)</f>
        <v>5906366006562</v>
      </c>
      <c r="D737" s="4" t="str">
        <f ca="1">IFERROR(__xludf.DUMMYFUNCTION("""COMPUTED_VALUE"""),"DRZWI PRYSZNICOWE MONTANA BRUSH GOLD 140")</f>
        <v>DRZWI PRYSZNICOWE MONTANA BRUSH GOLD 140</v>
      </c>
      <c r="E737" s="31">
        <v>263.51219512195127</v>
      </c>
      <c r="F737" s="31">
        <f t="shared" si="11"/>
        <v>324.12000000000006</v>
      </c>
    </row>
    <row r="738" spans="1:6" ht="18.75" customHeight="1" x14ac:dyDescent="0.25">
      <c r="A738" s="2" t="str">
        <f ca="1">IFERROR(__xludf.DUMMYFUNCTION("""COMPUTED_VALUE"""),"REA-K5000")</f>
        <v>REA-K5000</v>
      </c>
      <c r="B738" s="3">
        <f ca="1">IFERROR(__xludf.DUMMYFUNCTION("""COMPUTED_VALUE"""),11111)</f>
        <v>11111</v>
      </c>
      <c r="C738" s="3">
        <f ca="1">IFERROR(__xludf.DUMMYFUNCTION("""COMPUTED_VALUE"""),5902557308200)</f>
        <v>5902557308200</v>
      </c>
      <c r="D738" s="4" t="str">
        <f ca="1">IFERROR(__xludf.DUMMYFUNCTION("""COMPUTED_VALUE"""),"DRZWI PRYSZNICOWE NIXON-2  110 L")</f>
        <v>DRZWI PRYSZNICOWE NIXON-2  110 L</v>
      </c>
      <c r="E738" s="31">
        <v>220.19512195121953</v>
      </c>
      <c r="F738" s="31">
        <f t="shared" si="11"/>
        <v>270.84000000000003</v>
      </c>
    </row>
    <row r="739" spans="1:6" ht="18.75" customHeight="1" x14ac:dyDescent="0.25">
      <c r="A739" s="2" t="str">
        <f ca="1">IFERROR(__xludf.DUMMYFUNCTION("""COMPUTED_VALUE"""),"REA-K5001")</f>
        <v>REA-K5001</v>
      </c>
      <c r="B739" s="3">
        <f ca="1">IFERROR(__xludf.DUMMYFUNCTION("""COMPUTED_VALUE"""),11112)</f>
        <v>11112</v>
      </c>
      <c r="C739" s="3">
        <f ca="1">IFERROR(__xludf.DUMMYFUNCTION("""COMPUTED_VALUE"""),5902557308347)</f>
        <v>5902557308347</v>
      </c>
      <c r="D739" s="4" t="str">
        <f ca="1">IFERROR(__xludf.DUMMYFUNCTION("""COMPUTED_VALUE"""),"DRZWI PRYSZNICOWE NIXON-2  110 P")</f>
        <v>DRZWI PRYSZNICOWE NIXON-2  110 P</v>
      </c>
      <c r="E739" s="31">
        <v>220.19512195121953</v>
      </c>
      <c r="F739" s="31">
        <f t="shared" si="11"/>
        <v>270.84000000000003</v>
      </c>
    </row>
    <row r="740" spans="1:6" ht="18.75" customHeight="1" x14ac:dyDescent="0.25">
      <c r="A740" s="2" t="str">
        <f ca="1">IFERROR(__xludf.DUMMYFUNCTION("""COMPUTED_VALUE"""),"REA-K5012")</f>
        <v>REA-K5012</v>
      </c>
      <c r="B740" s="3">
        <f ca="1">IFERROR(__xludf.DUMMYFUNCTION("""COMPUTED_VALUE"""),13270)</f>
        <v>13270</v>
      </c>
      <c r="C740" s="3">
        <f ca="1">IFERROR(__xludf.DUMMYFUNCTION("""COMPUTED_VALUE"""),5902557329304)</f>
        <v>5902557329304</v>
      </c>
      <c r="D740" s="4" t="str">
        <f ca="1">IFERROR(__xludf.DUMMYFUNCTION("""COMPUTED_VALUE"""),"DRZWI PRYSZNICOWE NIXON-2 CHROM 100 L")</f>
        <v>DRZWI PRYSZNICOWE NIXON-2 CHROM 100 L</v>
      </c>
      <c r="E740" s="31">
        <v>283.36585365853659</v>
      </c>
      <c r="F740" s="31">
        <f t="shared" si="11"/>
        <v>348.54</v>
      </c>
    </row>
    <row r="741" spans="1:6" ht="18.75" customHeight="1" x14ac:dyDescent="0.25">
      <c r="A741" s="2" t="str">
        <f ca="1">IFERROR(__xludf.DUMMYFUNCTION("""COMPUTED_VALUE"""),"REA-K7440")</f>
        <v>REA-K7440</v>
      </c>
      <c r="B741" s="3">
        <f ca="1">IFERROR(__xludf.DUMMYFUNCTION("""COMPUTED_VALUE"""),13271)</f>
        <v>13271</v>
      </c>
      <c r="C741" s="3">
        <f ca="1">IFERROR(__xludf.DUMMYFUNCTION("""COMPUTED_VALUE"""),5902557329298)</f>
        <v>5902557329298</v>
      </c>
      <c r="D741" s="4" t="str">
        <f ca="1">IFERROR(__xludf.DUMMYFUNCTION("""COMPUTED_VALUE"""),"DRZWI PRYSZNICOWE NIXON-2 CHROM 100 P")</f>
        <v>DRZWI PRYSZNICOWE NIXON-2 CHROM 100 P</v>
      </c>
      <c r="E741" s="31">
        <v>283.36585365853659</v>
      </c>
      <c r="F741" s="31">
        <f t="shared" si="11"/>
        <v>348.54</v>
      </c>
    </row>
    <row r="742" spans="1:6" ht="18.75" customHeight="1" x14ac:dyDescent="0.25">
      <c r="A742" s="2" t="str">
        <f ca="1">IFERROR(__xludf.DUMMYFUNCTION("""COMPUTED_VALUE"""),"REA-K5002")</f>
        <v>REA-K5002</v>
      </c>
      <c r="B742" s="3">
        <f ca="1">IFERROR(__xludf.DUMMYFUNCTION("""COMPUTED_VALUE"""),11114)</f>
        <v>11114</v>
      </c>
      <c r="C742" s="3">
        <f ca="1">IFERROR(__xludf.DUMMYFUNCTION("""COMPUTED_VALUE"""),5902557308187)</f>
        <v>5902557308187</v>
      </c>
      <c r="D742" s="4" t="str">
        <f ca="1">IFERROR(__xludf.DUMMYFUNCTION("""COMPUTED_VALUE"""),"DRZWI PRYSZNICOWE NIXON-2 CHROM 120 L")</f>
        <v>DRZWI PRYSZNICOWE NIXON-2 CHROM 120 L</v>
      </c>
      <c r="E742" s="31">
        <v>259.00000000000006</v>
      </c>
      <c r="F742" s="31">
        <f t="shared" si="11"/>
        <v>318.57000000000005</v>
      </c>
    </row>
    <row r="743" spans="1:6" ht="18.75" customHeight="1" x14ac:dyDescent="0.25">
      <c r="A743" s="2" t="str">
        <f ca="1">IFERROR(__xludf.DUMMYFUNCTION("""COMPUTED_VALUE"""),"REA-K5003")</f>
        <v>REA-K5003</v>
      </c>
      <c r="B743" s="3">
        <f ca="1">IFERROR(__xludf.DUMMYFUNCTION("""COMPUTED_VALUE"""),11115)</f>
        <v>11115</v>
      </c>
      <c r="C743" s="3">
        <f ca="1">IFERROR(__xludf.DUMMYFUNCTION("""COMPUTED_VALUE"""),5902557308361)</f>
        <v>5902557308361</v>
      </c>
      <c r="D743" s="4" t="str">
        <f ca="1">IFERROR(__xludf.DUMMYFUNCTION("""COMPUTED_VALUE"""),"DRZWI PRYSZNICOWE NIXON-2 CHROM 120 P")</f>
        <v>DRZWI PRYSZNICOWE NIXON-2 CHROM 120 P</v>
      </c>
      <c r="E743" s="31">
        <v>259.00000000000006</v>
      </c>
      <c r="F743" s="31">
        <f t="shared" si="11"/>
        <v>318.57000000000005</v>
      </c>
    </row>
    <row r="744" spans="1:6" ht="18.75" customHeight="1" x14ac:dyDescent="0.25">
      <c r="A744" s="2" t="str">
        <f ca="1">IFERROR(__xludf.DUMMYFUNCTION("""COMPUTED_VALUE"""),"REA-K5004")</f>
        <v>REA-K5004</v>
      </c>
      <c r="B744" s="3">
        <f ca="1">IFERROR(__xludf.DUMMYFUNCTION("""COMPUTED_VALUE"""),11118)</f>
        <v>11118</v>
      </c>
      <c r="C744" s="3">
        <f ca="1">IFERROR(__xludf.DUMMYFUNCTION("""COMPUTED_VALUE"""),5902557308293)</f>
        <v>5902557308293</v>
      </c>
      <c r="D744" s="4" t="str">
        <f ca="1">IFERROR(__xludf.DUMMYFUNCTION("""COMPUTED_VALUE"""),"DRZWI PRYSZNICOWE NIXON-2 CHROM 130 L")</f>
        <v>DRZWI PRYSZNICOWE NIXON-2 CHROM 130 L</v>
      </c>
      <c r="E744" s="31">
        <v>312.24390243902445</v>
      </c>
      <c r="F744" s="31">
        <f t="shared" si="11"/>
        <v>384.06000000000006</v>
      </c>
    </row>
    <row r="745" spans="1:6" ht="18.75" customHeight="1" x14ac:dyDescent="0.25">
      <c r="A745" s="2" t="str">
        <f ca="1">IFERROR(__xludf.DUMMYFUNCTION("""COMPUTED_VALUE"""),"REA-K5005")</f>
        <v>REA-K5005</v>
      </c>
      <c r="B745" s="3">
        <f ca="1">IFERROR(__xludf.DUMMYFUNCTION("""COMPUTED_VALUE"""),11119)</f>
        <v>11119</v>
      </c>
      <c r="C745" s="3">
        <f ca="1">IFERROR(__xludf.DUMMYFUNCTION("""COMPUTED_VALUE"""),5902557308248)</f>
        <v>5902557308248</v>
      </c>
      <c r="D745" s="4" t="str">
        <f ca="1">IFERROR(__xludf.DUMMYFUNCTION("""COMPUTED_VALUE"""),"DRZWI PRYSZNICOWE NIXON-2 CHROM 130 P")</f>
        <v>DRZWI PRYSZNICOWE NIXON-2 CHROM 130 P</v>
      </c>
      <c r="E745" s="31">
        <v>312.24390243902445</v>
      </c>
      <c r="F745" s="31">
        <f t="shared" si="11"/>
        <v>384.06000000000006</v>
      </c>
    </row>
    <row r="746" spans="1:6" ht="18.75" customHeight="1" x14ac:dyDescent="0.25">
      <c r="A746" s="2" t="str">
        <f ca="1">IFERROR(__xludf.DUMMYFUNCTION("""COMPUTED_VALUE"""),"REA-K5006")</f>
        <v>REA-K5006</v>
      </c>
      <c r="B746" s="3">
        <f ca="1">IFERROR(__xludf.DUMMYFUNCTION("""COMPUTED_VALUE"""),11122)</f>
        <v>11122</v>
      </c>
      <c r="C746" s="3">
        <f ca="1">IFERROR(__xludf.DUMMYFUNCTION("""COMPUTED_VALUE"""),5902557308231)</f>
        <v>5902557308231</v>
      </c>
      <c r="D746" s="4" t="str">
        <f ca="1">IFERROR(__xludf.DUMMYFUNCTION("""COMPUTED_VALUE"""),"DRZWI PRYSZNICOWE NIXON-2 CHROM 140 L")</f>
        <v>DRZWI PRYSZNICOWE NIXON-2 CHROM 140 L</v>
      </c>
      <c r="E746" s="31">
        <v>267.1219512195122</v>
      </c>
      <c r="F746" s="31">
        <f t="shared" si="11"/>
        <v>328.56</v>
      </c>
    </row>
    <row r="747" spans="1:6" ht="18.75" customHeight="1" x14ac:dyDescent="0.25">
      <c r="A747" s="2" t="str">
        <f ca="1">IFERROR(__xludf.DUMMYFUNCTION("""COMPUTED_VALUE"""),"REA-K5007")</f>
        <v>REA-K5007</v>
      </c>
      <c r="B747" s="3">
        <f ca="1">IFERROR(__xludf.DUMMYFUNCTION("""COMPUTED_VALUE"""),11123)</f>
        <v>11123</v>
      </c>
      <c r="C747" s="3">
        <f ca="1">IFERROR(__xludf.DUMMYFUNCTION("""COMPUTED_VALUE"""),5902557308422)</f>
        <v>5902557308422</v>
      </c>
      <c r="D747" s="4" t="str">
        <f ca="1">IFERROR(__xludf.DUMMYFUNCTION("""COMPUTED_VALUE"""),"DRZWI PRYSZNICOWE NIXON-2 CHROM 140 P")</f>
        <v>DRZWI PRYSZNICOWE NIXON-2 CHROM 140 P</v>
      </c>
      <c r="E747" s="31">
        <v>267.1219512195122</v>
      </c>
      <c r="F747" s="31">
        <f t="shared" si="11"/>
        <v>328.56</v>
      </c>
    </row>
    <row r="748" spans="1:6" ht="18.75" customHeight="1" x14ac:dyDescent="0.25">
      <c r="A748" s="2" t="str">
        <f ca="1">IFERROR(__xludf.DUMMYFUNCTION("""COMPUTED_VALUE"""),"REA-K5008")</f>
        <v>REA-K5008</v>
      </c>
      <c r="B748" s="3">
        <f ca="1">IFERROR(__xludf.DUMMYFUNCTION("""COMPUTED_VALUE"""),11126)</f>
        <v>11126</v>
      </c>
      <c r="C748" s="3">
        <f ca="1">IFERROR(__xludf.DUMMYFUNCTION("""COMPUTED_VALUE"""),5902557308194)</f>
        <v>5902557308194</v>
      </c>
      <c r="D748" s="4" t="str">
        <f ca="1">IFERROR(__xludf.DUMMYFUNCTION("""COMPUTED_VALUE"""),"DRZWI PRYSZNICOWE NIXON-2 CHROM 150 L")</f>
        <v>DRZWI PRYSZNICOWE NIXON-2 CHROM 150 L</v>
      </c>
      <c r="E748" s="31">
        <v>283.36585365853659</v>
      </c>
      <c r="F748" s="31">
        <f t="shared" si="11"/>
        <v>348.54</v>
      </c>
    </row>
    <row r="749" spans="1:6" ht="18.75" customHeight="1" x14ac:dyDescent="0.25">
      <c r="A749" s="2" t="str">
        <f ca="1">IFERROR(__xludf.DUMMYFUNCTION("""COMPUTED_VALUE"""),"REA-K5009")</f>
        <v>REA-K5009</v>
      </c>
      <c r="B749" s="3">
        <f ca="1">IFERROR(__xludf.DUMMYFUNCTION("""COMPUTED_VALUE"""),11127)</f>
        <v>11127</v>
      </c>
      <c r="C749" s="3">
        <f ca="1">IFERROR(__xludf.DUMMYFUNCTION("""COMPUTED_VALUE"""),5902557308255)</f>
        <v>5902557308255</v>
      </c>
      <c r="D749" s="4" t="str">
        <f ca="1">IFERROR(__xludf.DUMMYFUNCTION("""COMPUTED_VALUE"""),"DRZWI PRYSZNICOWE NIXON-2 CHROM 150 P")</f>
        <v>DRZWI PRYSZNICOWE NIXON-2 CHROM 150 P</v>
      </c>
      <c r="E749" s="31">
        <v>283.36585365853659</v>
      </c>
      <c r="F749" s="31">
        <f t="shared" si="11"/>
        <v>348.54</v>
      </c>
    </row>
    <row r="750" spans="1:6" ht="18.75" customHeight="1" x14ac:dyDescent="0.25">
      <c r="A750" s="2" t="str">
        <f ca="1">IFERROR(__xludf.DUMMYFUNCTION("""COMPUTED_VALUE"""),"REA-K6420")</f>
        <v>REA-K6420</v>
      </c>
      <c r="B750" s="3">
        <f ca="1">IFERROR(__xludf.DUMMYFUNCTION("""COMPUTED_VALUE"""),33697)</f>
        <v>33697</v>
      </c>
      <c r="C750" s="3">
        <f ca="1">IFERROR(__xludf.DUMMYFUNCTION("""COMPUTED_VALUE"""),5902557342525)</f>
        <v>5902557342525</v>
      </c>
      <c r="D750" s="4" t="str">
        <f ca="1">IFERROR(__xludf.DUMMYFUNCTION("""COMPUTED_VALUE"""),"DRZWI PRYSZNICOWE RAPID FOLD BLACK 100")</f>
        <v>DRZWI PRYSZNICOWE RAPID FOLD BLACK 100</v>
      </c>
      <c r="E750" s="31">
        <v>210.26829268292684</v>
      </c>
      <c r="F750" s="31">
        <f t="shared" si="11"/>
        <v>258.63</v>
      </c>
    </row>
    <row r="751" spans="1:6" ht="18.75" customHeight="1" x14ac:dyDescent="0.25">
      <c r="A751" s="2" t="str">
        <f ca="1">IFERROR(__xludf.DUMMYFUNCTION("""COMPUTED_VALUE"""),"REA-K6418")</f>
        <v>REA-K6418</v>
      </c>
      <c r="B751" s="3">
        <f ca="1">IFERROR(__xludf.DUMMYFUNCTION("""COMPUTED_VALUE"""),33695)</f>
        <v>33695</v>
      </c>
      <c r="C751" s="3">
        <f ca="1">IFERROR(__xludf.DUMMYFUNCTION("""COMPUTED_VALUE"""),5902557342518)</f>
        <v>5902557342518</v>
      </c>
      <c r="D751" s="4" t="str">
        <f ca="1">IFERROR(__xludf.DUMMYFUNCTION("""COMPUTED_VALUE"""),"DRZWI PRYSZNICOWE RAPID FOLD BLACK 80")</f>
        <v>DRZWI PRYSZNICOWE RAPID FOLD BLACK 80</v>
      </c>
      <c r="E751" s="31">
        <v>179.58536585365854</v>
      </c>
      <c r="F751" s="31">
        <f t="shared" si="11"/>
        <v>220.89000000000001</v>
      </c>
    </row>
    <row r="752" spans="1:6" ht="18.75" customHeight="1" x14ac:dyDescent="0.25">
      <c r="A752" s="2" t="str">
        <f ca="1">IFERROR(__xludf.DUMMYFUNCTION("""COMPUTED_VALUE"""),"REA-K6419")</f>
        <v>REA-K6419</v>
      </c>
      <c r="B752" s="3">
        <f ca="1">IFERROR(__xludf.DUMMYFUNCTION("""COMPUTED_VALUE"""),33696)</f>
        <v>33696</v>
      </c>
      <c r="C752" s="3">
        <f ca="1">IFERROR(__xludf.DUMMYFUNCTION("""COMPUTED_VALUE"""),5902557342532)</f>
        <v>5902557342532</v>
      </c>
      <c r="D752" s="4" t="str">
        <f ca="1">IFERROR(__xludf.DUMMYFUNCTION("""COMPUTED_VALUE"""),"DRZWI PRYSZNICOWE RAPID FOLD BLACK 90")</f>
        <v>DRZWI PRYSZNICOWE RAPID FOLD BLACK 90</v>
      </c>
      <c r="E752" s="31">
        <v>185</v>
      </c>
      <c r="F752" s="31">
        <f t="shared" si="11"/>
        <v>227.54999999999998</v>
      </c>
    </row>
    <row r="753" spans="1:6" ht="18.75" customHeight="1" x14ac:dyDescent="0.25">
      <c r="A753" s="2" t="str">
        <f ca="1">IFERROR(__xludf.DUMMYFUNCTION("""COMPUTED_VALUE"""),"REA-K4130")</f>
        <v>REA-K4130</v>
      </c>
      <c r="B753" s="3">
        <f ca="1">IFERROR(__xludf.DUMMYFUNCTION("""COMPUTED_VALUE"""),50651)</f>
        <v>50651</v>
      </c>
      <c r="C753" s="3">
        <f ca="1">IFERROR(__xludf.DUMMYFUNCTION("""COMPUTED_VALUE"""),5902557387168)</f>
        <v>5902557387168</v>
      </c>
      <c r="D753" s="4" t="str">
        <f ca="1">IFERROR(__xludf.DUMMYFUNCTION("""COMPUTED_VALUE"""),"DRZWI PRYSZNICOWE RAPID FOLD GOLD 100")</f>
        <v>DRZWI PRYSZNICOWE RAPID FOLD GOLD 100</v>
      </c>
      <c r="E753" s="31">
        <v>254.48780487804882</v>
      </c>
      <c r="F753" s="31">
        <f t="shared" si="11"/>
        <v>313.02000000000004</v>
      </c>
    </row>
    <row r="754" spans="1:6" ht="18.75" customHeight="1" x14ac:dyDescent="0.25">
      <c r="A754" s="2" t="str">
        <f ca="1">IFERROR(__xludf.DUMMYFUNCTION("""COMPUTED_VALUE"""),"REA-K4128")</f>
        <v>REA-K4128</v>
      </c>
      <c r="B754" s="3">
        <f ca="1">IFERROR(__xludf.DUMMYFUNCTION("""COMPUTED_VALUE"""),50646)</f>
        <v>50646</v>
      </c>
      <c r="C754" s="3">
        <f ca="1">IFERROR(__xludf.DUMMYFUNCTION("""COMPUTED_VALUE"""),5902557387144)</f>
        <v>5902557387144</v>
      </c>
      <c r="D754" s="4" t="str">
        <f ca="1">IFERROR(__xludf.DUMMYFUNCTION("""COMPUTED_VALUE"""),"DRZWI PRYSZNICOWE RAPID FOLD GOLD 80")</f>
        <v>DRZWI PRYSZNICOWE RAPID FOLD GOLD 80</v>
      </c>
      <c r="E754" s="31">
        <v>226.51219512195124</v>
      </c>
      <c r="F754" s="31">
        <f t="shared" si="11"/>
        <v>278.61</v>
      </c>
    </row>
    <row r="755" spans="1:6" ht="18.75" customHeight="1" x14ac:dyDescent="0.25">
      <c r="A755" s="2" t="str">
        <f ca="1">IFERROR(__xludf.DUMMYFUNCTION("""COMPUTED_VALUE"""),"REA-K4129")</f>
        <v>REA-K4129</v>
      </c>
      <c r="B755" s="3">
        <f ca="1">IFERROR(__xludf.DUMMYFUNCTION("""COMPUTED_VALUE"""),50650)</f>
        <v>50650</v>
      </c>
      <c r="C755" s="3">
        <f ca="1">IFERROR(__xludf.DUMMYFUNCTION("""COMPUTED_VALUE"""),5902557387151)</f>
        <v>5902557387151</v>
      </c>
      <c r="D755" s="4" t="str">
        <f ca="1">IFERROR(__xludf.DUMMYFUNCTION("""COMPUTED_VALUE"""),"DRZWI PRYSZNICOWE RAPID FOLD GOLD 90")</f>
        <v>DRZWI PRYSZNICOWE RAPID FOLD GOLD 90</v>
      </c>
      <c r="E755" s="31">
        <v>237.34146341463415</v>
      </c>
      <c r="F755" s="31">
        <f t="shared" si="11"/>
        <v>291.93</v>
      </c>
    </row>
    <row r="756" spans="1:6" ht="18.75" customHeight="1" x14ac:dyDescent="0.25">
      <c r="A756" s="2" t="str">
        <f ca="1">IFERROR(__xludf.DUMMYFUNCTION("""COMPUTED_VALUE"""),"REA-K6400")</f>
        <v>REA-K6400</v>
      </c>
      <c r="B756" s="3">
        <f ca="1">IFERROR(__xludf.DUMMYFUNCTION("""COMPUTED_VALUE"""),33534)</f>
        <v>33534</v>
      </c>
      <c r="C756" s="3">
        <f ca="1">IFERROR(__xludf.DUMMYFUNCTION("""COMPUTED_VALUE"""),5902557342341)</f>
        <v>5902557342341</v>
      </c>
      <c r="D756" s="4" t="str">
        <f ca="1">IFERROR(__xludf.DUMMYFUNCTION("""COMPUTED_VALUE"""),"DRZWI PRYSZNICOWE RAPID SLIDE BLACK 100")</f>
        <v>DRZWI PRYSZNICOWE RAPID SLIDE BLACK 100</v>
      </c>
      <c r="E756" s="31">
        <v>191.31707317073173</v>
      </c>
      <c r="F756" s="31">
        <f t="shared" si="11"/>
        <v>235.32000000000002</v>
      </c>
    </row>
    <row r="757" spans="1:6" ht="18.75" customHeight="1" x14ac:dyDescent="0.25">
      <c r="A757" s="2" t="str">
        <f ca="1">IFERROR(__xludf.DUMMYFUNCTION("""COMPUTED_VALUE"""),"REA-K6401")</f>
        <v>REA-K6401</v>
      </c>
      <c r="B757" s="3">
        <f ca="1">IFERROR(__xludf.DUMMYFUNCTION("""COMPUTED_VALUE"""),33535)</f>
        <v>33535</v>
      </c>
      <c r="C757" s="3">
        <f ca="1">IFERROR(__xludf.DUMMYFUNCTION("""COMPUTED_VALUE"""),5902557342358)</f>
        <v>5902557342358</v>
      </c>
      <c r="D757" s="4" t="str">
        <f ca="1">IFERROR(__xludf.DUMMYFUNCTION("""COMPUTED_VALUE"""),"DRZWI PRYSZNICOWE RAPID SLIDE BLACK 110")</f>
        <v>DRZWI PRYSZNICOWE RAPID SLIDE BLACK 110</v>
      </c>
      <c r="E757" s="31">
        <v>199.43902439024393</v>
      </c>
      <c r="F757" s="31">
        <f t="shared" si="11"/>
        <v>245.31000000000003</v>
      </c>
    </row>
    <row r="758" spans="1:6" ht="18.75" customHeight="1" x14ac:dyDescent="0.25">
      <c r="A758" s="2" t="str">
        <f ca="1">IFERROR(__xludf.DUMMYFUNCTION("""COMPUTED_VALUE"""),"REA-K6402")</f>
        <v>REA-K6402</v>
      </c>
      <c r="B758" s="3">
        <f ca="1">IFERROR(__xludf.DUMMYFUNCTION("""COMPUTED_VALUE"""),33536)</f>
        <v>33536</v>
      </c>
      <c r="C758" s="3">
        <f ca="1">IFERROR(__xludf.DUMMYFUNCTION("""COMPUTED_VALUE"""),5902557342365)</f>
        <v>5902557342365</v>
      </c>
      <c r="D758" s="4" t="str">
        <f ca="1">IFERROR(__xludf.DUMMYFUNCTION("""COMPUTED_VALUE"""),"DRZWI PRYSZNICOWE RAPID SLIDE BLACK 120")</f>
        <v>DRZWI PRYSZNICOWE RAPID SLIDE BLACK 120</v>
      </c>
      <c r="E758" s="31">
        <v>205.75609756097563</v>
      </c>
      <c r="F758" s="31">
        <f t="shared" si="11"/>
        <v>253.08</v>
      </c>
    </row>
    <row r="759" spans="1:6" ht="18.75" customHeight="1" x14ac:dyDescent="0.25">
      <c r="A759" s="2" t="str">
        <f ca="1">IFERROR(__xludf.DUMMYFUNCTION("""COMPUTED_VALUE"""),"REA-K6403")</f>
        <v>REA-K6403</v>
      </c>
      <c r="B759" s="3">
        <f ca="1">IFERROR(__xludf.DUMMYFUNCTION("""COMPUTED_VALUE"""),33537)</f>
        <v>33537</v>
      </c>
      <c r="C759" s="3">
        <f ca="1">IFERROR(__xludf.DUMMYFUNCTION("""COMPUTED_VALUE"""),5902557342372)</f>
        <v>5902557342372</v>
      </c>
      <c r="D759" s="4" t="str">
        <f ca="1">IFERROR(__xludf.DUMMYFUNCTION("""COMPUTED_VALUE"""),"DRZWI PRYSZNICOWE RAPID SLIDE BLACK 130")</f>
        <v>DRZWI PRYSZNICOWE RAPID SLIDE BLACK 130</v>
      </c>
      <c r="E759" s="31">
        <v>212.07317073170734</v>
      </c>
      <c r="F759" s="31">
        <f t="shared" si="11"/>
        <v>260.85000000000002</v>
      </c>
    </row>
    <row r="760" spans="1:6" ht="18.75" customHeight="1" x14ac:dyDescent="0.25">
      <c r="A760" s="2" t="str">
        <f ca="1">IFERROR(__xludf.DUMMYFUNCTION("""COMPUTED_VALUE"""),"REA-K6404")</f>
        <v>REA-K6404</v>
      </c>
      <c r="B760" s="3">
        <f ca="1">IFERROR(__xludf.DUMMYFUNCTION("""COMPUTED_VALUE"""),33538)</f>
        <v>33538</v>
      </c>
      <c r="C760" s="3">
        <f ca="1">IFERROR(__xludf.DUMMYFUNCTION("""COMPUTED_VALUE"""),5902557342389)</f>
        <v>5902557342389</v>
      </c>
      <c r="D760" s="4" t="str">
        <f ca="1">IFERROR(__xludf.DUMMYFUNCTION("""COMPUTED_VALUE"""),"DRZWI PRYSZNICOWE RAPID SLIDE BLACK 140")</f>
        <v>DRZWI PRYSZNICOWE RAPID SLIDE BLACK 140</v>
      </c>
      <c r="E760" s="31">
        <v>218.39024390243904</v>
      </c>
      <c r="F760" s="31">
        <f t="shared" si="11"/>
        <v>268.62</v>
      </c>
    </row>
    <row r="761" spans="1:6" ht="18.75" customHeight="1" x14ac:dyDescent="0.25">
      <c r="A761" s="2" t="str">
        <f ca="1">IFERROR(__xludf.DUMMYFUNCTION("""COMPUTED_VALUE"""),"REA-K6405")</f>
        <v>REA-K6405</v>
      </c>
      <c r="B761" s="3">
        <f ca="1">IFERROR(__xludf.DUMMYFUNCTION("""COMPUTED_VALUE"""),33539)</f>
        <v>33539</v>
      </c>
      <c r="C761" s="3">
        <f ca="1">IFERROR(__xludf.DUMMYFUNCTION("""COMPUTED_VALUE"""),5902557342396)</f>
        <v>5902557342396</v>
      </c>
      <c r="D761" s="4" t="str">
        <f ca="1">IFERROR(__xludf.DUMMYFUNCTION("""COMPUTED_VALUE"""),"DRZWI PRYSZNICOWE RAPID SLIDE BLACK 150")</f>
        <v>DRZWI PRYSZNICOWE RAPID SLIDE BLACK 150</v>
      </c>
      <c r="E761" s="31">
        <v>220.19512195121953</v>
      </c>
      <c r="F761" s="31">
        <f t="shared" si="11"/>
        <v>270.84000000000003</v>
      </c>
    </row>
    <row r="762" spans="1:6" ht="18.75" customHeight="1" x14ac:dyDescent="0.25">
      <c r="A762" s="2" t="str">
        <f ca="1">IFERROR(__xludf.DUMMYFUNCTION("""COMPUTED_VALUE"""),"REA-K6406")</f>
        <v>REA-K6406</v>
      </c>
      <c r="B762" s="3">
        <f ca="1">IFERROR(__xludf.DUMMYFUNCTION("""COMPUTED_VALUE"""),33540)</f>
        <v>33540</v>
      </c>
      <c r="C762" s="3">
        <f ca="1">IFERROR(__xludf.DUMMYFUNCTION("""COMPUTED_VALUE"""),5902557342402)</f>
        <v>5902557342402</v>
      </c>
      <c r="D762" s="4" t="str">
        <f ca="1">IFERROR(__xludf.DUMMYFUNCTION("""COMPUTED_VALUE"""),"DRZWI PRYSZNICOWE RAPID SLIDE BLACK 160")</f>
        <v>DRZWI PRYSZNICOWE RAPID SLIDE BLACK 160</v>
      </c>
      <c r="E762" s="31">
        <v>233.73170731707319</v>
      </c>
      <c r="F762" s="31">
        <f t="shared" si="11"/>
        <v>287.49</v>
      </c>
    </row>
    <row r="763" spans="1:6" ht="18.75" customHeight="1" x14ac:dyDescent="0.25">
      <c r="A763" s="2" t="str">
        <f ca="1">IFERROR(__xludf.DUMMYFUNCTION("""COMPUTED_VALUE"""),"REA-K8590")</f>
        <v>REA-K8590</v>
      </c>
      <c r="B763" s="3">
        <f ca="1">IFERROR(__xludf.DUMMYFUNCTION("""COMPUTED_VALUE"""),53740)</f>
        <v>53740</v>
      </c>
      <c r="C763" s="3">
        <f ca="1">IFERROR(__xludf.DUMMYFUNCTION("""COMPUTED_VALUE"""),5906366003165)</f>
        <v>5906366003165</v>
      </c>
      <c r="D763" s="4" t="str">
        <f ca="1">IFERROR(__xludf.DUMMYFUNCTION("""COMPUTED_VALUE"""),"DRZWI PRYSZNICOWE RAPID SLIDE BRUSH GOLD 130")</f>
        <v>DRZWI PRYSZNICOWE RAPID SLIDE BRUSH GOLD 130</v>
      </c>
      <c r="E763" s="31">
        <v>267.1219512195122</v>
      </c>
      <c r="F763" s="31">
        <f t="shared" si="11"/>
        <v>328.56</v>
      </c>
    </row>
    <row r="764" spans="1:6" ht="18.75" customHeight="1" x14ac:dyDescent="0.25">
      <c r="A764" s="2" t="str">
        <f ca="1">IFERROR(__xludf.DUMMYFUNCTION("""COMPUTED_VALUE"""),"REA-K8591")</f>
        <v>REA-K8591</v>
      </c>
      <c r="B764" s="3">
        <f ca="1">IFERROR(__xludf.DUMMYFUNCTION("""COMPUTED_VALUE"""),53742)</f>
        <v>53742</v>
      </c>
      <c r="C764" s="3">
        <f ca="1">IFERROR(__xludf.DUMMYFUNCTION("""COMPUTED_VALUE"""),5906366003172)</f>
        <v>5906366003172</v>
      </c>
      <c r="D764" s="4" t="str">
        <f ca="1">IFERROR(__xludf.DUMMYFUNCTION("""COMPUTED_VALUE"""),"DRZWI PRYSZNICOWE RAPID SLIDE BRUSH GOLD 140")</f>
        <v>DRZWI PRYSZNICOWE RAPID SLIDE BRUSH GOLD 140</v>
      </c>
      <c r="E764" s="31">
        <v>276.14634146341467</v>
      </c>
      <c r="F764" s="31">
        <f t="shared" si="11"/>
        <v>339.66</v>
      </c>
    </row>
    <row r="765" spans="1:6" ht="18.75" customHeight="1" x14ac:dyDescent="0.25">
      <c r="A765" s="2" t="str">
        <f ca="1">IFERROR(__xludf.DUMMYFUNCTION("""COMPUTED_VALUE"""),"REA-K5600")</f>
        <v>REA-K5600</v>
      </c>
      <c r="B765" s="3">
        <f ca="1">IFERROR(__xludf.DUMMYFUNCTION("""COMPUTED_VALUE"""),49309)</f>
        <v>49309</v>
      </c>
      <c r="C765" s="3">
        <f ca="1">IFERROR(__xludf.DUMMYFUNCTION("""COMPUTED_VALUE"""),5902557376926)</f>
        <v>5902557376926</v>
      </c>
      <c r="D765" s="4" t="str">
        <f ca="1">IFERROR(__xludf.DUMMYFUNCTION("""COMPUTED_VALUE"""),"DRZWI PRYSZNICOWE RAPID SLIDE CHROM 100")</f>
        <v>DRZWI PRYSZNICOWE RAPID SLIDE CHROM 100</v>
      </c>
      <c r="E765" s="31">
        <v>177.78048780487805</v>
      </c>
      <c r="F765" s="31">
        <f t="shared" si="11"/>
        <v>218.67</v>
      </c>
    </row>
    <row r="766" spans="1:6" ht="18.75" customHeight="1" x14ac:dyDescent="0.25">
      <c r="A766" s="2" t="str">
        <f ca="1">IFERROR(__xludf.DUMMYFUNCTION("""COMPUTED_VALUE"""),"REA-K5601")</f>
        <v>REA-K5601</v>
      </c>
      <c r="B766" s="3">
        <f ca="1">IFERROR(__xludf.DUMMYFUNCTION("""COMPUTED_VALUE"""),49310)</f>
        <v>49310</v>
      </c>
      <c r="C766" s="3">
        <f ca="1">IFERROR(__xludf.DUMMYFUNCTION("""COMPUTED_VALUE"""),5902557376933)</f>
        <v>5902557376933</v>
      </c>
      <c r="D766" s="4" t="str">
        <f ca="1">IFERROR(__xludf.DUMMYFUNCTION("""COMPUTED_VALUE"""),"DRZWI PRYSZNICOWE RAPID SLIDE CHROM 110")</f>
        <v>DRZWI PRYSZNICOWE RAPID SLIDE CHROM 110</v>
      </c>
      <c r="E766" s="31">
        <v>185</v>
      </c>
      <c r="F766" s="31">
        <f t="shared" si="11"/>
        <v>227.54999999999998</v>
      </c>
    </row>
    <row r="767" spans="1:6" ht="18.75" customHeight="1" x14ac:dyDescent="0.25">
      <c r="A767" s="2" t="str">
        <f ca="1">IFERROR(__xludf.DUMMYFUNCTION("""COMPUTED_VALUE"""),"REA-K5602")</f>
        <v>REA-K5602</v>
      </c>
      <c r="B767" s="3">
        <f ca="1">IFERROR(__xludf.DUMMYFUNCTION("""COMPUTED_VALUE"""),49311)</f>
        <v>49311</v>
      </c>
      <c r="C767" s="3">
        <f ca="1">IFERROR(__xludf.DUMMYFUNCTION("""COMPUTED_VALUE"""),5902557376940)</f>
        <v>5902557376940</v>
      </c>
      <c r="D767" s="4" t="str">
        <f ca="1">IFERROR(__xludf.DUMMYFUNCTION("""COMPUTED_VALUE"""),"DRZWI PRYSZNICOWE RAPID SLIDE CHROM 120")</f>
        <v>DRZWI PRYSZNICOWE RAPID SLIDE CHROM 120</v>
      </c>
      <c r="E767" s="31">
        <v>190.41463414634148</v>
      </c>
      <c r="F767" s="31">
        <f t="shared" si="11"/>
        <v>234.21000000000004</v>
      </c>
    </row>
    <row r="768" spans="1:6" ht="18.75" customHeight="1" x14ac:dyDescent="0.25">
      <c r="A768" s="2" t="str">
        <f ca="1">IFERROR(__xludf.DUMMYFUNCTION("""COMPUTED_VALUE"""),"REA-K5603")</f>
        <v>REA-K5603</v>
      </c>
      <c r="B768" s="3">
        <f ca="1">IFERROR(__xludf.DUMMYFUNCTION("""COMPUTED_VALUE"""),49312)</f>
        <v>49312</v>
      </c>
      <c r="C768" s="3">
        <f ca="1">IFERROR(__xludf.DUMMYFUNCTION("""COMPUTED_VALUE"""),5902557376957)</f>
        <v>5902557376957</v>
      </c>
      <c r="D768" s="4" t="str">
        <f ca="1">IFERROR(__xludf.DUMMYFUNCTION("""COMPUTED_VALUE"""),"DRZWI PRYSZNICOWE RAPID SLIDE CHROM 130")</f>
        <v>DRZWI PRYSZNICOWE RAPID SLIDE CHROM 130</v>
      </c>
      <c r="E768" s="31">
        <v>194.02439024390247</v>
      </c>
      <c r="F768" s="31">
        <f t="shared" si="11"/>
        <v>238.65000000000003</v>
      </c>
    </row>
    <row r="769" spans="1:6" ht="18.75" customHeight="1" x14ac:dyDescent="0.25">
      <c r="A769" s="2" t="str">
        <f ca="1">IFERROR(__xludf.DUMMYFUNCTION("""COMPUTED_VALUE"""),"REA-K5604")</f>
        <v>REA-K5604</v>
      </c>
      <c r="B769" s="3">
        <f ca="1">IFERROR(__xludf.DUMMYFUNCTION("""COMPUTED_VALUE"""),49313)</f>
        <v>49313</v>
      </c>
      <c r="C769" s="3">
        <f ca="1">IFERROR(__xludf.DUMMYFUNCTION("""COMPUTED_VALUE"""),5902557376964)</f>
        <v>5902557376964</v>
      </c>
      <c r="D769" s="4" t="str">
        <f ca="1">IFERROR(__xludf.DUMMYFUNCTION("""COMPUTED_VALUE"""),"DRZWI PRYSZNICOWE RAPID SLIDE CHROM 140")</f>
        <v>DRZWI PRYSZNICOWE RAPID SLIDE CHROM 140</v>
      </c>
      <c r="E769" s="31">
        <v>202.14634146341467</v>
      </c>
      <c r="F769" s="31">
        <f t="shared" si="11"/>
        <v>248.64000000000004</v>
      </c>
    </row>
    <row r="770" spans="1:6" ht="18.75" customHeight="1" x14ac:dyDescent="0.25">
      <c r="A770" s="2" t="str">
        <f ca="1">IFERROR(__xludf.DUMMYFUNCTION("""COMPUTED_VALUE"""),"REA-K5605")</f>
        <v>REA-K5605</v>
      </c>
      <c r="B770" s="3">
        <f ca="1">IFERROR(__xludf.DUMMYFUNCTION("""COMPUTED_VALUE"""),49314)</f>
        <v>49314</v>
      </c>
      <c r="C770" s="3">
        <f ca="1">IFERROR(__xludf.DUMMYFUNCTION("""COMPUTED_VALUE"""),5902557376971)</f>
        <v>5902557376971</v>
      </c>
      <c r="D770" s="4" t="str">
        <f ca="1">IFERROR(__xludf.DUMMYFUNCTION("""COMPUTED_VALUE"""),"DRZWI PRYSZNICOWE RAPID SLIDE CHROM 150")</f>
        <v>DRZWI PRYSZNICOWE RAPID SLIDE CHROM 150</v>
      </c>
      <c r="E770" s="31">
        <v>212.07317073170734</v>
      </c>
      <c r="F770" s="31">
        <f t="shared" si="11"/>
        <v>260.85000000000002</v>
      </c>
    </row>
    <row r="771" spans="1:6" ht="18.75" customHeight="1" x14ac:dyDescent="0.25">
      <c r="A771" s="2" t="str">
        <f ca="1">IFERROR(__xludf.DUMMYFUNCTION("""COMPUTED_VALUE"""),"REA-K5611")</f>
        <v>REA-K5611</v>
      </c>
      <c r="B771" s="3">
        <f ca="1">IFERROR(__xludf.DUMMYFUNCTION("""COMPUTED_VALUE"""),49308)</f>
        <v>49308</v>
      </c>
      <c r="C771" s="3">
        <f ca="1">IFERROR(__xludf.DUMMYFUNCTION("""COMPUTED_VALUE"""),5902557377046)</f>
        <v>5902557377046</v>
      </c>
      <c r="D771" s="4" t="str">
        <f ca="1">IFERROR(__xludf.DUMMYFUNCTION("""COMPUTED_VALUE"""),"DRZWI PRYSZNICOWE RAPID SLIDE GOLD 100")</f>
        <v>DRZWI PRYSZNICOWE RAPID SLIDE GOLD 100</v>
      </c>
      <c r="E771" s="31">
        <v>233.73170731707319</v>
      </c>
      <c r="F771" s="31">
        <f t="shared" ref="F771:F834" si="12">E771*1.23</f>
        <v>287.49</v>
      </c>
    </row>
    <row r="772" spans="1:6" ht="18.75" customHeight="1" x14ac:dyDescent="0.25">
      <c r="A772" s="2" t="str">
        <f ca="1">IFERROR(__xludf.DUMMYFUNCTION("""COMPUTED_VALUE"""),"REA-K5613")</f>
        <v>REA-K5613</v>
      </c>
      <c r="B772" s="3">
        <f ca="1">IFERROR(__xludf.DUMMYFUNCTION("""COMPUTED_VALUE"""),49307)</f>
        <v>49307</v>
      </c>
      <c r="C772" s="3">
        <f ca="1">IFERROR(__xludf.DUMMYFUNCTION("""COMPUTED_VALUE"""),5902557377053)</f>
        <v>5902557377053</v>
      </c>
      <c r="D772" s="4" t="str">
        <f ca="1">IFERROR(__xludf.DUMMYFUNCTION("""COMPUTED_VALUE"""),"DRZWI PRYSZNICOWE RAPID SLIDE GOLD 110")</f>
        <v>DRZWI PRYSZNICOWE RAPID SLIDE GOLD 110</v>
      </c>
      <c r="E772" s="31">
        <v>214.78048780487808</v>
      </c>
      <c r="F772" s="31">
        <f t="shared" si="12"/>
        <v>264.18</v>
      </c>
    </row>
    <row r="773" spans="1:6" ht="18.75" customHeight="1" x14ac:dyDescent="0.25">
      <c r="A773" s="2" t="str">
        <f ca="1">IFERROR(__xludf.DUMMYFUNCTION("""COMPUTED_VALUE"""),"REA-K5614")</f>
        <v>REA-K5614</v>
      </c>
      <c r="B773" s="3">
        <f ca="1">IFERROR(__xludf.DUMMYFUNCTION("""COMPUTED_VALUE"""),49306)</f>
        <v>49306</v>
      </c>
      <c r="C773" s="3">
        <f ca="1">IFERROR(__xludf.DUMMYFUNCTION("""COMPUTED_VALUE"""),5902557377060)</f>
        <v>5902557377060</v>
      </c>
      <c r="D773" s="4" t="str">
        <f ca="1">IFERROR(__xludf.DUMMYFUNCTION("""COMPUTED_VALUE"""),"DRZWI PRYSZNICOWE RAPID SLIDE GOLD 120")</f>
        <v>DRZWI PRYSZNICOWE RAPID SLIDE GOLD 120</v>
      </c>
      <c r="E773" s="31">
        <v>250.87804878048783</v>
      </c>
      <c r="F773" s="31">
        <f t="shared" si="12"/>
        <v>308.58000000000004</v>
      </c>
    </row>
    <row r="774" spans="1:6" ht="18.75" customHeight="1" x14ac:dyDescent="0.25">
      <c r="A774" s="2" t="str">
        <f ca="1">IFERROR(__xludf.DUMMYFUNCTION("""COMPUTED_VALUE"""),"REA-K5615")</f>
        <v>REA-K5615</v>
      </c>
      <c r="B774" s="3">
        <f ca="1">IFERROR(__xludf.DUMMYFUNCTION("""COMPUTED_VALUE"""),49305)</f>
        <v>49305</v>
      </c>
      <c r="C774" s="3">
        <f ca="1">IFERROR(__xludf.DUMMYFUNCTION("""COMPUTED_VALUE"""),5902557377077)</f>
        <v>5902557377077</v>
      </c>
      <c r="D774" s="4" t="str">
        <f ca="1">IFERROR(__xludf.DUMMYFUNCTION("""COMPUTED_VALUE"""),"DRZWI PRYSZNICOWE RAPID SLIDE GOLD 130")</f>
        <v>DRZWI PRYSZNICOWE RAPID SLIDE GOLD 130</v>
      </c>
      <c r="E774" s="31">
        <v>218.39024390243904</v>
      </c>
      <c r="F774" s="31">
        <f t="shared" si="12"/>
        <v>268.62</v>
      </c>
    </row>
    <row r="775" spans="1:6" ht="18.75" customHeight="1" x14ac:dyDescent="0.25">
      <c r="A775" s="2" t="str">
        <f ca="1">IFERROR(__xludf.DUMMYFUNCTION("""COMPUTED_VALUE"""),"REA-K5616")</f>
        <v>REA-K5616</v>
      </c>
      <c r="B775" s="3">
        <f ca="1">IFERROR(__xludf.DUMMYFUNCTION("""COMPUTED_VALUE"""),49304)</f>
        <v>49304</v>
      </c>
      <c r="C775" s="3">
        <f ca="1">IFERROR(__xludf.DUMMYFUNCTION("""COMPUTED_VALUE"""),5902557377084)</f>
        <v>5902557377084</v>
      </c>
      <c r="D775" s="4" t="str">
        <f ca="1">IFERROR(__xludf.DUMMYFUNCTION("""COMPUTED_VALUE"""),"DRZWI PRYSZNICOWE RAPID SLIDE GOLD 140")</f>
        <v>DRZWI PRYSZNICOWE RAPID SLIDE GOLD 140</v>
      </c>
      <c r="E775" s="31">
        <v>263.51219512195127</v>
      </c>
      <c r="F775" s="31">
        <f t="shared" si="12"/>
        <v>324.12000000000006</v>
      </c>
    </row>
    <row r="776" spans="1:6" ht="18.75" customHeight="1" x14ac:dyDescent="0.25">
      <c r="A776" s="2" t="str">
        <f ca="1">IFERROR(__xludf.DUMMYFUNCTION("""COMPUTED_VALUE"""),"REA-K5617")</f>
        <v>REA-K5617</v>
      </c>
      <c r="B776" s="3">
        <f ca="1">IFERROR(__xludf.DUMMYFUNCTION("""COMPUTED_VALUE"""),49298)</f>
        <v>49298</v>
      </c>
      <c r="C776" s="3">
        <f ca="1">IFERROR(__xludf.DUMMYFUNCTION("""COMPUTED_VALUE"""),5902557377091)</f>
        <v>5902557377091</v>
      </c>
      <c r="D776" s="4" t="str">
        <f ca="1">IFERROR(__xludf.DUMMYFUNCTION("""COMPUTED_VALUE"""),"DRZWI PRYSZNICOWE RAPID SLIDE GOLD 150")</f>
        <v>DRZWI PRYSZNICOWE RAPID SLIDE GOLD 150</v>
      </c>
      <c r="E776" s="31">
        <v>271.63414634146346</v>
      </c>
      <c r="F776" s="31">
        <f t="shared" si="12"/>
        <v>334.11000000000007</v>
      </c>
    </row>
    <row r="777" spans="1:6" ht="18.75" customHeight="1" x14ac:dyDescent="0.25">
      <c r="A777" s="2" t="str">
        <f ca="1">IFERROR(__xludf.DUMMYFUNCTION("""COMPUTED_VALUE"""),"REA-K4707")</f>
        <v>REA-K4707</v>
      </c>
      <c r="B777" s="3">
        <f ca="1">IFERROR(__xludf.DUMMYFUNCTION("""COMPUTED_VALUE"""),50103)</f>
        <v>50103</v>
      </c>
      <c r="C777" s="3">
        <f ca="1">IFERROR(__xludf.DUMMYFUNCTION("""COMPUTED_VALUE"""),5902557385188)</f>
        <v>5902557385188</v>
      </c>
      <c r="D777" s="4" t="str">
        <f ca="1">IFERROR(__xludf.DUMMYFUNCTION("""COMPUTED_VALUE"""),"DRZWI PRYSZNICOWE RAPID SLIDE GOLD BRUSH 100")</f>
        <v>DRZWI PRYSZNICOWE RAPID SLIDE GOLD BRUSH 100</v>
      </c>
      <c r="E777" s="31">
        <v>243.65853658536591</v>
      </c>
      <c r="F777" s="31">
        <f t="shared" si="12"/>
        <v>299.70000000000005</v>
      </c>
    </row>
    <row r="778" spans="1:6" ht="18.75" customHeight="1" x14ac:dyDescent="0.25">
      <c r="A778" s="2" t="str">
        <f ca="1">IFERROR(__xludf.DUMMYFUNCTION("""COMPUTED_VALUE"""),"REA-K4708")</f>
        <v>REA-K4708</v>
      </c>
      <c r="B778" s="3">
        <f ca="1">IFERROR(__xludf.DUMMYFUNCTION("""COMPUTED_VALUE"""),50149)</f>
        <v>50149</v>
      </c>
      <c r="C778" s="3">
        <f ca="1">IFERROR(__xludf.DUMMYFUNCTION("""COMPUTED_VALUE"""),5902557385195)</f>
        <v>5902557385195</v>
      </c>
      <c r="D778" s="4" t="str">
        <f ca="1">IFERROR(__xludf.DUMMYFUNCTION("""COMPUTED_VALUE"""),"DRZWI PRYSZNICOWE RAPID SLIDE GOLD BRUSH 110")</f>
        <v>DRZWI PRYSZNICOWE RAPID SLIDE GOLD BRUSH 110</v>
      </c>
      <c r="E778" s="31">
        <v>245.46341463414637</v>
      </c>
      <c r="F778" s="31">
        <f t="shared" si="12"/>
        <v>301.92</v>
      </c>
    </row>
    <row r="779" spans="1:6" ht="18.75" customHeight="1" x14ac:dyDescent="0.25">
      <c r="A779" s="2" t="str">
        <f ca="1">IFERROR(__xludf.DUMMYFUNCTION("""COMPUTED_VALUE"""),"REA-K4709")</f>
        <v>REA-K4709</v>
      </c>
      <c r="B779" s="3">
        <f ca="1">IFERROR(__xludf.DUMMYFUNCTION("""COMPUTED_VALUE"""),50151)</f>
        <v>50151</v>
      </c>
      <c r="C779" s="3">
        <f ca="1">IFERROR(__xludf.DUMMYFUNCTION("""COMPUTED_VALUE"""),5902557385201)</f>
        <v>5902557385201</v>
      </c>
      <c r="D779" s="4" t="str">
        <f ca="1">IFERROR(__xludf.DUMMYFUNCTION("""COMPUTED_VALUE"""),"DRZWI PRYSZNICOWE RAPID SLIDE GOLD BRUSH 120")</f>
        <v>DRZWI PRYSZNICOWE RAPID SLIDE GOLD BRUSH 120</v>
      </c>
      <c r="E779" s="31">
        <v>260.80487804878049</v>
      </c>
      <c r="F779" s="31">
        <f t="shared" si="12"/>
        <v>320.79000000000002</v>
      </c>
    </row>
    <row r="780" spans="1:6" ht="18.75" customHeight="1" x14ac:dyDescent="0.25">
      <c r="A780" s="2" t="str">
        <f ca="1">IFERROR(__xludf.DUMMYFUNCTION("""COMPUTED_VALUE"""),"REA-K6410")</f>
        <v>REA-K6410</v>
      </c>
      <c r="B780" s="3">
        <f ca="1">IFERROR(__xludf.DUMMYFUNCTION("""COMPUTED_VALUE"""),45016)</f>
        <v>45016</v>
      </c>
      <c r="C780" s="3">
        <f ca="1">IFERROR(__xludf.DUMMYFUNCTION("""COMPUTED_VALUE"""),5902557342440)</f>
        <v>5902557342440</v>
      </c>
      <c r="D780" s="4" t="str">
        <f ca="1">IFERROR(__xludf.DUMMYFUNCTION("""COMPUTED_VALUE"""),"DRZWI PRYSZNICOWE RAPID SWING BLACK 100")</f>
        <v>DRZWI PRYSZNICOWE RAPID SWING BLACK 100</v>
      </c>
      <c r="E780" s="31">
        <v>192.21951219512198</v>
      </c>
      <c r="F780" s="31">
        <f t="shared" si="12"/>
        <v>236.43000000000004</v>
      </c>
    </row>
    <row r="781" spans="1:6" ht="18.75" customHeight="1" x14ac:dyDescent="0.25">
      <c r="A781" s="2" t="str">
        <f ca="1">IFERROR(__xludf.DUMMYFUNCTION("""COMPUTED_VALUE"""),"REA-K6413")</f>
        <v>REA-K6413</v>
      </c>
      <c r="B781" s="3">
        <f ca="1">IFERROR(__xludf.DUMMYFUNCTION("""COMPUTED_VALUE"""),52910)</f>
        <v>52910</v>
      </c>
      <c r="C781" s="3">
        <f ca="1">IFERROR(__xludf.DUMMYFUNCTION("""COMPUTED_VALUE"""),5902557342464)</f>
        <v>5902557342464</v>
      </c>
      <c r="D781" s="4" t="str">
        <f ca="1">IFERROR(__xludf.DUMMYFUNCTION("""COMPUTED_VALUE"""),"DRZWI PRYSZNICOWE RAPID SWING BLACK 120")</f>
        <v>DRZWI PRYSZNICOWE RAPID SWING BLACK 120</v>
      </c>
      <c r="E781" s="31">
        <v>212.07317073170734</v>
      </c>
      <c r="F781" s="31">
        <f t="shared" si="12"/>
        <v>260.85000000000002</v>
      </c>
    </row>
    <row r="782" spans="1:6" ht="18.75" customHeight="1" x14ac:dyDescent="0.25">
      <c r="A782" s="2" t="str">
        <f ca="1">IFERROR(__xludf.DUMMYFUNCTION("""COMPUTED_VALUE"""),"REA-K6407")</f>
        <v>REA-K6407</v>
      </c>
      <c r="B782" s="3">
        <f ca="1">IFERROR(__xludf.DUMMYFUNCTION("""COMPUTED_VALUE"""),45013)</f>
        <v>45013</v>
      </c>
      <c r="C782" s="3">
        <f ca="1">IFERROR(__xludf.DUMMYFUNCTION("""COMPUTED_VALUE"""),5902557342419)</f>
        <v>5902557342419</v>
      </c>
      <c r="D782" s="4" t="str">
        <f ca="1">IFERROR(__xludf.DUMMYFUNCTION("""COMPUTED_VALUE"""),"DRZWI PRYSZNICOWE RAPID SWING BLACK 70")</f>
        <v>DRZWI PRYSZNICOWE RAPID SWING BLACK 70</v>
      </c>
      <c r="E782" s="31">
        <v>175.97560975609758</v>
      </c>
      <c r="F782" s="31">
        <f t="shared" si="12"/>
        <v>216.45000000000002</v>
      </c>
    </row>
    <row r="783" spans="1:6" ht="18.75" customHeight="1" x14ac:dyDescent="0.25">
      <c r="A783" s="2" t="str">
        <f ca="1">IFERROR(__xludf.DUMMYFUNCTION("""COMPUTED_VALUE"""),"REA-K6408")</f>
        <v>REA-K6408</v>
      </c>
      <c r="B783" s="3">
        <f ca="1">IFERROR(__xludf.DUMMYFUNCTION("""COMPUTED_VALUE"""),45014)</f>
        <v>45014</v>
      </c>
      <c r="C783" s="3">
        <f ca="1">IFERROR(__xludf.DUMMYFUNCTION("""COMPUTED_VALUE"""),5902557342426)</f>
        <v>5902557342426</v>
      </c>
      <c r="D783" s="4" t="str">
        <f ca="1">IFERROR(__xludf.DUMMYFUNCTION("""COMPUTED_VALUE"""),"DRZWI PRYSZNICOWE RAPID SWING BLACK 80")</f>
        <v>DRZWI PRYSZNICOWE RAPID SWING BLACK 80</v>
      </c>
      <c r="E783" s="31">
        <v>179.58536585365854</v>
      </c>
      <c r="F783" s="31">
        <f t="shared" si="12"/>
        <v>220.89000000000001</v>
      </c>
    </row>
    <row r="784" spans="1:6" ht="18.75" customHeight="1" x14ac:dyDescent="0.25">
      <c r="A784" s="2" t="str">
        <f ca="1">IFERROR(__xludf.DUMMYFUNCTION("""COMPUTED_VALUE"""),"REA-K6409")</f>
        <v>REA-K6409</v>
      </c>
      <c r="B784" s="3">
        <f ca="1">IFERROR(__xludf.DUMMYFUNCTION("""COMPUTED_VALUE"""),45015)</f>
        <v>45015</v>
      </c>
      <c r="C784" s="3">
        <f ca="1">IFERROR(__xludf.DUMMYFUNCTION("""COMPUTED_VALUE"""),5902557342433)</f>
        <v>5902557342433</v>
      </c>
      <c r="D784" s="4" t="str">
        <f ca="1">IFERROR(__xludf.DUMMYFUNCTION("""COMPUTED_VALUE"""),"DRZWI PRYSZNICOWE RAPID SWING BLACK 90")</f>
        <v>DRZWI PRYSZNICOWE RAPID SWING BLACK 90</v>
      </c>
      <c r="E784" s="31">
        <v>185.90243902439025</v>
      </c>
      <c r="F784" s="31">
        <f t="shared" si="12"/>
        <v>228.66</v>
      </c>
    </row>
    <row r="785" spans="1:6" ht="18.75" customHeight="1" x14ac:dyDescent="0.25">
      <c r="A785" s="2" t="str">
        <f ca="1">IFERROR(__xludf.DUMMYFUNCTION("""COMPUTED_VALUE"""),"REA-K5607")</f>
        <v>REA-K5607</v>
      </c>
      <c r="B785" s="3">
        <f ca="1">IFERROR(__xludf.DUMMYFUNCTION("""COMPUTED_VALUE"""),49143)</f>
        <v>49143</v>
      </c>
      <c r="C785" s="3">
        <f ca="1">IFERROR(__xludf.DUMMYFUNCTION("""COMPUTED_VALUE"""),5902557376995)</f>
        <v>5902557376995</v>
      </c>
      <c r="D785" s="4" t="str">
        <f ca="1">IFERROR(__xludf.DUMMYFUNCTION("""COMPUTED_VALUE"""),"DRZWI PRYSZNICOWE RAPID SWING CHROM 100")</f>
        <v>DRZWI PRYSZNICOWE RAPID SWING CHROM 100</v>
      </c>
      <c r="E785" s="31">
        <v>194.92682926829272</v>
      </c>
      <c r="F785" s="31">
        <f t="shared" si="12"/>
        <v>239.76000000000005</v>
      </c>
    </row>
    <row r="786" spans="1:6" ht="18.75" customHeight="1" x14ac:dyDescent="0.25">
      <c r="A786" s="2" t="str">
        <f ca="1">IFERROR(__xludf.DUMMYFUNCTION("""COMPUTED_VALUE"""),"REA-K5606")</f>
        <v>REA-K5606</v>
      </c>
      <c r="B786" s="3">
        <f ca="1">IFERROR(__xludf.DUMMYFUNCTION("""COMPUTED_VALUE"""),49142)</f>
        <v>49142</v>
      </c>
      <c r="C786" s="3">
        <f ca="1">IFERROR(__xludf.DUMMYFUNCTION("""COMPUTED_VALUE"""),5902557376988)</f>
        <v>5902557376988</v>
      </c>
      <c r="D786" s="4" t="str">
        <f ca="1">IFERROR(__xludf.DUMMYFUNCTION("""COMPUTED_VALUE"""),"DRZWI PRYSZNICOWE RAPID SWING CHROM 90")</f>
        <v>DRZWI PRYSZNICOWE RAPID SWING CHROM 90</v>
      </c>
      <c r="E786" s="31">
        <v>182.29268292682929</v>
      </c>
      <c r="F786" s="31">
        <f t="shared" si="12"/>
        <v>224.22000000000003</v>
      </c>
    </row>
    <row r="787" spans="1:6" ht="18.75" customHeight="1" x14ac:dyDescent="0.25">
      <c r="A787" s="2" t="str">
        <f ca="1">IFERROR(__xludf.DUMMYFUNCTION("""COMPUTED_VALUE"""),"REA-K5619")</f>
        <v>REA-K5619</v>
      </c>
      <c r="B787" s="3">
        <f ca="1">IFERROR(__xludf.DUMMYFUNCTION("""COMPUTED_VALUE"""),49128)</f>
        <v>49128</v>
      </c>
      <c r="C787" s="3">
        <f ca="1">IFERROR(__xludf.DUMMYFUNCTION("""COMPUTED_VALUE"""),5902557377114)</f>
        <v>5902557377114</v>
      </c>
      <c r="D787" s="4" t="str">
        <f ca="1">IFERROR(__xludf.DUMMYFUNCTION("""COMPUTED_VALUE"""),"DRZWI PRYSZNICOWE RAPID SWING GOLD 100")</f>
        <v>DRZWI PRYSZNICOWE RAPID SWING GOLD 100</v>
      </c>
      <c r="E787" s="31">
        <v>247.26829268292687</v>
      </c>
      <c r="F787" s="31">
        <f t="shared" si="12"/>
        <v>304.14000000000004</v>
      </c>
    </row>
    <row r="788" spans="1:6" ht="18.75" customHeight="1" x14ac:dyDescent="0.25">
      <c r="A788" s="2" t="str">
        <f ca="1">IFERROR(__xludf.DUMMYFUNCTION("""COMPUTED_VALUE"""),"REA-K5618")</f>
        <v>REA-K5618</v>
      </c>
      <c r="B788" s="3">
        <f ca="1">IFERROR(__xludf.DUMMYFUNCTION("""COMPUTED_VALUE"""),49129)</f>
        <v>49129</v>
      </c>
      <c r="C788" s="3">
        <f ca="1">IFERROR(__xludf.DUMMYFUNCTION("""COMPUTED_VALUE"""),5902557377107)</f>
        <v>5902557377107</v>
      </c>
      <c r="D788" s="4" t="str">
        <f ca="1">IFERROR(__xludf.DUMMYFUNCTION("""COMPUTED_VALUE"""),"DRZWI PRYSZNICOWE RAPID SWING GOLD 90")</f>
        <v>DRZWI PRYSZNICOWE RAPID SWING GOLD 90</v>
      </c>
      <c r="E788" s="31">
        <v>240.95121951219514</v>
      </c>
      <c r="F788" s="31">
        <f t="shared" si="12"/>
        <v>296.37</v>
      </c>
    </row>
    <row r="789" spans="1:6" ht="18.75" customHeight="1" x14ac:dyDescent="0.25">
      <c r="A789" s="2" t="str">
        <f ca="1">IFERROR(__xludf.DUMMYFUNCTION("""COMPUTED_VALUE"""),"REA-K2503")</f>
        <v>REA-K2503</v>
      </c>
      <c r="B789" s="3">
        <f ca="1">IFERROR(__xludf.DUMMYFUNCTION("""COMPUTED_VALUE"""),53356)</f>
        <v>53356</v>
      </c>
      <c r="C789" s="3">
        <f ca="1">IFERROR(__xludf.DUMMYFUNCTION("""COMPUTED_VALUE"""),5902557398867)</f>
        <v>5902557398867</v>
      </c>
      <c r="D789" s="4" t="str">
        <f ca="1">IFERROR(__xludf.DUMMYFUNCTION("""COMPUTED_VALUE"""),"DRZWI PRYSZNICOWE RAPID SWING GOLD BRUSH 100")</f>
        <v>DRZWI PRYSZNICOWE RAPID SWING GOLD BRUSH 100</v>
      </c>
      <c r="E789" s="31">
        <v>247.26829268292687</v>
      </c>
      <c r="F789" s="31">
        <f t="shared" si="12"/>
        <v>304.14000000000004</v>
      </c>
    </row>
    <row r="790" spans="1:6" ht="18.75" customHeight="1" x14ac:dyDescent="0.25">
      <c r="A790" s="2" t="str">
        <f ca="1">IFERROR(__xludf.DUMMYFUNCTION("""COMPUTED_VALUE"""),"REA-K2502")</f>
        <v>REA-K2502</v>
      </c>
      <c r="B790" s="3">
        <f ca="1">IFERROR(__xludf.DUMMYFUNCTION("""COMPUTED_VALUE"""),53357)</f>
        <v>53357</v>
      </c>
      <c r="C790" s="3">
        <f ca="1">IFERROR(__xludf.DUMMYFUNCTION("""COMPUTED_VALUE"""),5902557398874)</f>
        <v>5902557398874</v>
      </c>
      <c r="D790" s="4" t="str">
        <f ca="1">IFERROR(__xludf.DUMMYFUNCTION("""COMPUTED_VALUE"""),"DRZWI PRYSZNICOWE RAPID SWING GOLD BRUSH 90")</f>
        <v>DRZWI PRYSZNICOWE RAPID SWING GOLD BRUSH 90</v>
      </c>
      <c r="E790" s="31">
        <v>243.65853658536591</v>
      </c>
      <c r="F790" s="31">
        <f t="shared" si="12"/>
        <v>299.70000000000005</v>
      </c>
    </row>
    <row r="791" spans="1:6" ht="18.75" customHeight="1" x14ac:dyDescent="0.25">
      <c r="A791" s="2" t="str">
        <f ca="1">IFERROR(__xludf.DUMMYFUNCTION("""COMPUTED_VALUE"""),"REA-K0547")</f>
        <v>REA-K0547</v>
      </c>
      <c r="B791" s="3"/>
      <c r="C791" s="3">
        <f ca="1">IFERROR(__xludf.DUMMYFUNCTION("""COMPUTED_VALUE"""),5902557307494)</f>
        <v>5902557307494</v>
      </c>
      <c r="D791" s="4" t="str">
        <f ca="1">IFERROR(__xludf.DUMMYFUNCTION("""COMPUTED_VALUE"""),"DRZWI PRYSZNICOWE SAXON 801")</f>
        <v>DRZWI PRYSZNICOWE SAXON 801</v>
      </c>
      <c r="E791" s="31">
        <v>99.268292682926841</v>
      </c>
      <c r="F791" s="31">
        <f t="shared" si="12"/>
        <v>122.10000000000001</v>
      </c>
    </row>
    <row r="792" spans="1:6" ht="18.75" customHeight="1" x14ac:dyDescent="0.25">
      <c r="A792" s="2" t="str">
        <f ca="1">IFERROR(__xludf.DUMMYFUNCTION("""COMPUTED_VALUE"""),"REA-K6200")</f>
        <v>REA-K6200</v>
      </c>
      <c r="B792" s="3">
        <f ca="1">IFERROR(__xludf.DUMMYFUNCTION("""COMPUTED_VALUE"""),46324)</f>
        <v>46324</v>
      </c>
      <c r="C792" s="3">
        <f ca="1">IFERROR(__xludf.DUMMYFUNCTION("""COMPUTED_VALUE"""),5902557336791)</f>
        <v>5902557336791</v>
      </c>
      <c r="D792" s="4" t="str">
        <f ca="1">IFERROR(__xludf.DUMMYFUNCTION("""COMPUTED_VALUE"""),"DRZWI PRYSZNICOWE SLIDE N 100")</f>
        <v>DRZWI PRYSZNICOWE SLIDE N 100</v>
      </c>
      <c r="E792" s="31">
        <v>120.92682926829269</v>
      </c>
      <c r="F792" s="31">
        <f t="shared" si="12"/>
        <v>148.74</v>
      </c>
    </row>
    <row r="793" spans="1:6" ht="18.75" customHeight="1" x14ac:dyDescent="0.25">
      <c r="A793" s="2" t="str">
        <f ca="1">IFERROR(__xludf.DUMMYFUNCTION("""COMPUTED_VALUE"""),"REA-K5300")</f>
        <v>REA-K5300</v>
      </c>
      <c r="B793" s="3">
        <f ca="1">IFERROR(__xludf.DUMMYFUNCTION("""COMPUTED_VALUE"""),46391)</f>
        <v>46391</v>
      </c>
      <c r="C793" s="3">
        <f ca="1">IFERROR(__xludf.DUMMYFUNCTION("""COMPUTED_VALUE"""),5902557329786)</f>
        <v>5902557329786</v>
      </c>
      <c r="D793" s="4" t="str">
        <f ca="1">IFERROR(__xludf.DUMMYFUNCTION("""COMPUTED_VALUE"""),"DRZWI PRYSZNICOWE SLIDE PRO 100")</f>
        <v>DRZWI PRYSZNICOWE SLIDE PRO 100</v>
      </c>
      <c r="E793" s="31">
        <v>137.17073170731709</v>
      </c>
      <c r="F793" s="31">
        <f t="shared" si="12"/>
        <v>168.72000000000003</v>
      </c>
    </row>
    <row r="794" spans="1:6" ht="18.75" customHeight="1" x14ac:dyDescent="0.25">
      <c r="A794" s="2" t="str">
        <f ca="1">IFERROR(__xludf.DUMMYFUNCTION("""COMPUTED_VALUE"""),"REA-K5305")</f>
        <v>REA-K5305</v>
      </c>
      <c r="B794" s="3">
        <f ca="1">IFERROR(__xludf.DUMMYFUNCTION("""COMPUTED_VALUE"""),46393)</f>
        <v>46393</v>
      </c>
      <c r="C794" s="3">
        <f ca="1">IFERROR(__xludf.DUMMYFUNCTION("""COMPUTED_VALUE"""),5902557329809)</f>
        <v>5902557329809</v>
      </c>
      <c r="D794" s="4" t="str">
        <f ca="1">IFERROR(__xludf.DUMMYFUNCTION("""COMPUTED_VALUE"""),"DRZWI PRYSZNICOWE SLIDE PRO 120")</f>
        <v>DRZWI PRYSZNICOWE SLIDE PRO 120</v>
      </c>
      <c r="E794" s="31">
        <v>150.70731707317074</v>
      </c>
      <c r="F794" s="31">
        <f t="shared" si="12"/>
        <v>185.37</v>
      </c>
    </row>
    <row r="795" spans="1:6" ht="18.75" customHeight="1" x14ac:dyDescent="0.25">
      <c r="A795" s="2" t="str">
        <f ca="1">IFERROR(__xludf.DUMMYFUNCTION("""COMPUTED_VALUE"""),"REA-K5306")</f>
        <v>REA-K5306</v>
      </c>
      <c r="B795" s="3"/>
      <c r="C795" s="3">
        <f ca="1">IFERROR(__xludf.DUMMYFUNCTION("""COMPUTED_VALUE"""),5902557329816)</f>
        <v>5902557329816</v>
      </c>
      <c r="D795" s="4" t="str">
        <f ca="1">IFERROR(__xludf.DUMMYFUNCTION("""COMPUTED_VALUE"""),"DRZWI PRYSZNICOWE SLIDE PRO 130")</f>
        <v>DRZWI PRYSZNICOWE SLIDE PRO 130</v>
      </c>
      <c r="E795" s="31">
        <v>157.02439024390245</v>
      </c>
      <c r="F795" s="31">
        <f t="shared" si="12"/>
        <v>193.14000000000001</v>
      </c>
    </row>
    <row r="796" spans="1:6" ht="18.75" customHeight="1" x14ac:dyDescent="0.25">
      <c r="A796" s="2" t="str">
        <f ca="1">IFERROR(__xludf.DUMMYFUNCTION("""COMPUTED_VALUE"""),"REA-K5307")</f>
        <v>REA-K5307</v>
      </c>
      <c r="B796" s="3">
        <f ca="1">IFERROR(__xludf.DUMMYFUNCTION("""COMPUTED_VALUE"""),46395)</f>
        <v>46395</v>
      </c>
      <c r="C796" s="3">
        <f ca="1">IFERROR(__xludf.DUMMYFUNCTION("""COMPUTED_VALUE"""),5902557329823)</f>
        <v>5902557329823</v>
      </c>
      <c r="D796" s="4" t="str">
        <f ca="1">IFERROR(__xludf.DUMMYFUNCTION("""COMPUTED_VALUE"""),"DRZWI PRYSZNICOWE SLIDE PRO 140")</f>
        <v>DRZWI PRYSZNICOWE SLIDE PRO 140</v>
      </c>
      <c r="E796" s="31">
        <v>151.60975609756099</v>
      </c>
      <c r="F796" s="31">
        <f t="shared" si="12"/>
        <v>186.48000000000002</v>
      </c>
    </row>
    <row r="797" spans="1:6" ht="18.75" customHeight="1" x14ac:dyDescent="0.25">
      <c r="A797" s="2" t="str">
        <f ca="1">IFERROR(__xludf.DUMMYFUNCTION("""COMPUTED_VALUE"""),"REA-K5308")</f>
        <v>REA-K5308</v>
      </c>
      <c r="B797" s="3">
        <f ca="1">IFERROR(__xludf.DUMMYFUNCTION("""COMPUTED_VALUE"""),46396)</f>
        <v>46396</v>
      </c>
      <c r="C797" s="3">
        <f ca="1">IFERROR(__xludf.DUMMYFUNCTION("""COMPUTED_VALUE"""),5902557329830)</f>
        <v>5902557329830</v>
      </c>
      <c r="D797" s="4" t="str">
        <f ca="1">IFERROR(__xludf.DUMMYFUNCTION("""COMPUTED_VALUE"""),"DRZWI PRYSZNICOWE SLIDE PRO 150")</f>
        <v>DRZWI PRYSZNICOWE SLIDE PRO 150</v>
      </c>
      <c r="E797" s="31">
        <v>157.92682926829269</v>
      </c>
      <c r="F797" s="31">
        <f t="shared" si="12"/>
        <v>194.25</v>
      </c>
    </row>
    <row r="798" spans="1:6" ht="18.75" customHeight="1" x14ac:dyDescent="0.25">
      <c r="A798" s="2" t="str">
        <f ca="1">IFERROR(__xludf.DUMMYFUNCTION("""COMPUTED_VALUE"""),"REA-K6512")</f>
        <v>REA-K6512</v>
      </c>
      <c r="B798" s="3">
        <f ca="1">IFERROR(__xludf.DUMMYFUNCTION("""COMPUTED_VALUE"""),42487)</f>
        <v>42487</v>
      </c>
      <c r="C798" s="3">
        <f ca="1">IFERROR(__xludf.DUMMYFUNCTION("""COMPUTED_VALUE"""),5902557337477)</f>
        <v>5902557337477</v>
      </c>
      <c r="D798" s="4" t="str">
        <f ca="1">IFERROR(__xludf.DUMMYFUNCTION("""COMPUTED_VALUE"""),"DRZWI PRYSZNICOWE SOLAR BLACK 100")</f>
        <v>DRZWI PRYSZNICOWE SOLAR BLACK 100</v>
      </c>
      <c r="E798" s="31">
        <v>197.63414634146343</v>
      </c>
      <c r="F798" s="31">
        <f t="shared" si="12"/>
        <v>243.09000000000003</v>
      </c>
    </row>
    <row r="799" spans="1:6" ht="18.75" customHeight="1" x14ac:dyDescent="0.25">
      <c r="A799" s="2" t="str">
        <f ca="1">IFERROR(__xludf.DUMMYFUNCTION("""COMPUTED_VALUE"""),"REA-K6312")</f>
        <v>REA-K6312</v>
      </c>
      <c r="B799" s="3">
        <f ca="1">IFERROR(__xludf.DUMMYFUNCTION("""COMPUTED_VALUE"""),42491)</f>
        <v>42491</v>
      </c>
      <c r="C799" s="3">
        <f ca="1">IFERROR(__xludf.DUMMYFUNCTION("""COMPUTED_VALUE"""),5902557333035)</f>
        <v>5902557333035</v>
      </c>
      <c r="D799" s="4" t="str">
        <f ca="1">IFERROR(__xludf.DUMMYFUNCTION("""COMPUTED_VALUE"""),"DRZWI PRYSZNICOWE SOLAR BLACK 120")</f>
        <v>DRZWI PRYSZNICOWE SOLAR BLACK 120</v>
      </c>
      <c r="E799" s="31">
        <v>205.75609756097563</v>
      </c>
      <c r="F799" s="31">
        <f t="shared" si="12"/>
        <v>253.08</v>
      </c>
    </row>
    <row r="800" spans="1:6" ht="18.75" customHeight="1" x14ac:dyDescent="0.25">
      <c r="A800" s="2" t="str">
        <f ca="1">IFERROR(__xludf.DUMMYFUNCTION("""COMPUTED_VALUE"""),"REA-K6358")</f>
        <v>REA-K6358</v>
      </c>
      <c r="B800" s="3">
        <f ca="1">IFERROR(__xludf.DUMMYFUNCTION("""COMPUTED_VALUE"""),33684)</f>
        <v>33684</v>
      </c>
      <c r="C800" s="3">
        <f ca="1">IFERROR(__xludf.DUMMYFUNCTION("""COMPUTED_VALUE"""),5902557344956)</f>
        <v>5902557344956</v>
      </c>
      <c r="D800" s="4" t="str">
        <f ca="1">IFERROR(__xludf.DUMMYFUNCTION("""COMPUTED_VALUE"""),"DRZWI PRYSZNICOWE SOLAR BLACK 130")</f>
        <v>DRZWI PRYSZNICOWE SOLAR BLACK 130</v>
      </c>
      <c r="E800" s="31">
        <v>233.73170731707319</v>
      </c>
      <c r="F800" s="31">
        <f t="shared" si="12"/>
        <v>287.49</v>
      </c>
    </row>
    <row r="801" spans="1:6" ht="18.75" customHeight="1" x14ac:dyDescent="0.25">
      <c r="A801" s="2" t="str">
        <f ca="1">IFERROR(__xludf.DUMMYFUNCTION("""COMPUTED_VALUE"""),"REA-K6359")</f>
        <v>REA-K6359</v>
      </c>
      <c r="B801" s="3">
        <f ca="1">IFERROR(__xludf.DUMMYFUNCTION("""COMPUTED_VALUE"""),33685)</f>
        <v>33685</v>
      </c>
      <c r="C801" s="3">
        <f ca="1">IFERROR(__xludf.DUMMYFUNCTION("""COMPUTED_VALUE"""),5902557344963)</f>
        <v>5902557344963</v>
      </c>
      <c r="D801" s="4" t="str">
        <f ca="1">IFERROR(__xludf.DUMMYFUNCTION("""COMPUTED_VALUE"""),"DRZWI PRYSZNICOWE SOLAR BLACK 140")</f>
        <v>DRZWI PRYSZNICOWE SOLAR BLACK 140</v>
      </c>
      <c r="E801" s="31">
        <v>224.70731707317074</v>
      </c>
      <c r="F801" s="31">
        <f t="shared" si="12"/>
        <v>276.39</v>
      </c>
    </row>
    <row r="802" spans="1:6" ht="18.75" customHeight="1" x14ac:dyDescent="0.25">
      <c r="A802" s="2" t="str">
        <f ca="1">IFERROR(__xludf.DUMMYFUNCTION("""COMPUTED_VALUE"""),"REA-K6360")</f>
        <v>REA-K6360</v>
      </c>
      <c r="B802" s="3">
        <f ca="1">IFERROR(__xludf.DUMMYFUNCTION("""COMPUTED_VALUE"""),33686)</f>
        <v>33686</v>
      </c>
      <c r="C802" s="3">
        <f ca="1">IFERROR(__xludf.DUMMYFUNCTION("""COMPUTED_VALUE"""),5902557344970)</f>
        <v>5902557344970</v>
      </c>
      <c r="D802" s="4" t="str">
        <f ca="1">IFERROR(__xludf.DUMMYFUNCTION("""COMPUTED_VALUE"""),"DRZWI PRYSZNICOWE SOLAR BLACK 150")</f>
        <v>DRZWI PRYSZNICOWE SOLAR BLACK 150</v>
      </c>
      <c r="E802" s="31">
        <v>233.73170731707319</v>
      </c>
      <c r="F802" s="31">
        <f t="shared" si="12"/>
        <v>287.49</v>
      </c>
    </row>
    <row r="803" spans="1:6" ht="18.75" customHeight="1" x14ac:dyDescent="0.25">
      <c r="A803" s="2" t="str">
        <f ca="1">IFERROR(__xludf.DUMMYFUNCTION("""COMPUTED_VALUE"""),"REA-K6319")</f>
        <v>REA-K6319</v>
      </c>
      <c r="B803" s="3">
        <f ca="1">IFERROR(__xludf.DUMMYFUNCTION("""COMPUTED_VALUE"""),42486)</f>
        <v>42486</v>
      </c>
      <c r="C803" s="3">
        <f ca="1">IFERROR(__xludf.DUMMYFUNCTION("""COMPUTED_VALUE"""),5902557337484)</f>
        <v>5902557337484</v>
      </c>
      <c r="D803" s="4" t="str">
        <f ca="1">IFERROR(__xludf.DUMMYFUNCTION("""COMPUTED_VALUE"""),"DRZWI PRYSZNICOWE SOLAR BLACK 90")</f>
        <v>DRZWI PRYSZNICOWE SOLAR BLACK 90</v>
      </c>
      <c r="E803" s="31">
        <v>196.73170731707322</v>
      </c>
      <c r="F803" s="31">
        <f t="shared" si="12"/>
        <v>241.98000000000005</v>
      </c>
    </row>
    <row r="804" spans="1:6" ht="18.75" customHeight="1" x14ac:dyDescent="0.25">
      <c r="A804" s="2" t="str">
        <f ca="1">IFERROR(__xludf.DUMMYFUNCTION("""COMPUTED_VALUE"""),"REA-K6547")</f>
        <v>REA-K6547</v>
      </c>
      <c r="B804" s="3">
        <f ca="1">IFERROR(__xludf.DUMMYFUNCTION("""COMPUTED_VALUE"""),42877)</f>
        <v>42877</v>
      </c>
      <c r="C804" s="3">
        <f ca="1">IFERROR(__xludf.DUMMYFUNCTION("""COMPUTED_VALUE"""),5902557364169)</f>
        <v>5902557364169</v>
      </c>
      <c r="D804" s="4" t="str">
        <f ca="1">IFERROR(__xludf.DUMMYFUNCTION("""COMPUTED_VALUE"""),"DRZWI PRYSZNICOWE SOLAR GOLD 100")</f>
        <v>DRZWI PRYSZNICOWE SOLAR GOLD 100</v>
      </c>
      <c r="E804" s="31">
        <v>240.95121951219514</v>
      </c>
      <c r="F804" s="31">
        <f t="shared" si="12"/>
        <v>296.37</v>
      </c>
    </row>
    <row r="805" spans="1:6" ht="18.75" customHeight="1" x14ac:dyDescent="0.25">
      <c r="A805" s="2" t="str">
        <f ca="1">IFERROR(__xludf.DUMMYFUNCTION("""COMPUTED_VALUE"""),"REA-K6548")</f>
        <v>REA-K6548</v>
      </c>
      <c r="B805" s="3">
        <f ca="1">IFERROR(__xludf.DUMMYFUNCTION("""COMPUTED_VALUE"""),42879)</f>
        <v>42879</v>
      </c>
      <c r="C805" s="3">
        <f ca="1">IFERROR(__xludf.DUMMYFUNCTION("""COMPUTED_VALUE"""),5902557364176)</f>
        <v>5902557364176</v>
      </c>
      <c r="D805" s="4" t="str">
        <f ca="1">IFERROR(__xludf.DUMMYFUNCTION("""COMPUTED_VALUE"""),"DRZWI PRYSZNICOWE SOLAR GOLD 120")</f>
        <v>DRZWI PRYSZNICOWE SOLAR GOLD 120</v>
      </c>
      <c r="E805" s="31">
        <v>249.97560975609761</v>
      </c>
      <c r="F805" s="31">
        <f t="shared" si="12"/>
        <v>307.47000000000008</v>
      </c>
    </row>
    <row r="806" spans="1:6" ht="18.75" customHeight="1" x14ac:dyDescent="0.25">
      <c r="A806" s="2" t="str">
        <f ca="1">IFERROR(__xludf.DUMMYFUNCTION("""COMPUTED_VALUE"""),"REA-K0548")</f>
        <v>REA-K0548</v>
      </c>
      <c r="B806" s="3">
        <f ca="1">IFERROR(__xludf.DUMMYFUNCTION("""COMPUTED_VALUE"""),1996)</f>
        <v>1996</v>
      </c>
      <c r="C806" s="3">
        <f ca="1">IFERROR(__xludf.DUMMYFUNCTION("""COMPUTED_VALUE"""),5902557308507)</f>
        <v>5902557308507</v>
      </c>
      <c r="D806" s="4" t="str">
        <f ca="1">IFERROR(__xludf.DUMMYFUNCTION("""COMPUTED_VALUE"""),"DRZWI PRYSZNICOWE WIKTOR 802")</f>
        <v>DRZWI PRYSZNICOWE WIKTOR 802</v>
      </c>
      <c r="E806" s="31">
        <v>166.04878048780489</v>
      </c>
      <c r="F806" s="31">
        <f t="shared" si="12"/>
        <v>204.24</v>
      </c>
    </row>
    <row r="807" spans="1:6" ht="18.75" customHeight="1" x14ac:dyDescent="0.25">
      <c r="A807" s="2" t="str">
        <f ca="1">IFERROR(__xludf.DUMMYFUNCTION("""COMPUTED_VALUE"""),"REA-K9994")</f>
        <v>REA-K9994</v>
      </c>
      <c r="B807" s="3">
        <f ca="1">IFERROR(__xludf.DUMMYFUNCTION("""COMPUTED_VALUE"""),29467)</f>
        <v>29467</v>
      </c>
      <c r="C807" s="3">
        <f ca="1">IFERROR(__xludf.DUMMYFUNCTION("""COMPUTED_VALUE"""),5902557329335)</f>
        <v>5902557329335</v>
      </c>
      <c r="D807" s="4" t="str">
        <f ca="1">IFERROR(__xludf.DUMMYFUNCTION("""COMPUTED_VALUE"""),"DRZWI WESTERN SPACE N2 100 TR")</f>
        <v>DRZWI WESTERN SPACE N2 100 TR</v>
      </c>
      <c r="E807" s="31">
        <v>162.43902439024393</v>
      </c>
      <c r="F807" s="31">
        <f t="shared" si="12"/>
        <v>199.80000000000004</v>
      </c>
    </row>
    <row r="808" spans="1:6" ht="18.75" customHeight="1" x14ac:dyDescent="0.25">
      <c r="A808" s="2" t="str">
        <f ca="1">IFERROR(__xludf.DUMMYFUNCTION("""COMPUTED_VALUE"""),"REA-K9992")</f>
        <v>REA-K9992</v>
      </c>
      <c r="B808" s="3">
        <f ca="1">IFERROR(__xludf.DUMMYFUNCTION("""COMPUTED_VALUE"""),40351)</f>
        <v>40351</v>
      </c>
      <c r="C808" s="3">
        <f ca="1">IFERROR(__xludf.DUMMYFUNCTION("""COMPUTED_VALUE"""),5902557329311)</f>
        <v>5902557329311</v>
      </c>
      <c r="D808" s="4" t="str">
        <f ca="1">IFERROR(__xludf.DUMMYFUNCTION("""COMPUTED_VALUE"""),"DRZWI WESTERN SPACE N2 80 TR")</f>
        <v>DRZWI WESTERN SPACE N2 80 TR</v>
      </c>
      <c r="E808" s="31">
        <v>232.82926829268294</v>
      </c>
      <c r="F808" s="31">
        <f t="shared" si="12"/>
        <v>286.38</v>
      </c>
    </row>
    <row r="809" spans="1:6" ht="18.75" customHeight="1" x14ac:dyDescent="0.25">
      <c r="A809" s="2" t="str">
        <f ca="1">IFERROR(__xludf.DUMMYFUNCTION("""COMPUTED_VALUE"""),"REA-K9993")</f>
        <v>REA-K9993</v>
      </c>
      <c r="B809" s="3">
        <f ca="1">IFERROR(__xludf.DUMMYFUNCTION("""COMPUTED_VALUE"""),40352)</f>
        <v>40352</v>
      </c>
      <c r="C809" s="3">
        <f ca="1">IFERROR(__xludf.DUMMYFUNCTION("""COMPUTED_VALUE"""),5902557329328)</f>
        <v>5902557329328</v>
      </c>
      <c r="D809" s="4" t="str">
        <f ca="1">IFERROR(__xludf.DUMMYFUNCTION("""COMPUTED_VALUE"""),"DRZWI WESTERN SPACE N2 90 TR")</f>
        <v>DRZWI WESTERN SPACE N2 90 TR</v>
      </c>
      <c r="E809" s="31">
        <v>160.63414634146343</v>
      </c>
      <c r="F809" s="31">
        <f t="shared" si="12"/>
        <v>197.58</v>
      </c>
    </row>
    <row r="810" spans="1:6" ht="18.75" customHeight="1" x14ac:dyDescent="0.25">
      <c r="A810" s="2" t="str">
        <f ca="1">IFERROR(__xludf.DUMMYFUNCTION("""COMPUTED_VALUE"""),"REA-K0847")</f>
        <v>REA-K0847</v>
      </c>
      <c r="B810" s="3"/>
      <c r="C810" s="3">
        <f ca="1">IFERROR(__xludf.DUMMYFUNCTION("""COMPUTED_VALUE"""),5902557316823)</f>
        <v>5902557316823</v>
      </c>
      <c r="D810" s="4" t="str">
        <f ca="1">IFERROR(__xludf.DUMMYFUNCTION("""COMPUTED_VALUE"""),"KABINA A896 WHISTLER 80X100 TRANSP")</f>
        <v>KABINA A896 WHISTLER 80X100 TRANSP</v>
      </c>
      <c r="E810" s="31">
        <v>277.95121951219517</v>
      </c>
      <c r="F810" s="31">
        <f t="shared" si="12"/>
        <v>341.88000000000005</v>
      </c>
    </row>
    <row r="811" spans="1:6" ht="18.75" customHeight="1" x14ac:dyDescent="0.25">
      <c r="A811" s="2" t="str">
        <f ca="1">IFERROR(__xludf.DUMMYFUNCTION("""COMPUTED_VALUE"""),"REA-K0848")</f>
        <v>REA-K0848</v>
      </c>
      <c r="B811" s="3">
        <f ca="1">IFERROR(__xludf.DUMMYFUNCTION("""COMPUTED_VALUE"""),2127)</f>
        <v>2127</v>
      </c>
      <c r="C811" s="3">
        <f ca="1">IFERROR(__xludf.DUMMYFUNCTION("""COMPUTED_VALUE"""),5902557306084)</f>
        <v>5902557306084</v>
      </c>
      <c r="D811" s="4" t="str">
        <f ca="1">IFERROR(__xludf.DUMMYFUNCTION("""COMPUTED_VALUE"""),"KABINA A896 WHISTLER 80X120 TRANSP")</f>
        <v>KABINA A896 WHISTLER 80X120 TRANSP</v>
      </c>
      <c r="E811" s="31">
        <v>282.46341463414637</v>
      </c>
      <c r="F811" s="31">
        <f t="shared" si="12"/>
        <v>347.43000000000006</v>
      </c>
    </row>
    <row r="812" spans="1:6" ht="18.75" customHeight="1" x14ac:dyDescent="0.25">
      <c r="A812" s="2" t="str">
        <f ca="1">IFERROR(__xludf.DUMMYFUNCTION("""COMPUTED_VALUE"""),"REA-K8971")</f>
        <v>REA-K8971</v>
      </c>
      <c r="B812" s="3"/>
      <c r="C812" s="3">
        <f ca="1">IFERROR(__xludf.DUMMYFUNCTION("""COMPUTED_VALUE"""),5902557324385)</f>
        <v>5902557324385</v>
      </c>
      <c r="D812" s="4" t="str">
        <f ca="1">IFERROR(__xludf.DUMMYFUNCTION("""COMPUTED_VALUE"""),"KABINA A896 WHISTLER 90X120 TRANSP")</f>
        <v>KABINA A896 WHISTLER 90X120 TRANSP</v>
      </c>
      <c r="E812" s="31">
        <v>287.87804878048786</v>
      </c>
      <c r="F812" s="31">
        <f t="shared" si="12"/>
        <v>354.09000000000009</v>
      </c>
    </row>
    <row r="813" spans="1:6" ht="18.75" customHeight="1" x14ac:dyDescent="0.25">
      <c r="A813" s="2" t="str">
        <f ca="1">IFERROR(__xludf.DUMMYFUNCTION("""COMPUTED_VALUE"""),"REA-K5503")</f>
        <v>REA-K5503</v>
      </c>
      <c r="B813" s="3"/>
      <c r="C813" s="3">
        <f ca="1">IFERROR(__xludf.DUMMYFUNCTION("""COMPUTED_VALUE"""),5902557351725)</f>
        <v>5902557351725</v>
      </c>
      <c r="D813" s="4" t="str">
        <f ca="1">IFERROR(__xludf.DUMMYFUNCTION("""COMPUTED_VALUE"""),"KABINA ABRA 80X100")</f>
        <v>KABINA ABRA 80X100</v>
      </c>
      <c r="E813" s="31">
        <v>231.92682926829269</v>
      </c>
      <c r="F813" s="31">
        <f t="shared" si="12"/>
        <v>285.27</v>
      </c>
    </row>
    <row r="814" spans="1:6" ht="18.75" customHeight="1" x14ac:dyDescent="0.25">
      <c r="A814" s="2" t="str">
        <f ca="1">IFERROR(__xludf.DUMMYFUNCTION("""COMPUTED_VALUE"""),"REA-K5501")</f>
        <v>REA-K5501</v>
      </c>
      <c r="B814" s="3"/>
      <c r="C814" s="3">
        <f ca="1">IFERROR(__xludf.DUMMYFUNCTION("""COMPUTED_VALUE"""),5902557351701)</f>
        <v>5902557351701</v>
      </c>
      <c r="D814" s="4" t="str">
        <f ca="1">IFERROR(__xludf.DUMMYFUNCTION("""COMPUTED_VALUE"""),"KABINA ABRA 80X80")</f>
        <v>KABINA ABRA 80X80</v>
      </c>
      <c r="E814" s="31">
        <v>264.41463414634148</v>
      </c>
      <c r="F814" s="31">
        <f t="shared" si="12"/>
        <v>325.23</v>
      </c>
    </row>
    <row r="815" spans="1:6" ht="18.75" customHeight="1" x14ac:dyDescent="0.25">
      <c r="A815" s="2" t="str">
        <f ca="1">IFERROR(__xludf.DUMMYFUNCTION("""COMPUTED_VALUE"""),"REA-K5502")</f>
        <v>REA-K5502</v>
      </c>
      <c r="B815" s="3">
        <f ca="1">IFERROR(__xludf.DUMMYFUNCTION("""COMPUTED_VALUE"""),51619)</f>
        <v>51619</v>
      </c>
      <c r="C815" s="3">
        <f ca="1">IFERROR(__xludf.DUMMYFUNCTION("""COMPUTED_VALUE"""),5902557351718)</f>
        <v>5902557351718</v>
      </c>
      <c r="D815" s="4" t="str">
        <f ca="1">IFERROR(__xludf.DUMMYFUNCTION("""COMPUTED_VALUE"""),"KABINA ABRA BLACK 90x90")</f>
        <v>KABINA ABRA BLACK 90x90</v>
      </c>
      <c r="E815" s="31">
        <v>312.24390243902445</v>
      </c>
      <c r="F815" s="31">
        <f t="shared" si="12"/>
        <v>384.06000000000006</v>
      </c>
    </row>
    <row r="816" spans="1:6" ht="18.75" customHeight="1" x14ac:dyDescent="0.25">
      <c r="A816" s="2" t="str">
        <f ca="1">IFERROR(__xludf.DUMMYFUNCTION("""COMPUTED_VALUE"""),"REA-K8778")</f>
        <v>REA-K8778</v>
      </c>
      <c r="B816" s="3">
        <f ca="1">IFERROR(__xludf.DUMMYFUNCTION("""COMPUTED_VALUE"""),43296)</f>
        <v>43296</v>
      </c>
      <c r="C816" s="3">
        <f ca="1">IFERROR(__xludf.DUMMYFUNCTION("""COMPUTED_VALUE"""),5902557367085)</f>
        <v>5902557367085</v>
      </c>
      <c r="D816" s="4" t="str">
        <f ca="1">IFERROR(__xludf.DUMMYFUNCTION("""COMPUTED_VALUE"""),"KABINA AXIN CHROM 80x80")</f>
        <v>KABINA AXIN CHROM 80x80</v>
      </c>
      <c r="E816" s="31">
        <v>246.36585365853662</v>
      </c>
      <c r="F816" s="31">
        <f t="shared" si="12"/>
        <v>303.03000000000003</v>
      </c>
    </row>
    <row r="817" spans="1:6" ht="18.75" customHeight="1" x14ac:dyDescent="0.25">
      <c r="A817" s="2" t="str">
        <f ca="1">IFERROR(__xludf.DUMMYFUNCTION("""COMPUTED_VALUE"""),"REA-K8779")</f>
        <v>REA-K8779</v>
      </c>
      <c r="B817" s="3">
        <f ca="1">IFERROR(__xludf.DUMMYFUNCTION("""COMPUTED_VALUE"""),43292)</f>
        <v>43292</v>
      </c>
      <c r="C817" s="3">
        <f ca="1">IFERROR(__xludf.DUMMYFUNCTION("""COMPUTED_VALUE"""),5902557367092)</f>
        <v>5902557367092</v>
      </c>
      <c r="D817" s="4" t="str">
        <f ca="1">IFERROR(__xludf.DUMMYFUNCTION("""COMPUTED_VALUE"""),"KABINA AXIN CHROM 90x90")</f>
        <v>KABINA AXIN CHROM 90x90</v>
      </c>
      <c r="E817" s="31">
        <v>251.78</v>
      </c>
      <c r="F817" s="31">
        <f t="shared" si="12"/>
        <v>309.68939999999998</v>
      </c>
    </row>
    <row r="818" spans="1:6" ht="18.75" customHeight="1" x14ac:dyDescent="0.25">
      <c r="A818" s="2" t="str">
        <f ca="1">IFERROR(__xludf.DUMMYFUNCTION("""COMPUTED_VALUE"""),"REA-K6449")</f>
        <v>REA-K6449</v>
      </c>
      <c r="B818" s="3">
        <f ca="1">IFERROR(__xludf.DUMMYFUNCTION("""COMPUTED_VALUE"""),52397)</f>
        <v>52397</v>
      </c>
      <c r="C818" s="3">
        <f ca="1">IFERROR(__xludf.DUMMYFUNCTION("""COMPUTED_VALUE"""),5902557396597)</f>
        <v>5902557396597</v>
      </c>
      <c r="D818" s="4" t="str">
        <f ca="1">IFERROR(__xludf.DUMMYFUNCTION("""COMPUTED_VALUE"""),"KABINA CITY BLACK 80X100")</f>
        <v>KABINA CITY BLACK 80X100</v>
      </c>
      <c r="E818" s="31">
        <v>185.90243902439025</v>
      </c>
      <c r="F818" s="31">
        <f t="shared" si="12"/>
        <v>228.66</v>
      </c>
    </row>
    <row r="819" spans="1:6" ht="18.75" customHeight="1" x14ac:dyDescent="0.25">
      <c r="A819" s="2" t="str">
        <f ca="1">IFERROR(__xludf.DUMMYFUNCTION("""COMPUTED_VALUE"""),"REA-K6448")</f>
        <v>REA-K6448</v>
      </c>
      <c r="B819" s="3">
        <f ca="1">IFERROR(__xludf.DUMMYFUNCTION("""COMPUTED_VALUE"""),52395)</f>
        <v>52395</v>
      </c>
      <c r="C819" s="3">
        <f ca="1">IFERROR(__xludf.DUMMYFUNCTION("""COMPUTED_VALUE"""),5902557396580)</f>
        <v>5902557396580</v>
      </c>
      <c r="D819" s="4" t="str">
        <f ca="1">IFERROR(__xludf.DUMMYFUNCTION("""COMPUTED_VALUE"""),"KABINA CITY BLACK 80X80")</f>
        <v>KABINA CITY BLACK 80X80</v>
      </c>
      <c r="E819" s="31">
        <v>173.26829268292684</v>
      </c>
      <c r="F819" s="31">
        <f t="shared" si="12"/>
        <v>213.12</v>
      </c>
    </row>
    <row r="820" spans="1:6" ht="18.75" customHeight="1" x14ac:dyDescent="0.25">
      <c r="A820" s="2" t="str">
        <f ca="1">IFERROR(__xludf.DUMMYFUNCTION("""COMPUTED_VALUE"""),"REA-K6446")</f>
        <v>REA-K6446</v>
      </c>
      <c r="B820" s="3">
        <f ca="1">IFERROR(__xludf.DUMMYFUNCTION("""COMPUTED_VALUE"""),52392)</f>
        <v>52392</v>
      </c>
      <c r="C820" s="3">
        <f ca="1">IFERROR(__xludf.DUMMYFUNCTION("""COMPUTED_VALUE"""),5902557396603)</f>
        <v>5902557396603</v>
      </c>
      <c r="D820" s="4" t="str">
        <f ca="1">IFERROR(__xludf.DUMMYFUNCTION("""COMPUTED_VALUE"""),"KABINA CITY BLACK 90x90")</f>
        <v>KABINA CITY BLACK 90x90</v>
      </c>
      <c r="E820" s="31">
        <v>179.58536585365854</v>
      </c>
      <c r="F820" s="31">
        <f t="shared" si="12"/>
        <v>220.89000000000001</v>
      </c>
    </row>
    <row r="821" spans="1:6" ht="18.75" customHeight="1" x14ac:dyDescent="0.25">
      <c r="A821" s="2" t="str">
        <f ca="1">IFERROR(__xludf.DUMMYFUNCTION("""COMPUTED_VALUE"""),"REA-K6445")</f>
        <v>REA-K6445</v>
      </c>
      <c r="B821" s="3">
        <f ca="1">IFERROR(__xludf.DUMMYFUNCTION("""COMPUTED_VALUE"""),52386)</f>
        <v>52386</v>
      </c>
      <c r="C821" s="3">
        <f ca="1">IFERROR(__xludf.DUMMYFUNCTION("""COMPUTED_VALUE"""),5902557396566)</f>
        <v>5902557396566</v>
      </c>
      <c r="D821" s="4" t="str">
        <f ca="1">IFERROR(__xludf.DUMMYFUNCTION("""COMPUTED_VALUE"""),"KABINA CITY GOLD BRUSH 80X100")</f>
        <v>KABINA CITY GOLD BRUSH 80X100</v>
      </c>
      <c r="E821" s="31">
        <v>209.36585365853662</v>
      </c>
      <c r="F821" s="31">
        <f t="shared" si="12"/>
        <v>257.52000000000004</v>
      </c>
    </row>
    <row r="822" spans="1:6" ht="18.75" customHeight="1" x14ac:dyDescent="0.25">
      <c r="A822" s="2" t="str">
        <f ca="1">IFERROR(__xludf.DUMMYFUNCTION("""COMPUTED_VALUE"""),"REA-K6444")</f>
        <v>REA-K6444</v>
      </c>
      <c r="B822" s="3">
        <f ca="1">IFERROR(__xludf.DUMMYFUNCTION("""COMPUTED_VALUE"""),52377)</f>
        <v>52377</v>
      </c>
      <c r="C822" s="3">
        <f ca="1">IFERROR(__xludf.DUMMYFUNCTION("""COMPUTED_VALUE"""),5902557396559)</f>
        <v>5902557396559</v>
      </c>
      <c r="D822" s="4" t="str">
        <f ca="1">IFERROR(__xludf.DUMMYFUNCTION("""COMPUTED_VALUE"""),"KABINA CITY GOLD BRUSH 80X80")</f>
        <v>KABINA CITY GOLD BRUSH 80X80</v>
      </c>
      <c r="E822" s="31">
        <v>195.82926829268297</v>
      </c>
      <c r="F822" s="31">
        <f t="shared" si="12"/>
        <v>240.87000000000006</v>
      </c>
    </row>
    <row r="823" spans="1:6" ht="18.75" customHeight="1" x14ac:dyDescent="0.25">
      <c r="A823" s="2" t="str">
        <f ca="1">IFERROR(__xludf.DUMMYFUNCTION("""COMPUTED_VALUE"""),"REA-K6443")</f>
        <v>REA-K6443</v>
      </c>
      <c r="B823" s="3">
        <f ca="1">IFERROR(__xludf.DUMMYFUNCTION("""COMPUTED_VALUE"""),52382)</f>
        <v>52382</v>
      </c>
      <c r="C823" s="3">
        <f ca="1">IFERROR(__xludf.DUMMYFUNCTION("""COMPUTED_VALUE"""),5902557396573)</f>
        <v>5902557396573</v>
      </c>
      <c r="D823" s="4" t="str">
        <f ca="1">IFERROR(__xludf.DUMMYFUNCTION("""COMPUTED_VALUE"""),"KABINA CITY GOLD BRUSH 90x90")</f>
        <v>KABINA CITY GOLD BRUSH 90x90</v>
      </c>
      <c r="E823" s="31">
        <v>207.56097560975613</v>
      </c>
      <c r="F823" s="31">
        <f t="shared" si="12"/>
        <v>255.30000000000004</v>
      </c>
    </row>
    <row r="824" spans="1:6" ht="18.75" customHeight="1" x14ac:dyDescent="0.25">
      <c r="A824" s="2" t="str">
        <f ca="1">IFERROR(__xludf.DUMMYFUNCTION("""COMPUTED_VALUE"""),"REA-K6389")</f>
        <v>REA-K6389</v>
      </c>
      <c r="B824" s="3">
        <f ca="1">IFERROR(__xludf.DUMMYFUNCTION("""COMPUTED_VALUE"""),43247)</f>
        <v>43247</v>
      </c>
      <c r="C824" s="3">
        <f ca="1">IFERROR(__xludf.DUMMYFUNCTION("""COMPUTED_VALUE"""),5902557366989)</f>
        <v>5902557366989</v>
      </c>
      <c r="D824" s="4" t="str">
        <f ca="1">IFERROR(__xludf.DUMMYFUNCTION("""COMPUTED_VALUE"""),"KABINA CONCEPT BLACK 80x100")</f>
        <v>KABINA CONCEPT BLACK 80x100</v>
      </c>
      <c r="E824" s="31">
        <v>191.31700000000001</v>
      </c>
      <c r="F824" s="31">
        <f t="shared" si="12"/>
        <v>235.31990999999999</v>
      </c>
    </row>
    <row r="825" spans="1:6" ht="18.75" customHeight="1" x14ac:dyDescent="0.25">
      <c r="A825" s="2" t="str">
        <f ca="1">IFERROR(__xludf.DUMMYFUNCTION("""COMPUTED_VALUE"""),"REA-K5479")</f>
        <v>REA-K5479</v>
      </c>
      <c r="B825" s="3">
        <f ca="1">IFERROR(__xludf.DUMMYFUNCTION("""COMPUTED_VALUE"""),43314)</f>
        <v>43314</v>
      </c>
      <c r="C825" s="3">
        <f ca="1">IFERROR(__xludf.DUMMYFUNCTION("""COMPUTED_VALUE"""),5902557366965)</f>
        <v>5902557366965</v>
      </c>
      <c r="D825" s="4" t="str">
        <f ca="1">IFERROR(__xludf.DUMMYFUNCTION("""COMPUTED_VALUE"""),"KABINA CONCEPT BLACK 80x80")</f>
        <v>KABINA CONCEPT BLACK 80x80</v>
      </c>
      <c r="E825" s="31">
        <v>172.36585365853659</v>
      </c>
      <c r="F825" s="31">
        <f t="shared" si="12"/>
        <v>212.01000000000002</v>
      </c>
    </row>
    <row r="826" spans="1:6" ht="18.75" customHeight="1" x14ac:dyDescent="0.25">
      <c r="A826" s="2" t="str">
        <f ca="1">IFERROR(__xludf.DUMMYFUNCTION("""COMPUTED_VALUE"""),"REA-K5478")</f>
        <v>REA-K5478</v>
      </c>
      <c r="B826" s="3">
        <f ca="1">IFERROR(__xludf.DUMMYFUNCTION("""COMPUTED_VALUE"""),43189)</f>
        <v>43189</v>
      </c>
      <c r="C826" s="3">
        <f ca="1">IFERROR(__xludf.DUMMYFUNCTION("""COMPUTED_VALUE"""),5902557366972)</f>
        <v>5902557366972</v>
      </c>
      <c r="D826" s="4" t="str">
        <f ca="1">IFERROR(__xludf.DUMMYFUNCTION("""COMPUTED_VALUE"""),"KABINA CONCEPT BLACK 90x90")</f>
        <v>KABINA CONCEPT BLACK 90x90</v>
      </c>
      <c r="E826" s="31">
        <v>186.8</v>
      </c>
      <c r="F826" s="31">
        <f t="shared" si="12"/>
        <v>229.76400000000001</v>
      </c>
    </row>
    <row r="827" spans="1:6" ht="18.75" customHeight="1" x14ac:dyDescent="0.25">
      <c r="A827" s="2" t="str">
        <f ca="1">IFERROR(__xludf.DUMMYFUNCTION("""COMPUTED_VALUE"""),"REA-K8903")</f>
        <v>REA-K8903</v>
      </c>
      <c r="B827" s="3">
        <f ca="1">IFERROR(__xludf.DUMMYFUNCTION("""COMPUTED_VALUE"""),30574)</f>
        <v>30574</v>
      </c>
      <c r="C827" s="3">
        <f ca="1">IFERROR(__xludf.DUMMYFUNCTION("""COMPUTED_VALUE"""),5902557340675)</f>
        <v>5902557340675</v>
      </c>
      <c r="D827" s="4" t="str">
        <f ca="1">IFERROR(__xludf.DUMMYFUNCTION("""COMPUTED_VALUE"""),"KABINA COSTA GREY 90x90 Z BRODZIKIEM")</f>
        <v>KABINA COSTA GREY 90x90 Z BRODZIKIEM</v>
      </c>
      <c r="E827" s="31">
        <v>181.39024390243904</v>
      </c>
      <c r="F827" s="31">
        <f t="shared" si="12"/>
        <v>223.11</v>
      </c>
    </row>
    <row r="828" spans="1:6" ht="18.75" customHeight="1" x14ac:dyDescent="0.25">
      <c r="A828" s="2" t="str">
        <f ca="1">IFERROR(__xludf.DUMMYFUNCTION("""COMPUTED_VALUE"""),"REA-K5623")</f>
        <v>REA-K5623</v>
      </c>
      <c r="B828" s="3">
        <f ca="1">IFERROR(__xludf.DUMMYFUNCTION("""COMPUTED_VALUE"""),36674)</f>
        <v>36674</v>
      </c>
      <c r="C828" s="3">
        <f ca="1">IFERROR(__xludf.DUMMYFUNCTION("""COMPUTED_VALUE"""),5902557345229)</f>
        <v>5902557345229</v>
      </c>
      <c r="D828" s="4" t="str">
        <f ca="1">IFERROR(__xludf.DUMMYFUNCTION("""COMPUTED_VALUE"""),"KABINA DIAMOND BLACK 100x100")</f>
        <v>KABINA DIAMOND BLACK 100x100</v>
      </c>
      <c r="E828" s="31">
        <v>392.56097560975616</v>
      </c>
      <c r="F828" s="31">
        <f t="shared" si="12"/>
        <v>482.85000000000008</v>
      </c>
    </row>
    <row r="829" spans="1:6" ht="18.75" customHeight="1" x14ac:dyDescent="0.25">
      <c r="A829" s="2" t="str">
        <f ca="1">IFERROR(__xludf.DUMMYFUNCTION("""COMPUTED_VALUE"""),"REA-K6900")</f>
        <v>REA-K6900</v>
      </c>
      <c r="B829" s="3">
        <f ca="1">IFERROR(__xludf.DUMMYFUNCTION("""COMPUTED_VALUE"""),42233)</f>
        <v>42233</v>
      </c>
      <c r="C829" s="3">
        <f ca="1">IFERROR(__xludf.DUMMYFUNCTION("""COMPUTED_VALUE"""),5902557351800)</f>
        <v>5902557351800</v>
      </c>
      <c r="D829" s="4" t="str">
        <f ca="1">IFERROR(__xludf.DUMMYFUNCTION("""COMPUTED_VALUE"""),"KABINA DIAMOND BLACK 80x80")</f>
        <v>KABINA DIAMOND BLACK 80x80</v>
      </c>
      <c r="E829" s="31">
        <v>309.53658536585368</v>
      </c>
      <c r="F829" s="31">
        <f t="shared" si="12"/>
        <v>380.73</v>
      </c>
    </row>
    <row r="830" spans="1:6" ht="18.75" customHeight="1" x14ac:dyDescent="0.25">
      <c r="A830" s="2" t="str">
        <f ca="1">IFERROR(__xludf.DUMMYFUNCTION("""COMPUTED_VALUE"""),"REA-K5622")</f>
        <v>REA-K5622</v>
      </c>
      <c r="B830" s="3">
        <f ca="1">IFERROR(__xludf.DUMMYFUNCTION("""COMPUTED_VALUE"""),42230)</f>
        <v>42230</v>
      </c>
      <c r="C830" s="3">
        <f ca="1">IFERROR(__xludf.DUMMYFUNCTION("""COMPUTED_VALUE"""),5902557345212)</f>
        <v>5902557345212</v>
      </c>
      <c r="D830" s="4" t="str">
        <f ca="1">IFERROR(__xludf.DUMMYFUNCTION("""COMPUTED_VALUE"""),"KABINA DIAMOND BLACK 90x90")</f>
        <v>KABINA DIAMOND BLACK 90x90</v>
      </c>
      <c r="E830" s="31">
        <v>312.24390243902445</v>
      </c>
      <c r="F830" s="31">
        <f t="shared" si="12"/>
        <v>384.06000000000006</v>
      </c>
    </row>
    <row r="831" spans="1:6" ht="18.75" customHeight="1" x14ac:dyDescent="0.25">
      <c r="A831" s="2" t="str">
        <f ca="1">IFERROR(__xludf.DUMMYFUNCTION("""COMPUTED_VALUE"""),"REA-K6616")</f>
        <v>REA-K6616</v>
      </c>
      <c r="B831" s="3">
        <f ca="1">IFERROR(__xludf.DUMMYFUNCTION("""COMPUTED_VALUE"""),48841)</f>
        <v>48841</v>
      </c>
      <c r="C831" s="3">
        <f ca="1">IFERROR(__xludf.DUMMYFUNCTION("""COMPUTED_VALUE"""),5902557377251)</f>
        <v>5902557377251</v>
      </c>
      <c r="D831" s="4" t="str">
        <f ca="1">IFERROR(__xludf.DUMMYFUNCTION("""COMPUTED_VALUE"""),"KABINA DIAMOND GOLD 100x100")</f>
        <v>KABINA DIAMOND GOLD 100x100</v>
      </c>
      <c r="E831" s="31">
        <v>416.92682926829275</v>
      </c>
      <c r="F831" s="31">
        <f t="shared" si="12"/>
        <v>512.82000000000005</v>
      </c>
    </row>
    <row r="832" spans="1:6" ht="18.75" customHeight="1" x14ac:dyDescent="0.25">
      <c r="A832" s="2" t="str">
        <f ca="1">IFERROR(__xludf.DUMMYFUNCTION("""COMPUTED_VALUE"""),"REA-K6615")</f>
        <v>REA-K6615</v>
      </c>
      <c r="B832" s="3">
        <f ca="1">IFERROR(__xludf.DUMMYFUNCTION("""COMPUTED_VALUE"""),48735)</f>
        <v>48735</v>
      </c>
      <c r="C832" s="3">
        <f ca="1">IFERROR(__xludf.DUMMYFUNCTION("""COMPUTED_VALUE"""),5902557377244)</f>
        <v>5902557377244</v>
      </c>
      <c r="D832" s="4" t="str">
        <f ca="1">IFERROR(__xludf.DUMMYFUNCTION("""COMPUTED_VALUE"""),"KABINA DIAMOND GOLD 80x80")</f>
        <v>KABINA DIAMOND GOLD 80x80</v>
      </c>
      <c r="E832" s="31">
        <v>374.51219512195121</v>
      </c>
      <c r="F832" s="31">
        <f t="shared" si="12"/>
        <v>460.65</v>
      </c>
    </row>
    <row r="833" spans="1:6" ht="18.75" customHeight="1" x14ac:dyDescent="0.25">
      <c r="A833" s="2" t="str">
        <f ca="1">IFERROR(__xludf.DUMMYFUNCTION("""COMPUTED_VALUE"""),"REA-K4904")</f>
        <v>REA-K4904</v>
      </c>
      <c r="B833" s="3">
        <f ca="1">IFERROR(__xludf.DUMMYFUNCTION("""COMPUTED_VALUE"""),42227)</f>
        <v>42227</v>
      </c>
      <c r="C833" s="3">
        <f ca="1">IFERROR(__xludf.DUMMYFUNCTION("""COMPUTED_VALUE"""),5902557355822)</f>
        <v>5902557355822</v>
      </c>
      <c r="D833" s="4" t="str">
        <f ca="1">IFERROR(__xludf.DUMMYFUNCTION("""COMPUTED_VALUE"""),"KABINA DIAMOND GOLD 90x90")</f>
        <v>KABINA DIAMOND GOLD 90x90</v>
      </c>
      <c r="E833" s="31">
        <v>391.65853658536594</v>
      </c>
      <c r="F833" s="31">
        <f t="shared" si="12"/>
        <v>481.74000000000012</v>
      </c>
    </row>
    <row r="834" spans="1:6" ht="18.75" customHeight="1" x14ac:dyDescent="0.25">
      <c r="A834" s="2" t="str">
        <f ca="1">IFERROR(__xludf.DUMMYFUNCTION("""COMPUTED_VALUE"""),"REA-K6950")</f>
        <v>REA-K6950</v>
      </c>
      <c r="B834" s="3">
        <f ca="1">IFERROR(__xludf.DUMMYFUNCTION("""COMPUTED_VALUE"""),52864)</f>
        <v>52864</v>
      </c>
      <c r="C834" s="3">
        <f ca="1">IFERROR(__xludf.DUMMYFUNCTION("""COMPUTED_VALUE"""),5902557333271)</f>
        <v>5902557333271</v>
      </c>
      <c r="D834" s="4" t="str">
        <f ca="1">IFERROR(__xludf.DUMMYFUNCTION("""COMPUTED_VALUE"""),"KABINA FARGO BLACK 80x100 U")</f>
        <v>KABINA FARGO BLACK 80x100 U</v>
      </c>
      <c r="E834" s="31">
        <v>345.63414634146346</v>
      </c>
      <c r="F834" s="31">
        <f t="shared" si="12"/>
        <v>425.13000000000005</v>
      </c>
    </row>
    <row r="835" spans="1:6" ht="18.75" customHeight="1" x14ac:dyDescent="0.25">
      <c r="A835" s="2" t="str">
        <f ca="1">IFERROR(__xludf.DUMMYFUNCTION("""COMPUTED_VALUE"""),"REA-K3214")</f>
        <v>REA-K3214</v>
      </c>
      <c r="B835" s="3">
        <f ca="1">IFERROR(__xludf.DUMMYFUNCTION("""COMPUTED_VALUE"""),39097)</f>
        <v>39097</v>
      </c>
      <c r="C835" s="3">
        <f ca="1">IFERROR(__xludf.DUMMYFUNCTION("""COMPUTED_VALUE"""),5902557354603)</f>
        <v>5902557354603</v>
      </c>
      <c r="D835" s="4" t="str">
        <f ca="1">IFERROR(__xludf.DUMMYFUNCTION("""COMPUTED_VALUE"""),"KABINA FARGO BLACK 90x120 U")</f>
        <v>KABINA FARGO BLACK 90x120 U</v>
      </c>
      <c r="E835" s="31">
        <v>371.80487804878049</v>
      </c>
      <c r="F835" s="31">
        <f t="shared" ref="F835:F898" si="13">E835*1.23</f>
        <v>457.32</v>
      </c>
    </row>
    <row r="836" spans="1:6" ht="18.75" customHeight="1" x14ac:dyDescent="0.25">
      <c r="A836" s="2" t="str">
        <f ca="1">IFERROR(__xludf.DUMMYFUNCTION("""COMPUTED_VALUE"""),"REA-K6318")</f>
        <v>REA-K6318</v>
      </c>
      <c r="B836" s="3">
        <f ca="1">IFERROR(__xludf.DUMMYFUNCTION("""COMPUTED_VALUE"""),52850)</f>
        <v>52850</v>
      </c>
      <c r="C836" s="3">
        <f ca="1">IFERROR(__xludf.DUMMYFUNCTION("""COMPUTED_VALUE"""),5902557342174)</f>
        <v>5902557342174</v>
      </c>
      <c r="D836" s="4" t="str">
        <f ca="1">IFERROR(__xludf.DUMMYFUNCTION("""COMPUTED_VALUE"""),"KABINA FARGO BLACK 90x90 U")</f>
        <v>KABINA FARGO BLACK 90x90 U</v>
      </c>
      <c r="E836" s="31">
        <v>339.31707317073176</v>
      </c>
      <c r="F836" s="31">
        <f t="shared" si="13"/>
        <v>417.36000000000007</v>
      </c>
    </row>
    <row r="837" spans="1:6" ht="18.75" customHeight="1" x14ac:dyDescent="0.25">
      <c r="A837" s="2" t="str">
        <f ca="1">IFERROR(__xludf.DUMMYFUNCTION("""COMPUTED_VALUE"""),"REA-K4907")</f>
        <v>REA-K4907</v>
      </c>
      <c r="B837" s="3">
        <f ca="1">IFERROR(__xludf.DUMMYFUNCTION("""COMPUTED_VALUE"""),52859)</f>
        <v>52859</v>
      </c>
      <c r="C837" s="3">
        <f ca="1">IFERROR(__xludf.DUMMYFUNCTION("""COMPUTED_VALUE"""),5902557366217)</f>
        <v>5902557366217</v>
      </c>
      <c r="D837" s="4" t="str">
        <f ca="1">IFERROR(__xludf.DUMMYFUNCTION("""COMPUTED_VALUE"""),"KABINA FARGO GOLD 80x100 U")</f>
        <v>KABINA FARGO GOLD 80x100 U</v>
      </c>
      <c r="E837" s="31">
        <v>520.70731707317077</v>
      </c>
      <c r="F837" s="31">
        <f t="shared" si="13"/>
        <v>640.47</v>
      </c>
    </row>
    <row r="838" spans="1:6" ht="18.75" customHeight="1" x14ac:dyDescent="0.25">
      <c r="A838" s="2" t="str">
        <f ca="1">IFERROR(__xludf.DUMMYFUNCTION("""COMPUTED_VALUE"""),"REA-K6614")</f>
        <v>REA-K6614</v>
      </c>
      <c r="B838" s="3">
        <f ca="1">IFERROR(__xludf.DUMMYFUNCTION("""COMPUTED_VALUE"""),48733)</f>
        <v>48733</v>
      </c>
      <c r="C838" s="3">
        <f ca="1">IFERROR(__xludf.DUMMYFUNCTION("""COMPUTED_VALUE"""),5902557377428)</f>
        <v>5902557377428</v>
      </c>
      <c r="D838" s="4" t="str">
        <f ca="1">IFERROR(__xludf.DUMMYFUNCTION("""COMPUTED_VALUE"""),"KABINA FARGO GOLD 90x120 U")</f>
        <v>KABINA FARGO GOLD 90x120 U</v>
      </c>
      <c r="E838" s="31">
        <v>439.48780487804885</v>
      </c>
      <c r="F838" s="31">
        <f t="shared" si="13"/>
        <v>540.57000000000005</v>
      </c>
    </row>
    <row r="839" spans="1:6" ht="18.75" customHeight="1" x14ac:dyDescent="0.25">
      <c r="A839" s="2" t="str">
        <f ca="1">IFERROR(__xludf.DUMMYFUNCTION("""COMPUTED_VALUE"""),"REA-K4903")</f>
        <v>REA-K4903</v>
      </c>
      <c r="B839" s="3">
        <f ca="1">IFERROR(__xludf.DUMMYFUNCTION("""COMPUTED_VALUE"""),52853)</f>
        <v>52853</v>
      </c>
      <c r="C839" s="3">
        <f ca="1">IFERROR(__xludf.DUMMYFUNCTION("""COMPUTED_VALUE"""),5902557355815)</f>
        <v>5902557355815</v>
      </c>
      <c r="D839" s="4" t="str">
        <f ca="1">IFERROR(__xludf.DUMMYFUNCTION("""COMPUTED_VALUE"""),"KABINA FARGO GOLD 90x90 U")</f>
        <v>KABINA FARGO GOLD 90x90 U</v>
      </c>
      <c r="E839" s="31">
        <v>430.46</v>
      </c>
      <c r="F839" s="31">
        <f t="shared" si="13"/>
        <v>529.46579999999994</v>
      </c>
    </row>
    <row r="840" spans="1:6" ht="18.75" customHeight="1" x14ac:dyDescent="0.25">
      <c r="A840" s="2" t="str">
        <f ca="1">IFERROR(__xludf.DUMMYFUNCTION("""COMPUTED_VALUE"""),"REA-K1950")</f>
        <v>REA-K1950</v>
      </c>
      <c r="B840" s="3">
        <f ca="1">IFERROR(__xludf.DUMMYFUNCTION("""COMPUTED_VALUE"""),13238)</f>
        <v>13238</v>
      </c>
      <c r="C840" s="3">
        <f ca="1">IFERROR(__xludf.DUMMYFUNCTION("""COMPUTED_VALUE"""),5902557328895)</f>
        <v>5902557328895</v>
      </c>
      <c r="D840" s="4" t="str">
        <f ca="1">IFERROR(__xludf.DUMMYFUNCTION("""COMPUTED_VALUE"""),"KABINA FOLD N2 70*70 TRANSP")</f>
        <v>KABINA FOLD N2 70*70 TRANSP</v>
      </c>
      <c r="E840" s="31">
        <v>278.85365853658539</v>
      </c>
      <c r="F840" s="31">
        <f t="shared" si="13"/>
        <v>342.99</v>
      </c>
    </row>
    <row r="841" spans="1:6" ht="18.75" customHeight="1" x14ac:dyDescent="0.25">
      <c r="A841" s="2" t="str">
        <f ca="1">IFERROR(__xludf.DUMMYFUNCTION("""COMPUTED_VALUE"""),"REA-K9990")</f>
        <v>REA-K9990</v>
      </c>
      <c r="B841" s="3">
        <f ca="1">IFERROR(__xludf.DUMMYFUNCTION("""COMPUTED_VALUE"""),1327)</f>
        <v>1327</v>
      </c>
      <c r="C841" s="3">
        <f ca="1">IFERROR(__xludf.DUMMYFUNCTION("""COMPUTED_VALUE"""),5902557341528)</f>
        <v>5902557341528</v>
      </c>
      <c r="D841" s="4" t="str">
        <f ca="1">IFERROR(__xludf.DUMMYFUNCTION("""COMPUTED_VALUE"""),"KABINA FOLD N2 CHROM 80x80")</f>
        <v>KABINA FOLD N2 CHROM 80x80</v>
      </c>
      <c r="E841" s="31">
        <v>318.56097560975616</v>
      </c>
      <c r="F841" s="31">
        <f t="shared" si="13"/>
        <v>391.83000000000004</v>
      </c>
    </row>
    <row r="842" spans="1:6" ht="18.75" customHeight="1" x14ac:dyDescent="0.25">
      <c r="A842" s="2" t="str">
        <f ca="1">IFERROR(__xludf.DUMMYFUNCTION("""COMPUTED_VALUE"""),"REA-K9991")</f>
        <v>REA-K9991</v>
      </c>
      <c r="B842" s="3">
        <f ca="1">IFERROR(__xludf.DUMMYFUNCTION("""COMPUTED_VALUE"""),1328)</f>
        <v>1328</v>
      </c>
      <c r="C842" s="3">
        <f ca="1">IFERROR(__xludf.DUMMYFUNCTION("""COMPUTED_VALUE"""),5902557341535)</f>
        <v>5902557341535</v>
      </c>
      <c r="D842" s="4" t="str">
        <f ca="1">IFERROR(__xludf.DUMMYFUNCTION("""COMPUTED_VALUE"""),"KABINA FOLD N2 CHROM 90x90")</f>
        <v>KABINA FOLD N2 CHROM 90x90</v>
      </c>
      <c r="E842" s="31">
        <v>334.80487804878049</v>
      </c>
      <c r="F842" s="31">
        <f t="shared" si="13"/>
        <v>411.81</v>
      </c>
    </row>
    <row r="843" spans="1:6" ht="18.75" customHeight="1" x14ac:dyDescent="0.25">
      <c r="A843" s="2" t="str">
        <f ca="1">IFERROR(__xludf.DUMMYFUNCTION("""COMPUTED_VALUE"""),"REA-K8969")</f>
        <v>REA-K8969</v>
      </c>
      <c r="B843" s="3">
        <f ca="1">IFERROR(__xludf.DUMMYFUNCTION("""COMPUTED_VALUE"""),43300)</f>
        <v>43300</v>
      </c>
      <c r="C843" s="3">
        <f ca="1">IFERROR(__xludf.DUMMYFUNCTION("""COMPUTED_VALUE"""),5902557367061)</f>
        <v>5902557367061</v>
      </c>
      <c r="D843" s="4" t="str">
        <f ca="1">IFERROR(__xludf.DUMMYFUNCTION("""COMPUTED_VALUE"""),"KABINA HEX BLACK 80x80")</f>
        <v>KABINA HEX BLACK 80x80</v>
      </c>
      <c r="E843" s="31">
        <v>251.78048780487808</v>
      </c>
      <c r="F843" s="31">
        <f t="shared" si="13"/>
        <v>309.69000000000005</v>
      </c>
    </row>
    <row r="844" spans="1:6" ht="18.75" customHeight="1" x14ac:dyDescent="0.25">
      <c r="A844" s="2" t="str">
        <f ca="1">IFERROR(__xludf.DUMMYFUNCTION("""COMPUTED_VALUE"""),"REA-K8979")</f>
        <v>REA-K8979</v>
      </c>
      <c r="B844" s="3">
        <f ca="1">IFERROR(__xludf.DUMMYFUNCTION("""COMPUTED_VALUE"""),43304)</f>
        <v>43304</v>
      </c>
      <c r="C844" s="3">
        <f ca="1">IFERROR(__xludf.DUMMYFUNCTION("""COMPUTED_VALUE"""),5902557367078)</f>
        <v>5902557367078</v>
      </c>
      <c r="D844" s="4" t="str">
        <f ca="1">IFERROR(__xludf.DUMMYFUNCTION("""COMPUTED_VALUE"""),"KABINA HEX BLACK 90x90")</f>
        <v>KABINA HEX BLACK 90x90</v>
      </c>
      <c r="E844" s="31">
        <v>268.92682926829269</v>
      </c>
      <c r="F844" s="31">
        <f t="shared" si="13"/>
        <v>330.78000000000003</v>
      </c>
    </row>
    <row r="845" spans="1:6" ht="18.75" customHeight="1" x14ac:dyDescent="0.25">
      <c r="A845" s="2" t="str">
        <f ca="1">IFERROR(__xludf.DUMMYFUNCTION("""COMPUTED_VALUE"""),"REA-K6602")</f>
        <v>REA-K6602</v>
      </c>
      <c r="B845" s="3">
        <f ca="1">IFERROR(__xludf.DUMMYFUNCTION("""COMPUTED_VALUE"""),51772)</f>
        <v>51772</v>
      </c>
      <c r="C845" s="3">
        <f ca="1">IFERROR(__xludf.DUMMYFUNCTION("""COMPUTED_VALUE"""),5902557376582)</f>
        <v>5902557376582</v>
      </c>
      <c r="D845" s="4" t="str">
        <f ca="1">IFERROR(__xludf.DUMMYFUNCTION("""COMPUTED_VALUE"""),"KABINA HUGO BLACK 100x100")</f>
        <v>KABINA HUGO BLACK 100x100</v>
      </c>
      <c r="E845" s="31">
        <v>460.2439024390244</v>
      </c>
      <c r="F845" s="31">
        <f t="shared" si="13"/>
        <v>566.1</v>
      </c>
    </row>
    <row r="846" spans="1:6" ht="18.75" customHeight="1" x14ac:dyDescent="0.25">
      <c r="A846" s="2" t="str">
        <f ca="1">IFERROR(__xludf.DUMMYFUNCTION("""COMPUTED_VALUE"""),"REA-K6600")</f>
        <v>REA-K6600</v>
      </c>
      <c r="B846" s="3">
        <f ca="1">IFERROR(__xludf.DUMMYFUNCTION("""COMPUTED_VALUE"""),51746)</f>
        <v>51746</v>
      </c>
      <c r="C846" s="3">
        <f ca="1">IFERROR(__xludf.DUMMYFUNCTION("""COMPUTED_VALUE"""),5902557376568)</f>
        <v>5902557376568</v>
      </c>
      <c r="D846" s="4" t="str">
        <f ca="1">IFERROR(__xludf.DUMMYFUNCTION("""COMPUTED_VALUE"""),"KABINA HUGO BLACK 80x80")</f>
        <v>KABINA HUGO BLACK 80x80</v>
      </c>
      <c r="E846" s="31">
        <v>440.39024390243907</v>
      </c>
      <c r="F846" s="31">
        <f t="shared" si="13"/>
        <v>541.68000000000006</v>
      </c>
    </row>
    <row r="847" spans="1:6" ht="18.75" customHeight="1" x14ac:dyDescent="0.25">
      <c r="A847" s="2" t="str">
        <f ca="1">IFERROR(__xludf.DUMMYFUNCTION("""COMPUTED_VALUE"""),"REA-K6601")</f>
        <v>REA-K6601</v>
      </c>
      <c r="B847" s="3">
        <f ca="1">IFERROR(__xludf.DUMMYFUNCTION("""COMPUTED_VALUE"""),51759)</f>
        <v>51759</v>
      </c>
      <c r="C847" s="3">
        <f ca="1">IFERROR(__xludf.DUMMYFUNCTION("""COMPUTED_VALUE"""),5902557376575)</f>
        <v>5902557376575</v>
      </c>
      <c r="D847" s="4" t="str">
        <f ca="1">IFERROR(__xludf.DUMMYFUNCTION("""COMPUTED_VALUE"""),"KABINA HUGO BLACK 90x90")</f>
        <v>KABINA HUGO BLACK 90x90</v>
      </c>
      <c r="E847" s="31">
        <v>454.82926829268297</v>
      </c>
      <c r="F847" s="31">
        <f t="shared" si="13"/>
        <v>559.44000000000005</v>
      </c>
    </row>
    <row r="848" spans="1:6" ht="18.75" customHeight="1" x14ac:dyDescent="0.25">
      <c r="A848" s="2" t="str">
        <f ca="1">IFERROR(__xludf.DUMMYFUNCTION("""COMPUTED_VALUE"""),"REA-K6605")</f>
        <v>REA-K6605</v>
      </c>
      <c r="B848" s="3">
        <f ca="1">IFERROR(__xludf.DUMMYFUNCTION("""COMPUTED_VALUE"""),51917)</f>
        <v>51917</v>
      </c>
      <c r="C848" s="3">
        <f ca="1">IFERROR(__xludf.DUMMYFUNCTION("""COMPUTED_VALUE"""),5902557376681)</f>
        <v>5902557376681</v>
      </c>
      <c r="D848" s="4" t="str">
        <f ca="1">IFERROR(__xludf.DUMMYFUNCTION("""COMPUTED_VALUE"""),"KABINA HUGO GOLD BRUSH 100x100")</f>
        <v>KABINA HUGO GOLD BRUSH 100x100</v>
      </c>
      <c r="E848" s="31">
        <v>445.80487804878055</v>
      </c>
      <c r="F848" s="31">
        <f t="shared" si="13"/>
        <v>548.34</v>
      </c>
    </row>
    <row r="849" spans="1:6" ht="18.75" customHeight="1" x14ac:dyDescent="0.25">
      <c r="A849" s="2" t="str">
        <f ca="1">IFERROR(__xludf.DUMMYFUNCTION("""COMPUTED_VALUE"""),"REA-K6608")</f>
        <v>REA-K6608</v>
      </c>
      <c r="B849" s="3">
        <f ca="1">IFERROR(__xludf.DUMMYFUNCTION("""COMPUTED_VALUE"""),51939)</f>
        <v>51939</v>
      </c>
      <c r="C849" s="3">
        <f ca="1">IFERROR(__xludf.DUMMYFUNCTION("""COMPUTED_VALUE"""),5902557376667)</f>
        <v>5902557376667</v>
      </c>
      <c r="D849" s="4" t="str">
        <f ca="1">IFERROR(__xludf.DUMMYFUNCTION("""COMPUTED_VALUE"""),"KABINA HUGO GOLD BRUSH 80x80")</f>
        <v>KABINA HUGO GOLD BRUSH 80x80</v>
      </c>
      <c r="E849" s="31">
        <v>387.14634146341473</v>
      </c>
      <c r="F849" s="31">
        <f t="shared" si="13"/>
        <v>476.19000000000011</v>
      </c>
    </row>
    <row r="850" spans="1:6" ht="18.75" customHeight="1" x14ac:dyDescent="0.25">
      <c r="A850" s="2" t="str">
        <f ca="1">IFERROR(__xludf.DUMMYFUNCTION("""COMPUTED_VALUE"""),"REA-K6609")</f>
        <v>REA-K6609</v>
      </c>
      <c r="B850" s="3">
        <f ca="1">IFERROR(__xludf.DUMMYFUNCTION("""COMPUTED_VALUE"""),51928)</f>
        <v>51928</v>
      </c>
      <c r="C850" s="3">
        <f ca="1">IFERROR(__xludf.DUMMYFUNCTION("""COMPUTED_VALUE"""),5902557376674)</f>
        <v>5902557376674</v>
      </c>
      <c r="D850" s="4" t="str">
        <f ca="1">IFERROR(__xludf.DUMMYFUNCTION("""COMPUTED_VALUE"""),"KABINA HUGO GOLD BRUSH 90x90")</f>
        <v>KABINA HUGO GOLD BRUSH 90x90</v>
      </c>
      <c r="E850" s="31">
        <v>436.78048780487808</v>
      </c>
      <c r="F850" s="31">
        <f t="shared" si="13"/>
        <v>537.24</v>
      </c>
    </row>
    <row r="851" spans="1:6" ht="18.75" customHeight="1" x14ac:dyDescent="0.25">
      <c r="A851" s="2" t="str">
        <f ca="1">IFERROR(__xludf.DUMMYFUNCTION("""COMPUTED_VALUE"""),"REA-K7900")</f>
        <v>REA-K7900</v>
      </c>
      <c r="B851" s="3">
        <f ca="1">IFERROR(__xludf.DUMMYFUNCTION("""COMPUTED_VALUE"""),49573)</f>
        <v>49573</v>
      </c>
      <c r="C851" s="3">
        <f ca="1">IFERROR(__xludf.DUMMYFUNCTION("""COMPUTED_VALUE"""),5902557380428)</f>
        <v>5902557380428</v>
      </c>
      <c r="D851" s="4" t="str">
        <f ca="1">IFERROR(__xludf.DUMMYFUNCTION("""COMPUTED_VALUE"""),"KABINA LOOK BLACK 80x100")</f>
        <v>KABINA LOOK BLACK 80x100</v>
      </c>
      <c r="E851" s="31">
        <v>186.80487804878049</v>
      </c>
      <c r="F851" s="31">
        <f t="shared" si="13"/>
        <v>229.77</v>
      </c>
    </row>
    <row r="852" spans="1:6" ht="18.75" customHeight="1" x14ac:dyDescent="0.25">
      <c r="A852" s="2" t="str">
        <f ca="1">IFERROR(__xludf.DUMMYFUNCTION("""COMPUTED_VALUE"""),"REA-K7902")</f>
        <v>REA-K7902</v>
      </c>
      <c r="B852" s="3">
        <f ca="1">IFERROR(__xludf.DUMMYFUNCTION("""COMPUTED_VALUE"""),49655)</f>
        <v>49655</v>
      </c>
      <c r="C852" s="3">
        <f ca="1">IFERROR(__xludf.DUMMYFUNCTION("""COMPUTED_VALUE"""),5902557380404)</f>
        <v>5902557380404</v>
      </c>
      <c r="D852" s="4" t="str">
        <f ca="1">IFERROR(__xludf.DUMMYFUNCTION("""COMPUTED_VALUE"""),"KABINA LOOK BLACK 80x80")</f>
        <v>KABINA LOOK BLACK 80x80</v>
      </c>
      <c r="E852" s="31">
        <v>166.04878048780489</v>
      </c>
      <c r="F852" s="31">
        <f t="shared" si="13"/>
        <v>204.24</v>
      </c>
    </row>
    <row r="853" spans="1:6" ht="18.75" customHeight="1" x14ac:dyDescent="0.25">
      <c r="A853" s="2" t="str">
        <f ca="1">IFERROR(__xludf.DUMMYFUNCTION("""COMPUTED_VALUE"""),"REA-K7903")</f>
        <v>REA-K7903</v>
      </c>
      <c r="B853" s="3">
        <f ca="1">IFERROR(__xludf.DUMMYFUNCTION("""COMPUTED_VALUE"""),49656)</f>
        <v>49656</v>
      </c>
      <c r="C853" s="3">
        <f ca="1">IFERROR(__xludf.DUMMYFUNCTION("""COMPUTED_VALUE"""),5902557380411)</f>
        <v>5902557380411</v>
      </c>
      <c r="D853" s="4" t="str">
        <f ca="1">IFERROR(__xludf.DUMMYFUNCTION("""COMPUTED_VALUE"""),"KABINA LOOK BLACK 90x90")</f>
        <v>KABINA LOOK BLACK 90x90</v>
      </c>
      <c r="E853" s="31">
        <v>184.09756097560975</v>
      </c>
      <c r="F853" s="31">
        <f t="shared" si="13"/>
        <v>226.44</v>
      </c>
    </row>
    <row r="854" spans="1:6" ht="18.75" customHeight="1" x14ac:dyDescent="0.25">
      <c r="A854" s="2" t="str">
        <f ca="1">IFERROR(__xludf.DUMMYFUNCTION("""COMPUTED_VALUE"""),"REA-K7901")</f>
        <v>REA-K7901</v>
      </c>
      <c r="B854" s="3">
        <f ca="1">IFERROR(__xludf.DUMMYFUNCTION("""COMPUTED_VALUE"""),49643)</f>
        <v>49643</v>
      </c>
      <c r="C854" s="3">
        <f ca="1">IFERROR(__xludf.DUMMYFUNCTION("""COMPUTED_VALUE"""),5902557380459)</f>
        <v>5902557380459</v>
      </c>
      <c r="D854" s="4" t="str">
        <f ca="1">IFERROR(__xludf.DUMMYFUNCTION("""COMPUTED_VALUE"""),"KABINA LOOK CHROME 80x100")</f>
        <v>KABINA LOOK CHROME 80x100</v>
      </c>
      <c r="E854" s="31">
        <v>182.29268292682929</v>
      </c>
      <c r="F854" s="31">
        <f t="shared" si="13"/>
        <v>224.22000000000003</v>
      </c>
    </row>
    <row r="855" spans="1:6" ht="18.75" customHeight="1" x14ac:dyDescent="0.25">
      <c r="A855" s="2" t="str">
        <f ca="1">IFERROR(__xludf.DUMMYFUNCTION("""COMPUTED_VALUE"""),"REA-K7904")</f>
        <v>REA-K7904</v>
      </c>
      <c r="B855" s="3">
        <f ca="1">IFERROR(__xludf.DUMMYFUNCTION("""COMPUTED_VALUE"""),49641)</f>
        <v>49641</v>
      </c>
      <c r="C855" s="3">
        <f ca="1">IFERROR(__xludf.DUMMYFUNCTION("""COMPUTED_VALUE"""),5902557380435)</f>
        <v>5902557380435</v>
      </c>
      <c r="D855" s="4" t="str">
        <f ca="1">IFERROR(__xludf.DUMMYFUNCTION("""COMPUTED_VALUE"""),"KABINA LOOK CHROME 80x80")</f>
        <v>KABINA LOOK CHROME 80x80</v>
      </c>
      <c r="E855" s="31">
        <v>180.48780487804879</v>
      </c>
      <c r="F855" s="31">
        <f t="shared" si="13"/>
        <v>222</v>
      </c>
    </row>
    <row r="856" spans="1:6" ht="18.75" customHeight="1" x14ac:dyDescent="0.25">
      <c r="A856" s="2" t="str">
        <f ca="1">IFERROR(__xludf.DUMMYFUNCTION("""COMPUTED_VALUE"""),"REA-K7905")</f>
        <v>REA-K7905</v>
      </c>
      <c r="B856" s="3">
        <f ca="1">IFERROR(__xludf.DUMMYFUNCTION("""COMPUTED_VALUE"""),49642)</f>
        <v>49642</v>
      </c>
      <c r="C856" s="3">
        <f ca="1">IFERROR(__xludf.DUMMYFUNCTION("""COMPUTED_VALUE"""),5902557380442)</f>
        <v>5902557380442</v>
      </c>
      <c r="D856" s="4" t="str">
        <f ca="1">IFERROR(__xludf.DUMMYFUNCTION("""COMPUTED_VALUE"""),"KABINA LOOK CHROME 90x90")</f>
        <v>KABINA LOOK CHROME 90x90</v>
      </c>
      <c r="E856" s="31">
        <v>181.39024390243904</v>
      </c>
      <c r="F856" s="31">
        <f t="shared" si="13"/>
        <v>223.11</v>
      </c>
    </row>
    <row r="857" spans="1:6" ht="18.75" customHeight="1" x14ac:dyDescent="0.25">
      <c r="A857" s="2" t="str">
        <f ca="1">IFERROR(__xludf.DUMMYFUNCTION("""COMPUTED_VALUE"""),"REA-K4512")</f>
        <v>REA-K4512</v>
      </c>
      <c r="B857" s="3">
        <f ca="1">IFERROR(__xludf.DUMMYFUNCTION("""COMPUTED_VALUE"""),39321)</f>
        <v>39321</v>
      </c>
      <c r="C857" s="3">
        <f ca="1">IFERROR(__xludf.DUMMYFUNCTION("""COMPUTED_VALUE"""),5902557330492)</f>
        <v>5902557330492</v>
      </c>
      <c r="D857" s="4" t="str">
        <f ca="1">IFERROR(__xludf.DUMMYFUNCTION("""COMPUTED_VALUE"""),"KABINA MADOX 80X100 U")</f>
        <v>KABINA MADOX 80X100 U</v>
      </c>
      <c r="E857" s="31">
        <v>231.02439024390245</v>
      </c>
      <c r="F857" s="31">
        <f t="shared" si="13"/>
        <v>284.16000000000003</v>
      </c>
    </row>
    <row r="858" spans="1:6" ht="18.75" customHeight="1" x14ac:dyDescent="0.25">
      <c r="A858" s="2" t="str">
        <f ca="1">IFERROR(__xludf.DUMMYFUNCTION("""COMPUTED_VALUE"""),"REA-K5630")</f>
        <v>REA-K5630</v>
      </c>
      <c r="B858" s="3">
        <f ca="1">IFERROR(__xludf.DUMMYFUNCTION("""COMPUTED_VALUE"""),39320)</f>
        <v>39320</v>
      </c>
      <c r="C858" s="3">
        <f ca="1">IFERROR(__xludf.DUMMYFUNCTION("""COMPUTED_VALUE"""),5902557330485)</f>
        <v>5902557330485</v>
      </c>
      <c r="D858" s="4" t="str">
        <f ca="1">IFERROR(__xludf.DUMMYFUNCTION("""COMPUTED_VALUE"""),"KABINA MADOX 90X120 U")</f>
        <v>KABINA MADOX 90X120 U</v>
      </c>
      <c r="E858" s="31">
        <v>263.51219512195127</v>
      </c>
      <c r="F858" s="31">
        <f t="shared" si="13"/>
        <v>324.12000000000006</v>
      </c>
    </row>
    <row r="859" spans="1:6" ht="18.75" customHeight="1" x14ac:dyDescent="0.25">
      <c r="A859" s="2" t="str">
        <f ca="1">IFERROR(__xludf.DUMMYFUNCTION("""COMPUTED_VALUE"""),"REA-K4527")</f>
        <v>REA-K4527</v>
      </c>
      <c r="B859" s="3">
        <f ca="1">IFERROR(__xludf.DUMMYFUNCTION("""COMPUTED_VALUE"""),39319)</f>
        <v>39319</v>
      </c>
      <c r="C859" s="3">
        <f ca="1">IFERROR(__xludf.DUMMYFUNCTION("""COMPUTED_VALUE"""),5902557330478)</f>
        <v>5902557330478</v>
      </c>
      <c r="D859" s="4" t="str">
        <f ca="1">IFERROR(__xludf.DUMMYFUNCTION("""COMPUTED_VALUE"""),"KABINA MADOX CHROM 90x90 U")</f>
        <v>KABINA MADOX CHROM 90x90 U</v>
      </c>
      <c r="E859" s="31">
        <v>349.2439024390244</v>
      </c>
      <c r="F859" s="31">
        <f t="shared" si="13"/>
        <v>429.57</v>
      </c>
    </row>
    <row r="860" spans="1:6" ht="18.75" customHeight="1" x14ac:dyDescent="0.25">
      <c r="A860" s="2" t="str">
        <f ca="1">IFERROR(__xludf.DUMMYFUNCTION("""COMPUTED_VALUE"""),"REA-K4001")</f>
        <v>REA-K4001</v>
      </c>
      <c r="B860" s="3">
        <f ca="1">IFERROR(__xludf.DUMMYFUNCTION("""COMPUTED_VALUE"""),27318)</f>
        <v>27318</v>
      </c>
      <c r="C860" s="3">
        <f ca="1">IFERROR(__xludf.DUMMYFUNCTION("""COMPUTED_VALUE"""),5902557330430)</f>
        <v>5902557330430</v>
      </c>
      <c r="D860" s="4" t="str">
        <f ca="1">IFERROR(__xludf.DUMMYFUNCTION("""COMPUTED_VALUE"""),"KABINA MARTEN 80*120")</f>
        <v>KABINA MARTEN 80*120</v>
      </c>
      <c r="E860" s="31">
        <v>255.39024390243907</v>
      </c>
      <c r="F860" s="31">
        <f t="shared" si="13"/>
        <v>314.13000000000005</v>
      </c>
    </row>
    <row r="861" spans="1:6" ht="18.75" customHeight="1" x14ac:dyDescent="0.25">
      <c r="A861" s="2" t="str">
        <f ca="1">IFERROR(__xludf.DUMMYFUNCTION("""COMPUTED_VALUE"""),"REA-K4002")</f>
        <v>REA-K4002</v>
      </c>
      <c r="B861" s="3">
        <f ca="1">IFERROR(__xludf.DUMMYFUNCTION("""COMPUTED_VALUE"""),27303)</f>
        <v>27303</v>
      </c>
      <c r="C861" s="3">
        <f ca="1">IFERROR(__xludf.DUMMYFUNCTION("""COMPUTED_VALUE"""),5902557330447)</f>
        <v>5902557330447</v>
      </c>
      <c r="D861" s="4" t="str">
        <f ca="1">IFERROR(__xludf.DUMMYFUNCTION("""COMPUTED_VALUE"""),"KABINA MARTEN 90*120")</f>
        <v>KABINA MARTEN 90*120</v>
      </c>
      <c r="E861" s="31">
        <v>265.31707317073176</v>
      </c>
      <c r="F861" s="31">
        <f t="shared" si="13"/>
        <v>326.34000000000003</v>
      </c>
    </row>
    <row r="862" spans="1:6" ht="18.75" customHeight="1" x14ac:dyDescent="0.25">
      <c r="A862" s="2" t="str">
        <f ca="1">IFERROR(__xludf.DUMMYFUNCTION("""COMPUTED_VALUE"""),"REA-K4000")</f>
        <v>REA-K4000</v>
      </c>
      <c r="B862" s="3">
        <f ca="1">IFERROR(__xludf.DUMMYFUNCTION("""COMPUTED_VALUE"""),14482)</f>
        <v>14482</v>
      </c>
      <c r="C862" s="3">
        <f ca="1">IFERROR(__xludf.DUMMYFUNCTION("""COMPUTED_VALUE"""),5902557330423)</f>
        <v>5902557330423</v>
      </c>
      <c r="D862" s="4" t="str">
        <f ca="1">IFERROR(__xludf.DUMMYFUNCTION("""COMPUTED_VALUE"""),"KABINA MARTEN CHROM 80x100")</f>
        <v>KABINA MARTEN CHROM 80x100</v>
      </c>
      <c r="E862" s="31">
        <v>366.39024390243901</v>
      </c>
      <c r="F862" s="31">
        <f t="shared" si="13"/>
        <v>450.65999999999997</v>
      </c>
    </row>
    <row r="863" spans="1:6" ht="18.75" customHeight="1" x14ac:dyDescent="0.25">
      <c r="A863" s="2" t="str">
        <f ca="1">IFERROR(__xludf.DUMMYFUNCTION("""COMPUTED_VALUE"""),"REA-K0264")</f>
        <v>REA-K0264</v>
      </c>
      <c r="B863" s="3">
        <f ca="1">IFERROR(__xludf.DUMMYFUNCTION("""COMPUTED_VALUE"""),26041)</f>
        <v>26041</v>
      </c>
      <c r="C863" s="3">
        <f ca="1">IFERROR(__xludf.DUMMYFUNCTION("""COMPUTED_VALUE"""),5902557306268)</f>
        <v>5902557306268</v>
      </c>
      <c r="D863" s="4" t="str">
        <f ca="1">IFERROR(__xludf.DUMMYFUNCTION("""COMPUTED_VALUE"""),"KABINA MAXIM CHROM 80 L")</f>
        <v>KABINA MAXIM CHROM 80 L</v>
      </c>
      <c r="E863" s="31">
        <v>256.29268292682929</v>
      </c>
      <c r="F863" s="31">
        <f t="shared" si="13"/>
        <v>315.24</v>
      </c>
    </row>
    <row r="864" spans="1:6" ht="18.75" customHeight="1" x14ac:dyDescent="0.25">
      <c r="A864" s="2" t="str">
        <f ca="1">IFERROR(__xludf.DUMMYFUNCTION("""COMPUTED_VALUE"""),"REA-K0268")</f>
        <v>REA-K0268</v>
      </c>
      <c r="B864" s="3">
        <f ca="1">IFERROR(__xludf.DUMMYFUNCTION("""COMPUTED_VALUE"""),26039)</f>
        <v>26039</v>
      </c>
      <c r="C864" s="3">
        <f ca="1">IFERROR(__xludf.DUMMYFUNCTION("""COMPUTED_VALUE"""),5902557306329)</f>
        <v>5902557306329</v>
      </c>
      <c r="D864" s="4" t="str">
        <f ca="1">IFERROR(__xludf.DUMMYFUNCTION("""COMPUTED_VALUE"""),"KABINA MAXIM CHROM 80 P")</f>
        <v>KABINA MAXIM CHROM 80 P</v>
      </c>
      <c r="E864" s="31">
        <v>256.29268292682929</v>
      </c>
      <c r="F864" s="31">
        <f t="shared" si="13"/>
        <v>315.24</v>
      </c>
    </row>
    <row r="865" spans="1:6" ht="18.75" customHeight="1" x14ac:dyDescent="0.25">
      <c r="A865" s="2" t="str">
        <f ca="1">IFERROR(__xludf.DUMMYFUNCTION("""COMPUTED_VALUE"""),"REA-K0263")</f>
        <v>REA-K0263</v>
      </c>
      <c r="B865" s="3">
        <f ca="1">IFERROR(__xludf.DUMMYFUNCTION("""COMPUTED_VALUE"""),1553)</f>
        <v>1553</v>
      </c>
      <c r="C865" s="3">
        <f ca="1">IFERROR(__xludf.DUMMYFUNCTION("""COMPUTED_VALUE"""),5902557306060)</f>
        <v>5902557306060</v>
      </c>
      <c r="D865" s="4" t="str">
        <f ca="1">IFERROR(__xludf.DUMMYFUNCTION("""COMPUTED_VALUE"""),"KABINA MAXIM CHROM 90 L")</f>
        <v>KABINA MAXIM CHROM 90 L</v>
      </c>
      <c r="E865" s="31">
        <v>265.31707317073176</v>
      </c>
      <c r="F865" s="31">
        <f t="shared" si="13"/>
        <v>326.34000000000003</v>
      </c>
    </row>
    <row r="866" spans="1:6" ht="18.75" customHeight="1" x14ac:dyDescent="0.25">
      <c r="A866" s="2" t="str">
        <f ca="1">IFERROR(__xludf.DUMMYFUNCTION("""COMPUTED_VALUE"""),"REA-K0267")</f>
        <v>REA-K0267</v>
      </c>
      <c r="B866" s="3">
        <f ca="1">IFERROR(__xludf.DUMMYFUNCTION("""COMPUTED_VALUE"""),1552)</f>
        <v>1552</v>
      </c>
      <c r="C866" s="3">
        <f ca="1">IFERROR(__xludf.DUMMYFUNCTION("""COMPUTED_VALUE"""),5902557306077)</f>
        <v>5902557306077</v>
      </c>
      <c r="D866" s="4" t="str">
        <f ca="1">IFERROR(__xludf.DUMMYFUNCTION("""COMPUTED_VALUE"""),"KABINA MAXIM CHROM 90 P")</f>
        <v>KABINA MAXIM CHROM 90 P</v>
      </c>
      <c r="E866" s="31">
        <v>265.31707317073176</v>
      </c>
      <c r="F866" s="31">
        <f t="shared" si="13"/>
        <v>326.34000000000003</v>
      </c>
    </row>
    <row r="867" spans="1:6" ht="18.75" customHeight="1" x14ac:dyDescent="0.25">
      <c r="A867" s="2" t="str">
        <f ca="1">IFERROR(__xludf.DUMMYFUNCTION("""COMPUTED_VALUE"""),"REA-K6635")</f>
        <v>REA-K6635</v>
      </c>
      <c r="B867" s="3">
        <f ca="1">IFERROR(__xludf.DUMMYFUNCTION("""COMPUTED_VALUE"""),54112)</f>
        <v>54112</v>
      </c>
      <c r="C867" s="3">
        <f ca="1">IFERROR(__xludf.DUMMYFUNCTION("""COMPUTED_VALUE"""),5906366006517)</f>
        <v>5906366006517</v>
      </c>
      <c r="D867" s="4" t="str">
        <f ca="1">IFERROR(__xludf.DUMMYFUNCTION("""COMPUTED_VALUE"""),"KABINA MONTANA BRUSH GOLD 80x100")</f>
        <v>KABINA MONTANA BRUSH GOLD 80x100</v>
      </c>
      <c r="E867" s="31">
        <v>309.53658536585368</v>
      </c>
      <c r="F867" s="31">
        <f t="shared" si="13"/>
        <v>380.73</v>
      </c>
    </row>
    <row r="868" spans="1:6" ht="18.75" customHeight="1" x14ac:dyDescent="0.25">
      <c r="A868" s="2" t="str">
        <f ca="1">IFERROR(__xludf.DUMMYFUNCTION("""COMPUTED_VALUE"""),"REA-K6636")</f>
        <v>REA-K6636</v>
      </c>
      <c r="B868" s="3">
        <f ca="1">IFERROR(__xludf.DUMMYFUNCTION("""COMPUTED_VALUE"""),54111)</f>
        <v>54111</v>
      </c>
      <c r="C868" s="3">
        <f ca="1">IFERROR(__xludf.DUMMYFUNCTION("""COMPUTED_VALUE"""),5906366006500)</f>
        <v>5906366006500</v>
      </c>
      <c r="D868" s="4" t="str">
        <f ca="1">IFERROR(__xludf.DUMMYFUNCTION("""COMPUTED_VALUE"""),"KABINA MONTANA BRUSH GOLD 90x90")</f>
        <v>KABINA MONTANA BRUSH GOLD 90x90</v>
      </c>
      <c r="E868" s="31">
        <v>323.07317073170736</v>
      </c>
      <c r="F868" s="31">
        <f t="shared" si="13"/>
        <v>397.38000000000005</v>
      </c>
    </row>
    <row r="869" spans="1:6" ht="18.75" customHeight="1" x14ac:dyDescent="0.25">
      <c r="A869" s="2" t="str">
        <f ca="1">IFERROR(__xludf.DUMMYFUNCTION("""COMPUTED_VALUE"""),"REA-K7402")</f>
        <v>REA-K7402</v>
      </c>
      <c r="B869" s="3"/>
      <c r="C869" s="3">
        <f ca="1">IFERROR(__xludf.DUMMYFUNCTION("""COMPUTED_VALUE"""),5902557325405)</f>
        <v>5902557325405</v>
      </c>
      <c r="D869" s="4" t="str">
        <f ca="1">IFERROR(__xludf.DUMMYFUNCTION("""COMPUTED_VALUE"""),"KABINA MORGAN 80*120 TR")</f>
        <v>KABINA MORGAN 80*120 TR</v>
      </c>
      <c r="E869" s="31">
        <v>309.53658536585368</v>
      </c>
      <c r="F869" s="31">
        <f t="shared" si="13"/>
        <v>380.73</v>
      </c>
    </row>
    <row r="870" spans="1:6" ht="18.75" customHeight="1" x14ac:dyDescent="0.25">
      <c r="A870" s="2" t="str">
        <f ca="1">IFERROR(__xludf.DUMMYFUNCTION("""COMPUTED_VALUE"""),"REA-K7403")</f>
        <v>REA-K7403</v>
      </c>
      <c r="B870" s="3"/>
      <c r="C870" s="3">
        <f ca="1">IFERROR(__xludf.DUMMYFUNCTION("""COMPUTED_VALUE"""),5902557325399)</f>
        <v>5902557325399</v>
      </c>
      <c r="D870" s="4" t="str">
        <f ca="1">IFERROR(__xludf.DUMMYFUNCTION("""COMPUTED_VALUE"""),"KABINA MORGAN 90*120 TR")</f>
        <v>KABINA MORGAN 90*120 TR</v>
      </c>
      <c r="E870" s="31">
        <v>212.97560975609758</v>
      </c>
      <c r="F870" s="31">
        <f t="shared" si="13"/>
        <v>261.96000000000004</v>
      </c>
    </row>
    <row r="871" spans="1:6" ht="18.75" customHeight="1" x14ac:dyDescent="0.25">
      <c r="A871" s="2" t="str">
        <f ca="1">IFERROR(__xludf.DUMMYFUNCTION("""COMPUTED_VALUE"""),"REA-K7400")</f>
        <v>REA-K7400</v>
      </c>
      <c r="B871" s="3"/>
      <c r="C871" s="3">
        <f ca="1">IFERROR(__xludf.DUMMYFUNCTION("""COMPUTED_VALUE"""),5902557325375)</f>
        <v>5902557325375</v>
      </c>
      <c r="D871" s="4" t="str">
        <f ca="1">IFERROR(__xludf.DUMMYFUNCTION("""COMPUTED_VALUE"""),"KABINA MORGAN 90*90 TR")</f>
        <v>KABINA MORGAN 90*90 TR</v>
      </c>
      <c r="E871" s="31">
        <v>296.90243902439028</v>
      </c>
      <c r="F871" s="31">
        <f t="shared" si="13"/>
        <v>365.19000000000005</v>
      </c>
    </row>
    <row r="872" spans="1:6" ht="18.75" customHeight="1" x14ac:dyDescent="0.25">
      <c r="A872" s="2" t="str">
        <f ca="1">IFERROR(__xludf.DUMMYFUNCTION("""COMPUTED_VALUE"""),"REA-K4806")</f>
        <v>REA-K4806</v>
      </c>
      <c r="B872" s="3">
        <f ca="1">IFERROR(__xludf.DUMMYFUNCTION("""COMPUTED_VALUE"""),39580)</f>
        <v>39580</v>
      </c>
      <c r="C872" s="3">
        <f ca="1">IFERROR(__xludf.DUMMYFUNCTION("""COMPUTED_VALUE"""),5902557354757)</f>
        <v>5902557354757</v>
      </c>
      <c r="D872" s="4" t="str">
        <f ca="1">IFERROR(__xludf.DUMMYFUNCTION("""COMPUTED_VALUE"""),"KABINA PUNTO BLACK 80x100")</f>
        <v>KABINA PUNTO BLACK 80x100</v>
      </c>
      <c r="E872" s="31">
        <v>188.60975609756099</v>
      </c>
      <c r="F872" s="31">
        <f t="shared" si="13"/>
        <v>231.99</v>
      </c>
    </row>
    <row r="873" spans="1:6" ht="18.75" customHeight="1" x14ac:dyDescent="0.25">
      <c r="A873" s="2" t="str">
        <f ca="1">IFERROR(__xludf.DUMMYFUNCTION("""COMPUTED_VALUE"""),"REA-K4800")</f>
        <v>REA-K4800</v>
      </c>
      <c r="B873" s="3">
        <f ca="1">IFERROR(__xludf.DUMMYFUNCTION("""COMPUTED_VALUE"""),38014)</f>
        <v>38014</v>
      </c>
      <c r="C873" s="3">
        <f ca="1">IFERROR(__xludf.DUMMYFUNCTION("""COMPUTED_VALUE"""),5902557350803)</f>
        <v>5902557350803</v>
      </c>
      <c r="D873" s="4" t="str">
        <f ca="1">IFERROR(__xludf.DUMMYFUNCTION("""COMPUTED_VALUE"""),"KABINA PUNTO BLACK 80x80")</f>
        <v>KABINA PUNTO BLACK 80x80</v>
      </c>
      <c r="E873" s="31">
        <v>163.34146341463415</v>
      </c>
      <c r="F873" s="31">
        <f t="shared" si="13"/>
        <v>200.91</v>
      </c>
    </row>
    <row r="874" spans="1:6" ht="18.75" customHeight="1" x14ac:dyDescent="0.25">
      <c r="A874" s="2" t="str">
        <f ca="1">IFERROR(__xludf.DUMMYFUNCTION("""COMPUTED_VALUE"""),"REA-K4801")</f>
        <v>REA-K4801</v>
      </c>
      <c r="B874" s="3">
        <f ca="1">IFERROR(__xludf.DUMMYFUNCTION("""COMPUTED_VALUE"""),38020)</f>
        <v>38020</v>
      </c>
      <c r="C874" s="3">
        <f ca="1">IFERROR(__xludf.DUMMYFUNCTION("""COMPUTED_VALUE"""),5902557350810)</f>
        <v>5902557350810</v>
      </c>
      <c r="D874" s="4" t="str">
        <f ca="1">IFERROR(__xludf.DUMMYFUNCTION("""COMPUTED_VALUE"""),"KABINA PUNTO BLACK 90x90")</f>
        <v>KABINA PUNTO BLACK 90x90</v>
      </c>
      <c r="E874" s="31">
        <v>186.80487804878049</v>
      </c>
      <c r="F874" s="31">
        <f t="shared" si="13"/>
        <v>229.77</v>
      </c>
    </row>
    <row r="875" spans="1:6" ht="18.75" customHeight="1" x14ac:dyDescent="0.25">
      <c r="A875" s="2" t="str">
        <f ca="1">IFERROR(__xludf.DUMMYFUNCTION("""COMPUTED_VALUE"""),"REA-K1889")</f>
        <v>REA-K1889</v>
      </c>
      <c r="B875" s="3">
        <f ca="1">IFERROR(__xludf.DUMMYFUNCTION("""COMPUTED_VALUE"""),42660)</f>
        <v>42660</v>
      </c>
      <c r="C875" s="3">
        <f ca="1">IFERROR(__xludf.DUMMYFUNCTION("""COMPUTED_VALUE"""),5902557362776)</f>
        <v>5902557362776</v>
      </c>
      <c r="D875" s="4" t="str">
        <f ca="1">IFERROR(__xludf.DUMMYFUNCTION("""COMPUTED_VALUE"""),"KABINA PUNTO CHROM 80x100")</f>
        <v>KABINA PUNTO CHROM 80x100</v>
      </c>
      <c r="E875" s="31">
        <v>188.60975609756099</v>
      </c>
      <c r="F875" s="31">
        <f t="shared" si="13"/>
        <v>231.99</v>
      </c>
    </row>
    <row r="876" spans="1:6" ht="18.75" customHeight="1" x14ac:dyDescent="0.25">
      <c r="A876" s="2" t="str">
        <f ca="1">IFERROR(__xludf.DUMMYFUNCTION("""COMPUTED_VALUE"""),"REA-K0863")</f>
        <v>REA-K0863</v>
      </c>
      <c r="B876" s="3">
        <f ca="1">IFERROR(__xludf.DUMMYFUNCTION("""COMPUTED_VALUE"""),42667)</f>
        <v>42667</v>
      </c>
      <c r="C876" s="3">
        <f ca="1">IFERROR(__xludf.DUMMYFUNCTION("""COMPUTED_VALUE"""),5902557325252)</f>
        <v>5902557325252</v>
      </c>
      <c r="D876" s="4" t="str">
        <f ca="1">IFERROR(__xludf.DUMMYFUNCTION("""COMPUTED_VALUE"""),"KABINA PUNTO CHROM 80x80")</f>
        <v>KABINA PUNTO CHROM 80x80</v>
      </c>
      <c r="E876" s="31">
        <v>166.04878048780489</v>
      </c>
      <c r="F876" s="31">
        <f t="shared" si="13"/>
        <v>204.24</v>
      </c>
    </row>
    <row r="877" spans="1:6" ht="18.75" customHeight="1" x14ac:dyDescent="0.25">
      <c r="A877" s="2" t="str">
        <f ca="1">IFERROR(__xludf.DUMMYFUNCTION("""COMPUTED_VALUE"""),"REA-K0867")</f>
        <v>REA-K0867</v>
      </c>
      <c r="B877" s="3">
        <f ca="1">IFERROR(__xludf.DUMMYFUNCTION("""COMPUTED_VALUE"""),42665)</f>
        <v>42665</v>
      </c>
      <c r="C877" s="3">
        <f ca="1">IFERROR(__xludf.DUMMYFUNCTION("""COMPUTED_VALUE"""),5902557350797)</f>
        <v>5902557350797</v>
      </c>
      <c r="D877" s="4" t="str">
        <f ca="1">IFERROR(__xludf.DUMMYFUNCTION("""COMPUTED_VALUE"""),"KABINA PUNTO CHROM 90x90")</f>
        <v>KABINA PUNTO CHROM 90x90</v>
      </c>
      <c r="E877" s="31">
        <v>180.48780487804879</v>
      </c>
      <c r="F877" s="31">
        <f t="shared" si="13"/>
        <v>222</v>
      </c>
    </row>
    <row r="878" spans="1:6" ht="18.75" customHeight="1" x14ac:dyDescent="0.25">
      <c r="A878" s="2" t="str">
        <f ca="1">IFERROR(__xludf.DUMMYFUNCTION("""COMPUTED_VALUE"""),"REA-K6442")</f>
        <v>REA-K6442</v>
      </c>
      <c r="B878" s="3">
        <f ca="1">IFERROR(__xludf.DUMMYFUNCTION("""COMPUTED_VALUE"""),52368)</f>
        <v>52368</v>
      </c>
      <c r="C878" s="3">
        <f ca="1">IFERROR(__xludf.DUMMYFUNCTION("""COMPUTED_VALUE"""),5902557399475)</f>
        <v>5902557399475</v>
      </c>
      <c r="D878" s="4" t="str">
        <f ca="1">IFERROR(__xludf.DUMMYFUNCTION("""COMPUTED_VALUE"""),"KABINA PUNTO GOLD 80X100")</f>
        <v>KABINA PUNTO GOLD 80X100</v>
      </c>
      <c r="E878" s="31">
        <v>210.26829268292684</v>
      </c>
      <c r="F878" s="31">
        <f t="shared" si="13"/>
        <v>258.63</v>
      </c>
    </row>
    <row r="879" spans="1:6" ht="18.75" customHeight="1" x14ac:dyDescent="0.25">
      <c r="A879" s="2" t="str">
        <f ca="1">IFERROR(__xludf.DUMMYFUNCTION("""COMPUTED_VALUE"""),"REA-K6441")</f>
        <v>REA-K6441</v>
      </c>
      <c r="B879" s="3">
        <f ca="1">IFERROR(__xludf.DUMMYFUNCTION("""COMPUTED_VALUE"""),52371)</f>
        <v>52371</v>
      </c>
      <c r="C879" s="3">
        <f ca="1">IFERROR(__xludf.DUMMYFUNCTION("""COMPUTED_VALUE"""),5902557399451)</f>
        <v>5902557399451</v>
      </c>
      <c r="D879" s="4" t="str">
        <f ca="1">IFERROR(__xludf.DUMMYFUNCTION("""COMPUTED_VALUE"""),"KABINA PUNTO GOLD 80X80")</f>
        <v>KABINA PUNTO GOLD 80X80</v>
      </c>
      <c r="E879" s="31">
        <v>199.43902439024393</v>
      </c>
      <c r="F879" s="31">
        <f t="shared" si="13"/>
        <v>245.31000000000003</v>
      </c>
    </row>
    <row r="880" spans="1:6" ht="18.75" customHeight="1" x14ac:dyDescent="0.25">
      <c r="A880" s="2" t="str">
        <f ca="1">IFERROR(__xludf.DUMMYFUNCTION("""COMPUTED_VALUE"""),"REA-K6440")</f>
        <v>REA-K6440</v>
      </c>
      <c r="B880" s="3">
        <f ca="1">IFERROR(__xludf.DUMMYFUNCTION("""COMPUTED_VALUE"""),52365)</f>
        <v>52365</v>
      </c>
      <c r="C880" s="3">
        <f ca="1">IFERROR(__xludf.DUMMYFUNCTION("""COMPUTED_VALUE"""),5902557399468)</f>
        <v>5902557399468</v>
      </c>
      <c r="D880" s="4" t="str">
        <f ca="1">IFERROR(__xludf.DUMMYFUNCTION("""COMPUTED_VALUE"""),"KABINA PUNTO GOLD 90x90")</f>
        <v>KABINA PUNTO GOLD 90x90</v>
      </c>
      <c r="E880" s="31">
        <v>205.75609756097563</v>
      </c>
      <c r="F880" s="31">
        <f t="shared" si="13"/>
        <v>253.08</v>
      </c>
    </row>
    <row r="881" spans="1:6" ht="18.75" customHeight="1" x14ac:dyDescent="0.25">
      <c r="A881" s="2" t="str">
        <f ca="1">IFERROR(__xludf.DUMMYFUNCTION("""COMPUTED_VALUE"""),"REA-K9999")</f>
        <v>REA-K9999</v>
      </c>
      <c r="B881" s="3">
        <f ca="1">IFERROR(__xludf.DUMMYFUNCTION("""COMPUTED_VALUE"""),42872)</f>
        <v>42872</v>
      </c>
      <c r="C881" s="3">
        <f ca="1">IFERROR(__xludf.DUMMYFUNCTION("""COMPUTED_VALUE"""),5902557329366)</f>
        <v>5902557329366</v>
      </c>
      <c r="D881" s="4" t="str">
        <f ca="1">IFERROR(__xludf.DUMMYFUNCTION("""COMPUTED_VALUE"""),"KABINA ROUND SPACE N2  90X90 TR")</f>
        <v>KABINA ROUND SPACE N2  90X90 TR</v>
      </c>
      <c r="E881" s="31">
        <v>261.70731707317077</v>
      </c>
      <c r="F881" s="31">
        <f t="shared" si="13"/>
        <v>321.90000000000003</v>
      </c>
    </row>
    <row r="882" spans="1:6" ht="18.75" customHeight="1" x14ac:dyDescent="0.25">
      <c r="A882" s="2" t="str">
        <f ca="1">IFERROR(__xludf.DUMMYFUNCTION("""COMPUTED_VALUE"""),"REA-K9232")</f>
        <v>REA-K9232</v>
      </c>
      <c r="B882" s="3">
        <f ca="1">IFERROR(__xludf.DUMMYFUNCTION("""COMPUTED_VALUE"""),47297)</f>
        <v>47297</v>
      </c>
      <c r="C882" s="3">
        <f ca="1">IFERROR(__xludf.DUMMYFUNCTION("""COMPUTED_VALUE"""),5902557351756)</f>
        <v>5902557351756</v>
      </c>
      <c r="D882" s="4" t="str">
        <f ca="1">IFERROR(__xludf.DUMMYFUNCTION("""COMPUTED_VALUE"""),"KABINA RUBIK BLACK 80x100")</f>
        <v>KABINA RUBIK BLACK 80x100</v>
      </c>
      <c r="E882" s="31">
        <v>285.17073170731715</v>
      </c>
      <c r="F882" s="31">
        <f t="shared" si="13"/>
        <v>350.7600000000001</v>
      </c>
    </row>
    <row r="883" spans="1:6" ht="18.75" customHeight="1" x14ac:dyDescent="0.25">
      <c r="A883" s="2" t="str">
        <f ca="1">IFERROR(__xludf.DUMMYFUNCTION("""COMPUTED_VALUE"""),"REA-K9230")</f>
        <v>REA-K9230</v>
      </c>
      <c r="B883" s="3">
        <f ca="1">IFERROR(__xludf.DUMMYFUNCTION("""COMPUTED_VALUE"""),47298)</f>
        <v>47298</v>
      </c>
      <c r="C883" s="3">
        <f ca="1">IFERROR(__xludf.DUMMYFUNCTION("""COMPUTED_VALUE"""),5902557351732)</f>
        <v>5902557351732</v>
      </c>
      <c r="D883" s="4" t="str">
        <f ca="1">IFERROR(__xludf.DUMMYFUNCTION("""COMPUTED_VALUE"""),"KABINA RUBIK BLACK 80x80")</f>
        <v>KABINA RUBIK BLACK 80x80</v>
      </c>
      <c r="E883" s="31">
        <v>297.80487804878055</v>
      </c>
      <c r="F883" s="31">
        <f t="shared" si="13"/>
        <v>366.30000000000007</v>
      </c>
    </row>
    <row r="884" spans="1:6" ht="18.75" customHeight="1" x14ac:dyDescent="0.25">
      <c r="A884" s="2" t="str">
        <f ca="1">IFERROR(__xludf.DUMMYFUNCTION("""COMPUTED_VALUE"""),"REA-K9231")</f>
        <v>REA-K9231</v>
      </c>
      <c r="B884" s="3">
        <f ca="1">IFERROR(__xludf.DUMMYFUNCTION("""COMPUTED_VALUE"""),47296)</f>
        <v>47296</v>
      </c>
      <c r="C884" s="3">
        <f ca="1">IFERROR(__xludf.DUMMYFUNCTION("""COMPUTED_VALUE"""),5902557351749)</f>
        <v>5902557351749</v>
      </c>
      <c r="D884" s="4" t="str">
        <f ca="1">IFERROR(__xludf.DUMMYFUNCTION("""COMPUTED_VALUE"""),"KABINA RUBIK BLACK 90x90")</f>
        <v>KABINA RUBIK BLACK 90x90</v>
      </c>
      <c r="E884" s="31">
        <v>333.00000000000006</v>
      </c>
      <c r="F884" s="31">
        <f t="shared" si="13"/>
        <v>409.59000000000009</v>
      </c>
    </row>
    <row r="885" spans="1:6" ht="18.75" customHeight="1" x14ac:dyDescent="0.25">
      <c r="A885" s="2" t="str">
        <f ca="1">IFERROR(__xludf.DUMMYFUNCTION("""COMPUTED_VALUE"""),"REA-K6310")</f>
        <v>REA-K6310</v>
      </c>
      <c r="B885" s="3">
        <f ca="1">IFERROR(__xludf.DUMMYFUNCTION("""COMPUTED_VALUE"""),52838)</f>
        <v>52838</v>
      </c>
      <c r="C885" s="3">
        <f ca="1">IFERROR(__xludf.DUMMYFUNCTION("""COMPUTED_VALUE"""),5902557333011)</f>
        <v>5902557333011</v>
      </c>
      <c r="D885" s="4" t="str">
        <f ca="1">IFERROR(__xludf.DUMMYFUNCTION("""COMPUTED_VALUE"""),"KABINA SOLAR BLACK 80x100")</f>
        <v>KABINA SOLAR BLACK 80x100</v>
      </c>
      <c r="E885" s="31">
        <v>249.07317073170736</v>
      </c>
      <c r="F885" s="31">
        <f t="shared" si="13"/>
        <v>306.36000000000007</v>
      </c>
    </row>
    <row r="886" spans="1:6" ht="18.75" customHeight="1" x14ac:dyDescent="0.25">
      <c r="A886" s="2" t="str">
        <f ca="1">IFERROR(__xludf.DUMMYFUNCTION("""COMPUTED_VALUE"""),"REA-K6311")</f>
        <v>REA-K6311</v>
      </c>
      <c r="B886" s="3">
        <f ca="1">IFERROR(__xludf.DUMMYFUNCTION("""COMPUTED_VALUE"""),42240)</f>
        <v>42240</v>
      </c>
      <c r="C886" s="3">
        <f ca="1">IFERROR(__xludf.DUMMYFUNCTION("""COMPUTED_VALUE"""),5902557333028)</f>
        <v>5902557333028</v>
      </c>
      <c r="D886" s="4" t="str">
        <f ca="1">IFERROR(__xludf.DUMMYFUNCTION("""COMPUTED_VALUE"""),"KABINA SOLAR BLACK 90x120")</f>
        <v>KABINA SOLAR BLACK 90x120</v>
      </c>
      <c r="E886" s="31">
        <v>268.02439024390247</v>
      </c>
      <c r="F886" s="31">
        <f t="shared" si="13"/>
        <v>329.67</v>
      </c>
    </row>
    <row r="887" spans="1:6" ht="18.75" customHeight="1" x14ac:dyDescent="0.25">
      <c r="A887" s="2" t="str">
        <f ca="1">IFERROR(__xludf.DUMMYFUNCTION("""COMPUTED_VALUE"""),"REA-K6412")</f>
        <v>REA-K6412</v>
      </c>
      <c r="B887" s="3">
        <f ca="1">IFERROR(__xludf.DUMMYFUNCTION("""COMPUTED_VALUE"""),52841)</f>
        <v>52841</v>
      </c>
      <c r="C887" s="3">
        <f ca="1">IFERROR(__xludf.DUMMYFUNCTION("""COMPUTED_VALUE"""),5902557337491)</f>
        <v>5902557337491</v>
      </c>
      <c r="D887" s="4" t="str">
        <f ca="1">IFERROR(__xludf.DUMMYFUNCTION("""COMPUTED_VALUE"""),"KABINA SOLAR BLACK 90x90")</f>
        <v>KABINA SOLAR BLACK 90x90</v>
      </c>
      <c r="E887" s="31">
        <v>249.97560975609761</v>
      </c>
      <c r="F887" s="31">
        <f t="shared" si="13"/>
        <v>307.47000000000008</v>
      </c>
    </row>
    <row r="888" spans="1:6" ht="18.75" customHeight="1" x14ac:dyDescent="0.25">
      <c r="A888" s="2" t="str">
        <f ca="1">IFERROR(__xludf.DUMMYFUNCTION("""COMPUTED_VALUE"""),"REA-K4901")</f>
        <v>REA-K4901</v>
      </c>
      <c r="B888" s="3">
        <f ca="1">IFERROR(__xludf.DUMMYFUNCTION("""COMPUTED_VALUE"""),52847)</f>
        <v>52847</v>
      </c>
      <c r="C888" s="3">
        <f ca="1">IFERROR(__xludf.DUMMYFUNCTION("""COMPUTED_VALUE"""),5902557355846)</f>
        <v>5902557355846</v>
      </c>
      <c r="D888" s="4" t="str">
        <f ca="1">IFERROR(__xludf.DUMMYFUNCTION("""COMPUTED_VALUE"""),"KABINA SOLAR GOLD 80x100")</f>
        <v>KABINA SOLAR GOLD 80x100</v>
      </c>
      <c r="E888" s="31">
        <v>271.63414634146346</v>
      </c>
      <c r="F888" s="31">
        <f t="shared" si="13"/>
        <v>334.11000000000007</v>
      </c>
    </row>
    <row r="889" spans="1:6" ht="18.75" customHeight="1" x14ac:dyDescent="0.25">
      <c r="A889" s="2" t="str">
        <f ca="1">IFERROR(__xludf.DUMMYFUNCTION("""COMPUTED_VALUE"""),"REA-K4902")</f>
        <v>REA-K4902</v>
      </c>
      <c r="B889" s="3">
        <f ca="1">IFERROR(__xludf.DUMMYFUNCTION("""COMPUTED_VALUE"""),42488)</f>
        <v>42488</v>
      </c>
      <c r="C889" s="3">
        <f ca="1">IFERROR(__xludf.DUMMYFUNCTION("""COMPUTED_VALUE"""),5902557355853)</f>
        <v>5902557355853</v>
      </c>
      <c r="D889" s="4" t="str">
        <f ca="1">IFERROR(__xludf.DUMMYFUNCTION("""COMPUTED_VALUE"""),"KABINA SOLAR GOLD 90x120")</f>
        <v>KABINA SOLAR GOLD 90x120</v>
      </c>
      <c r="E889" s="31">
        <v>307.73170731707319</v>
      </c>
      <c r="F889" s="31">
        <f t="shared" si="13"/>
        <v>378.51</v>
      </c>
    </row>
    <row r="890" spans="1:6" ht="18.75" customHeight="1" x14ac:dyDescent="0.25">
      <c r="A890" s="2" t="str">
        <f ca="1">IFERROR(__xludf.DUMMYFUNCTION("""COMPUTED_VALUE"""),"REA-K4900")</f>
        <v>REA-K4900</v>
      </c>
      <c r="B890" s="3">
        <f ca="1">IFERROR(__xludf.DUMMYFUNCTION("""COMPUTED_VALUE"""),52844)</f>
        <v>52844</v>
      </c>
      <c r="C890" s="3">
        <f ca="1">IFERROR(__xludf.DUMMYFUNCTION("""COMPUTED_VALUE"""),5902557355839)</f>
        <v>5902557355839</v>
      </c>
      <c r="D890" s="4" t="str">
        <f ca="1">IFERROR(__xludf.DUMMYFUNCTION("""COMPUTED_VALUE"""),"KABINA SOLAR GOLD 90x90")</f>
        <v>KABINA SOLAR GOLD 90x90</v>
      </c>
      <c r="E890" s="31">
        <v>276.14634146341467</v>
      </c>
      <c r="F890" s="31">
        <f t="shared" si="13"/>
        <v>339.66</v>
      </c>
    </row>
    <row r="891" spans="1:6" ht="18.75" customHeight="1" x14ac:dyDescent="0.25">
      <c r="A891" s="2" t="str">
        <f ca="1">IFERROR(__xludf.DUMMYFUNCTION("""COMPUTED_VALUE"""),"REA-K8882")</f>
        <v>REA-K8882</v>
      </c>
      <c r="B891" s="3">
        <f ca="1">IFERROR(__xludf.DUMMYFUNCTION("""COMPUTED_VALUE"""),52835)</f>
        <v>52835</v>
      </c>
      <c r="C891" s="3">
        <f ca="1">IFERROR(__xludf.DUMMYFUNCTION("""COMPUTED_VALUE"""),5902557367108)</f>
        <v>5902557367108</v>
      </c>
      <c r="D891" s="4" t="str">
        <f ca="1">IFERROR(__xludf.DUMMYFUNCTION("""COMPUTED_VALUE"""),"KABINA SPACE IN BLACK 80x100")</f>
        <v>KABINA SPACE IN BLACK 80x100</v>
      </c>
      <c r="E891" s="31">
        <v>351.95121951219517</v>
      </c>
      <c r="F891" s="31">
        <f t="shared" si="13"/>
        <v>432.90000000000003</v>
      </c>
    </row>
    <row r="892" spans="1:6" ht="18.75" customHeight="1" x14ac:dyDescent="0.25">
      <c r="A892" s="2" t="str">
        <f ca="1">IFERROR(__xludf.DUMMYFUNCTION("""COMPUTED_VALUE"""),"REA-K8881")</f>
        <v>REA-K8881</v>
      </c>
      <c r="B892" s="3">
        <f ca="1">IFERROR(__xludf.DUMMYFUNCTION("""COMPUTED_VALUE"""),51376)</f>
        <v>51376</v>
      </c>
      <c r="C892" s="3">
        <f ca="1">IFERROR(__xludf.DUMMYFUNCTION("""COMPUTED_VALUE"""),5902557367115)</f>
        <v>5902557367115</v>
      </c>
      <c r="D892" s="4" t="str">
        <f ca="1">IFERROR(__xludf.DUMMYFUNCTION("""COMPUTED_VALUE"""),"KABINA SPACE IN BLACK 90x90")</f>
        <v>KABINA SPACE IN BLACK 90x90</v>
      </c>
      <c r="E892" s="31">
        <v>312.24390243902445</v>
      </c>
      <c r="F892" s="31">
        <f t="shared" si="13"/>
        <v>384.06000000000006</v>
      </c>
    </row>
    <row r="893" spans="1:6" ht="18.75" customHeight="1" x14ac:dyDescent="0.25">
      <c r="A893" s="2" t="str">
        <f ca="1">IFERROR(__xludf.DUMMYFUNCTION("""COMPUTED_VALUE"""),"REA-W2007")</f>
        <v>REA-W2007</v>
      </c>
      <c r="B893" s="3">
        <f ca="1">IFERROR(__xludf.DUMMYFUNCTION("""COMPUTED_VALUE"""),50299)</f>
        <v>50299</v>
      </c>
      <c r="C893" s="3">
        <f ca="1">IFERROR(__xludf.DUMMYFUNCTION("""COMPUTED_VALUE"""),5902557386192)</f>
        <v>5902557386192</v>
      </c>
      <c r="D893" s="4" t="str">
        <f ca="1">IFERROR(__xludf.DUMMYFUNCTION("""COMPUTED_VALUE"""),"KOREK DO WANNY CHROM 6cm")</f>
        <v>KOREK DO WANNY CHROM 6cm</v>
      </c>
      <c r="E893" s="31">
        <v>20.756097560975611</v>
      </c>
      <c r="F893" s="31">
        <f t="shared" si="13"/>
        <v>25.53</v>
      </c>
    </row>
    <row r="894" spans="1:6" ht="18.75" customHeight="1" x14ac:dyDescent="0.25">
      <c r="A894" s="2" t="str">
        <f ca="1">IFERROR(__xludf.DUMMYFUNCTION("""COMPUTED_VALUE"""),"REA-W2006")</f>
        <v>REA-W2006</v>
      </c>
      <c r="B894" s="3">
        <f ca="1">IFERROR(__xludf.DUMMYFUNCTION("""COMPUTED_VALUE"""),50300)</f>
        <v>50300</v>
      </c>
      <c r="C894" s="3">
        <f ca="1">IFERROR(__xludf.DUMMYFUNCTION("""COMPUTED_VALUE"""),5902557386185)</f>
        <v>5902557386185</v>
      </c>
      <c r="D894" s="4" t="str">
        <f ca="1">IFERROR(__xludf.DUMMYFUNCTION("""COMPUTED_VALUE"""),"KOREK DO WANNY CZARNY 6cm")</f>
        <v>KOREK DO WANNY CZARNY 6cm</v>
      </c>
      <c r="E894" s="31">
        <v>27.073170731707322</v>
      </c>
      <c r="F894" s="31">
        <f t="shared" si="13"/>
        <v>33.300000000000004</v>
      </c>
    </row>
    <row r="895" spans="1:6" ht="18.75" customHeight="1" x14ac:dyDescent="0.25">
      <c r="A895" s="2" t="str">
        <f ca="1">IFERROR(__xludf.DUMMYFUNCTION("""COMPUTED_VALUE"""),"REA-W8008")</f>
        <v>REA-W8008</v>
      </c>
      <c r="B895" s="3">
        <f ca="1">IFERROR(__xludf.DUMMYFUNCTION("""COMPUTED_VALUE"""),54327)</f>
        <v>54327</v>
      </c>
      <c r="C895" s="3"/>
      <c r="D895" s="4" t="str">
        <f ca="1">IFERROR(__xludf.DUMMYFUNCTION("""COMPUTED_VALUE"""),"KOREK DO WANNY SPARTA")</f>
        <v>KOREK DO WANNY SPARTA</v>
      </c>
      <c r="E895" s="31">
        <v>19.853658536585368</v>
      </c>
      <c r="F895" s="31">
        <f t="shared" si="13"/>
        <v>24.42</v>
      </c>
    </row>
    <row r="896" spans="1:6" ht="18.75" customHeight="1" x14ac:dyDescent="0.25">
      <c r="A896" s="2" t="str">
        <f ca="1">IFERROR(__xludf.DUMMYFUNCTION("""COMPUTED_VALUE"""),"REA-W2004")</f>
        <v>REA-W2004</v>
      </c>
      <c r="B896" s="3">
        <f ca="1">IFERROR(__xludf.DUMMYFUNCTION("""COMPUTED_VALUE"""),45305)</f>
        <v>45305</v>
      </c>
      <c r="C896" s="3">
        <f ca="1">IFERROR(__xludf.DUMMYFUNCTION("""COMPUTED_VALUE"""),5902557376513)</f>
        <v>5902557376513</v>
      </c>
      <c r="D896" s="4" t="str">
        <f ca="1">IFERROR(__xludf.DUMMYFUNCTION("""COMPUTED_VALUE"""),"KOREK DO WANNY ZŁOTY")</f>
        <v>KOREK DO WANNY ZŁOTY</v>
      </c>
      <c r="E896" s="31">
        <v>33.390243902439025</v>
      </c>
      <c r="F896" s="31">
        <f t="shared" si="13"/>
        <v>41.07</v>
      </c>
    </row>
    <row r="897" spans="1:6" ht="18.75" customHeight="1" x14ac:dyDescent="0.25">
      <c r="A897" s="2" t="str">
        <f ca="1">IFERROR(__xludf.DUMMYFUNCTION("""COMPUTED_VALUE"""),"REA-W2008")</f>
        <v>REA-W2008</v>
      </c>
      <c r="B897" s="3">
        <f ca="1">IFERROR(__xludf.DUMMYFUNCTION("""COMPUTED_VALUE"""),50443)</f>
        <v>50443</v>
      </c>
      <c r="C897" s="3">
        <f ca="1">IFERROR(__xludf.DUMMYFUNCTION("""COMPUTED_VALUE"""),5902557392216)</f>
        <v>5902557392216</v>
      </c>
      <c r="D897" s="4" t="str">
        <f ca="1">IFERROR(__xludf.DUMMYFUNCTION("""COMPUTED_VALUE"""),"KOREK DO WANNY ZŁOTY 6cm")</f>
        <v>KOREK DO WANNY ZŁOTY 6cm</v>
      </c>
      <c r="E897" s="31">
        <v>31.585365853658541</v>
      </c>
      <c r="F897" s="31">
        <f t="shared" si="13"/>
        <v>38.85</v>
      </c>
    </row>
    <row r="898" spans="1:6" ht="18.75" customHeight="1" x14ac:dyDescent="0.25">
      <c r="A898" s="2" t="str">
        <f ca="1">IFERROR(__xludf.DUMMYFUNCTION("""COMPUTED_VALUE"""),"REA-W2005")</f>
        <v>REA-W2005</v>
      </c>
      <c r="B898" s="3">
        <f ca="1">IFERROR(__xludf.DUMMYFUNCTION("""COMPUTED_VALUE"""),50507)</f>
        <v>50507</v>
      </c>
      <c r="C898" s="3">
        <f ca="1">IFERROR(__xludf.DUMMYFUNCTION("""COMPUTED_VALUE"""),5902557386178)</f>
        <v>5902557386178</v>
      </c>
      <c r="D898" s="4" t="str">
        <f ca="1">IFERROR(__xludf.DUMMYFUNCTION("""COMPUTED_VALUE"""),"KOREK DO WANNY ZŁOTY SZCZOTKOWANY 6cm")</f>
        <v>KOREK DO WANNY ZŁOTY SZCZOTKOWANY 6cm</v>
      </c>
      <c r="E898" s="31">
        <v>31.585365853658541</v>
      </c>
      <c r="F898" s="31">
        <f t="shared" si="13"/>
        <v>38.85</v>
      </c>
    </row>
    <row r="899" spans="1:6" ht="18.75" customHeight="1" x14ac:dyDescent="0.25">
      <c r="A899" s="2" t="str">
        <f ca="1">IFERROR(__xludf.DUMMYFUNCTION("""COMPUTED_VALUE"""),"REA-A8110")</f>
        <v>REA-A8110</v>
      </c>
      <c r="B899" s="3">
        <f ca="1">IFERROR(__xludf.DUMMYFUNCTION("""COMPUTED_VALUE"""),52203)</f>
        <v>52203</v>
      </c>
      <c r="C899" s="3">
        <f ca="1">IFERROR(__xludf.DUMMYFUNCTION("""COMPUTED_VALUE"""),5902557396726)</f>
        <v>5902557396726</v>
      </c>
      <c r="D899" s="4" t="str">
        <f ca="1">IFERROR(__xludf.DUMMYFUNCTION("""COMPUTED_VALUE"""),"KOREK KLIK-KLAK UNIWERSALNY ANTYCZNE ZŁOTO")</f>
        <v>KOREK KLIK-KLAK UNIWERSALNY ANTYCZNE ZŁOTO</v>
      </c>
      <c r="E899" s="31">
        <v>20.756097560975611</v>
      </c>
      <c r="F899" s="31">
        <f t="shared" ref="F899:F962" si="14">E899*1.23</f>
        <v>25.53</v>
      </c>
    </row>
    <row r="900" spans="1:6" ht="18.75" customHeight="1" x14ac:dyDescent="0.25">
      <c r="A900" s="2" t="str">
        <f ca="1">IFERROR(__xludf.DUMMYFUNCTION("""COMPUTED_VALUE"""),"REA-A2361")</f>
        <v>REA-A2361</v>
      </c>
      <c r="B900" s="3">
        <f ca="1">IFERROR(__xludf.DUMMYFUNCTION("""COMPUTED_VALUE"""),37968)</f>
        <v>37968</v>
      </c>
      <c r="C900" s="3">
        <f ca="1">IFERROR(__xludf.DUMMYFUNCTION("""COMPUTED_VALUE"""),5902557349524)</f>
        <v>5902557349524</v>
      </c>
      <c r="D900" s="4" t="str">
        <f ca="1">IFERROR(__xludf.DUMMYFUNCTION("""COMPUTED_VALUE"""),"KOREK KLIK-KLAK UNIWERSALNY BIAŁY")</f>
        <v>KOREK KLIK-KLAK UNIWERSALNY BIAŁY</v>
      </c>
      <c r="E900" s="31">
        <v>20.756097560975611</v>
      </c>
      <c r="F900" s="31">
        <f t="shared" si="14"/>
        <v>25.53</v>
      </c>
    </row>
    <row r="901" spans="1:6" ht="18.75" customHeight="1" x14ac:dyDescent="0.25">
      <c r="A901" s="2" t="str">
        <f ca="1">IFERROR(__xludf.DUMMYFUNCTION("""COMPUTED_VALUE"""),"REA-A5217")</f>
        <v>REA-A5217</v>
      </c>
      <c r="B901" s="3">
        <f ca="1">IFERROR(__xludf.DUMMYFUNCTION("""COMPUTED_VALUE"""),35488)</f>
        <v>35488</v>
      </c>
      <c r="C901" s="3">
        <f ca="1">IFERROR(__xludf.DUMMYFUNCTION("""COMPUTED_VALUE"""),5902557344925)</f>
        <v>5902557344925</v>
      </c>
      <c r="D901" s="4" t="str">
        <f ca="1">IFERROR(__xludf.DUMMYFUNCTION("""COMPUTED_VALUE"""),"KOREK KLIK-KLAK UNIWERSALNY CHROM")</f>
        <v>KOREK KLIK-KLAK UNIWERSALNY CHROM</v>
      </c>
      <c r="E901" s="31">
        <v>14.439024390243903</v>
      </c>
      <c r="F901" s="31">
        <f t="shared" si="14"/>
        <v>17.760000000000002</v>
      </c>
    </row>
    <row r="902" spans="1:6" ht="18.75" customHeight="1" x14ac:dyDescent="0.25">
      <c r="A902" s="2" t="str">
        <f ca="1">IFERROR(__xludf.DUMMYFUNCTION("""COMPUTED_VALUE"""),"REA-A5216")</f>
        <v>REA-A5216</v>
      </c>
      <c r="B902" s="3">
        <f ca="1">IFERROR(__xludf.DUMMYFUNCTION("""COMPUTED_VALUE"""),35292)</f>
        <v>35292</v>
      </c>
      <c r="C902" s="3">
        <f ca="1">IFERROR(__xludf.DUMMYFUNCTION("""COMPUTED_VALUE"""),5902557344932)</f>
        <v>5902557344932</v>
      </c>
      <c r="D902" s="4" t="str">
        <f ca="1">IFERROR(__xludf.DUMMYFUNCTION("""COMPUTED_VALUE"""),"KOREK KLIK-KLAK UNIWERSALNY CZARNY")</f>
        <v>KOREK KLIK-KLAK UNIWERSALNY CZARNY</v>
      </c>
      <c r="E902" s="31">
        <v>20.756097560975611</v>
      </c>
      <c r="F902" s="31">
        <f t="shared" si="14"/>
        <v>25.53</v>
      </c>
    </row>
    <row r="903" spans="1:6" ht="18.75" customHeight="1" x14ac:dyDescent="0.25">
      <c r="A903" s="2" t="str">
        <f ca="1">IFERROR(__xludf.DUMMYFUNCTION("""COMPUTED_VALUE"""),"REA-A4100")</f>
        <v>REA-A4100</v>
      </c>
      <c r="B903" s="3">
        <f ca="1">IFERROR(__xludf.DUMMYFUNCTION("""COMPUTED_VALUE"""),51029)</f>
        <v>51029</v>
      </c>
      <c r="C903" s="3">
        <f ca="1">IFERROR(__xludf.DUMMYFUNCTION("""COMPUTED_VALUE"""),5902557391691)</f>
        <v>5902557391691</v>
      </c>
      <c r="D903" s="4" t="str">
        <f ca="1">IFERROR(__xludf.DUMMYFUNCTION("""COMPUTED_VALUE"""),"KOREK KLIK-KLAK UNIWERSALNY CZARNY METALICZNY")</f>
        <v>KOREK KLIK-KLAK UNIWERSALNY CZARNY METALICZNY</v>
      </c>
      <c r="E903" s="31">
        <v>28.878048780487806</v>
      </c>
      <c r="F903" s="31">
        <f t="shared" si="14"/>
        <v>35.520000000000003</v>
      </c>
    </row>
    <row r="904" spans="1:6" ht="18.75" customHeight="1" x14ac:dyDescent="0.25">
      <c r="A904" s="2" t="str">
        <f ca="1">IFERROR(__xludf.DUMMYFUNCTION("""COMPUTED_VALUE"""),"REA-A5218")</f>
        <v>REA-A5218</v>
      </c>
      <c r="B904" s="3">
        <f ca="1">IFERROR(__xludf.DUMMYFUNCTION("""COMPUTED_VALUE"""),37481)</f>
        <v>37481</v>
      </c>
      <c r="C904" s="3">
        <f ca="1">IFERROR(__xludf.DUMMYFUNCTION("""COMPUTED_VALUE"""),5902557349531)</f>
        <v>5902557349531</v>
      </c>
      <c r="D904" s="4" t="str">
        <f ca="1">IFERROR(__xludf.DUMMYFUNCTION("""COMPUTED_VALUE"""),"KOREK KLIK-KLAK UNIWERSALNY CZARNY PRZECIERANY")</f>
        <v>KOREK KLIK-KLAK UNIWERSALNY CZARNY PRZECIERANY</v>
      </c>
      <c r="E904" s="31">
        <v>20.756097560975611</v>
      </c>
      <c r="F904" s="31">
        <f t="shared" si="14"/>
        <v>25.53</v>
      </c>
    </row>
    <row r="905" spans="1:6" ht="18.75" customHeight="1" x14ac:dyDescent="0.25">
      <c r="A905" s="2" t="str">
        <f ca="1">IFERROR(__xludf.DUMMYFUNCTION("""COMPUTED_VALUE"""),"REA-A5698")</f>
        <v>REA-A5698</v>
      </c>
      <c r="B905" s="3">
        <f ca="1">IFERROR(__xludf.DUMMYFUNCTION("""COMPUTED_VALUE"""),54114)</f>
        <v>54114</v>
      </c>
      <c r="C905" s="3">
        <f ca="1">IFERROR(__xludf.DUMMYFUNCTION("""COMPUTED_VALUE"""),5906366008894)</f>
        <v>5906366008894</v>
      </c>
      <c r="D905" s="4" t="str">
        <f ca="1">IFERROR(__xludf.DUMMYFUNCTION("""COMPUTED_VALUE"""),"KOREK KLIK-KLAK UNIWERSALNY MIEDŹ")</f>
        <v>KOREK KLIK-KLAK UNIWERSALNY MIEDŹ</v>
      </c>
      <c r="E905" s="31">
        <v>20.756097560975611</v>
      </c>
      <c r="F905" s="31">
        <f t="shared" si="14"/>
        <v>25.53</v>
      </c>
    </row>
    <row r="906" spans="1:6" ht="18.75" customHeight="1" x14ac:dyDescent="0.25">
      <c r="A906" s="2" t="str">
        <f ca="1">IFERROR(__xludf.DUMMYFUNCTION("""COMPUTED_VALUE"""),"REA-A5632")</f>
        <v>REA-A5632</v>
      </c>
      <c r="B906" s="3">
        <f ca="1">IFERROR(__xludf.DUMMYFUNCTION("""COMPUTED_VALUE"""),54353)</f>
        <v>54353</v>
      </c>
      <c r="C906" s="3">
        <f ca="1">IFERROR(__xludf.DUMMYFUNCTION("""COMPUTED_VALUE"""),5906366008191)</f>
        <v>5906366008191</v>
      </c>
      <c r="D906" s="4" t="str">
        <f ca="1">IFERROR(__xludf.DUMMYFUNCTION("""COMPUTED_VALUE"""),"KOREK KLIK-KLAK UNIWERSALNY MIEDŹ SZCZOTKOWANA")</f>
        <v>KOREK KLIK-KLAK UNIWERSALNY MIEDŹ SZCZOTKOWANA</v>
      </c>
      <c r="E906" s="31">
        <v>20.756097560975611</v>
      </c>
      <c r="F906" s="31">
        <f t="shared" si="14"/>
        <v>25.53</v>
      </c>
    </row>
    <row r="907" spans="1:6" ht="18.75" customHeight="1" x14ac:dyDescent="0.25">
      <c r="A907" s="2" t="str">
        <f ca="1">IFERROR(__xludf.DUMMYFUNCTION("""COMPUTED_VALUE"""),"REA-A6000")</f>
        <v>REA-A6000</v>
      </c>
      <c r="B907" s="3">
        <f ca="1">IFERROR(__xludf.DUMMYFUNCTION("""COMPUTED_VALUE"""),46334)</f>
        <v>46334</v>
      </c>
      <c r="C907" s="3">
        <f ca="1">IFERROR(__xludf.DUMMYFUNCTION("""COMPUTED_VALUE"""),5902557375325)</f>
        <v>5902557375325</v>
      </c>
      <c r="D907" s="4" t="str">
        <f ca="1">IFERROR(__xludf.DUMMYFUNCTION("""COMPUTED_VALUE"""),"KOREK KLIK-KLAK UNIWERSALNY NIKIEL SZCZOTKOWANY")</f>
        <v>KOREK KLIK-KLAK UNIWERSALNY NIKIEL SZCZOTKOWANY</v>
      </c>
      <c r="E907" s="31">
        <v>20.756097560975611</v>
      </c>
      <c r="F907" s="31">
        <f t="shared" si="14"/>
        <v>25.53</v>
      </c>
    </row>
    <row r="908" spans="1:6" ht="18.75" customHeight="1" x14ac:dyDescent="0.25">
      <c r="A908" s="2" t="str">
        <f ca="1">IFERROR(__xludf.DUMMYFUNCTION("""COMPUTED_VALUE"""),"REA-A533A")</f>
        <v>REA-A533A</v>
      </c>
      <c r="B908" s="3">
        <f ca="1">IFERROR(__xludf.DUMMYFUNCTION("""COMPUTED_VALUE"""),39734)</f>
        <v>39734</v>
      </c>
      <c r="C908" s="3">
        <f ca="1">IFERROR(__xludf.DUMMYFUNCTION("""COMPUTED_VALUE"""),5902557356348)</f>
        <v>5902557356348</v>
      </c>
      <c r="D908" s="4" t="str">
        <f ca="1">IFERROR(__xludf.DUMMYFUNCTION("""COMPUTED_VALUE"""),"KOREK KLIK-KLAK UNIWERSALNY RÓŻOWE ZŁOTO")</f>
        <v>KOREK KLIK-KLAK UNIWERSALNY RÓŻOWE ZŁOTO</v>
      </c>
      <c r="E908" s="31">
        <v>20.756097560975611</v>
      </c>
      <c r="F908" s="31">
        <f t="shared" si="14"/>
        <v>25.53</v>
      </c>
    </row>
    <row r="909" spans="1:6" ht="18.75" customHeight="1" x14ac:dyDescent="0.25">
      <c r="A909" s="2" t="str">
        <f ca="1">IFERROR(__xludf.DUMMYFUNCTION("""COMPUTED_VALUE"""),"REA-A2360")</f>
        <v>REA-A2360</v>
      </c>
      <c r="B909" s="3">
        <f ca="1">IFERROR(__xludf.DUMMYFUNCTION("""COMPUTED_VALUE"""),37978)</f>
        <v>37978</v>
      </c>
      <c r="C909" s="3">
        <f ca="1">IFERROR(__xludf.DUMMYFUNCTION("""COMPUTED_VALUE"""),5902557349517)</f>
        <v>5902557349517</v>
      </c>
      <c r="D909" s="4" t="str">
        <f ca="1">IFERROR(__xludf.DUMMYFUNCTION("""COMPUTED_VALUE"""),"KOREK KLIK-KLAK UNIWERSALNY ZŁOTY")</f>
        <v>KOREK KLIK-KLAK UNIWERSALNY ZŁOTY</v>
      </c>
      <c r="E909" s="31">
        <v>20.756097560975611</v>
      </c>
      <c r="F909" s="31">
        <f t="shared" si="14"/>
        <v>25.53</v>
      </c>
    </row>
    <row r="910" spans="1:6" ht="18.75" customHeight="1" x14ac:dyDescent="0.25">
      <c r="A910" s="2" t="str">
        <f ca="1">IFERROR(__xludf.DUMMYFUNCTION("""COMPUTED_VALUE"""),"REA-A8585")</f>
        <v>REA-A8585</v>
      </c>
      <c r="B910" s="3">
        <f ca="1">IFERROR(__xludf.DUMMYFUNCTION("""COMPUTED_VALUE"""),42902)</f>
        <v>42902</v>
      </c>
      <c r="C910" s="3">
        <f ca="1">IFERROR(__xludf.DUMMYFUNCTION("""COMPUTED_VALUE"""),5902557364039)</f>
        <v>5902557364039</v>
      </c>
      <c r="D910" s="4" t="str">
        <f ca="1">IFERROR(__xludf.DUMMYFUNCTION("""COMPUTED_VALUE"""),"KOREK KLIK-KLAK UNIWERSALNY ZŁOTY SZCZOTKOWANY")</f>
        <v>KOREK KLIK-KLAK UNIWERSALNY ZŁOTY SZCZOTKOWANY</v>
      </c>
      <c r="E910" s="31">
        <v>20.756097560975611</v>
      </c>
      <c r="F910" s="31">
        <f t="shared" si="14"/>
        <v>25.53</v>
      </c>
    </row>
    <row r="911" spans="1:6" ht="18.75" customHeight="1" x14ac:dyDescent="0.25">
      <c r="A911" s="2" t="str">
        <f ca="1">IFERROR(__xludf.DUMMYFUNCTION("""COMPUTED_VALUE"""),"REA-K4308")</f>
        <v>REA-K4308</v>
      </c>
      <c r="B911" s="3">
        <f ca="1">IFERROR(__xludf.DUMMYFUNCTION("""COMPUTED_VALUE"""),53671)</f>
        <v>53671</v>
      </c>
      <c r="C911" s="3">
        <f ca="1">IFERROR(__xludf.DUMMYFUNCTION("""COMPUTED_VALUE"""),5906366002946)</f>
        <v>5906366002946</v>
      </c>
      <c r="D911" s="4" t="str">
        <f ca="1">IFERROR(__xludf.DUMMYFUNCTION("""COMPUTED_VALUE"""),"LISTWA CZOŁOWA CZARNA 120 cm")</f>
        <v>LISTWA CZOŁOWA CZARNA 120 cm</v>
      </c>
      <c r="E911" s="31">
        <v>25.268292682926834</v>
      </c>
      <c r="F911" s="31">
        <f t="shared" si="14"/>
        <v>31.080000000000005</v>
      </c>
    </row>
    <row r="912" spans="1:6" ht="18.75" customHeight="1" x14ac:dyDescent="0.25">
      <c r="A912" s="2" t="str">
        <f ca="1">IFERROR(__xludf.DUMMYFUNCTION("""COMPUTED_VALUE"""),"REA-K4304")</f>
        <v>REA-K4304</v>
      </c>
      <c r="B912" s="3">
        <f ca="1">IFERROR(__xludf.DUMMYFUNCTION("""COMPUTED_VALUE"""),53677)</f>
        <v>53677</v>
      </c>
      <c r="C912" s="3">
        <f ca="1">IFERROR(__xludf.DUMMYFUNCTION("""COMPUTED_VALUE"""),5906366002984)</f>
        <v>5906366002984</v>
      </c>
      <c r="D912" s="4" t="str">
        <f ca="1">IFERROR(__xludf.DUMMYFUNCTION("""COMPUTED_VALUE"""),"LISTWA CZOŁOWA CZARNA 130 cm")</f>
        <v>LISTWA CZOŁOWA CZARNA 130 cm</v>
      </c>
      <c r="E912" s="31">
        <v>27.073170731707322</v>
      </c>
      <c r="F912" s="31">
        <f t="shared" si="14"/>
        <v>33.300000000000004</v>
      </c>
    </row>
    <row r="913" spans="1:6" ht="18.75" customHeight="1" x14ac:dyDescent="0.25">
      <c r="A913" s="2" t="str">
        <f ca="1">IFERROR(__xludf.DUMMYFUNCTION("""COMPUTED_VALUE"""),"REA-K4307")</f>
        <v>REA-K4307</v>
      </c>
      <c r="B913" s="3">
        <f ca="1">IFERROR(__xludf.DUMMYFUNCTION("""COMPUTED_VALUE"""),53673)</f>
        <v>53673</v>
      </c>
      <c r="C913" s="3">
        <f ca="1">IFERROR(__xludf.DUMMYFUNCTION("""COMPUTED_VALUE"""),5906366002953)</f>
        <v>5906366002953</v>
      </c>
      <c r="D913" s="4" t="str">
        <f ca="1">IFERROR(__xludf.DUMMYFUNCTION("""COMPUTED_VALUE"""),"LISTWA CZOŁOWA NIKIEL SZCZOTKOWANY 120 cm")</f>
        <v>LISTWA CZOŁOWA NIKIEL SZCZOTKOWANY 120 cm</v>
      </c>
      <c r="E913" s="31">
        <v>27.073170731707322</v>
      </c>
      <c r="F913" s="31">
        <f t="shared" si="14"/>
        <v>33.300000000000004</v>
      </c>
    </row>
    <row r="914" spans="1:6" ht="18.75" customHeight="1" x14ac:dyDescent="0.25">
      <c r="A914" s="2" t="str">
        <f ca="1">IFERROR(__xludf.DUMMYFUNCTION("""COMPUTED_VALUE"""),"REA-K4300")</f>
        <v>REA-K4300</v>
      </c>
      <c r="B914" s="3">
        <f ca="1">IFERROR(__xludf.DUMMYFUNCTION("""COMPUTED_VALUE"""),53679)</f>
        <v>53679</v>
      </c>
      <c r="C914" s="3">
        <f ca="1">IFERROR(__xludf.DUMMYFUNCTION("""COMPUTED_VALUE"""),5906366003011)</f>
        <v>5906366003011</v>
      </c>
      <c r="D914" s="4" t="str">
        <f ca="1">IFERROR(__xludf.DUMMYFUNCTION("""COMPUTED_VALUE"""),"LISTWA CZOŁOWA NIKIEL SZCZOTKOWANY 130 cm")</f>
        <v>LISTWA CZOŁOWA NIKIEL SZCZOTKOWANY 130 cm</v>
      </c>
      <c r="E914" s="31">
        <v>29.780487804878049</v>
      </c>
      <c r="F914" s="31">
        <f t="shared" si="14"/>
        <v>36.630000000000003</v>
      </c>
    </row>
    <row r="915" spans="1:6" ht="18.75" customHeight="1" x14ac:dyDescent="0.25">
      <c r="A915" s="2" t="str">
        <f ca="1">IFERROR(__xludf.DUMMYFUNCTION("""COMPUTED_VALUE"""),"REA-K4306")</f>
        <v>REA-K4306</v>
      </c>
      <c r="B915" s="3">
        <f ca="1">IFERROR(__xludf.DUMMYFUNCTION("""COMPUTED_VALUE"""),53666)</f>
        <v>53666</v>
      </c>
      <c r="C915" s="3">
        <f ca="1">IFERROR(__xludf.DUMMYFUNCTION("""COMPUTED_VALUE"""),5906366002960)</f>
        <v>5906366002960</v>
      </c>
      <c r="D915" s="4" t="str">
        <f ca="1">IFERROR(__xludf.DUMMYFUNCTION("""COMPUTED_VALUE"""),"LISTWA CZOŁOWA ZŁOTA 120 cm")</f>
        <v>LISTWA CZOŁOWA ZŁOTA 120 cm</v>
      </c>
      <c r="E915" s="31">
        <v>29.780487804878049</v>
      </c>
      <c r="F915" s="31">
        <f t="shared" si="14"/>
        <v>36.630000000000003</v>
      </c>
    </row>
    <row r="916" spans="1:6" ht="18.75" customHeight="1" x14ac:dyDescent="0.25">
      <c r="A916" s="2" t="str">
        <f ca="1">IFERROR(__xludf.DUMMYFUNCTION("""COMPUTED_VALUE"""),"REA-K4301")</f>
        <v>REA-K4301</v>
      </c>
      <c r="B916" s="3">
        <f ca="1">IFERROR(__xludf.DUMMYFUNCTION("""COMPUTED_VALUE"""),53674)</f>
        <v>53674</v>
      </c>
      <c r="C916" s="3">
        <f ca="1">IFERROR(__xludf.DUMMYFUNCTION("""COMPUTED_VALUE"""),5906366003004)</f>
        <v>5906366003004</v>
      </c>
      <c r="D916" s="4" t="str">
        <f ca="1">IFERROR(__xludf.DUMMYFUNCTION("""COMPUTED_VALUE"""),"LISTWA CZOŁOWA ZŁOTA 130 cm")</f>
        <v>LISTWA CZOŁOWA ZŁOTA 130 cm</v>
      </c>
      <c r="E916" s="31">
        <v>31.585365853658541</v>
      </c>
      <c r="F916" s="31">
        <f t="shared" si="14"/>
        <v>38.85</v>
      </c>
    </row>
    <row r="917" spans="1:6" ht="18.75" customHeight="1" x14ac:dyDescent="0.25">
      <c r="A917" s="2" t="str">
        <f ca="1">IFERROR(__xludf.DUMMYFUNCTION("""COMPUTED_VALUE"""),"REA-K4305")</f>
        <v>REA-K4305</v>
      </c>
      <c r="B917" s="3">
        <f ca="1">IFERROR(__xludf.DUMMYFUNCTION("""COMPUTED_VALUE"""),53672)</f>
        <v>53672</v>
      </c>
      <c r="C917" s="3">
        <f ca="1">IFERROR(__xludf.DUMMYFUNCTION("""COMPUTED_VALUE"""),5906366002977)</f>
        <v>5906366002977</v>
      </c>
      <c r="D917" s="4" t="str">
        <f ca="1">IFERROR(__xludf.DUMMYFUNCTION("""COMPUTED_VALUE"""),"LISTWA CZOŁOWA ZŁOTA SZCZOTKOWANA 120 cm")</f>
        <v>LISTWA CZOŁOWA ZŁOTA SZCZOTKOWANA 120 cm</v>
      </c>
      <c r="E917" s="31">
        <v>31.585365853658541</v>
      </c>
      <c r="F917" s="31">
        <f t="shared" si="14"/>
        <v>38.85</v>
      </c>
    </row>
    <row r="918" spans="1:6" ht="18.75" customHeight="1" x14ac:dyDescent="0.25">
      <c r="A918" s="2" t="str">
        <f ca="1">IFERROR(__xludf.DUMMYFUNCTION("""COMPUTED_VALUE"""),"REA-K4302")</f>
        <v>REA-K4302</v>
      </c>
      <c r="B918" s="3">
        <f ca="1">IFERROR(__xludf.DUMMYFUNCTION("""COMPUTED_VALUE"""),53678)</f>
        <v>53678</v>
      </c>
      <c r="C918" s="3">
        <f ca="1">IFERROR(__xludf.DUMMYFUNCTION("""COMPUTED_VALUE"""),5906366002991)</f>
        <v>5906366002991</v>
      </c>
      <c r="D918" s="4" t="str">
        <f ca="1">IFERROR(__xludf.DUMMYFUNCTION("""COMPUTED_VALUE"""),"LISTWA CZOŁOWA ZŁOTA SZCZOTKOWANA 130 cm")</f>
        <v>LISTWA CZOŁOWA ZŁOTA SZCZOTKOWANA 130 cm</v>
      </c>
      <c r="E918" s="31">
        <v>33.390243902439025</v>
      </c>
      <c r="F918" s="31">
        <f t="shared" si="14"/>
        <v>41.07</v>
      </c>
    </row>
    <row r="919" spans="1:6" ht="18.75" customHeight="1" x14ac:dyDescent="0.25">
      <c r="A919" s="2" t="str">
        <f ca="1">IFERROR(__xludf.DUMMYFUNCTION("""COMPUTED_VALUE"""),"REA-K6388")</f>
        <v>REA-K6388</v>
      </c>
      <c r="B919" s="3">
        <f ca="1">IFERROR(__xludf.DUMMYFUNCTION("""COMPUTED_VALUE"""),54161)</f>
        <v>54161</v>
      </c>
      <c r="C919" s="3">
        <f ca="1">IFERROR(__xludf.DUMMYFUNCTION("""COMPUTED_VALUE"""),5906366006609)</f>
        <v>5906366006609</v>
      </c>
      <c r="D919" s="4" t="str">
        <f ca="1">IFERROR(__xludf.DUMMYFUNCTION("""COMPUTED_VALUE"""),"LISTWA MAGNETYCZNA MONTANA BRUSH GOLD")</f>
        <v>LISTWA MAGNETYCZNA MONTANA BRUSH GOLD</v>
      </c>
      <c r="E919" s="31">
        <v>27.073170731707322</v>
      </c>
      <c r="F919" s="31">
        <f t="shared" si="14"/>
        <v>33.300000000000004</v>
      </c>
    </row>
    <row r="920" spans="1:6" ht="18.75" customHeight="1" x14ac:dyDescent="0.25">
      <c r="A920" s="2" t="str">
        <f ca="1">IFERROR(__xludf.DUMMYFUNCTION("""COMPUTED_VALUE"""),"REA-K3208")</f>
        <v>REA-K3208</v>
      </c>
      <c r="B920" s="3">
        <f ca="1">IFERROR(__xludf.DUMMYFUNCTION("""COMPUTED_VALUE"""),51399)</f>
        <v>51399</v>
      </c>
      <c r="C920" s="3">
        <f ca="1">IFERROR(__xludf.DUMMYFUNCTION("""COMPUTED_VALUE"""),5902557385010)</f>
        <v>5902557385010</v>
      </c>
      <c r="D920" s="4" t="str">
        <f ca="1">IFERROR(__xludf.DUMMYFUNCTION("""COMPUTED_VALUE"""),"LISTWA SPADKOWA CZARNA 100 cm LEWA")</f>
        <v>LISTWA SPADKOWA CZARNA 100 cm LEWA</v>
      </c>
      <c r="E920" s="31">
        <v>22.560975609756099</v>
      </c>
      <c r="F920" s="31">
        <f t="shared" si="14"/>
        <v>27.75</v>
      </c>
    </row>
    <row r="921" spans="1:6" ht="18.75" customHeight="1" x14ac:dyDescent="0.25">
      <c r="A921" s="2" t="str">
        <f ca="1">IFERROR(__xludf.DUMMYFUNCTION("""COMPUTED_VALUE"""),"REA-K3209")</f>
        <v>REA-K3209</v>
      </c>
      <c r="B921" s="3">
        <f ca="1">IFERROR(__xludf.DUMMYFUNCTION("""COMPUTED_VALUE"""),51400)</f>
        <v>51400</v>
      </c>
      <c r="C921" s="3">
        <f ca="1">IFERROR(__xludf.DUMMYFUNCTION("""COMPUTED_VALUE"""),5902557395019)</f>
        <v>5902557395019</v>
      </c>
      <c r="D921" s="4" t="str">
        <f ca="1">IFERROR(__xludf.DUMMYFUNCTION("""COMPUTED_VALUE"""),"LISTWA SPADKOWA CZARNA 100 cm PRAWA")</f>
        <v>LISTWA SPADKOWA CZARNA 100 cm PRAWA</v>
      </c>
      <c r="E921" s="31">
        <v>22.560975609756099</v>
      </c>
      <c r="F921" s="31">
        <f t="shared" si="14"/>
        <v>27.75</v>
      </c>
    </row>
    <row r="922" spans="1:6" ht="18.75" customHeight="1" x14ac:dyDescent="0.25">
      <c r="A922" s="2" t="str">
        <f ca="1">IFERROR(__xludf.DUMMYFUNCTION("""COMPUTED_VALUE"""),"REA-K3200")</f>
        <v>REA-K3200</v>
      </c>
      <c r="B922" s="3">
        <f ca="1">IFERROR(__xludf.DUMMYFUNCTION("""COMPUTED_VALUE"""),51397)</f>
        <v>51397</v>
      </c>
      <c r="C922" s="3">
        <f ca="1">IFERROR(__xludf.DUMMYFUNCTION("""COMPUTED_VALUE"""),5902557395088)</f>
        <v>5902557395088</v>
      </c>
      <c r="D922" s="4" t="str">
        <f ca="1">IFERROR(__xludf.DUMMYFUNCTION("""COMPUTED_VALUE"""),"LISTWA SPADKOWA CZARNA 120 cm LEWA")</f>
        <v>LISTWA SPADKOWA CZARNA 120 cm LEWA</v>
      </c>
      <c r="E922" s="31">
        <v>24.36585365853659</v>
      </c>
      <c r="F922" s="31">
        <f t="shared" si="14"/>
        <v>29.970000000000006</v>
      </c>
    </row>
    <row r="923" spans="1:6" ht="18.75" customHeight="1" x14ac:dyDescent="0.25">
      <c r="A923" s="2" t="str">
        <f ca="1">IFERROR(__xludf.DUMMYFUNCTION("""COMPUTED_VALUE"""),"REA-K3201")</f>
        <v>REA-K3201</v>
      </c>
      <c r="B923" s="3">
        <f ca="1">IFERROR(__xludf.DUMMYFUNCTION("""COMPUTED_VALUE"""),51398)</f>
        <v>51398</v>
      </c>
      <c r="C923" s="3">
        <f ca="1">IFERROR(__xludf.DUMMYFUNCTION("""COMPUTED_VALUE"""),5902557395095)</f>
        <v>5902557395095</v>
      </c>
      <c r="D923" s="4" t="str">
        <f ca="1">IFERROR(__xludf.DUMMYFUNCTION("""COMPUTED_VALUE"""),"LISTWA SPADKOWA CZARNA 120 cm PRAWA")</f>
        <v>LISTWA SPADKOWA CZARNA 120 cm PRAWA</v>
      </c>
      <c r="E923" s="31">
        <v>24.36585365853659</v>
      </c>
      <c r="F923" s="31">
        <f t="shared" si="14"/>
        <v>29.970000000000006</v>
      </c>
    </row>
    <row r="924" spans="1:6" ht="18.75" customHeight="1" x14ac:dyDescent="0.25">
      <c r="A924" s="2" t="str">
        <f ca="1">IFERROR(__xludf.DUMMYFUNCTION("""COMPUTED_VALUE"""),"REA-K3218")</f>
        <v>REA-K3218</v>
      </c>
      <c r="B924" s="3">
        <f ca="1">IFERROR(__xludf.DUMMYFUNCTION("""COMPUTED_VALUE"""),51395)</f>
        <v>51395</v>
      </c>
      <c r="C924" s="3">
        <f ca="1">IFERROR(__xludf.DUMMYFUNCTION("""COMPUTED_VALUE"""),5902557395163)</f>
        <v>5902557395163</v>
      </c>
      <c r="D924" s="4" t="str">
        <f ca="1">IFERROR(__xludf.DUMMYFUNCTION("""COMPUTED_VALUE"""),"LISTWA SPADKOWA CZARNA 140 cm LEWA")</f>
        <v>LISTWA SPADKOWA CZARNA 140 cm LEWA</v>
      </c>
      <c r="E924" s="31">
        <v>27.073170731707322</v>
      </c>
      <c r="F924" s="31">
        <f t="shared" si="14"/>
        <v>33.300000000000004</v>
      </c>
    </row>
    <row r="925" spans="1:6" ht="18.75" customHeight="1" x14ac:dyDescent="0.25">
      <c r="A925" s="2" t="str">
        <f ca="1">IFERROR(__xludf.DUMMYFUNCTION("""COMPUTED_VALUE"""),"REA-K3220")</f>
        <v>REA-K3220</v>
      </c>
      <c r="B925" s="3">
        <f ca="1">IFERROR(__xludf.DUMMYFUNCTION("""COMPUTED_VALUE"""),51396)</f>
        <v>51396</v>
      </c>
      <c r="C925" s="3">
        <f ca="1">IFERROR(__xludf.DUMMYFUNCTION("""COMPUTED_VALUE"""),5902557395170)</f>
        <v>5902557395170</v>
      </c>
      <c r="D925" s="4" t="str">
        <f ca="1">IFERROR(__xludf.DUMMYFUNCTION("""COMPUTED_VALUE"""),"LISTWA SPADKOWA CZARNA 140 cm PRAWA")</f>
        <v>LISTWA SPADKOWA CZARNA 140 cm PRAWA</v>
      </c>
      <c r="E925" s="31">
        <v>27.073170731707322</v>
      </c>
      <c r="F925" s="31">
        <f t="shared" si="14"/>
        <v>33.300000000000004</v>
      </c>
    </row>
    <row r="926" spans="1:6" ht="18.75" customHeight="1" x14ac:dyDescent="0.25">
      <c r="A926" s="2" t="str">
        <f ca="1">IFERROR(__xludf.DUMMYFUNCTION("""COMPUTED_VALUE"""),"REA-K3211")</f>
        <v>REA-K3211</v>
      </c>
      <c r="B926" s="3">
        <f ca="1">IFERROR(__xludf.DUMMYFUNCTION("""COMPUTED_VALUE"""),51414)</f>
        <v>51414</v>
      </c>
      <c r="C926" s="3">
        <f ca="1">IFERROR(__xludf.DUMMYFUNCTION("""COMPUTED_VALUE"""),5902557395026)</f>
        <v>5902557395026</v>
      </c>
      <c r="D926" s="4" t="str">
        <f ca="1">IFERROR(__xludf.DUMMYFUNCTION("""COMPUTED_VALUE"""),"LISTWA SPADKOWA NIKIEL SZCZOTKOWANY 100 cm LEWA")</f>
        <v>LISTWA SPADKOWA NIKIEL SZCZOTKOWANY 100 cm LEWA</v>
      </c>
      <c r="E926" s="31">
        <v>22.560975609756099</v>
      </c>
      <c r="F926" s="31">
        <f t="shared" si="14"/>
        <v>27.75</v>
      </c>
    </row>
    <row r="927" spans="1:6" ht="18.75" customHeight="1" x14ac:dyDescent="0.25">
      <c r="A927" s="2" t="str">
        <f ca="1">IFERROR(__xludf.DUMMYFUNCTION("""COMPUTED_VALUE"""),"REA-K3212")</f>
        <v>REA-K3212</v>
      </c>
      <c r="B927" s="3">
        <f ca="1">IFERROR(__xludf.DUMMYFUNCTION("""COMPUTED_VALUE"""),51415)</f>
        <v>51415</v>
      </c>
      <c r="C927" s="3">
        <f ca="1">IFERROR(__xludf.DUMMYFUNCTION("""COMPUTED_VALUE"""),5902557395033)</f>
        <v>5902557395033</v>
      </c>
      <c r="D927" s="4" t="str">
        <f ca="1">IFERROR(__xludf.DUMMYFUNCTION("""COMPUTED_VALUE"""),"LISTWA SPADKOWA NIKIEL SZCZOTKOWANY 100 cm PRAWA")</f>
        <v>LISTWA SPADKOWA NIKIEL SZCZOTKOWANY 100 cm PRAWA</v>
      </c>
      <c r="E927" s="31">
        <v>22.560975609756099</v>
      </c>
      <c r="F927" s="31">
        <f t="shared" si="14"/>
        <v>27.75</v>
      </c>
    </row>
    <row r="928" spans="1:6" ht="18.75" customHeight="1" x14ac:dyDescent="0.25">
      <c r="A928" s="2" t="str">
        <f ca="1">IFERROR(__xludf.DUMMYFUNCTION("""COMPUTED_VALUE"""),"REA-K3202")</f>
        <v>REA-K3202</v>
      </c>
      <c r="B928" s="3">
        <f ca="1">IFERROR(__xludf.DUMMYFUNCTION("""COMPUTED_VALUE"""),51417)</f>
        <v>51417</v>
      </c>
      <c r="C928" s="3">
        <f ca="1">IFERROR(__xludf.DUMMYFUNCTION("""COMPUTED_VALUE"""),5902557395101)</f>
        <v>5902557395101</v>
      </c>
      <c r="D928" s="4" t="str">
        <f ca="1">IFERROR(__xludf.DUMMYFUNCTION("""COMPUTED_VALUE"""),"LISTWA SPADKOWA NIKIEL SZCZOTKOWANY 120 cm LEWA")</f>
        <v>LISTWA SPADKOWA NIKIEL SZCZOTKOWANY 120 cm LEWA</v>
      </c>
      <c r="E928" s="31">
        <v>24.36585365853659</v>
      </c>
      <c r="F928" s="31">
        <f t="shared" si="14"/>
        <v>29.970000000000006</v>
      </c>
    </row>
    <row r="929" spans="1:6" ht="18.75" customHeight="1" x14ac:dyDescent="0.25">
      <c r="A929" s="2" t="str">
        <f ca="1">IFERROR(__xludf.DUMMYFUNCTION("""COMPUTED_VALUE"""),"REA-K3203")</f>
        <v>REA-K3203</v>
      </c>
      <c r="B929" s="3">
        <f ca="1">IFERROR(__xludf.DUMMYFUNCTION("""COMPUTED_VALUE"""),51418)</f>
        <v>51418</v>
      </c>
      <c r="C929" s="3">
        <f ca="1">IFERROR(__xludf.DUMMYFUNCTION("""COMPUTED_VALUE"""),5902557395118)</f>
        <v>5902557395118</v>
      </c>
      <c r="D929" s="4" t="str">
        <f ca="1">IFERROR(__xludf.DUMMYFUNCTION("""COMPUTED_VALUE"""),"LISTWA SPADKOWA NIKIEL SZCZOTKOWANY 120 cm PRAWA")</f>
        <v>LISTWA SPADKOWA NIKIEL SZCZOTKOWANY 120 cm PRAWA</v>
      </c>
      <c r="E929" s="31">
        <v>24.36585365853659</v>
      </c>
      <c r="F929" s="31">
        <f t="shared" si="14"/>
        <v>29.970000000000006</v>
      </c>
    </row>
    <row r="930" spans="1:6" ht="18.75" customHeight="1" x14ac:dyDescent="0.25">
      <c r="A930" s="2" t="str">
        <f ca="1">IFERROR(__xludf.DUMMYFUNCTION("""COMPUTED_VALUE"""),"REA-K3221")</f>
        <v>REA-K3221</v>
      </c>
      <c r="B930" s="3">
        <f ca="1">IFERROR(__xludf.DUMMYFUNCTION("""COMPUTED_VALUE"""),51420)</f>
        <v>51420</v>
      </c>
      <c r="C930" s="3">
        <f ca="1">IFERROR(__xludf.DUMMYFUNCTION("""COMPUTED_VALUE"""),5902557395187)</f>
        <v>5902557395187</v>
      </c>
      <c r="D930" s="4" t="str">
        <f ca="1">IFERROR(__xludf.DUMMYFUNCTION("""COMPUTED_VALUE"""),"LISTWA SPADKOWA NIKIEL SZCZOTKOWANY 140 cm LEWA")</f>
        <v>LISTWA SPADKOWA NIKIEL SZCZOTKOWANY 140 cm LEWA</v>
      </c>
      <c r="E930" s="31">
        <v>27.073170731707322</v>
      </c>
      <c r="F930" s="31">
        <f t="shared" si="14"/>
        <v>33.300000000000004</v>
      </c>
    </row>
    <row r="931" spans="1:6" ht="18.75" customHeight="1" x14ac:dyDescent="0.25">
      <c r="A931" s="2" t="str">
        <f ca="1">IFERROR(__xludf.DUMMYFUNCTION("""COMPUTED_VALUE"""),"REA-K3222")</f>
        <v>REA-K3222</v>
      </c>
      <c r="B931" s="3">
        <f ca="1">IFERROR(__xludf.DUMMYFUNCTION("""COMPUTED_VALUE"""),51421)</f>
        <v>51421</v>
      </c>
      <c r="C931" s="3">
        <f ca="1">IFERROR(__xludf.DUMMYFUNCTION("""COMPUTED_VALUE"""),5902557395194)</f>
        <v>5902557395194</v>
      </c>
      <c r="D931" s="4" t="str">
        <f ca="1">IFERROR(__xludf.DUMMYFUNCTION("""COMPUTED_VALUE"""),"LISTWA SPADKOWA NIKIEL SZCZOTKOWANY 140 cm PRAWA")</f>
        <v>LISTWA SPADKOWA NIKIEL SZCZOTKOWANY 140 cm PRAWA</v>
      </c>
      <c r="E931" s="31">
        <v>27.073170731707322</v>
      </c>
      <c r="F931" s="31">
        <f t="shared" si="14"/>
        <v>33.300000000000004</v>
      </c>
    </row>
    <row r="932" spans="1:6" ht="18.75" customHeight="1" x14ac:dyDescent="0.25">
      <c r="A932" s="2" t="str">
        <f ca="1">IFERROR(__xludf.DUMMYFUNCTION("""COMPUTED_VALUE"""),"REA-K3213")</f>
        <v>REA-K3213</v>
      </c>
      <c r="B932" s="3">
        <f ca="1">IFERROR(__xludf.DUMMYFUNCTION("""COMPUTED_VALUE"""),51391)</f>
        <v>51391</v>
      </c>
      <c r="C932" s="3">
        <f ca="1">IFERROR(__xludf.DUMMYFUNCTION("""COMPUTED_VALUE"""),5902557395040)</f>
        <v>5902557395040</v>
      </c>
      <c r="D932" s="4" t="str">
        <f ca="1">IFERROR(__xludf.DUMMYFUNCTION("""COMPUTED_VALUE"""),"LISTWA SPADKOWA ZŁOTA 100 cm LEWA")</f>
        <v>LISTWA SPADKOWA ZŁOTA 100 cm LEWA</v>
      </c>
      <c r="E932" s="31">
        <v>30.682926829268297</v>
      </c>
      <c r="F932" s="31">
        <f t="shared" si="14"/>
        <v>37.74</v>
      </c>
    </row>
    <row r="933" spans="1:6" ht="18.75" customHeight="1" x14ac:dyDescent="0.25">
      <c r="A933" s="2" t="str">
        <f ca="1">IFERROR(__xludf.DUMMYFUNCTION("""COMPUTED_VALUE"""),"REA-K3215")</f>
        <v>REA-K3215</v>
      </c>
      <c r="B933" s="3">
        <f ca="1">IFERROR(__xludf.DUMMYFUNCTION("""COMPUTED_VALUE"""),51392)</f>
        <v>51392</v>
      </c>
      <c r="C933" s="3">
        <f ca="1">IFERROR(__xludf.DUMMYFUNCTION("""COMPUTED_VALUE"""),5902557395057)</f>
        <v>5902557395057</v>
      </c>
      <c r="D933" s="4" t="str">
        <f ca="1">IFERROR(__xludf.DUMMYFUNCTION("""COMPUTED_VALUE"""),"LISTWA SPADKOWA ZŁOTA 100 cm PRAWA")</f>
        <v>LISTWA SPADKOWA ZŁOTA 100 cm PRAWA</v>
      </c>
      <c r="E933" s="31">
        <v>30.682926829268297</v>
      </c>
      <c r="F933" s="31">
        <f t="shared" si="14"/>
        <v>37.74</v>
      </c>
    </row>
    <row r="934" spans="1:6" ht="18.75" customHeight="1" x14ac:dyDescent="0.25">
      <c r="A934" s="2" t="str">
        <f ca="1">IFERROR(__xludf.DUMMYFUNCTION("""COMPUTED_VALUE"""),"REA-K3204")</f>
        <v>REA-K3204</v>
      </c>
      <c r="B934" s="3">
        <f ca="1">IFERROR(__xludf.DUMMYFUNCTION("""COMPUTED_VALUE"""),51393)</f>
        <v>51393</v>
      </c>
      <c r="C934" s="3">
        <f ca="1">IFERROR(__xludf.DUMMYFUNCTION("""COMPUTED_VALUE"""),5902557395125)</f>
        <v>5902557395125</v>
      </c>
      <c r="D934" s="4" t="str">
        <f ca="1">IFERROR(__xludf.DUMMYFUNCTION("""COMPUTED_VALUE"""),"LISTWA SPADKOWA ZŁOTA 120 cm LEWA")</f>
        <v>LISTWA SPADKOWA ZŁOTA 120 cm LEWA</v>
      </c>
      <c r="E934" s="31">
        <v>33.390243902439025</v>
      </c>
      <c r="F934" s="31">
        <f t="shared" si="14"/>
        <v>41.07</v>
      </c>
    </row>
    <row r="935" spans="1:6" ht="18.75" customHeight="1" x14ac:dyDescent="0.25">
      <c r="A935" s="2" t="str">
        <f ca="1">IFERROR(__xludf.DUMMYFUNCTION("""COMPUTED_VALUE"""),"REA-K3205")</f>
        <v>REA-K3205</v>
      </c>
      <c r="B935" s="3">
        <f ca="1">IFERROR(__xludf.DUMMYFUNCTION("""COMPUTED_VALUE"""),51394)</f>
        <v>51394</v>
      </c>
      <c r="C935" s="3">
        <f ca="1">IFERROR(__xludf.DUMMYFUNCTION("""COMPUTED_VALUE"""),5902557395132)</f>
        <v>5902557395132</v>
      </c>
      <c r="D935" s="4" t="str">
        <f ca="1">IFERROR(__xludf.DUMMYFUNCTION("""COMPUTED_VALUE"""),"LISTWA SPADKOWA ZŁOTA 120 cm PRAWA")</f>
        <v>LISTWA SPADKOWA ZŁOTA 120 cm PRAWA</v>
      </c>
      <c r="E935" s="31">
        <v>33.390243902439025</v>
      </c>
      <c r="F935" s="31">
        <f t="shared" si="14"/>
        <v>41.07</v>
      </c>
    </row>
    <row r="936" spans="1:6" ht="18.75" customHeight="1" x14ac:dyDescent="0.25">
      <c r="A936" s="2" t="str">
        <f ca="1">IFERROR(__xludf.DUMMYFUNCTION("""COMPUTED_VALUE"""),"REA-K3223")</f>
        <v>REA-K3223</v>
      </c>
      <c r="B936" s="3">
        <f ca="1">IFERROR(__xludf.DUMMYFUNCTION("""COMPUTED_VALUE"""),51402)</f>
        <v>51402</v>
      </c>
      <c r="C936" s="3">
        <f ca="1">IFERROR(__xludf.DUMMYFUNCTION("""COMPUTED_VALUE"""),5902557395200)</f>
        <v>5902557395200</v>
      </c>
      <c r="D936" s="4" t="str">
        <f ca="1">IFERROR(__xludf.DUMMYFUNCTION("""COMPUTED_VALUE"""),"LISTWA SPADKOWA ZŁOTA 140 cm LEWA")</f>
        <v>LISTWA SPADKOWA ZŁOTA 140 cm LEWA</v>
      </c>
      <c r="E936" s="31">
        <v>35.195121951219512</v>
      </c>
      <c r="F936" s="31">
        <f t="shared" si="14"/>
        <v>43.29</v>
      </c>
    </row>
    <row r="937" spans="1:6" ht="18.75" customHeight="1" x14ac:dyDescent="0.25">
      <c r="A937" s="2" t="str">
        <f ca="1">IFERROR(__xludf.DUMMYFUNCTION("""COMPUTED_VALUE"""),"REA-K3224")</f>
        <v>REA-K3224</v>
      </c>
      <c r="B937" s="3">
        <f ca="1">IFERROR(__xludf.DUMMYFUNCTION("""COMPUTED_VALUE"""),51403)</f>
        <v>51403</v>
      </c>
      <c r="C937" s="3">
        <f ca="1">IFERROR(__xludf.DUMMYFUNCTION("""COMPUTED_VALUE"""),5902557395217)</f>
        <v>5902557395217</v>
      </c>
      <c r="D937" s="4" t="str">
        <f ca="1">IFERROR(__xludf.DUMMYFUNCTION("""COMPUTED_VALUE"""),"LISTWA SPADKOWA ZŁOTA 140 cm PRAWA")</f>
        <v>LISTWA SPADKOWA ZŁOTA 140 cm PRAWA</v>
      </c>
      <c r="E937" s="31">
        <v>35.195121951219512</v>
      </c>
      <c r="F937" s="31">
        <f t="shared" si="14"/>
        <v>43.29</v>
      </c>
    </row>
    <row r="938" spans="1:6" ht="18.75" customHeight="1" x14ac:dyDescent="0.25">
      <c r="A938" s="2" t="str">
        <f ca="1">IFERROR(__xludf.DUMMYFUNCTION("""COMPUTED_VALUE"""),"REA-K3216")</f>
        <v>REA-K3216</v>
      </c>
      <c r="B938" s="3">
        <f ca="1">IFERROR(__xludf.DUMMYFUNCTION("""COMPUTED_VALUE"""),51405)</f>
        <v>51405</v>
      </c>
      <c r="C938" s="3">
        <f ca="1">IFERROR(__xludf.DUMMYFUNCTION("""COMPUTED_VALUE"""),5902557395064)</f>
        <v>5902557395064</v>
      </c>
      <c r="D938" s="4" t="str">
        <f ca="1">IFERROR(__xludf.DUMMYFUNCTION("""COMPUTED_VALUE"""),"LISTWA SPADKOWA ZŁOTA SZCZOTKOWANA 100 cm LEWA")</f>
        <v>LISTWA SPADKOWA ZŁOTA SZCZOTKOWANA 100 cm LEWA</v>
      </c>
      <c r="E938" s="31">
        <v>30.682926829268297</v>
      </c>
      <c r="F938" s="31">
        <f t="shared" si="14"/>
        <v>37.74</v>
      </c>
    </row>
    <row r="939" spans="1:6" ht="18.75" customHeight="1" x14ac:dyDescent="0.25">
      <c r="A939" s="2" t="str">
        <f ca="1">IFERROR(__xludf.DUMMYFUNCTION("""COMPUTED_VALUE"""),"REA-K3217")</f>
        <v>REA-K3217</v>
      </c>
      <c r="B939" s="3">
        <f ca="1">IFERROR(__xludf.DUMMYFUNCTION("""COMPUTED_VALUE"""),51406)</f>
        <v>51406</v>
      </c>
      <c r="C939" s="3">
        <f ca="1">IFERROR(__xludf.DUMMYFUNCTION("""COMPUTED_VALUE"""),5902557395071)</f>
        <v>5902557395071</v>
      </c>
      <c r="D939" s="4" t="str">
        <f ca="1">IFERROR(__xludf.DUMMYFUNCTION("""COMPUTED_VALUE"""),"LISTWA SPADKOWA ZŁOTA SZCZOTKOWANA 100 cm PRAWA")</f>
        <v>LISTWA SPADKOWA ZŁOTA SZCZOTKOWANA 100 cm PRAWA</v>
      </c>
      <c r="E939" s="31">
        <v>30.682926829268297</v>
      </c>
      <c r="F939" s="31">
        <f t="shared" si="14"/>
        <v>37.74</v>
      </c>
    </row>
    <row r="940" spans="1:6" ht="18.75" customHeight="1" x14ac:dyDescent="0.25">
      <c r="A940" s="2" t="str">
        <f ca="1">IFERROR(__xludf.DUMMYFUNCTION("""COMPUTED_VALUE"""),"REA-K3206")</f>
        <v>REA-K3206</v>
      </c>
      <c r="B940" s="3">
        <f ca="1">IFERROR(__xludf.DUMMYFUNCTION("""COMPUTED_VALUE"""),51408)</f>
        <v>51408</v>
      </c>
      <c r="C940" s="3">
        <f ca="1">IFERROR(__xludf.DUMMYFUNCTION("""COMPUTED_VALUE"""),5902557395149)</f>
        <v>5902557395149</v>
      </c>
      <c r="D940" s="4" t="str">
        <f ca="1">IFERROR(__xludf.DUMMYFUNCTION("""COMPUTED_VALUE"""),"LISTWA SPADKOWA ZŁOTA SZCZOTKOWANA 120 cm LEWA")</f>
        <v>LISTWA SPADKOWA ZŁOTA SZCZOTKOWANA 120 cm LEWA</v>
      </c>
      <c r="E940" s="31">
        <v>33.390243902439025</v>
      </c>
      <c r="F940" s="31">
        <f t="shared" si="14"/>
        <v>41.07</v>
      </c>
    </row>
    <row r="941" spans="1:6" ht="18.75" customHeight="1" x14ac:dyDescent="0.25">
      <c r="A941" s="2" t="str">
        <f ca="1">IFERROR(__xludf.DUMMYFUNCTION("""COMPUTED_VALUE"""),"REA-K3207")</f>
        <v>REA-K3207</v>
      </c>
      <c r="B941" s="3">
        <f ca="1">IFERROR(__xludf.DUMMYFUNCTION("""COMPUTED_VALUE"""),51409)</f>
        <v>51409</v>
      </c>
      <c r="C941" s="3">
        <f ca="1">IFERROR(__xludf.DUMMYFUNCTION("""COMPUTED_VALUE"""),5902557395156)</f>
        <v>5902557395156</v>
      </c>
      <c r="D941" s="4" t="str">
        <f ca="1">IFERROR(__xludf.DUMMYFUNCTION("""COMPUTED_VALUE"""),"LISTWA SPADKOWA ZŁOTA SZCZOTKOWANA 120 cm PRAWA")</f>
        <v>LISTWA SPADKOWA ZŁOTA SZCZOTKOWANA 120 cm PRAWA</v>
      </c>
      <c r="E941" s="31">
        <v>33.390243902439025</v>
      </c>
      <c r="F941" s="31">
        <f t="shared" si="14"/>
        <v>41.07</v>
      </c>
    </row>
    <row r="942" spans="1:6" ht="18.75" customHeight="1" x14ac:dyDescent="0.25">
      <c r="A942" s="2" t="str">
        <f ca="1">IFERROR(__xludf.DUMMYFUNCTION("""COMPUTED_VALUE"""),"REA-K3225")</f>
        <v>REA-K3225</v>
      </c>
      <c r="B942" s="3">
        <f ca="1">IFERROR(__xludf.DUMMYFUNCTION("""COMPUTED_VALUE"""),51411)</f>
        <v>51411</v>
      </c>
      <c r="C942" s="3">
        <f ca="1">IFERROR(__xludf.DUMMYFUNCTION("""COMPUTED_VALUE"""),5902557395224)</f>
        <v>5902557395224</v>
      </c>
      <c r="D942" s="4" t="str">
        <f ca="1">IFERROR(__xludf.DUMMYFUNCTION("""COMPUTED_VALUE"""),"LISTWA SPADKOWA ZŁOTA SZCZOTKOWANA 140 cm LEWA")</f>
        <v>LISTWA SPADKOWA ZŁOTA SZCZOTKOWANA 140 cm LEWA</v>
      </c>
      <c r="E942" s="31">
        <v>35.195121951219512</v>
      </c>
      <c r="F942" s="31">
        <f t="shared" si="14"/>
        <v>43.29</v>
      </c>
    </row>
    <row r="943" spans="1:6" ht="18.75" customHeight="1" x14ac:dyDescent="0.25">
      <c r="A943" s="2" t="str">
        <f ca="1">IFERROR(__xludf.DUMMYFUNCTION("""COMPUTED_VALUE"""),"REA-K3226")</f>
        <v>REA-K3226</v>
      </c>
      <c r="B943" s="3">
        <f ca="1">IFERROR(__xludf.DUMMYFUNCTION("""COMPUTED_VALUE"""),51412)</f>
        <v>51412</v>
      </c>
      <c r="C943" s="3">
        <f ca="1">IFERROR(__xludf.DUMMYFUNCTION("""COMPUTED_VALUE"""),5902557395231)</f>
        <v>5902557395231</v>
      </c>
      <c r="D943" s="4" t="str">
        <f ca="1">IFERROR(__xludf.DUMMYFUNCTION("""COMPUTED_VALUE"""),"LISTWA SPADKOWA ZŁOTA SZCZOTKOWANA 140 cm PRAWA")</f>
        <v>LISTWA SPADKOWA ZŁOTA SZCZOTKOWANA 140 cm PRAWA</v>
      </c>
      <c r="E943" s="31">
        <v>35.195121951219512</v>
      </c>
      <c r="F943" s="31">
        <f t="shared" si="14"/>
        <v>43.29</v>
      </c>
    </row>
    <row r="944" spans="1:6" ht="18.75" customHeight="1" x14ac:dyDescent="0.25">
      <c r="A944" s="2" t="str">
        <f ca="1">IFERROR(__xludf.DUMMYFUNCTION("""COMPUTED_VALUE"""),"REA-K7635")</f>
        <v>REA-K7635</v>
      </c>
      <c r="B944" s="3">
        <f ca="1">IFERROR(__xludf.DUMMYFUNCTION("""COMPUTED_VALUE"""),29798)</f>
        <v>29798</v>
      </c>
      <c r="C944" s="3"/>
      <c r="D944" s="4" t="str">
        <f ca="1">IFERROR(__xludf.DUMMYFUNCTION("""COMPUTED_VALUE"""),"ŁĄCZNIK DO KABINY BLER")</f>
        <v>ŁĄCZNIK DO KABINY BLER</v>
      </c>
      <c r="E944" s="31">
        <v>9.0243902439024399</v>
      </c>
      <c r="F944" s="31">
        <f t="shared" si="14"/>
        <v>11.100000000000001</v>
      </c>
    </row>
    <row r="945" spans="1:6" ht="18.75" customHeight="1" x14ac:dyDescent="0.25">
      <c r="A945" s="2" t="str">
        <f ca="1">IFERROR(__xludf.DUMMYFUNCTION("""COMPUTED_VALUE"""),"REA-K7554")</f>
        <v>REA-K7554</v>
      </c>
      <c r="B945" s="3">
        <f ca="1">IFERROR(__xludf.DUMMYFUNCTION("""COMPUTED_VALUE"""),29351)</f>
        <v>29351</v>
      </c>
      <c r="C945" s="3"/>
      <c r="D945" s="4" t="str">
        <f ca="1">IFERROR(__xludf.DUMMYFUNCTION("""COMPUTED_VALUE"""),"ŁĄCZNIK DO RAMIENIA AERO (COMPACT)")</f>
        <v>ŁĄCZNIK DO RAMIENIA AERO (COMPACT)</v>
      </c>
      <c r="E945" s="31">
        <v>9.0243902439024399</v>
      </c>
      <c r="F945" s="31">
        <f t="shared" si="14"/>
        <v>11.100000000000001</v>
      </c>
    </row>
    <row r="946" spans="1:6" ht="18.75" customHeight="1" x14ac:dyDescent="0.25">
      <c r="A946" s="2" t="str">
        <f ca="1">IFERROR(__xludf.DUMMYFUNCTION("""COMPUTED_VALUE"""),"REA-K7439")</f>
        <v>REA-K7439</v>
      </c>
      <c r="B946" s="3">
        <f ca="1">IFERROR(__xludf.DUMMYFUNCTION("""COMPUTED_VALUE"""),24461)</f>
        <v>24461</v>
      </c>
      <c r="C946" s="3">
        <f ca="1">IFERROR(__xludf.DUMMYFUNCTION("""COMPUTED_VALUE"""),5902557333325)</f>
        <v>5902557333325</v>
      </c>
      <c r="D946" s="4" t="str">
        <f ca="1">IFERROR(__xludf.DUMMYFUNCTION("""COMPUTED_VALUE"""),"MODUŁ KABINY FOLD N2 CHROM 100")</f>
        <v>MODUŁ KABINY FOLD N2 CHROM 100</v>
      </c>
      <c r="E946" s="31">
        <v>181.39024390243904</v>
      </c>
      <c r="F946" s="31">
        <f t="shared" si="14"/>
        <v>223.11</v>
      </c>
    </row>
    <row r="947" spans="1:6" ht="18.75" customHeight="1" x14ac:dyDescent="0.25">
      <c r="A947" s="2" t="str">
        <f ca="1">IFERROR(__xludf.DUMMYFUNCTION("""COMPUTED_VALUE"""),"REA-K7438")</f>
        <v>REA-K7438</v>
      </c>
      <c r="B947" s="3">
        <f ca="1">IFERROR(__xludf.DUMMYFUNCTION("""COMPUTED_VALUE"""),24463)</f>
        <v>24463</v>
      </c>
      <c r="C947" s="3">
        <f ca="1">IFERROR(__xludf.DUMMYFUNCTION("""COMPUTED_VALUE"""),5902557333882)</f>
        <v>5902557333882</v>
      </c>
      <c r="D947" s="4" t="str">
        <f ca="1">IFERROR(__xludf.DUMMYFUNCTION("""COMPUTED_VALUE"""),"MODUŁ KABINY FOLD N2 CHROM 110")</f>
        <v>MODUŁ KABINY FOLD N2 CHROM 110</v>
      </c>
      <c r="E947" s="31">
        <v>188.60975609756099</v>
      </c>
      <c r="F947" s="31">
        <f t="shared" si="14"/>
        <v>231.99</v>
      </c>
    </row>
    <row r="948" spans="1:6" ht="18.75" customHeight="1" x14ac:dyDescent="0.25">
      <c r="A948" s="2" t="str">
        <f ca="1">IFERROR(__xludf.DUMMYFUNCTION("""COMPUTED_VALUE"""),"REA-K7437")</f>
        <v>REA-K7437</v>
      </c>
      <c r="B948" s="3">
        <f ca="1">IFERROR(__xludf.DUMMYFUNCTION("""COMPUTED_VALUE"""),24465)</f>
        <v>24465</v>
      </c>
      <c r="C948" s="3">
        <f ca="1">IFERROR(__xludf.DUMMYFUNCTION("""COMPUTED_VALUE"""),5902557333899)</f>
        <v>5902557333899</v>
      </c>
      <c r="D948" s="4" t="str">
        <f ca="1">IFERROR(__xludf.DUMMYFUNCTION("""COMPUTED_VALUE"""),"MODUŁ KABINY FOLD N2 CHROM 120")</f>
        <v>MODUŁ KABINY FOLD N2 CHROM 120</v>
      </c>
      <c r="E948" s="31">
        <v>195.82926829268297</v>
      </c>
      <c r="F948" s="31">
        <f t="shared" si="14"/>
        <v>240.87000000000006</v>
      </c>
    </row>
    <row r="949" spans="1:6" ht="18.75" customHeight="1" x14ac:dyDescent="0.25">
      <c r="A949" s="2" t="str">
        <f ca="1">IFERROR(__xludf.DUMMYFUNCTION("""COMPUTED_VALUE"""),"REA-K7444")</f>
        <v>REA-K7444</v>
      </c>
      <c r="B949" s="3">
        <f ca="1">IFERROR(__xludf.DUMMYFUNCTION("""COMPUTED_VALUE"""),24423)</f>
        <v>24423</v>
      </c>
      <c r="C949" s="3">
        <f ca="1">IFERROR(__xludf.DUMMYFUNCTION("""COMPUTED_VALUE"""),5902557333301)</f>
        <v>5902557333301</v>
      </c>
      <c r="D949" s="4" t="str">
        <f ca="1">IFERROR(__xludf.DUMMYFUNCTION("""COMPUTED_VALUE"""),"MODUŁ KABINY FOLD N2 CHROM 70")</f>
        <v>MODUŁ KABINY FOLD N2 CHROM 70</v>
      </c>
      <c r="E949" s="31">
        <v>165.14634146341464</v>
      </c>
      <c r="F949" s="31">
        <f t="shared" si="14"/>
        <v>203.13</v>
      </c>
    </row>
    <row r="950" spans="1:6" ht="18.75" customHeight="1" x14ac:dyDescent="0.25">
      <c r="A950" s="2" t="str">
        <f ca="1">IFERROR(__xludf.DUMMYFUNCTION("""COMPUTED_VALUE"""),"REA-K7443")</f>
        <v>REA-K7443</v>
      </c>
      <c r="B950" s="3">
        <f ca="1">IFERROR(__xludf.DUMMYFUNCTION("""COMPUTED_VALUE"""),24425)</f>
        <v>24425</v>
      </c>
      <c r="C950" s="3">
        <f ca="1">IFERROR(__xludf.DUMMYFUNCTION("""COMPUTED_VALUE"""),5902557333295)</f>
        <v>5902557333295</v>
      </c>
      <c r="D950" s="4" t="str">
        <f ca="1">IFERROR(__xludf.DUMMYFUNCTION("""COMPUTED_VALUE"""),"MODUŁ KABINY FOLD N2 CHROM 80")</f>
        <v>MODUŁ KABINY FOLD N2 CHROM 80</v>
      </c>
      <c r="E950" s="31">
        <v>167.85365853658539</v>
      </c>
      <c r="F950" s="31">
        <f t="shared" si="14"/>
        <v>206.46</v>
      </c>
    </row>
    <row r="951" spans="1:6" ht="18.75" customHeight="1" x14ac:dyDescent="0.25">
      <c r="A951" s="2" t="str">
        <f ca="1">IFERROR(__xludf.DUMMYFUNCTION("""COMPUTED_VALUE"""),"REA-K7442")</f>
        <v>REA-K7442</v>
      </c>
      <c r="B951" s="3">
        <f ca="1">IFERROR(__xludf.DUMMYFUNCTION("""COMPUTED_VALUE"""),24459)</f>
        <v>24459</v>
      </c>
      <c r="C951" s="3">
        <f ca="1">IFERROR(__xludf.DUMMYFUNCTION("""COMPUTED_VALUE"""),5902557333318)</f>
        <v>5902557333318</v>
      </c>
      <c r="D951" s="4" t="str">
        <f ca="1">IFERROR(__xludf.DUMMYFUNCTION("""COMPUTED_VALUE"""),"MODUŁ KABINY FOLD N2 CHROM 90")</f>
        <v>MODUŁ KABINY FOLD N2 CHROM 90</v>
      </c>
      <c r="E951" s="31">
        <v>182.29268292682929</v>
      </c>
      <c r="F951" s="31">
        <f t="shared" si="14"/>
        <v>224.22000000000003</v>
      </c>
    </row>
    <row r="952" spans="1:6" ht="18.75" customHeight="1" x14ac:dyDescent="0.25">
      <c r="A952" s="2" t="str">
        <f ca="1">IFERROR(__xludf.DUMMYFUNCTION("""COMPUTED_VALUE"""),"REA-G0407")</f>
        <v>REA-G0407</v>
      </c>
      <c r="B952" s="3">
        <f ca="1">IFERROR(__xludf.DUMMYFUNCTION("""COMPUTED_VALUE"""),46073)</f>
        <v>46073</v>
      </c>
      <c r="C952" s="3">
        <f ca="1">IFERROR(__xludf.DUMMYFUNCTION("""COMPUTED_VALUE"""),5902557323326)</f>
        <v>5902557323326</v>
      </c>
      <c r="D952" s="4" t="str">
        <f ca="1">IFERROR(__xludf.DUMMYFUNCTION("""COMPUTED_VALUE"""),"ODPŁYW BUBBLE -1000 N SZCZOTKOWANY")</f>
        <v>ODPŁYW BUBBLE -1000 N SZCZOTKOWANY</v>
      </c>
      <c r="E952" s="31">
        <v>61.365853658536594</v>
      </c>
      <c r="F952" s="31">
        <f t="shared" si="14"/>
        <v>75.48</v>
      </c>
    </row>
    <row r="953" spans="1:6" ht="18.75" customHeight="1" x14ac:dyDescent="0.25">
      <c r="A953" s="2" t="str">
        <f ca="1">IFERROR(__xludf.DUMMYFUNCTION("""COMPUTED_VALUE"""),"REA-G0115")</f>
        <v>REA-G0115</v>
      </c>
      <c r="B953" s="3">
        <f ca="1">IFERROR(__xludf.DUMMYFUNCTION("""COMPUTED_VALUE"""),46072)</f>
        <v>46072</v>
      </c>
      <c r="C953" s="3">
        <f ca="1">IFERROR(__xludf.DUMMYFUNCTION("""COMPUTED_VALUE"""),5902557323302)</f>
        <v>5902557323302</v>
      </c>
      <c r="D953" s="4" t="str">
        <f ca="1">IFERROR(__xludf.DUMMYFUNCTION("""COMPUTED_VALUE"""),"ODPŁYW BUBBLE-900 N SZCZOTKOWANY")</f>
        <v>ODPŁYW BUBBLE-900 N SZCZOTKOWANY</v>
      </c>
      <c r="E953" s="31">
        <v>55.951219512195124</v>
      </c>
      <c r="F953" s="31">
        <f t="shared" si="14"/>
        <v>68.820000000000007</v>
      </c>
    </row>
    <row r="954" spans="1:6" ht="18.75" customHeight="1" x14ac:dyDescent="0.25">
      <c r="A954" s="2" t="str">
        <f ca="1">IFERROR(__xludf.DUMMYFUNCTION("""COMPUTED_VALUE"""),"REA-G6200")</f>
        <v>REA-G6200</v>
      </c>
      <c r="B954" s="3">
        <f ca="1">IFERROR(__xludf.DUMMYFUNCTION("""COMPUTED_VALUE"""),50970)</f>
        <v>50970</v>
      </c>
      <c r="C954" s="3">
        <f ca="1">IFERROR(__xludf.DUMMYFUNCTION("""COMPUTED_VALUE"""),5902557387083)</f>
        <v>5902557387083</v>
      </c>
      <c r="D954" s="4" t="str">
        <f ca="1">IFERROR(__xludf.DUMMYFUNCTION("""COMPUTED_VALUE"""),"ODPŁYW CROSS 120x120 SZCZOTKOWANY")</f>
        <v>ODPŁYW CROSS 120x120 SZCZOTKOWANY</v>
      </c>
      <c r="E954" s="31">
        <v>33.390243902439025</v>
      </c>
      <c r="F954" s="31">
        <f t="shared" si="14"/>
        <v>41.07</v>
      </c>
    </row>
    <row r="955" spans="1:6" ht="18.75" customHeight="1" x14ac:dyDescent="0.25">
      <c r="A955" s="2" t="str">
        <f ca="1">IFERROR(__xludf.DUMMYFUNCTION("""COMPUTED_VALUE"""),"REA-G6201")</f>
        <v>REA-G6201</v>
      </c>
      <c r="B955" s="3">
        <f ca="1">IFERROR(__xludf.DUMMYFUNCTION("""COMPUTED_VALUE"""),51004)</f>
        <v>51004</v>
      </c>
      <c r="C955" s="3">
        <f ca="1">IFERROR(__xludf.DUMMYFUNCTION("""COMPUTED_VALUE"""),5902557387076)</f>
        <v>5902557387076</v>
      </c>
      <c r="D955" s="4" t="str">
        <f ca="1">IFERROR(__xludf.DUMMYFUNCTION("""COMPUTED_VALUE"""),"ODPŁYW CROSS 150x150 SZCZOTKOWANY")</f>
        <v>ODPŁYW CROSS 150x150 SZCZOTKOWANY</v>
      </c>
      <c r="E955" s="31">
        <v>35.195121951219512</v>
      </c>
      <c r="F955" s="31">
        <f t="shared" si="14"/>
        <v>43.29</v>
      </c>
    </row>
    <row r="956" spans="1:6" ht="18.75" customHeight="1" x14ac:dyDescent="0.25">
      <c r="A956" s="2" t="str">
        <f ca="1">IFERROR(__xludf.DUMMYFUNCTION("""COMPUTED_VALUE"""),"REA-G6202")</f>
        <v>REA-G6202</v>
      </c>
      <c r="B956" s="3">
        <f ca="1">IFERROR(__xludf.DUMMYFUNCTION("""COMPUTED_VALUE"""),51000)</f>
        <v>51000</v>
      </c>
      <c r="C956" s="3">
        <f ca="1">IFERROR(__xludf.DUMMYFUNCTION("""COMPUTED_VALUE"""),5902557387120)</f>
        <v>5902557387120</v>
      </c>
      <c r="D956" s="4" t="str">
        <f ca="1">IFERROR(__xludf.DUMMYFUNCTION("""COMPUTED_VALUE"""),"ODPŁYW DOTS 120x120 SZCZOTKOWANY")</f>
        <v>ODPŁYW DOTS 120x120 SZCZOTKOWANY</v>
      </c>
      <c r="E956" s="31">
        <v>33.390243902439025</v>
      </c>
      <c r="F956" s="31">
        <f t="shared" si="14"/>
        <v>41.07</v>
      </c>
    </row>
    <row r="957" spans="1:6" ht="18.75" customHeight="1" x14ac:dyDescent="0.25">
      <c r="A957" s="2" t="str">
        <f ca="1">IFERROR(__xludf.DUMMYFUNCTION("""COMPUTED_VALUE"""),"REA-G6203")</f>
        <v>REA-G6203</v>
      </c>
      <c r="B957" s="3">
        <f ca="1">IFERROR(__xludf.DUMMYFUNCTION("""COMPUTED_VALUE"""),51005)</f>
        <v>51005</v>
      </c>
      <c r="C957" s="3">
        <f ca="1">IFERROR(__xludf.DUMMYFUNCTION("""COMPUTED_VALUE"""),5902557387113)</f>
        <v>5902557387113</v>
      </c>
      <c r="D957" s="4" t="str">
        <f ca="1">IFERROR(__xludf.DUMMYFUNCTION("""COMPUTED_VALUE"""),"ODPŁYW DOTS 150x150 SZCZOTKOWANY")</f>
        <v>ODPŁYW DOTS 150x150 SZCZOTKOWANY</v>
      </c>
      <c r="E957" s="31">
        <v>35.195121951219512</v>
      </c>
      <c r="F957" s="31">
        <f t="shared" si="14"/>
        <v>43.29</v>
      </c>
    </row>
    <row r="958" spans="1:6" ht="18.75" customHeight="1" x14ac:dyDescent="0.25">
      <c r="A958" s="2" t="str">
        <f ca="1">IFERROR(__xludf.DUMMYFUNCTION("""COMPUTED_VALUE"""),"REA-G0404")</f>
        <v>REA-G0404</v>
      </c>
      <c r="B958" s="3">
        <f ca="1">IFERROR(__xludf.DUMMYFUNCTION("""COMPUTED_VALUE"""),45387)</f>
        <v>45387</v>
      </c>
      <c r="C958" s="3">
        <f ca="1">IFERROR(__xludf.DUMMYFUNCTION("""COMPUTED_VALUE"""),5902557301263)</f>
        <v>5902557301263</v>
      </c>
      <c r="D958" s="4" t="str">
        <f ca="1">IFERROR(__xludf.DUMMYFUNCTION("""COMPUTED_VALUE"""),"ODPŁYW GREEK  500 N BRUSH")</f>
        <v>ODPŁYW GREEK  500 N BRUSH</v>
      </c>
      <c r="E958" s="31">
        <v>35.195121951219512</v>
      </c>
      <c r="F958" s="31">
        <f t="shared" si="14"/>
        <v>43.29</v>
      </c>
    </row>
    <row r="959" spans="1:6" ht="18.75" customHeight="1" x14ac:dyDescent="0.25">
      <c r="A959" s="2" t="str">
        <f ca="1">IFERROR(__xludf.DUMMYFUNCTION("""COMPUTED_VALUE"""),"REA-G0405")</f>
        <v>REA-G0405</v>
      </c>
      <c r="B959" s="3">
        <f ca="1">IFERROR(__xludf.DUMMYFUNCTION("""COMPUTED_VALUE"""),45498)</f>
        <v>45498</v>
      </c>
      <c r="C959" s="3">
        <f ca="1">IFERROR(__xludf.DUMMYFUNCTION("""COMPUTED_VALUE"""),5902557301317)</f>
        <v>5902557301317</v>
      </c>
      <c r="D959" s="4" t="str">
        <f ca="1">IFERROR(__xludf.DUMMYFUNCTION("""COMPUTED_VALUE"""),"ODPŁYW GREEK N SZCZOTKOWANY 1000")</f>
        <v>ODPŁYW GREEK N SZCZOTKOWANY 1000</v>
      </c>
      <c r="E959" s="31">
        <v>61.365853658536594</v>
      </c>
      <c r="F959" s="31">
        <f t="shared" si="14"/>
        <v>75.48</v>
      </c>
    </row>
    <row r="960" spans="1:6" ht="18.75" customHeight="1" x14ac:dyDescent="0.25">
      <c r="A960" s="2" t="str">
        <f ca="1">IFERROR(__xludf.DUMMYFUNCTION("""COMPUTED_VALUE"""),"REA-G0111")</f>
        <v>REA-G0111</v>
      </c>
      <c r="B960" s="3">
        <f ca="1">IFERROR(__xludf.DUMMYFUNCTION("""COMPUTED_VALUE"""),45434)</f>
        <v>45434</v>
      </c>
      <c r="C960" s="3">
        <f ca="1">IFERROR(__xludf.DUMMYFUNCTION("""COMPUTED_VALUE"""),5902557301300)</f>
        <v>5902557301300</v>
      </c>
      <c r="D960" s="4" t="str">
        <f ca="1">IFERROR(__xludf.DUMMYFUNCTION("""COMPUTED_VALUE"""),"ODPŁYW GREEK N SZCZOTKOWANY 900")</f>
        <v>ODPŁYW GREEK N SZCZOTKOWANY 900</v>
      </c>
      <c r="E960" s="31">
        <v>55.048780487804883</v>
      </c>
      <c r="F960" s="31">
        <f t="shared" si="14"/>
        <v>67.710000000000008</v>
      </c>
    </row>
    <row r="961" spans="1:6" ht="18.75" customHeight="1" x14ac:dyDescent="0.25">
      <c r="A961" s="2" t="str">
        <f ca="1">IFERROR(__xludf.DUMMYFUNCTION("""COMPUTED_VALUE"""),"REA-G8023")</f>
        <v>REA-G8023</v>
      </c>
      <c r="B961" s="3">
        <f ca="1">IFERROR(__xludf.DUMMYFUNCTION("""COMPUTED_VALUE"""),45766)</f>
        <v>45766</v>
      </c>
      <c r="C961" s="3">
        <f ca="1">IFERROR(__xludf.DUMMYFUNCTION("""COMPUTED_VALUE"""),5902557375868)</f>
        <v>5902557375868</v>
      </c>
      <c r="D961" s="4" t="str">
        <f ca="1">IFERROR(__xludf.DUMMYFUNCTION("""COMPUTED_VALUE"""),"ODPŁYW GREEK PRO CZARNY 600")</f>
        <v>ODPŁYW GREEK PRO CZARNY 600</v>
      </c>
      <c r="E961" s="31">
        <v>66.780487804878049</v>
      </c>
      <c r="F961" s="31">
        <f t="shared" si="14"/>
        <v>82.14</v>
      </c>
    </row>
    <row r="962" spans="1:6" ht="18.75" customHeight="1" x14ac:dyDescent="0.25">
      <c r="A962" s="2" t="str">
        <f ca="1">IFERROR(__xludf.DUMMYFUNCTION("""COMPUTED_VALUE"""),"REA-G8024")</f>
        <v>REA-G8024</v>
      </c>
      <c r="B962" s="3">
        <f ca="1">IFERROR(__xludf.DUMMYFUNCTION("""COMPUTED_VALUE"""),45767)</f>
        <v>45767</v>
      </c>
      <c r="C962" s="3">
        <f ca="1">IFERROR(__xludf.DUMMYFUNCTION("""COMPUTED_VALUE"""),5902557375875)</f>
        <v>5902557375875</v>
      </c>
      <c r="D962" s="4" t="str">
        <f ca="1">IFERROR(__xludf.DUMMYFUNCTION("""COMPUTED_VALUE"""),"ODPŁYW GREEK PRO CZARNY 700")</f>
        <v>ODPŁYW GREEK PRO CZARNY 700</v>
      </c>
      <c r="E962" s="31">
        <v>73.097560975609767</v>
      </c>
      <c r="F962" s="31">
        <f t="shared" si="14"/>
        <v>89.910000000000011</v>
      </c>
    </row>
    <row r="963" spans="1:6" ht="18.75" customHeight="1" x14ac:dyDescent="0.25">
      <c r="A963" s="2" t="str">
        <f ca="1">IFERROR(__xludf.DUMMYFUNCTION("""COMPUTED_VALUE"""),"REA-G8025")</f>
        <v>REA-G8025</v>
      </c>
      <c r="B963" s="3">
        <f ca="1">IFERROR(__xludf.DUMMYFUNCTION("""COMPUTED_VALUE"""),45768)</f>
        <v>45768</v>
      </c>
      <c r="C963" s="3">
        <f ca="1">IFERROR(__xludf.DUMMYFUNCTION("""COMPUTED_VALUE"""),5902557375882)</f>
        <v>5902557375882</v>
      </c>
      <c r="D963" s="4" t="str">
        <f ca="1">IFERROR(__xludf.DUMMYFUNCTION("""COMPUTED_VALUE"""),"ODPŁYW GREEK PRO CZARNY 800")</f>
        <v>ODPŁYW GREEK PRO CZARNY 800</v>
      </c>
      <c r="E963" s="31">
        <v>81.219512195121965</v>
      </c>
      <c r="F963" s="31">
        <f t="shared" ref="F963:F1026" si="15">E963*1.23</f>
        <v>99.90000000000002</v>
      </c>
    </row>
    <row r="964" spans="1:6" ht="18.75" customHeight="1" x14ac:dyDescent="0.25">
      <c r="A964" s="2" t="str">
        <f ca="1">IFERROR(__xludf.DUMMYFUNCTION("""COMPUTED_VALUE"""),"REA-G8026")</f>
        <v>REA-G8026</v>
      </c>
      <c r="B964" s="3">
        <f ca="1">IFERROR(__xludf.DUMMYFUNCTION("""COMPUTED_VALUE"""),45769)</f>
        <v>45769</v>
      </c>
      <c r="C964" s="3">
        <f ca="1">IFERROR(__xludf.DUMMYFUNCTION("""COMPUTED_VALUE"""),5902557375899)</f>
        <v>5902557375899</v>
      </c>
      <c r="D964" s="4" t="str">
        <f ca="1">IFERROR(__xludf.DUMMYFUNCTION("""COMPUTED_VALUE"""),"ODPŁYW GREEK PRO CZARNY 900")</f>
        <v>ODPŁYW GREEK PRO CZARNY 900</v>
      </c>
      <c r="E964" s="31">
        <v>84.82926829268294</v>
      </c>
      <c r="F964" s="31">
        <f t="shared" si="15"/>
        <v>104.34000000000002</v>
      </c>
    </row>
    <row r="965" spans="1:6" ht="18.75" customHeight="1" x14ac:dyDescent="0.25">
      <c r="A965" s="2" t="str">
        <f ca="1">IFERROR(__xludf.DUMMYFUNCTION("""COMPUTED_VALUE"""),"REA-G8027")</f>
        <v>REA-G8027</v>
      </c>
      <c r="B965" s="3">
        <f ca="1">IFERROR(__xludf.DUMMYFUNCTION("""COMPUTED_VALUE"""),47650)</f>
        <v>47650</v>
      </c>
      <c r="C965" s="3">
        <f ca="1">IFERROR(__xludf.DUMMYFUNCTION("""COMPUTED_VALUE"""),5902557375905)</f>
        <v>5902557375905</v>
      </c>
      <c r="D965" s="4" t="str">
        <f ca="1">IFERROR(__xludf.DUMMYFUNCTION("""COMPUTED_VALUE"""),"ODPŁYW GREEK PRO ZŁOTY POŁYSK 600")</f>
        <v>ODPŁYW GREEK PRO ZŁOTY POŁYSK 600</v>
      </c>
      <c r="E965" s="31">
        <v>79.41463414634147</v>
      </c>
      <c r="F965" s="31">
        <f t="shared" si="15"/>
        <v>97.68</v>
      </c>
    </row>
    <row r="966" spans="1:6" ht="18.75" customHeight="1" x14ac:dyDescent="0.25">
      <c r="A966" s="2" t="str">
        <f ca="1">IFERROR(__xludf.DUMMYFUNCTION("""COMPUTED_VALUE"""),"REA-G8028")</f>
        <v>REA-G8028</v>
      </c>
      <c r="B966" s="3">
        <f ca="1">IFERROR(__xludf.DUMMYFUNCTION("""COMPUTED_VALUE"""),47649)</f>
        <v>47649</v>
      </c>
      <c r="C966" s="3">
        <f ca="1">IFERROR(__xludf.DUMMYFUNCTION("""COMPUTED_VALUE"""),5902557375912)</f>
        <v>5902557375912</v>
      </c>
      <c r="D966" s="4" t="str">
        <f ca="1">IFERROR(__xludf.DUMMYFUNCTION("""COMPUTED_VALUE"""),"ODPŁYW GREEK PRO ZŁOTY POŁYSK 700")</f>
        <v>ODPŁYW GREEK PRO ZŁOTY POŁYSK 700</v>
      </c>
      <c r="E966" s="31">
        <v>91.146341463414643</v>
      </c>
      <c r="F966" s="31">
        <f t="shared" si="15"/>
        <v>112.11000000000001</v>
      </c>
    </row>
    <row r="967" spans="1:6" ht="18.75" customHeight="1" x14ac:dyDescent="0.25">
      <c r="A967" s="2" t="str">
        <f ca="1">IFERROR(__xludf.DUMMYFUNCTION("""COMPUTED_VALUE"""),"REA-G8029")</f>
        <v>REA-G8029</v>
      </c>
      <c r="B967" s="3">
        <f ca="1">IFERROR(__xludf.DUMMYFUNCTION("""COMPUTED_VALUE"""),47648)</f>
        <v>47648</v>
      </c>
      <c r="C967" s="3">
        <f ca="1">IFERROR(__xludf.DUMMYFUNCTION("""COMPUTED_VALUE"""),5902557375929)</f>
        <v>5902557375929</v>
      </c>
      <c r="D967" s="4" t="str">
        <f ca="1">IFERROR(__xludf.DUMMYFUNCTION("""COMPUTED_VALUE"""),"ODPŁYW GREEK PRO ZŁOTY POŁYSK 800")</f>
        <v>ODPŁYW GREEK PRO ZŁOTY POŁYSK 800</v>
      </c>
      <c r="E967" s="31">
        <v>97.463414634146361</v>
      </c>
      <c r="F967" s="31">
        <f t="shared" si="15"/>
        <v>119.88000000000002</v>
      </c>
    </row>
    <row r="968" spans="1:6" ht="18.75" customHeight="1" x14ac:dyDescent="0.25">
      <c r="A968" s="2" t="str">
        <f ca="1">IFERROR(__xludf.DUMMYFUNCTION("""COMPUTED_VALUE"""),"REA-G8030")</f>
        <v>REA-G8030</v>
      </c>
      <c r="B968" s="3">
        <f ca="1">IFERROR(__xludf.DUMMYFUNCTION("""COMPUTED_VALUE"""),47647)</f>
        <v>47647</v>
      </c>
      <c r="C968" s="3">
        <f ca="1">IFERROR(__xludf.DUMMYFUNCTION("""COMPUTED_VALUE"""),5902557375936)</f>
        <v>5902557375936</v>
      </c>
      <c r="D968" s="4" t="str">
        <f ca="1">IFERROR(__xludf.DUMMYFUNCTION("""COMPUTED_VALUE"""),"ODPŁYW GREEK PRO ZŁOTY POŁYSK 900")</f>
        <v>ODPŁYW GREEK PRO ZŁOTY POŁYSK 900</v>
      </c>
      <c r="E968" s="31">
        <v>105.58536585365854</v>
      </c>
      <c r="F968" s="31">
        <f t="shared" si="15"/>
        <v>129.87</v>
      </c>
    </row>
    <row r="969" spans="1:6" ht="18.75" customHeight="1" x14ac:dyDescent="0.25">
      <c r="A969" s="2" t="str">
        <f ca="1">IFERROR(__xludf.DUMMYFUNCTION("""COMPUTED_VALUE"""),"REA-G8600")</f>
        <v>REA-G8600</v>
      </c>
      <c r="B969" s="3">
        <f ca="1">IFERROR(__xludf.DUMMYFUNCTION("""COMPUTED_VALUE"""),45765)</f>
        <v>45765</v>
      </c>
      <c r="C969" s="3">
        <f ca="1">IFERROR(__xludf.DUMMYFUNCTION("""COMPUTED_VALUE"""),5902557357208)</f>
        <v>5902557357208</v>
      </c>
      <c r="D969" s="4" t="str">
        <f ca="1">IFERROR(__xludf.DUMMYFUNCTION("""COMPUTED_VALUE"""),"ODPŁYW GREEK-500 BLACK")</f>
        <v>ODPŁYW GREEK-500 BLACK</v>
      </c>
      <c r="E969" s="31">
        <v>35.195121951219512</v>
      </c>
      <c r="F969" s="31">
        <f t="shared" si="15"/>
        <v>43.29</v>
      </c>
    </row>
    <row r="970" spans="1:6" ht="18.75" customHeight="1" x14ac:dyDescent="0.25">
      <c r="A970" s="2" t="str">
        <f ca="1">IFERROR(__xludf.DUMMYFUNCTION("""COMPUTED_VALUE"""),"REA-G8000")</f>
        <v>REA-G8000</v>
      </c>
      <c r="B970" s="3"/>
      <c r="C970" s="3">
        <f ca="1">IFERROR(__xludf.DUMMYFUNCTION("""COMPUTED_VALUE"""),5902557352289)</f>
        <v>5902557352289</v>
      </c>
      <c r="D970" s="4" t="str">
        <f ca="1">IFERROR(__xludf.DUMMYFUNCTION("""COMPUTED_VALUE"""),"ODPŁYW GREEK-600 BLACK")</f>
        <v>ODPŁYW GREEK-600 BLACK</v>
      </c>
      <c r="E970" s="31">
        <v>56.853658536585371</v>
      </c>
      <c r="F970" s="31">
        <f t="shared" si="15"/>
        <v>69.930000000000007</v>
      </c>
    </row>
    <row r="971" spans="1:6" ht="18.75" customHeight="1" x14ac:dyDescent="0.25">
      <c r="A971" s="2" t="str">
        <f ca="1">IFERROR(__xludf.DUMMYFUNCTION("""COMPUTED_VALUE"""),"REA-G8004")</f>
        <v>REA-G8004</v>
      </c>
      <c r="B971" s="3">
        <f ca="1">IFERROR(__xludf.DUMMYFUNCTION("""COMPUTED_VALUE"""),45706)</f>
        <v>45706</v>
      </c>
      <c r="C971" s="3">
        <f ca="1">IFERROR(__xludf.DUMMYFUNCTION("""COMPUTED_VALUE"""),5902557352241)</f>
        <v>5902557352241</v>
      </c>
      <c r="D971" s="4" t="str">
        <f ca="1">IFERROR(__xludf.DUMMYFUNCTION("""COMPUTED_VALUE"""),"ODPŁYW GREEK-600 L.GOLD")</f>
        <v>ODPŁYW GREEK-600 L.GOLD</v>
      </c>
      <c r="E971" s="31">
        <v>60.463414634146346</v>
      </c>
      <c r="F971" s="31">
        <f t="shared" si="15"/>
        <v>74.37</v>
      </c>
    </row>
    <row r="972" spans="1:6" ht="18.75" customHeight="1" x14ac:dyDescent="0.25">
      <c r="A972" s="2" t="str">
        <f ca="1">IFERROR(__xludf.DUMMYFUNCTION("""COMPUTED_VALUE"""),"REA-G0108")</f>
        <v>REA-G0108</v>
      </c>
      <c r="B972" s="3">
        <f ca="1">IFERROR(__xludf.DUMMYFUNCTION("""COMPUTED_VALUE"""),45388)</f>
        <v>45388</v>
      </c>
      <c r="C972" s="3">
        <f ca="1">IFERROR(__xludf.DUMMYFUNCTION("""COMPUTED_VALUE"""),5902557301270)</f>
        <v>5902557301270</v>
      </c>
      <c r="D972" s="4" t="str">
        <f ca="1">IFERROR(__xludf.DUMMYFUNCTION("""COMPUTED_VALUE"""),"ODPŁYW GREEK-600 N BRUSH")</f>
        <v>ODPŁYW GREEK-600 N BRUSH</v>
      </c>
      <c r="E972" s="31">
        <v>37.000000000000007</v>
      </c>
      <c r="F972" s="31">
        <f t="shared" si="15"/>
        <v>45.510000000000005</v>
      </c>
    </row>
    <row r="973" spans="1:6" ht="18.75" customHeight="1" x14ac:dyDescent="0.25">
      <c r="A973" s="2" t="str">
        <f ca="1">IFERROR(__xludf.DUMMYFUNCTION("""COMPUTED_VALUE"""),"REA-G8001")</f>
        <v>REA-G8001</v>
      </c>
      <c r="B973" s="3"/>
      <c r="C973" s="3">
        <f ca="1">IFERROR(__xludf.DUMMYFUNCTION("""COMPUTED_VALUE"""),5902557352296)</f>
        <v>5902557352296</v>
      </c>
      <c r="D973" s="4" t="str">
        <f ca="1">IFERROR(__xludf.DUMMYFUNCTION("""COMPUTED_VALUE"""),"ODPŁYW GREEK-700 BLACK")</f>
        <v>ODPŁYW GREEK-700 BLACK</v>
      </c>
      <c r="E973" s="31">
        <v>63.170731707317081</v>
      </c>
      <c r="F973" s="31">
        <f t="shared" si="15"/>
        <v>77.7</v>
      </c>
    </row>
    <row r="974" spans="1:6" ht="18.75" customHeight="1" x14ac:dyDescent="0.25">
      <c r="A974" s="2" t="str">
        <f ca="1">IFERROR(__xludf.DUMMYFUNCTION("""COMPUTED_VALUE"""),"REA-G8005")</f>
        <v>REA-G8005</v>
      </c>
      <c r="B974" s="3">
        <f ca="1">IFERROR(__xludf.DUMMYFUNCTION("""COMPUTED_VALUE"""),45707)</f>
        <v>45707</v>
      </c>
      <c r="C974" s="3">
        <f ca="1">IFERROR(__xludf.DUMMYFUNCTION("""COMPUTED_VALUE"""),5902557352258)</f>
        <v>5902557352258</v>
      </c>
      <c r="D974" s="4" t="str">
        <f ca="1">IFERROR(__xludf.DUMMYFUNCTION("""COMPUTED_VALUE"""),"ODPŁYW GREEK-700 L.GOLD")</f>
        <v>ODPŁYW GREEK-700 L.GOLD</v>
      </c>
      <c r="E974" s="31">
        <v>65.878048780487816</v>
      </c>
      <c r="F974" s="31">
        <f t="shared" si="15"/>
        <v>81.030000000000015</v>
      </c>
    </row>
    <row r="975" spans="1:6" ht="18.75" customHeight="1" x14ac:dyDescent="0.25">
      <c r="A975" s="2" t="str">
        <f ca="1">IFERROR(__xludf.DUMMYFUNCTION("""COMPUTED_VALUE"""),"REA-G0109")</f>
        <v>REA-G0109</v>
      </c>
      <c r="B975" s="3">
        <f ca="1">IFERROR(__xludf.DUMMYFUNCTION("""COMPUTED_VALUE"""),45389)</f>
        <v>45389</v>
      </c>
      <c r="C975" s="3">
        <f ca="1">IFERROR(__xludf.DUMMYFUNCTION("""COMPUTED_VALUE"""),5902557301287)</f>
        <v>5902557301287</v>
      </c>
      <c r="D975" s="4" t="str">
        <f ca="1">IFERROR(__xludf.DUMMYFUNCTION("""COMPUTED_VALUE"""),"ODPŁYW GREEK-700 N BRUSH")</f>
        <v>ODPŁYW GREEK-700 N BRUSH</v>
      </c>
      <c r="E975" s="31">
        <v>41.512195121951223</v>
      </c>
      <c r="F975" s="31">
        <f t="shared" si="15"/>
        <v>51.06</v>
      </c>
    </row>
    <row r="976" spans="1:6" ht="18.75" customHeight="1" x14ac:dyDescent="0.25">
      <c r="A976" s="2" t="str">
        <f ca="1">IFERROR(__xludf.DUMMYFUNCTION("""COMPUTED_VALUE"""),"REA-G8002")</f>
        <v>REA-G8002</v>
      </c>
      <c r="B976" s="3"/>
      <c r="C976" s="3">
        <f ca="1">IFERROR(__xludf.DUMMYFUNCTION("""COMPUTED_VALUE"""),5902557352302)</f>
        <v>5902557352302</v>
      </c>
      <c r="D976" s="4" t="str">
        <f ca="1">IFERROR(__xludf.DUMMYFUNCTION("""COMPUTED_VALUE"""),"ODPŁYW GREEK-800 BLACK")</f>
        <v>ODPŁYW GREEK-800 BLACK</v>
      </c>
      <c r="E976" s="31">
        <v>74.000000000000014</v>
      </c>
      <c r="F976" s="31">
        <f t="shared" si="15"/>
        <v>91.02000000000001</v>
      </c>
    </row>
    <row r="977" spans="1:6" ht="18.75" customHeight="1" x14ac:dyDescent="0.25">
      <c r="A977" s="2" t="str">
        <f ca="1">IFERROR(__xludf.DUMMYFUNCTION("""COMPUTED_VALUE"""),"REA-G8006")</f>
        <v>REA-G8006</v>
      </c>
      <c r="B977" s="3">
        <f ca="1">IFERROR(__xludf.DUMMYFUNCTION("""COMPUTED_VALUE"""),45708)</f>
        <v>45708</v>
      </c>
      <c r="C977" s="3">
        <f ca="1">IFERROR(__xludf.DUMMYFUNCTION("""COMPUTED_VALUE"""),5902557352265)</f>
        <v>5902557352265</v>
      </c>
      <c r="D977" s="4" t="str">
        <f ca="1">IFERROR(__xludf.DUMMYFUNCTION("""COMPUTED_VALUE"""),"ODPŁYW GREEK-800 L.GOLD")</f>
        <v>ODPŁYW GREEK-800 L.GOLD</v>
      </c>
      <c r="E977" s="31">
        <v>72.195121951219519</v>
      </c>
      <c r="F977" s="31">
        <f t="shared" si="15"/>
        <v>88.800000000000011</v>
      </c>
    </row>
    <row r="978" spans="1:6" ht="18.75" customHeight="1" x14ac:dyDescent="0.25">
      <c r="A978" s="2" t="str">
        <f ca="1">IFERROR(__xludf.DUMMYFUNCTION("""COMPUTED_VALUE"""),"REA-G0110")</f>
        <v>REA-G0110</v>
      </c>
      <c r="B978" s="3">
        <f ca="1">IFERROR(__xludf.DUMMYFUNCTION("""COMPUTED_VALUE"""),45390)</f>
        <v>45390</v>
      </c>
      <c r="C978" s="3">
        <f ca="1">IFERROR(__xludf.DUMMYFUNCTION("""COMPUTED_VALUE"""),5902557301294)</f>
        <v>5902557301294</v>
      </c>
      <c r="D978" s="4" t="str">
        <f ca="1">IFERROR(__xludf.DUMMYFUNCTION("""COMPUTED_VALUE"""),"ODPŁYW GREEK-800 N SZCZOTKOWANY")</f>
        <v>ODPŁYW GREEK-800 N SZCZOTKOWANY</v>
      </c>
      <c r="E978" s="31">
        <v>46.926829268292686</v>
      </c>
      <c r="F978" s="31">
        <f t="shared" si="15"/>
        <v>57.72</v>
      </c>
    </row>
    <row r="979" spans="1:6" ht="18.75" customHeight="1" x14ac:dyDescent="0.25">
      <c r="A979" s="2" t="str">
        <f ca="1">IFERROR(__xludf.DUMMYFUNCTION("""COMPUTED_VALUE"""),"REA-G8003")</f>
        <v>REA-G8003</v>
      </c>
      <c r="B979" s="3"/>
      <c r="C979" s="3">
        <f ca="1">IFERROR(__xludf.DUMMYFUNCTION("""COMPUTED_VALUE"""),5902557352319)</f>
        <v>5902557352319</v>
      </c>
      <c r="D979" s="4" t="str">
        <f ca="1">IFERROR(__xludf.DUMMYFUNCTION("""COMPUTED_VALUE"""),"ODPŁYW GREEK-900 BLACK")</f>
        <v>ODPŁYW GREEK-900 BLACK</v>
      </c>
      <c r="E979" s="31">
        <v>79.41463414634147</v>
      </c>
      <c r="F979" s="31">
        <f t="shared" si="15"/>
        <v>97.68</v>
      </c>
    </row>
    <row r="980" spans="1:6" ht="18.75" customHeight="1" x14ac:dyDescent="0.25">
      <c r="A980" s="2" t="str">
        <f ca="1">IFERROR(__xludf.DUMMYFUNCTION("""COMPUTED_VALUE"""),"REA-G8007")</f>
        <v>REA-G8007</v>
      </c>
      <c r="B980" s="3">
        <f ca="1">IFERROR(__xludf.DUMMYFUNCTION("""COMPUTED_VALUE"""),45709)</f>
        <v>45709</v>
      </c>
      <c r="C980" s="3">
        <f ca="1">IFERROR(__xludf.DUMMYFUNCTION("""COMPUTED_VALUE"""),5902557352272)</f>
        <v>5902557352272</v>
      </c>
      <c r="D980" s="4" t="str">
        <f ca="1">IFERROR(__xludf.DUMMYFUNCTION("""COMPUTED_VALUE"""),"ODPŁYW GREEK-900 L.GOLD")</f>
        <v>ODPŁYW GREEK-900 L.GOLD</v>
      </c>
      <c r="E980" s="31">
        <v>83.024390243902445</v>
      </c>
      <c r="F980" s="31">
        <f t="shared" si="15"/>
        <v>102.12</v>
      </c>
    </row>
    <row r="981" spans="1:6" ht="18.75" customHeight="1" x14ac:dyDescent="0.25">
      <c r="A981" s="2" t="str">
        <f ca="1">IFERROR(__xludf.DUMMYFUNCTION("""COMPUTED_VALUE"""),"REA-G6204")</f>
        <v>REA-G6204</v>
      </c>
      <c r="B981" s="3">
        <f ca="1">IFERROR(__xludf.DUMMYFUNCTION("""COMPUTED_VALUE"""),50997)</f>
        <v>50997</v>
      </c>
      <c r="C981" s="3">
        <f ca="1">IFERROR(__xludf.DUMMYFUNCTION("""COMPUTED_VALUE"""),5902557387090)</f>
        <v>5902557387090</v>
      </c>
      <c r="D981" s="4" t="str">
        <f ca="1">IFERROR(__xludf.DUMMYFUNCTION("""COMPUTED_VALUE"""),"ODPŁYW LINE 120x120 SZCZOTKOWANY")</f>
        <v>ODPŁYW LINE 120x120 SZCZOTKOWANY</v>
      </c>
      <c r="E981" s="31">
        <v>33.390243902439025</v>
      </c>
      <c r="F981" s="31">
        <f t="shared" si="15"/>
        <v>41.07</v>
      </c>
    </row>
    <row r="982" spans="1:6" ht="18.75" customHeight="1" x14ac:dyDescent="0.25">
      <c r="A982" s="2" t="str">
        <f ca="1">IFERROR(__xludf.DUMMYFUNCTION("""COMPUTED_VALUE"""),"REA-G6205")</f>
        <v>REA-G6205</v>
      </c>
      <c r="B982" s="3">
        <f ca="1">IFERROR(__xludf.DUMMYFUNCTION("""COMPUTED_VALUE"""),51002)</f>
        <v>51002</v>
      </c>
      <c r="C982" s="3">
        <f ca="1">IFERROR(__xludf.DUMMYFUNCTION("""COMPUTED_VALUE"""),5902557387106)</f>
        <v>5902557387106</v>
      </c>
      <c r="D982" s="4" t="str">
        <f ca="1">IFERROR(__xludf.DUMMYFUNCTION("""COMPUTED_VALUE"""),"ODPŁYW LINE 150x150 SZCZOTKOWANY")</f>
        <v>ODPŁYW LINE 150x150 SZCZOTKOWANY</v>
      </c>
      <c r="E982" s="31">
        <v>35.195121951219512</v>
      </c>
      <c r="F982" s="31">
        <f t="shared" si="15"/>
        <v>43.29</v>
      </c>
    </row>
    <row r="983" spans="1:6" ht="18.75" customHeight="1" x14ac:dyDescent="0.25">
      <c r="A983" s="2" t="str">
        <f ca="1">IFERROR(__xludf.DUMMYFUNCTION("""COMPUTED_VALUE"""),"REA-G0403")</f>
        <v>REA-G0403</v>
      </c>
      <c r="B983" s="3">
        <f ca="1">IFERROR(__xludf.DUMMYFUNCTION("""COMPUTED_VALUE"""),44308)</f>
        <v>44308</v>
      </c>
      <c r="C983" s="3">
        <f ca="1">IFERROR(__xludf.DUMMYFUNCTION("""COMPUTED_VALUE"""),5902557301256)</f>
        <v>5902557301256</v>
      </c>
      <c r="D983" s="4" t="str">
        <f ca="1">IFERROR(__xludf.DUMMYFUNCTION("""COMPUTED_VALUE"""),"ODPŁYW LINIOWY LINE2 N SZCZOTKOWANY 1000")</f>
        <v>ODPŁYW LINIOWY LINE2 N SZCZOTKOWANY 1000</v>
      </c>
      <c r="E983" s="31">
        <v>59.560975609756099</v>
      </c>
      <c r="F983" s="31">
        <f t="shared" si="15"/>
        <v>73.260000000000005</v>
      </c>
    </row>
    <row r="984" spans="1:6" ht="18.75" customHeight="1" x14ac:dyDescent="0.25">
      <c r="A984" s="2" t="str">
        <f ca="1">IFERROR(__xludf.DUMMYFUNCTION("""COMPUTED_VALUE"""),"REA-G0107")</f>
        <v>REA-G0107</v>
      </c>
      <c r="B984" s="3">
        <f ca="1">IFERROR(__xludf.DUMMYFUNCTION("""COMPUTED_VALUE"""),44305)</f>
        <v>44305</v>
      </c>
      <c r="C984" s="3">
        <f ca="1">IFERROR(__xludf.DUMMYFUNCTION("""COMPUTED_VALUE"""),5902557301249)</f>
        <v>5902557301249</v>
      </c>
      <c r="D984" s="4" t="str">
        <f ca="1">IFERROR(__xludf.DUMMYFUNCTION("""COMPUTED_VALUE"""),"ODPŁYW LINIOWY LINE2 N SZCZOTKOWANY 900")</f>
        <v>ODPŁYW LINIOWY LINE2 N SZCZOTKOWANY 900</v>
      </c>
      <c r="E984" s="31">
        <v>54.146341463414643</v>
      </c>
      <c r="F984" s="31">
        <f t="shared" si="15"/>
        <v>66.600000000000009</v>
      </c>
    </row>
    <row r="985" spans="1:6" ht="18.75" customHeight="1" x14ac:dyDescent="0.25">
      <c r="A985" s="2" t="str">
        <f ca="1">IFERROR(__xludf.DUMMYFUNCTION("""COMPUTED_VALUE"""),"REA-G0116")</f>
        <v>REA-G0116</v>
      </c>
      <c r="B985" s="3">
        <f ca="1">IFERROR(__xludf.DUMMYFUNCTION("""COMPUTED_VALUE"""),45569)</f>
        <v>45569</v>
      </c>
      <c r="C985" s="3">
        <f ca="1">IFERROR(__xludf.DUMMYFUNCTION("""COMPUTED_VALUE"""),5902557323340)</f>
        <v>5902557323340</v>
      </c>
      <c r="D985" s="4" t="str">
        <f ca="1">IFERROR(__xludf.DUMMYFUNCTION("""COMPUTED_VALUE"""),"ODPŁYW LINIOWY WAVE-600 N BRUSH")</f>
        <v>ODPŁYW LINIOWY WAVE-600 N BRUSH</v>
      </c>
      <c r="E985" s="31">
        <v>39.707317073170735</v>
      </c>
      <c r="F985" s="31">
        <f t="shared" si="15"/>
        <v>48.84</v>
      </c>
    </row>
    <row r="986" spans="1:6" ht="18.75" customHeight="1" x14ac:dyDescent="0.25">
      <c r="A986" s="2" t="str">
        <f ca="1">IFERROR(__xludf.DUMMYFUNCTION("""COMPUTED_VALUE"""),"REA-G0117")</f>
        <v>REA-G0117</v>
      </c>
      <c r="B986" s="3">
        <f ca="1">IFERROR(__xludf.DUMMYFUNCTION("""COMPUTED_VALUE"""),45570)</f>
        <v>45570</v>
      </c>
      <c r="C986" s="3">
        <f ca="1">IFERROR(__xludf.DUMMYFUNCTION("""COMPUTED_VALUE"""),5902557323357)</f>
        <v>5902557323357</v>
      </c>
      <c r="D986" s="4" t="str">
        <f ca="1">IFERROR(__xludf.DUMMYFUNCTION("""COMPUTED_VALUE"""),"ODPŁYW LINIOWY WAVE-700 N SZCZOTKOWANY")</f>
        <v>ODPŁYW LINIOWY WAVE-700 N SZCZOTKOWANY</v>
      </c>
      <c r="E986" s="31">
        <v>43.31707317073171</v>
      </c>
      <c r="F986" s="31">
        <f t="shared" si="15"/>
        <v>53.28</v>
      </c>
    </row>
    <row r="987" spans="1:6" ht="18.75" customHeight="1" x14ac:dyDescent="0.25">
      <c r="A987" s="2" t="str">
        <f ca="1">IFERROR(__xludf.DUMMYFUNCTION("""COMPUTED_VALUE"""),"REA-G7003")</f>
        <v>REA-G7003</v>
      </c>
      <c r="B987" s="3">
        <f ca="1">IFERROR(__xludf.DUMMYFUNCTION("""COMPUTED_VALUE"""),45432)</f>
        <v>45432</v>
      </c>
      <c r="C987" s="3">
        <f ca="1">IFERROR(__xludf.DUMMYFUNCTION("""COMPUTED_VALUE"""),5902557366484)</f>
        <v>5902557366484</v>
      </c>
      <c r="D987" s="4" t="str">
        <f ca="1">IFERROR(__xludf.DUMMYFUNCTION("""COMPUTED_VALUE"""),"ODPŁYW NEO &amp; PURE (NIKIEL) SZCZOT. SZAMPAŃSKI 900")</f>
        <v>ODPŁYW NEO &amp; PURE (NIKIEL) SZCZOT. SZAMPAŃSKI 900</v>
      </c>
      <c r="E987" s="31">
        <v>83.024390243902445</v>
      </c>
      <c r="F987" s="31">
        <f t="shared" si="15"/>
        <v>102.12</v>
      </c>
    </row>
    <row r="988" spans="1:6" ht="18.75" customHeight="1" x14ac:dyDescent="0.25">
      <c r="A988" s="2" t="str">
        <f ca="1">IFERROR(__xludf.DUMMYFUNCTION("""COMPUTED_VALUE"""),"REA-G8909")</f>
        <v>REA-G8909</v>
      </c>
      <c r="B988" s="3">
        <f ca="1">IFERROR(__xludf.DUMMYFUNCTION("""COMPUTED_VALUE"""),46008)</f>
        <v>46008</v>
      </c>
      <c r="C988" s="3">
        <f ca="1">IFERROR(__xludf.DUMMYFUNCTION("""COMPUTED_VALUE"""),5902557342624)</f>
        <v>5902557342624</v>
      </c>
      <c r="D988" s="4" t="str">
        <f ca="1">IFERROR(__xludf.DUMMYFUNCTION("""COMPUTED_VALUE"""),"ODPŁYW NEO &amp; PURE N PRO CZARNY 1000")</f>
        <v>ODPŁYW NEO &amp; PURE N PRO CZARNY 1000</v>
      </c>
      <c r="E988" s="31">
        <v>98.365853658536608</v>
      </c>
      <c r="F988" s="31">
        <f t="shared" si="15"/>
        <v>120.99000000000002</v>
      </c>
    </row>
    <row r="989" spans="1:6" ht="18.75" customHeight="1" x14ac:dyDescent="0.25">
      <c r="A989" s="2" t="str">
        <f ca="1">IFERROR(__xludf.DUMMYFUNCTION("""COMPUTED_VALUE"""),"REA-G0999")</f>
        <v>REA-G0999</v>
      </c>
      <c r="B989" s="3">
        <f ca="1">IFERROR(__xludf.DUMMYFUNCTION("""COMPUTED_VALUE"""),45946)</f>
        <v>45946</v>
      </c>
      <c r="C989" s="3">
        <f ca="1">IFERROR(__xludf.DUMMYFUNCTION("""COMPUTED_VALUE"""),5902557368167)</f>
        <v>5902557368167</v>
      </c>
      <c r="D989" s="4" t="str">
        <f ca="1">IFERROR(__xludf.DUMMYFUNCTION("""COMPUTED_VALUE"""),"ODPŁYW NEO &amp; PURE N PRO CZARNY 500")</f>
        <v>ODPŁYW NEO &amp; PURE N PRO CZARNY 500</v>
      </c>
      <c r="E989" s="31">
        <v>58.658536585365859</v>
      </c>
      <c r="F989" s="31">
        <f t="shared" si="15"/>
        <v>72.150000000000006</v>
      </c>
    </row>
    <row r="990" spans="1:6" ht="18.75" customHeight="1" x14ac:dyDescent="0.25">
      <c r="A990" s="2" t="str">
        <f ca="1">IFERROR(__xludf.DUMMYFUNCTION("""COMPUTED_VALUE"""),"REA-G8905")</f>
        <v>REA-G8905</v>
      </c>
      <c r="B990" s="3">
        <f ca="1">IFERROR(__xludf.DUMMYFUNCTION("""COMPUTED_VALUE"""),45948)</f>
        <v>45948</v>
      </c>
      <c r="C990" s="3">
        <f ca="1">IFERROR(__xludf.DUMMYFUNCTION("""COMPUTED_VALUE"""),5902557342662)</f>
        <v>5902557342662</v>
      </c>
      <c r="D990" s="4" t="str">
        <f ca="1">IFERROR(__xludf.DUMMYFUNCTION("""COMPUTED_VALUE"""),"ODPŁYW NEO &amp; PURE N PRO CZARNY 600")</f>
        <v>ODPŁYW NEO &amp; PURE N PRO CZARNY 600</v>
      </c>
      <c r="E990" s="31">
        <v>64.975609756097569</v>
      </c>
      <c r="F990" s="31">
        <f t="shared" si="15"/>
        <v>79.92</v>
      </c>
    </row>
    <row r="991" spans="1:6" ht="18.75" customHeight="1" x14ac:dyDescent="0.25">
      <c r="A991" s="2" t="str">
        <f ca="1">IFERROR(__xludf.DUMMYFUNCTION("""COMPUTED_VALUE"""),"REA-G8906")</f>
        <v>REA-G8906</v>
      </c>
      <c r="B991" s="3">
        <f ca="1">IFERROR(__xludf.DUMMYFUNCTION("""COMPUTED_VALUE"""),46003)</f>
        <v>46003</v>
      </c>
      <c r="C991" s="3">
        <f ca="1">IFERROR(__xludf.DUMMYFUNCTION("""COMPUTED_VALUE"""),5902557342655)</f>
        <v>5902557342655</v>
      </c>
      <c r="D991" s="4" t="str">
        <f ca="1">IFERROR(__xludf.DUMMYFUNCTION("""COMPUTED_VALUE"""),"ODPŁYW NEO &amp; PURE N PRO CZARNY 700")</f>
        <v>ODPŁYW NEO &amp; PURE N PRO CZARNY 700</v>
      </c>
      <c r="E991" s="31">
        <v>78.512195121951223</v>
      </c>
      <c r="F991" s="31">
        <f t="shared" si="15"/>
        <v>96.570000000000007</v>
      </c>
    </row>
    <row r="992" spans="1:6" ht="18.75" customHeight="1" x14ac:dyDescent="0.25">
      <c r="A992" s="2" t="str">
        <f ca="1">IFERROR(__xludf.DUMMYFUNCTION("""COMPUTED_VALUE"""),"REA-G8907")</f>
        <v>REA-G8907</v>
      </c>
      <c r="B992" s="3">
        <f ca="1">IFERROR(__xludf.DUMMYFUNCTION("""COMPUTED_VALUE"""),46005)</f>
        <v>46005</v>
      </c>
      <c r="C992" s="3">
        <f ca="1">IFERROR(__xludf.DUMMYFUNCTION("""COMPUTED_VALUE"""),5902557342648)</f>
        <v>5902557342648</v>
      </c>
      <c r="D992" s="4" t="str">
        <f ca="1">IFERROR(__xludf.DUMMYFUNCTION("""COMPUTED_VALUE"""),"ODPŁYW NEO &amp; PURE N PRO CZARNY 800")</f>
        <v>ODPŁYW NEO &amp; PURE N PRO CZARNY 800</v>
      </c>
      <c r="E992" s="31">
        <v>84.82926829268294</v>
      </c>
      <c r="F992" s="31">
        <f t="shared" si="15"/>
        <v>104.34000000000002</v>
      </c>
    </row>
    <row r="993" spans="1:6" ht="18.75" customHeight="1" x14ac:dyDescent="0.25">
      <c r="A993" s="2" t="str">
        <f ca="1">IFERROR(__xludf.DUMMYFUNCTION("""COMPUTED_VALUE"""),"REA-G8908")</f>
        <v>REA-G8908</v>
      </c>
      <c r="B993" s="3">
        <f ca="1">IFERROR(__xludf.DUMMYFUNCTION("""COMPUTED_VALUE"""),46006)</f>
        <v>46006</v>
      </c>
      <c r="C993" s="3">
        <f ca="1">IFERROR(__xludf.DUMMYFUNCTION("""COMPUTED_VALUE"""),5902557342631)</f>
        <v>5902557342631</v>
      </c>
      <c r="D993" s="4" t="str">
        <f ca="1">IFERROR(__xludf.DUMMYFUNCTION("""COMPUTED_VALUE"""),"ODPŁYW NEO &amp; PURE N PRO CZARNY 900")</f>
        <v>ODPŁYW NEO &amp; PURE N PRO CZARNY 900</v>
      </c>
      <c r="E993" s="31">
        <v>92.048780487804876</v>
      </c>
      <c r="F993" s="31">
        <f t="shared" si="15"/>
        <v>113.22</v>
      </c>
    </row>
    <row r="994" spans="1:6" ht="18.75" customHeight="1" x14ac:dyDescent="0.25">
      <c r="A994" s="2" t="str">
        <f ca="1">IFERROR(__xludf.DUMMYFUNCTION("""COMPUTED_VALUE"""),"REA-G0989")</f>
        <v>REA-G0989</v>
      </c>
      <c r="B994" s="3">
        <f ca="1">IFERROR(__xludf.DUMMYFUNCTION("""COMPUTED_VALUE"""),46013)</f>
        <v>46013</v>
      </c>
      <c r="C994" s="3">
        <f ca="1">IFERROR(__xludf.DUMMYFUNCTION("""COMPUTED_VALUE"""),5902557313655)</f>
        <v>5902557313655</v>
      </c>
      <c r="D994" s="4" t="str">
        <f ca="1">IFERROR(__xludf.DUMMYFUNCTION("""COMPUTED_VALUE"""),"ODPŁYW NEO &amp; PURE N PRO SZCZOTKOWANY 1000")</f>
        <v>ODPŁYW NEO &amp; PURE N PRO SZCZOTKOWANY 1000</v>
      </c>
      <c r="E994" s="31">
        <v>69.487804878048792</v>
      </c>
      <c r="F994" s="31">
        <f t="shared" si="15"/>
        <v>85.470000000000013</v>
      </c>
    </row>
    <row r="995" spans="1:6" ht="18.75" customHeight="1" x14ac:dyDescent="0.25">
      <c r="A995" s="2" t="str">
        <f ca="1">IFERROR(__xludf.DUMMYFUNCTION("""COMPUTED_VALUE"""),"REA-G0988")</f>
        <v>REA-G0988</v>
      </c>
      <c r="B995" s="3">
        <f ca="1">IFERROR(__xludf.DUMMYFUNCTION("""COMPUTED_VALUE"""),46004)</f>
        <v>46004</v>
      </c>
      <c r="C995" s="3">
        <f ca="1">IFERROR(__xludf.DUMMYFUNCTION("""COMPUTED_VALUE"""),5902557313600)</f>
        <v>5902557313600</v>
      </c>
      <c r="D995" s="4" t="str">
        <f ca="1">IFERROR(__xludf.DUMMYFUNCTION("""COMPUTED_VALUE"""),"ODPŁYW NEO &amp; PURE N PRO SZCZOTKOWANY 500")</f>
        <v>ODPŁYW NEO &amp; PURE N PRO SZCZOTKOWANY 500</v>
      </c>
      <c r="E995" s="31">
        <v>47.829268292682933</v>
      </c>
      <c r="F995" s="31">
        <f t="shared" si="15"/>
        <v>58.830000000000005</v>
      </c>
    </row>
    <row r="996" spans="1:6" ht="18.75" customHeight="1" x14ac:dyDescent="0.25">
      <c r="A996" s="2" t="str">
        <f ca="1">IFERROR(__xludf.DUMMYFUNCTION("""COMPUTED_VALUE"""),"REA-G0900")</f>
        <v>REA-G0900</v>
      </c>
      <c r="B996" s="3">
        <f ca="1">IFERROR(__xludf.DUMMYFUNCTION("""COMPUTED_VALUE"""),46007)</f>
        <v>46007</v>
      </c>
      <c r="C996" s="3">
        <f ca="1">IFERROR(__xludf.DUMMYFUNCTION("""COMPUTED_VALUE"""),5902557313617)</f>
        <v>5902557313617</v>
      </c>
      <c r="D996" s="4" t="str">
        <f ca="1">IFERROR(__xludf.DUMMYFUNCTION("""COMPUTED_VALUE"""),"ODPŁYW NEO &amp; PURE N PRO SZCZOTKOWANY 600")</f>
        <v>ODPŁYW NEO &amp; PURE N PRO SZCZOTKOWANY 600</v>
      </c>
      <c r="E996" s="31">
        <v>52.341463414634156</v>
      </c>
      <c r="F996" s="31">
        <f t="shared" si="15"/>
        <v>64.38000000000001</v>
      </c>
    </row>
    <row r="997" spans="1:6" ht="18.75" customHeight="1" x14ac:dyDescent="0.25">
      <c r="A997" s="2" t="str">
        <f ca="1">IFERROR(__xludf.DUMMYFUNCTION("""COMPUTED_VALUE"""),"REA-G0901")</f>
        <v>REA-G0901</v>
      </c>
      <c r="B997" s="3">
        <f ca="1">IFERROR(__xludf.DUMMYFUNCTION("""COMPUTED_VALUE"""),46009)</f>
        <v>46009</v>
      </c>
      <c r="C997" s="3">
        <f ca="1">IFERROR(__xludf.DUMMYFUNCTION("""COMPUTED_VALUE"""),5902557313624)</f>
        <v>5902557313624</v>
      </c>
      <c r="D997" s="4" t="str">
        <f ca="1">IFERROR(__xludf.DUMMYFUNCTION("""COMPUTED_VALUE"""),"ODPŁYW NEO &amp; PURE N PRO SZCZOTKOWANY 700")</f>
        <v>ODPŁYW NEO &amp; PURE N PRO SZCZOTKOWANY 700</v>
      </c>
      <c r="E997" s="31">
        <v>56.853658536585371</v>
      </c>
      <c r="F997" s="31">
        <f t="shared" si="15"/>
        <v>69.930000000000007</v>
      </c>
    </row>
    <row r="998" spans="1:6" ht="18.75" customHeight="1" x14ac:dyDescent="0.25">
      <c r="A998" s="2" t="str">
        <f ca="1">IFERROR(__xludf.DUMMYFUNCTION("""COMPUTED_VALUE"""),"REA-G0902")</f>
        <v>REA-G0902</v>
      </c>
      <c r="B998" s="3">
        <f ca="1">IFERROR(__xludf.DUMMYFUNCTION("""COMPUTED_VALUE"""),46010)</f>
        <v>46010</v>
      </c>
      <c r="C998" s="3">
        <f ca="1">IFERROR(__xludf.DUMMYFUNCTION("""COMPUTED_VALUE"""),5902557313631)</f>
        <v>5902557313631</v>
      </c>
      <c r="D998" s="4" t="str">
        <f ca="1">IFERROR(__xludf.DUMMYFUNCTION("""COMPUTED_VALUE"""),"ODPŁYW NEO &amp; PURE N PRO SZCZOTKOWANY 800")</f>
        <v>ODPŁYW NEO &amp; PURE N PRO SZCZOTKOWANY 800</v>
      </c>
      <c r="E998" s="31">
        <v>60.463414634146346</v>
      </c>
      <c r="F998" s="31">
        <f t="shared" si="15"/>
        <v>74.37</v>
      </c>
    </row>
    <row r="999" spans="1:6" ht="18.75" customHeight="1" x14ac:dyDescent="0.25">
      <c r="A999" s="2" t="str">
        <f ca="1">IFERROR(__xludf.DUMMYFUNCTION("""COMPUTED_VALUE"""),"REA-G0903")</f>
        <v>REA-G0903</v>
      </c>
      <c r="B999" s="3">
        <f ca="1">IFERROR(__xludf.DUMMYFUNCTION("""COMPUTED_VALUE"""),46012)</f>
        <v>46012</v>
      </c>
      <c r="C999" s="3">
        <f ca="1">IFERROR(__xludf.DUMMYFUNCTION("""COMPUTED_VALUE"""),5902557313648)</f>
        <v>5902557313648</v>
      </c>
      <c r="D999" s="4" t="str">
        <f ca="1">IFERROR(__xludf.DUMMYFUNCTION("""COMPUTED_VALUE"""),"ODPŁYW NEO &amp; PURE N PRO SZCZOTKOWANY 900")</f>
        <v>ODPŁYW NEO &amp; PURE N PRO SZCZOTKOWANY 900</v>
      </c>
      <c r="E999" s="31">
        <v>64.975609756097569</v>
      </c>
      <c r="F999" s="31">
        <f t="shared" si="15"/>
        <v>79.92</v>
      </c>
    </row>
    <row r="1000" spans="1:6" ht="18.75" customHeight="1" x14ac:dyDescent="0.25">
      <c r="A1000" s="2" t="str">
        <f ca="1">IFERROR(__xludf.DUMMYFUNCTION("""COMPUTED_VALUE"""),"REA-G0095")</f>
        <v>REA-G0095</v>
      </c>
      <c r="B1000" s="3">
        <f ca="1">IFERROR(__xludf.DUMMYFUNCTION("""COMPUTED_VALUE"""),45947)</f>
        <v>45947</v>
      </c>
      <c r="C1000" s="3">
        <f ca="1">IFERROR(__xludf.DUMMYFUNCTION("""COMPUTED_VALUE"""),5902557301065)</f>
        <v>5902557301065</v>
      </c>
      <c r="D1000" s="4" t="str">
        <f ca="1">IFERROR(__xludf.DUMMYFUNCTION("""COMPUTED_VALUE"""),"ODPŁYW NEO &amp; PURE N SZCZOTKOWANY 1000")</f>
        <v>ODPŁYW NEO &amp; PURE N SZCZOTKOWANY 1000</v>
      </c>
      <c r="E1000" s="31">
        <v>69.487804878048792</v>
      </c>
      <c r="F1000" s="31">
        <f t="shared" si="15"/>
        <v>85.470000000000013</v>
      </c>
    </row>
    <row r="1001" spans="1:6" ht="18.75" customHeight="1" x14ac:dyDescent="0.25">
      <c r="A1001" s="2" t="str">
        <f ca="1">IFERROR(__xludf.DUMMYFUNCTION("""COMPUTED_VALUE"""),"REA-G0090")</f>
        <v>REA-G0090</v>
      </c>
      <c r="B1001" s="3">
        <f ca="1">IFERROR(__xludf.DUMMYFUNCTION("""COMPUTED_VALUE"""),45828)</f>
        <v>45828</v>
      </c>
      <c r="C1001" s="3">
        <f ca="1">IFERROR(__xludf.DUMMYFUNCTION("""COMPUTED_VALUE"""),5902557301010)</f>
        <v>5902557301010</v>
      </c>
      <c r="D1001" s="4" t="str">
        <f ca="1">IFERROR(__xludf.DUMMYFUNCTION("""COMPUTED_VALUE"""),"ODPŁYW NEO &amp; PURE N SZCZOTKOWANY 500")</f>
        <v>ODPŁYW NEO &amp; PURE N SZCZOTKOWANY 500</v>
      </c>
      <c r="E1001" s="31">
        <v>41.512195121951223</v>
      </c>
      <c r="F1001" s="31">
        <f t="shared" si="15"/>
        <v>51.06</v>
      </c>
    </row>
    <row r="1002" spans="1:6" ht="18.75" customHeight="1" x14ac:dyDescent="0.25">
      <c r="A1002" s="2" t="str">
        <f ca="1">IFERROR(__xludf.DUMMYFUNCTION("""COMPUTED_VALUE"""),"REA-G0091")</f>
        <v>REA-G0091</v>
      </c>
      <c r="B1002" s="3">
        <f ca="1">IFERROR(__xludf.DUMMYFUNCTION("""COMPUTED_VALUE"""),45884)</f>
        <v>45884</v>
      </c>
      <c r="C1002" s="3">
        <f ca="1">IFERROR(__xludf.DUMMYFUNCTION("""COMPUTED_VALUE"""),5902557301027)</f>
        <v>5902557301027</v>
      </c>
      <c r="D1002" s="4" t="str">
        <f ca="1">IFERROR(__xludf.DUMMYFUNCTION("""COMPUTED_VALUE"""),"ODPŁYW NEO &amp; PURE N SZCZOTKOWANY 600")</f>
        <v>ODPŁYW NEO &amp; PURE N SZCZOTKOWANY 600</v>
      </c>
      <c r="E1002" s="31">
        <v>52.341463414634156</v>
      </c>
      <c r="F1002" s="31">
        <f t="shared" si="15"/>
        <v>64.38000000000001</v>
      </c>
    </row>
    <row r="1003" spans="1:6" ht="18.75" customHeight="1" x14ac:dyDescent="0.25">
      <c r="A1003" s="2" t="str">
        <f ca="1">IFERROR(__xludf.DUMMYFUNCTION("""COMPUTED_VALUE"""),"REA-G0092")</f>
        <v>REA-G0092</v>
      </c>
      <c r="B1003" s="3">
        <f ca="1">IFERROR(__xludf.DUMMYFUNCTION("""COMPUTED_VALUE"""),45886)</f>
        <v>45886</v>
      </c>
      <c r="C1003" s="3">
        <f ca="1">IFERROR(__xludf.DUMMYFUNCTION("""COMPUTED_VALUE"""),5902557301072)</f>
        <v>5902557301072</v>
      </c>
      <c r="D1003" s="4" t="str">
        <f ca="1">IFERROR(__xludf.DUMMYFUNCTION("""COMPUTED_VALUE"""),"ODPŁYW NEO &amp; PURE N SZCZOTKOWANY 700")</f>
        <v>ODPŁYW NEO &amp; PURE N SZCZOTKOWANY 700</v>
      </c>
      <c r="E1003" s="31">
        <v>56.853658536585371</v>
      </c>
      <c r="F1003" s="31">
        <f t="shared" si="15"/>
        <v>69.930000000000007</v>
      </c>
    </row>
    <row r="1004" spans="1:6" ht="18.75" customHeight="1" x14ac:dyDescent="0.25">
      <c r="A1004" s="2" t="str">
        <f ca="1">IFERROR(__xludf.DUMMYFUNCTION("""COMPUTED_VALUE"""),"REA-G0093")</f>
        <v>REA-G0093</v>
      </c>
      <c r="B1004" s="3">
        <f ca="1">IFERROR(__xludf.DUMMYFUNCTION("""COMPUTED_VALUE"""),45887)</f>
        <v>45887</v>
      </c>
      <c r="C1004" s="3">
        <f ca="1">IFERROR(__xludf.DUMMYFUNCTION("""COMPUTED_VALUE"""),5902557301034)</f>
        <v>5902557301034</v>
      </c>
      <c r="D1004" s="4" t="str">
        <f ca="1">IFERROR(__xludf.DUMMYFUNCTION("""COMPUTED_VALUE"""),"ODPŁYW NEO &amp; PURE N SZCZOTKOWANY 800")</f>
        <v>ODPŁYW NEO &amp; PURE N SZCZOTKOWANY 800</v>
      </c>
      <c r="E1004" s="31">
        <v>60.463414634146346</v>
      </c>
      <c r="F1004" s="31">
        <f t="shared" si="15"/>
        <v>74.37</v>
      </c>
    </row>
    <row r="1005" spans="1:6" ht="18.75" customHeight="1" x14ac:dyDescent="0.25">
      <c r="A1005" s="2" t="str">
        <f ca="1">IFERROR(__xludf.DUMMYFUNCTION("""COMPUTED_VALUE"""),"REA-G0094")</f>
        <v>REA-G0094</v>
      </c>
      <c r="B1005" s="3">
        <f ca="1">IFERROR(__xludf.DUMMYFUNCTION("""COMPUTED_VALUE"""),45890)</f>
        <v>45890</v>
      </c>
      <c r="C1005" s="3">
        <f ca="1">IFERROR(__xludf.DUMMYFUNCTION("""COMPUTED_VALUE"""),5902557301058)</f>
        <v>5902557301058</v>
      </c>
      <c r="D1005" s="4" t="str">
        <f ca="1">IFERROR(__xludf.DUMMYFUNCTION("""COMPUTED_VALUE"""),"ODPŁYW NEO &amp; PURE N SZCZOTKOWANY 900")</f>
        <v>ODPŁYW NEO &amp; PURE N SZCZOTKOWANY 900</v>
      </c>
      <c r="E1005" s="31">
        <v>64.975609756097569</v>
      </c>
      <c r="F1005" s="31">
        <f t="shared" si="15"/>
        <v>79.92</v>
      </c>
    </row>
    <row r="1006" spans="1:6" ht="18.75" customHeight="1" x14ac:dyDescent="0.25">
      <c r="A1006" s="2" t="str">
        <f ca="1">IFERROR(__xludf.DUMMYFUNCTION("""COMPUTED_VALUE"""),"REA-G8020")</f>
        <v>REA-G8020</v>
      </c>
      <c r="B1006" s="3">
        <f ca="1">IFERROR(__xludf.DUMMYFUNCTION("""COMPUTED_VALUE"""),47654)</f>
        <v>47654</v>
      </c>
      <c r="C1006" s="3">
        <f ca="1">IFERROR(__xludf.DUMMYFUNCTION("""COMPUTED_VALUE"""),5902557375837)</f>
        <v>5902557375837</v>
      </c>
      <c r="D1006" s="4" t="str">
        <f ca="1">IFERROR(__xludf.DUMMYFUNCTION("""COMPUTED_VALUE"""),"ODPŁYW NEO &amp; PURE PRO MIEDŹ SZCZOTKOWANA 600")</f>
        <v>ODPŁYW NEO &amp; PURE PRO MIEDŹ SZCZOTKOWANA 600</v>
      </c>
      <c r="E1006" s="31">
        <v>78.512195121951223</v>
      </c>
      <c r="F1006" s="31">
        <f t="shared" si="15"/>
        <v>96.570000000000007</v>
      </c>
    </row>
    <row r="1007" spans="1:6" ht="18.75" customHeight="1" x14ac:dyDescent="0.25">
      <c r="A1007" s="2" t="str">
        <f ca="1">IFERROR(__xludf.DUMMYFUNCTION("""COMPUTED_VALUE"""),"REA-G8021")</f>
        <v>REA-G8021</v>
      </c>
      <c r="B1007" s="3">
        <f ca="1">IFERROR(__xludf.DUMMYFUNCTION("""COMPUTED_VALUE"""),47655)</f>
        <v>47655</v>
      </c>
      <c r="C1007" s="3">
        <f ca="1">IFERROR(__xludf.DUMMYFUNCTION("""COMPUTED_VALUE"""),5902557375844)</f>
        <v>5902557375844</v>
      </c>
      <c r="D1007" s="4" t="str">
        <f ca="1">IFERROR(__xludf.DUMMYFUNCTION("""COMPUTED_VALUE"""),"ODPŁYW NEO &amp; PURE PRO MIEDŹ SZCZOTKOWANA 700")</f>
        <v>ODPŁYW NEO &amp; PURE PRO MIEDŹ SZCZOTKOWANA 700</v>
      </c>
      <c r="E1007" s="31">
        <v>87.536585365853668</v>
      </c>
      <c r="F1007" s="31">
        <f t="shared" si="15"/>
        <v>107.67000000000002</v>
      </c>
    </row>
    <row r="1008" spans="1:6" ht="18.75" customHeight="1" x14ac:dyDescent="0.25">
      <c r="A1008" s="2" t="str">
        <f ca="1">IFERROR(__xludf.DUMMYFUNCTION("""COMPUTED_VALUE"""),"REA-G8022")</f>
        <v>REA-G8022</v>
      </c>
      <c r="B1008" s="3">
        <f ca="1">IFERROR(__xludf.DUMMYFUNCTION("""COMPUTED_VALUE"""),47656)</f>
        <v>47656</v>
      </c>
      <c r="C1008" s="3">
        <f ca="1">IFERROR(__xludf.DUMMYFUNCTION("""COMPUTED_VALUE"""),5902557375851)</f>
        <v>5902557375851</v>
      </c>
      <c r="D1008" s="4" t="str">
        <f ca="1">IFERROR(__xludf.DUMMYFUNCTION("""COMPUTED_VALUE"""),"ODPŁYW NEO &amp; PURE PRO MIEDŹ SZCZOTKOWANA 800")</f>
        <v>ODPŁYW NEO &amp; PURE PRO MIEDŹ SZCZOTKOWANA 800</v>
      </c>
      <c r="E1008" s="31">
        <v>93.853658536585371</v>
      </c>
      <c r="F1008" s="31">
        <f t="shared" si="15"/>
        <v>115.44</v>
      </c>
    </row>
    <row r="1009" spans="1:6" ht="18.75" customHeight="1" x14ac:dyDescent="0.25">
      <c r="A1009" s="2" t="str">
        <f ca="1">IFERROR(__xludf.DUMMYFUNCTION("""COMPUTED_VALUE"""),"REA-G5611")</f>
        <v>REA-G5611</v>
      </c>
      <c r="B1009" s="3">
        <f ca="1">IFERROR(__xludf.DUMMYFUNCTION("""COMPUTED_VALUE"""),45567)</f>
        <v>45567</v>
      </c>
      <c r="C1009" s="3">
        <f ca="1">IFERROR(__xludf.DUMMYFUNCTION("""COMPUTED_VALUE"""),5902557368358)</f>
        <v>5902557368358</v>
      </c>
      <c r="D1009" s="4" t="str">
        <f ca="1">IFERROR(__xludf.DUMMYFUNCTION("""COMPUTED_VALUE"""),"ODPŁYW NEO &amp; PURE PRO ZŁOTY POŁYSK 1000")</f>
        <v>ODPŁYW NEO &amp; PURE PRO ZŁOTY POŁYSK 1000</v>
      </c>
      <c r="E1009" s="31">
        <v>103.78048780487806</v>
      </c>
      <c r="F1009" s="31">
        <f t="shared" si="15"/>
        <v>127.65000000000002</v>
      </c>
    </row>
    <row r="1010" spans="1:6" ht="18.75" customHeight="1" x14ac:dyDescent="0.25">
      <c r="A1010" s="2" t="str">
        <f ca="1">IFERROR(__xludf.DUMMYFUNCTION("""COMPUTED_VALUE"""),"REA-G5693")</f>
        <v>REA-G5693</v>
      </c>
      <c r="B1010" s="3">
        <f ca="1">IFERROR(__xludf.DUMMYFUNCTION("""COMPUTED_VALUE"""),45497)</f>
        <v>45497</v>
      </c>
      <c r="C1010" s="3">
        <f ca="1">IFERROR(__xludf.DUMMYFUNCTION("""COMPUTED_VALUE"""),5902557368464)</f>
        <v>5902557368464</v>
      </c>
      <c r="D1010" s="4" t="str">
        <f ca="1">IFERROR(__xludf.DUMMYFUNCTION("""COMPUTED_VALUE"""),"ODPŁYW NEO &amp; PURE PRO ZŁOTY POŁYSK 500")</f>
        <v>ODPŁYW NEO &amp; PURE PRO ZŁOTY POŁYSK 500</v>
      </c>
      <c r="E1010" s="31">
        <v>70.390243902439025</v>
      </c>
      <c r="F1010" s="31">
        <f t="shared" si="15"/>
        <v>86.58</v>
      </c>
    </row>
    <row r="1011" spans="1:6" ht="18.75" customHeight="1" x14ac:dyDescent="0.25">
      <c r="A1011" s="2" t="str">
        <f ca="1">IFERROR(__xludf.DUMMYFUNCTION("""COMPUTED_VALUE"""),"REA-G5610")</f>
        <v>REA-G5610</v>
      </c>
      <c r="B1011" s="3">
        <f ca="1">IFERROR(__xludf.DUMMYFUNCTION("""COMPUTED_VALUE"""),45499)</f>
        <v>45499</v>
      </c>
      <c r="C1011" s="3">
        <f ca="1">IFERROR(__xludf.DUMMYFUNCTION("""COMPUTED_VALUE"""),5902557368341)</f>
        <v>5902557368341</v>
      </c>
      <c r="D1011" s="4" t="str">
        <f ca="1">IFERROR(__xludf.DUMMYFUNCTION("""COMPUTED_VALUE"""),"ODPŁYW NEO &amp; PURE PRO ZŁOTY POŁYSK 600")</f>
        <v>ODPŁYW NEO &amp; PURE PRO ZŁOTY POŁYSK 600</v>
      </c>
      <c r="E1011" s="31">
        <v>79.41463414634147</v>
      </c>
      <c r="F1011" s="31">
        <f t="shared" si="15"/>
        <v>97.68</v>
      </c>
    </row>
    <row r="1012" spans="1:6" ht="18.75" customHeight="1" x14ac:dyDescent="0.25">
      <c r="A1012" s="2" t="str">
        <f ca="1">IFERROR(__xludf.DUMMYFUNCTION("""COMPUTED_VALUE"""),"REA-G5600")</f>
        <v>REA-G5600</v>
      </c>
      <c r="B1012" s="3">
        <f ca="1">IFERROR(__xludf.DUMMYFUNCTION("""COMPUTED_VALUE"""),45554)</f>
        <v>45554</v>
      </c>
      <c r="C1012" s="3">
        <f ca="1">IFERROR(__xludf.DUMMYFUNCTION("""COMPUTED_VALUE"""),5902557357215)</f>
        <v>5902557357215</v>
      </c>
      <c r="D1012" s="4" t="str">
        <f ca="1">IFERROR(__xludf.DUMMYFUNCTION("""COMPUTED_VALUE"""),"ODPŁYW NEO &amp; PURE PRO ZŁOTY POŁYSK 700")</f>
        <v>ODPŁYW NEO &amp; PURE PRO ZŁOTY POŁYSK 700</v>
      </c>
      <c r="E1012" s="31">
        <v>76.707317073170742</v>
      </c>
      <c r="F1012" s="31">
        <f t="shared" si="15"/>
        <v>94.350000000000009</v>
      </c>
    </row>
    <row r="1013" spans="1:6" ht="18.75" customHeight="1" x14ac:dyDescent="0.25">
      <c r="A1013" s="2" t="str">
        <f ca="1">IFERROR(__xludf.DUMMYFUNCTION("""COMPUTED_VALUE"""),"REA-G5601")</f>
        <v>REA-G5601</v>
      </c>
      <c r="B1013" s="3">
        <f ca="1">IFERROR(__xludf.DUMMYFUNCTION("""COMPUTED_VALUE"""),45555)</f>
        <v>45555</v>
      </c>
      <c r="C1013" s="3">
        <f ca="1">IFERROR(__xludf.DUMMYFUNCTION("""COMPUTED_VALUE"""),5902557357222)</f>
        <v>5902557357222</v>
      </c>
      <c r="D1013" s="4" t="str">
        <f ca="1">IFERROR(__xludf.DUMMYFUNCTION("""COMPUTED_VALUE"""),"ODPŁYW NEO &amp; PURE PRO ZŁOTY POŁYSK 800")</f>
        <v>ODPŁYW NEO &amp; PURE PRO ZŁOTY POŁYSK 800</v>
      </c>
      <c r="E1013" s="31">
        <v>85.731707317073173</v>
      </c>
      <c r="F1013" s="31">
        <f t="shared" si="15"/>
        <v>105.45</v>
      </c>
    </row>
    <row r="1014" spans="1:6" ht="18.75" customHeight="1" x14ac:dyDescent="0.25">
      <c r="A1014" s="2" t="str">
        <f ca="1">IFERROR(__xludf.DUMMYFUNCTION("""COMPUTED_VALUE"""),"REA-G5602")</f>
        <v>REA-G5602</v>
      </c>
      <c r="B1014" s="3">
        <f ca="1">IFERROR(__xludf.DUMMYFUNCTION("""COMPUTED_VALUE"""),45557)</f>
        <v>45557</v>
      </c>
      <c r="C1014" s="3">
        <f ca="1">IFERROR(__xludf.DUMMYFUNCTION("""COMPUTED_VALUE"""),5902557357239)</f>
        <v>5902557357239</v>
      </c>
      <c r="D1014" s="4" t="str">
        <f ca="1">IFERROR(__xludf.DUMMYFUNCTION("""COMPUTED_VALUE"""),"ODPŁYW NEO &amp; PURE PRO ZŁOTY POŁYSK 900")</f>
        <v>ODPŁYW NEO &amp; PURE PRO ZŁOTY POŁYSK 900</v>
      </c>
      <c r="E1014" s="31">
        <v>94.756097560975633</v>
      </c>
      <c r="F1014" s="31">
        <f t="shared" si="15"/>
        <v>116.55000000000003</v>
      </c>
    </row>
    <row r="1015" spans="1:6" ht="18.75" customHeight="1" x14ac:dyDescent="0.25">
      <c r="A1015" s="2" t="str">
        <f ca="1">IFERROR(__xludf.DUMMYFUNCTION("""COMPUTED_VALUE"""),"REA-G8009")</f>
        <v>REA-G8009</v>
      </c>
      <c r="B1015" s="3">
        <f ca="1">IFERROR(__xludf.DUMMYFUNCTION("""COMPUTED_VALUE"""),45883)</f>
        <v>45883</v>
      </c>
      <c r="C1015" s="3">
        <f ca="1">IFERROR(__xludf.DUMMYFUNCTION("""COMPUTED_VALUE"""),5902557352517)</f>
        <v>5902557352517</v>
      </c>
      <c r="D1015" s="4" t="str">
        <f ca="1">IFERROR(__xludf.DUMMYFUNCTION("""COMPUTED_VALUE"""),"ODPŁYW NEO &amp; PURE-600 L.GOLD PRO")</f>
        <v>ODPŁYW NEO &amp; PURE-600 L.GOLD PRO</v>
      </c>
      <c r="E1015" s="31">
        <v>70.390243902439025</v>
      </c>
      <c r="F1015" s="31">
        <f t="shared" si="15"/>
        <v>86.58</v>
      </c>
    </row>
    <row r="1016" spans="1:6" ht="18.75" customHeight="1" x14ac:dyDescent="0.25">
      <c r="A1016" s="2" t="str">
        <f ca="1">IFERROR(__xludf.DUMMYFUNCTION("""COMPUTED_VALUE"""),"REA-G7000")</f>
        <v>REA-G7000</v>
      </c>
      <c r="B1016" s="3">
        <f ca="1">IFERROR(__xludf.DUMMYFUNCTION("""COMPUTED_VALUE"""),45428)</f>
        <v>45428</v>
      </c>
      <c r="C1016" s="3">
        <f ca="1">IFERROR(__xludf.DUMMYFUNCTION("""COMPUTED_VALUE"""),5902557366453)</f>
        <v>5902557366453</v>
      </c>
      <c r="D1016" s="4" t="str">
        <f ca="1">IFERROR(__xludf.DUMMYFUNCTION("""COMPUTED_VALUE"""),"ODPŁYW NEO &amp; PURE-600 SZCZOTKOWANY SZAMPAŃSKI")</f>
        <v>ODPŁYW NEO &amp; PURE-600 SZCZOTKOWANY SZAMPAŃSKI</v>
      </c>
      <c r="E1016" s="31">
        <v>76.707317073170742</v>
      </c>
      <c r="F1016" s="31">
        <f t="shared" si="15"/>
        <v>94.350000000000009</v>
      </c>
    </row>
    <row r="1017" spans="1:6" ht="18.75" customHeight="1" x14ac:dyDescent="0.25">
      <c r="A1017" s="2" t="str">
        <f ca="1">IFERROR(__xludf.DUMMYFUNCTION("""COMPUTED_VALUE"""),"REA-G8010")</f>
        <v>REA-G8010</v>
      </c>
      <c r="B1017" s="3">
        <f ca="1">IFERROR(__xludf.DUMMYFUNCTION("""COMPUTED_VALUE"""),45885)</f>
        <v>45885</v>
      </c>
      <c r="C1017" s="3">
        <f ca="1">IFERROR(__xludf.DUMMYFUNCTION("""COMPUTED_VALUE"""),5902557352524)</f>
        <v>5902557352524</v>
      </c>
      <c r="D1017" s="4" t="str">
        <f ca="1">IFERROR(__xludf.DUMMYFUNCTION("""COMPUTED_VALUE"""),"ODPŁYW NEO &amp; PURE-700 L.GOLD PRO")</f>
        <v>ODPŁYW NEO &amp; PURE-700 L.GOLD PRO</v>
      </c>
      <c r="E1017" s="31">
        <v>76.707317073170742</v>
      </c>
      <c r="F1017" s="31">
        <f t="shared" si="15"/>
        <v>94.350000000000009</v>
      </c>
    </row>
    <row r="1018" spans="1:6" ht="18.75" customHeight="1" x14ac:dyDescent="0.25">
      <c r="A1018" s="2" t="str">
        <f ca="1">IFERROR(__xludf.DUMMYFUNCTION("""COMPUTED_VALUE"""),"REA-G6050")</f>
        <v>REA-G6050</v>
      </c>
      <c r="B1018" s="3">
        <f ca="1">IFERROR(__xludf.DUMMYFUNCTION("""COMPUTED_VALUE"""),45400)</f>
        <v>45400</v>
      </c>
      <c r="C1018" s="3">
        <f ca="1">IFERROR(__xludf.DUMMYFUNCTION("""COMPUTED_VALUE"""),5902557366491)</f>
        <v>5902557366491</v>
      </c>
      <c r="D1018" s="4" t="str">
        <f ca="1">IFERROR(__xludf.DUMMYFUNCTION("""COMPUTED_VALUE"""),"ODPŁYW NEO &amp; PURE-700 N BLACK")</f>
        <v>ODPŁYW NEO &amp; PURE-700 N BLACK</v>
      </c>
      <c r="E1018" s="31">
        <v>81.219512195121965</v>
      </c>
      <c r="F1018" s="31">
        <f t="shared" si="15"/>
        <v>99.90000000000002</v>
      </c>
    </row>
    <row r="1019" spans="1:6" ht="18.75" customHeight="1" x14ac:dyDescent="0.25">
      <c r="A1019" s="2" t="str">
        <f ca="1">IFERROR(__xludf.DUMMYFUNCTION("""COMPUTED_VALUE"""),"REA-G7001")</f>
        <v>REA-G7001</v>
      </c>
      <c r="B1019" s="3">
        <f ca="1">IFERROR(__xludf.DUMMYFUNCTION("""COMPUTED_VALUE"""),45429)</f>
        <v>45429</v>
      </c>
      <c r="C1019" s="3">
        <f ca="1">IFERROR(__xludf.DUMMYFUNCTION("""COMPUTED_VALUE"""),5902557366460)</f>
        <v>5902557366460</v>
      </c>
      <c r="D1019" s="4" t="str">
        <f ca="1">IFERROR(__xludf.DUMMYFUNCTION("""COMPUTED_VALUE"""),"ODPŁYW NEO &amp; PURE-700 SZCZOTKOWANY SZAMPAŃSKI")</f>
        <v>ODPŁYW NEO &amp; PURE-700 SZCZOTKOWANY SZAMPAŃSKI</v>
      </c>
      <c r="E1019" s="31">
        <v>78.512195121951223</v>
      </c>
      <c r="F1019" s="31">
        <f t="shared" si="15"/>
        <v>96.570000000000007</v>
      </c>
    </row>
    <row r="1020" spans="1:6" ht="18.75" customHeight="1" x14ac:dyDescent="0.25">
      <c r="A1020" s="2" t="str">
        <f ca="1">IFERROR(__xludf.DUMMYFUNCTION("""COMPUTED_VALUE"""),"REA-G8011")</f>
        <v>REA-G8011</v>
      </c>
      <c r="B1020" s="3">
        <f ca="1">IFERROR(__xludf.DUMMYFUNCTION("""COMPUTED_VALUE"""),45888)</f>
        <v>45888</v>
      </c>
      <c r="C1020" s="3">
        <f ca="1">IFERROR(__xludf.DUMMYFUNCTION("""COMPUTED_VALUE"""),5902557352531)</f>
        <v>5902557352531</v>
      </c>
      <c r="D1020" s="4" t="str">
        <f ca="1">IFERROR(__xludf.DUMMYFUNCTION("""COMPUTED_VALUE"""),"ODPŁYW NEO &amp; PURE-800 L.GOLD PRO")</f>
        <v>ODPŁYW NEO &amp; PURE-800 L.GOLD PRO</v>
      </c>
      <c r="E1020" s="31">
        <v>84.82926829268294</v>
      </c>
      <c r="F1020" s="31">
        <f t="shared" si="15"/>
        <v>104.34000000000002</v>
      </c>
    </row>
    <row r="1021" spans="1:6" ht="18.75" customHeight="1" x14ac:dyDescent="0.25">
      <c r="A1021" s="2" t="str">
        <f ca="1">IFERROR(__xludf.DUMMYFUNCTION("""COMPUTED_VALUE"""),"REA-G7002")</f>
        <v>REA-G7002</v>
      </c>
      <c r="B1021" s="3">
        <f ca="1">IFERROR(__xludf.DUMMYFUNCTION("""COMPUTED_VALUE"""),45430)</f>
        <v>45430</v>
      </c>
      <c r="C1021" s="3">
        <f ca="1">IFERROR(__xludf.DUMMYFUNCTION("""COMPUTED_VALUE"""),5902557366477)</f>
        <v>5902557366477</v>
      </c>
      <c r="D1021" s="4" t="str">
        <f ca="1">IFERROR(__xludf.DUMMYFUNCTION("""COMPUTED_VALUE"""),"ODPŁYW NEO &amp; PURE-800 SZCZOTKOWANY SZAMPAŃSKI")</f>
        <v>ODPŁYW NEO &amp; PURE-800 SZCZOTKOWANY SZAMPAŃSKI</v>
      </c>
      <c r="E1021" s="31">
        <v>81.219512195121965</v>
      </c>
      <c r="F1021" s="31">
        <f t="shared" si="15"/>
        <v>99.90000000000002</v>
      </c>
    </row>
    <row r="1022" spans="1:6" ht="18.75" customHeight="1" x14ac:dyDescent="0.25">
      <c r="A1022" s="2" t="str">
        <f ca="1">IFERROR(__xludf.DUMMYFUNCTION("""COMPUTED_VALUE"""),"REA-G8012")</f>
        <v>REA-G8012</v>
      </c>
      <c r="B1022" s="3">
        <f ca="1">IFERROR(__xludf.DUMMYFUNCTION("""COMPUTED_VALUE"""),45889)</f>
        <v>45889</v>
      </c>
      <c r="C1022" s="3">
        <f ca="1">IFERROR(__xludf.DUMMYFUNCTION("""COMPUTED_VALUE"""),5902557352548)</f>
        <v>5902557352548</v>
      </c>
      <c r="D1022" s="4" t="str">
        <f ca="1">IFERROR(__xludf.DUMMYFUNCTION("""COMPUTED_VALUE"""),"ODPŁYW NEO &amp; PURE-900 L.GOLD PRO")</f>
        <v>ODPŁYW NEO &amp; PURE-900 L.GOLD PRO</v>
      </c>
      <c r="E1022" s="31">
        <v>89.341463414634148</v>
      </c>
      <c r="F1022" s="31">
        <f t="shared" si="15"/>
        <v>109.89</v>
      </c>
    </row>
    <row r="1023" spans="1:6" ht="18.75" customHeight="1" x14ac:dyDescent="0.25">
      <c r="A1023" s="2" t="str">
        <f ca="1">IFERROR(__xludf.DUMMYFUNCTION("""COMPUTED_VALUE"""),"REA-G6206")</f>
        <v>REA-G6206</v>
      </c>
      <c r="B1023" s="3">
        <f ca="1">IFERROR(__xludf.DUMMYFUNCTION("""COMPUTED_VALUE"""),50967)</f>
        <v>50967</v>
      </c>
      <c r="C1023" s="3">
        <f ca="1">IFERROR(__xludf.DUMMYFUNCTION("""COMPUTED_VALUE"""),5902557387052)</f>
        <v>5902557387052</v>
      </c>
      <c r="D1023" s="4" t="str">
        <f ca="1">IFERROR(__xludf.DUMMYFUNCTION("""COMPUTED_VALUE"""),"ODPŁYW NEO 120x120 SZCZOTKOWANY")</f>
        <v>ODPŁYW NEO 120x120 SZCZOTKOWANY</v>
      </c>
      <c r="E1023" s="31">
        <v>33.390243902439025</v>
      </c>
      <c r="F1023" s="31">
        <f t="shared" si="15"/>
        <v>41.07</v>
      </c>
    </row>
    <row r="1024" spans="1:6" ht="18.75" customHeight="1" x14ac:dyDescent="0.25">
      <c r="A1024" s="2" t="str">
        <f ca="1">IFERROR(__xludf.DUMMYFUNCTION("""COMPUTED_VALUE"""),"REA-G6207")</f>
        <v>REA-G6207</v>
      </c>
      <c r="B1024" s="3">
        <f ca="1">IFERROR(__xludf.DUMMYFUNCTION("""COMPUTED_VALUE"""),50968)</f>
        <v>50968</v>
      </c>
      <c r="C1024" s="3">
        <f ca="1">IFERROR(__xludf.DUMMYFUNCTION("""COMPUTED_VALUE"""),5902557387069)</f>
        <v>5902557387069</v>
      </c>
      <c r="D1024" s="4" t="str">
        <f ca="1">IFERROR(__xludf.DUMMYFUNCTION("""COMPUTED_VALUE"""),"ODPŁYW NEO 150x150 SZCZOTKOWANY")</f>
        <v>ODPŁYW NEO 150x150 SZCZOTKOWANY</v>
      </c>
      <c r="E1024" s="31">
        <v>35.195121951219512</v>
      </c>
      <c r="F1024" s="31">
        <f t="shared" si="15"/>
        <v>43.29</v>
      </c>
    </row>
    <row r="1025" spans="1:6" ht="18.75" customHeight="1" x14ac:dyDescent="0.25">
      <c r="A1025" s="2" t="str">
        <f ca="1">IFERROR(__xludf.DUMMYFUNCTION("""COMPUTED_VALUE"""),"REA-G8904")</f>
        <v>REA-G8904</v>
      </c>
      <c r="B1025" s="3">
        <f ca="1">IFERROR(__xludf.DUMMYFUNCTION("""COMPUTED_VALUE"""),46270)</f>
        <v>46270</v>
      </c>
      <c r="C1025" s="3">
        <f ca="1">IFERROR(__xludf.DUMMYFUNCTION("""COMPUTED_VALUE"""),5902557342570)</f>
        <v>5902557342570</v>
      </c>
      <c r="D1025" s="4" t="str">
        <f ca="1">IFERROR(__xludf.DUMMYFUNCTION("""COMPUTED_VALUE"""),"ODPŁYW NEO SLIM PRO CZARNY 1000")</f>
        <v>ODPŁYW NEO SLIM PRO CZARNY 1000</v>
      </c>
      <c r="E1025" s="31">
        <v>95.658536585365866</v>
      </c>
      <c r="F1025" s="31">
        <f t="shared" si="15"/>
        <v>117.66000000000001</v>
      </c>
    </row>
    <row r="1026" spans="1:6" ht="18.75" customHeight="1" x14ac:dyDescent="0.25">
      <c r="A1026" s="2" t="str">
        <f ca="1">IFERROR(__xludf.DUMMYFUNCTION("""COMPUTED_VALUE"""),"REA-G6992")</f>
        <v>REA-G6992</v>
      </c>
      <c r="B1026" s="3">
        <f ca="1">IFERROR(__xludf.DUMMYFUNCTION("""COMPUTED_VALUE"""),46265)</f>
        <v>46265</v>
      </c>
      <c r="C1026" s="3">
        <f ca="1">IFERROR(__xludf.DUMMYFUNCTION("""COMPUTED_VALUE"""),5902557368136)</f>
        <v>5902557368136</v>
      </c>
      <c r="D1026" s="4" t="str">
        <f ca="1">IFERROR(__xludf.DUMMYFUNCTION("""COMPUTED_VALUE"""),"ODPŁYW NEO SLIM PRO CZARNY 500")</f>
        <v>ODPŁYW NEO SLIM PRO CZARNY 500</v>
      </c>
      <c r="E1026" s="31">
        <v>51.439024390243908</v>
      </c>
      <c r="F1026" s="31">
        <f t="shared" si="15"/>
        <v>63.27</v>
      </c>
    </row>
    <row r="1027" spans="1:6" ht="18.75" customHeight="1" x14ac:dyDescent="0.25">
      <c r="A1027" s="2" t="str">
        <f ca="1">IFERROR(__xludf.DUMMYFUNCTION("""COMPUTED_VALUE"""),"REA-G8900")</f>
        <v>REA-G8900</v>
      </c>
      <c r="B1027" s="3">
        <f ca="1">IFERROR(__xludf.DUMMYFUNCTION("""COMPUTED_VALUE"""),46266)</f>
        <v>46266</v>
      </c>
      <c r="C1027" s="3">
        <f ca="1">IFERROR(__xludf.DUMMYFUNCTION("""COMPUTED_VALUE"""),5902557342617)</f>
        <v>5902557342617</v>
      </c>
      <c r="D1027" s="4" t="str">
        <f ca="1">IFERROR(__xludf.DUMMYFUNCTION("""COMPUTED_VALUE"""),"ODPŁYW NEO SLIM PRO CZARNY 600")</f>
        <v>ODPŁYW NEO SLIM PRO CZARNY 600</v>
      </c>
      <c r="E1027" s="31">
        <v>62.268292682926841</v>
      </c>
      <c r="F1027" s="31">
        <f t="shared" ref="F1027:F1090" si="16">E1027*1.23</f>
        <v>76.590000000000018</v>
      </c>
    </row>
    <row r="1028" spans="1:6" ht="18.75" customHeight="1" x14ac:dyDescent="0.25">
      <c r="A1028" s="2" t="str">
        <f ca="1">IFERROR(__xludf.DUMMYFUNCTION("""COMPUTED_VALUE"""),"REA-G8901")</f>
        <v>REA-G8901</v>
      </c>
      <c r="B1028" s="3">
        <f ca="1">IFERROR(__xludf.DUMMYFUNCTION("""COMPUTED_VALUE"""),46267)</f>
        <v>46267</v>
      </c>
      <c r="C1028" s="3">
        <f ca="1">IFERROR(__xludf.DUMMYFUNCTION("""COMPUTED_VALUE"""),5902557342600)</f>
        <v>5902557342600</v>
      </c>
      <c r="D1028" s="4" t="str">
        <f ca="1">IFERROR(__xludf.DUMMYFUNCTION("""COMPUTED_VALUE"""),"ODPŁYW NEO SLIM PRO CZARNY 700")</f>
        <v>ODPŁYW NEO SLIM PRO CZARNY 700</v>
      </c>
      <c r="E1028" s="31">
        <v>66.780487804878049</v>
      </c>
      <c r="F1028" s="31">
        <f t="shared" si="16"/>
        <v>82.14</v>
      </c>
    </row>
    <row r="1029" spans="1:6" ht="18.75" customHeight="1" x14ac:dyDescent="0.25">
      <c r="A1029" s="2" t="str">
        <f ca="1">IFERROR(__xludf.DUMMYFUNCTION("""COMPUTED_VALUE"""),"REA-G8902")</f>
        <v>REA-G8902</v>
      </c>
      <c r="B1029" s="3">
        <f ca="1">IFERROR(__xludf.DUMMYFUNCTION("""COMPUTED_VALUE"""),46268)</f>
        <v>46268</v>
      </c>
      <c r="C1029" s="3">
        <f ca="1">IFERROR(__xludf.DUMMYFUNCTION("""COMPUTED_VALUE"""),5902557342594)</f>
        <v>5902557342594</v>
      </c>
      <c r="D1029" s="4" t="str">
        <f ca="1">IFERROR(__xludf.DUMMYFUNCTION("""COMPUTED_VALUE"""),"ODPŁYW NEO SLIM PRO CZARNY 800")</f>
        <v>ODPŁYW NEO SLIM PRO CZARNY 800</v>
      </c>
      <c r="E1029" s="31">
        <v>84.82926829268294</v>
      </c>
      <c r="F1029" s="31">
        <f t="shared" si="16"/>
        <v>104.34000000000002</v>
      </c>
    </row>
    <row r="1030" spans="1:6" ht="18.75" customHeight="1" x14ac:dyDescent="0.25">
      <c r="A1030" s="2" t="str">
        <f ca="1">IFERROR(__xludf.DUMMYFUNCTION("""COMPUTED_VALUE"""),"REA-G8903")</f>
        <v>REA-G8903</v>
      </c>
      <c r="B1030" s="3">
        <f ca="1">IFERROR(__xludf.DUMMYFUNCTION("""COMPUTED_VALUE"""),46269)</f>
        <v>46269</v>
      </c>
      <c r="C1030" s="3">
        <f ca="1">IFERROR(__xludf.DUMMYFUNCTION("""COMPUTED_VALUE"""),5902557342587)</f>
        <v>5902557342587</v>
      </c>
      <c r="D1030" s="4" t="str">
        <f ca="1">IFERROR(__xludf.DUMMYFUNCTION("""COMPUTED_VALUE"""),"ODPŁYW NEO SLIM PRO CZARNY 900")</f>
        <v>ODPŁYW NEO SLIM PRO CZARNY 900</v>
      </c>
      <c r="E1030" s="31">
        <v>92.048780487804876</v>
      </c>
      <c r="F1030" s="31">
        <f t="shared" si="16"/>
        <v>113.22</v>
      </c>
    </row>
    <row r="1031" spans="1:6" ht="18.75" customHeight="1" x14ac:dyDescent="0.25">
      <c r="A1031" s="2" t="str">
        <f ca="1">IFERROR(__xludf.DUMMYFUNCTION("""COMPUTED_VALUE"""),"REA-G0650")</f>
        <v>REA-G0650</v>
      </c>
      <c r="B1031" s="3">
        <f ca="1">IFERROR(__xludf.DUMMYFUNCTION("""COMPUTED_VALUE"""),49006)</f>
        <v>49006</v>
      </c>
      <c r="C1031" s="3">
        <f ca="1">IFERROR(__xludf.DUMMYFUNCTION("""COMPUTED_VALUE"""),5902557375943)</f>
        <v>5902557375943</v>
      </c>
      <c r="D1031" s="4" t="str">
        <f ca="1">IFERROR(__xludf.DUMMYFUNCTION("""COMPUTED_VALUE"""),"ODPŁYW NEO SLIM PRO MIEDŹ SZCZOTKOWANA 600")</f>
        <v>ODPŁYW NEO SLIM PRO MIEDŹ SZCZOTKOWANA 600</v>
      </c>
      <c r="E1031" s="31">
        <v>74.902439024390262</v>
      </c>
      <c r="F1031" s="31">
        <f t="shared" si="16"/>
        <v>92.130000000000024</v>
      </c>
    </row>
    <row r="1032" spans="1:6" ht="18.75" customHeight="1" x14ac:dyDescent="0.25">
      <c r="A1032" s="2" t="str">
        <f ca="1">IFERROR(__xludf.DUMMYFUNCTION("""COMPUTED_VALUE"""),"REA-G0651")</f>
        <v>REA-G0651</v>
      </c>
      <c r="B1032" s="3">
        <f ca="1">IFERROR(__xludf.DUMMYFUNCTION("""COMPUTED_VALUE"""),49005)</f>
        <v>49005</v>
      </c>
      <c r="C1032" s="3">
        <f ca="1">IFERROR(__xludf.DUMMYFUNCTION("""COMPUTED_VALUE"""),5902557375950)</f>
        <v>5902557375950</v>
      </c>
      <c r="D1032" s="4" t="str">
        <f ca="1">IFERROR(__xludf.DUMMYFUNCTION("""COMPUTED_VALUE"""),"ODPŁYW NEO SLIM PRO MIEDŹ SZCZOTKOWANA 700")</f>
        <v>ODPŁYW NEO SLIM PRO MIEDŹ SZCZOTKOWANA 700</v>
      </c>
      <c r="E1032" s="31">
        <v>82.121951219512198</v>
      </c>
      <c r="F1032" s="31">
        <f t="shared" si="16"/>
        <v>101.01</v>
      </c>
    </row>
    <row r="1033" spans="1:6" ht="18.75" customHeight="1" x14ac:dyDescent="0.25">
      <c r="A1033" s="2" t="str">
        <f ca="1">IFERROR(__xludf.DUMMYFUNCTION("""COMPUTED_VALUE"""),"REA-G0653")</f>
        <v>REA-G0653</v>
      </c>
      <c r="B1033" s="3">
        <f ca="1">IFERROR(__xludf.DUMMYFUNCTION("""COMPUTED_VALUE"""),49003)</f>
        <v>49003</v>
      </c>
      <c r="C1033" s="3">
        <f ca="1">IFERROR(__xludf.DUMMYFUNCTION("""COMPUTED_VALUE"""),5902557375967)</f>
        <v>5902557375967</v>
      </c>
      <c r="D1033" s="4" t="str">
        <f ca="1">IFERROR(__xludf.DUMMYFUNCTION("""COMPUTED_VALUE"""),"ODPŁYW NEO SLIM PRO MIEDŹ SZCZOTKOWANA 800")</f>
        <v>ODPŁYW NEO SLIM PRO MIEDŹ SZCZOTKOWANA 800</v>
      </c>
      <c r="E1033" s="31">
        <v>89.341463414634148</v>
      </c>
      <c r="F1033" s="31">
        <f t="shared" si="16"/>
        <v>109.89</v>
      </c>
    </row>
    <row r="1034" spans="1:6" ht="18.75" customHeight="1" x14ac:dyDescent="0.25">
      <c r="A1034" s="2" t="str">
        <f ca="1">IFERROR(__xludf.DUMMYFUNCTION("""COMPUTED_VALUE"""),"REA-G8404")</f>
        <v>REA-G8404</v>
      </c>
      <c r="B1034" s="3">
        <f ca="1">IFERROR(__xludf.DUMMYFUNCTION("""COMPUTED_VALUE"""),46210)</f>
        <v>46210</v>
      </c>
      <c r="C1034" s="3">
        <f ca="1">IFERROR(__xludf.DUMMYFUNCTION("""COMPUTED_VALUE"""),5902557330034)</f>
        <v>5902557330034</v>
      </c>
      <c r="D1034" s="4" t="str">
        <f ca="1">IFERROR(__xludf.DUMMYFUNCTION("""COMPUTED_VALUE"""),"ODPŁYW NEO SLIM PRO SZCZOTKOWANY 1000")</f>
        <v>ODPŁYW NEO SLIM PRO SZCZOTKOWANY 1000</v>
      </c>
      <c r="E1034" s="31">
        <v>64.073170731707322</v>
      </c>
      <c r="F1034" s="31">
        <f t="shared" si="16"/>
        <v>78.81</v>
      </c>
    </row>
    <row r="1035" spans="1:6" ht="18.75" customHeight="1" x14ac:dyDescent="0.25">
      <c r="A1035" s="2" t="str">
        <f ca="1">IFERROR(__xludf.DUMMYFUNCTION("""COMPUTED_VALUE"""),"REA-G8749")</f>
        <v>REA-G8749</v>
      </c>
      <c r="B1035" s="3">
        <f ca="1">IFERROR(__xludf.DUMMYFUNCTION("""COMPUTED_VALUE"""),46204)</f>
        <v>46204</v>
      </c>
      <c r="C1035" s="3">
        <f ca="1">IFERROR(__xludf.DUMMYFUNCTION("""COMPUTED_VALUE"""),5902557368198)</f>
        <v>5902557368198</v>
      </c>
      <c r="D1035" s="4" t="str">
        <f ca="1">IFERROR(__xludf.DUMMYFUNCTION("""COMPUTED_VALUE"""),"ODPŁYW NEO SLIM PRO SZCZOTKOWANY 500")</f>
        <v>ODPŁYW NEO SLIM PRO SZCZOTKOWANY 500</v>
      </c>
      <c r="E1035" s="31">
        <v>39.707317073170735</v>
      </c>
      <c r="F1035" s="31">
        <f t="shared" si="16"/>
        <v>48.84</v>
      </c>
    </row>
    <row r="1036" spans="1:6" ht="18.75" customHeight="1" x14ac:dyDescent="0.25">
      <c r="A1036" s="2" t="str">
        <f ca="1">IFERROR(__xludf.DUMMYFUNCTION("""COMPUTED_VALUE"""),"REA-G8400")</f>
        <v>REA-G8400</v>
      </c>
      <c r="B1036" s="3">
        <f ca="1">IFERROR(__xludf.DUMMYFUNCTION("""COMPUTED_VALUE"""),46205)</f>
        <v>46205</v>
      </c>
      <c r="C1036" s="3">
        <f ca="1">IFERROR(__xludf.DUMMYFUNCTION("""COMPUTED_VALUE"""),5902557330003)</f>
        <v>5902557330003</v>
      </c>
      <c r="D1036" s="4" t="str">
        <f ca="1">IFERROR(__xludf.DUMMYFUNCTION("""COMPUTED_VALUE"""),"ODPŁYW NEO SLIM PRO SZCZOTKOWANY 600")</f>
        <v>ODPŁYW NEO SLIM PRO SZCZOTKOWANY 600</v>
      </c>
      <c r="E1036" s="31">
        <v>43.31707317073171</v>
      </c>
      <c r="F1036" s="31">
        <f t="shared" si="16"/>
        <v>53.28</v>
      </c>
    </row>
    <row r="1037" spans="1:6" ht="18.75" customHeight="1" x14ac:dyDescent="0.25">
      <c r="A1037" s="2" t="str">
        <f ca="1">IFERROR(__xludf.DUMMYFUNCTION("""COMPUTED_VALUE"""),"REA-G8401")</f>
        <v>REA-G8401</v>
      </c>
      <c r="B1037" s="3">
        <f ca="1">IFERROR(__xludf.DUMMYFUNCTION("""COMPUTED_VALUE"""),46206)</f>
        <v>46206</v>
      </c>
      <c r="C1037" s="3">
        <f ca="1">IFERROR(__xludf.DUMMYFUNCTION("""COMPUTED_VALUE"""),5902557330010)</f>
        <v>5902557330010</v>
      </c>
      <c r="D1037" s="4" t="str">
        <f ca="1">IFERROR(__xludf.DUMMYFUNCTION("""COMPUTED_VALUE"""),"ODPŁYW NEO SLIM PRO SZCZOTKOWANY 700")</f>
        <v>ODPŁYW NEO SLIM PRO SZCZOTKOWANY 700</v>
      </c>
      <c r="E1037" s="31">
        <v>49.634146341463421</v>
      </c>
      <c r="F1037" s="31">
        <f t="shared" si="16"/>
        <v>61.050000000000004</v>
      </c>
    </row>
    <row r="1038" spans="1:6" ht="18.75" customHeight="1" x14ac:dyDescent="0.25">
      <c r="A1038" s="2" t="str">
        <f ca="1">IFERROR(__xludf.DUMMYFUNCTION("""COMPUTED_VALUE"""),"REA-G8402")</f>
        <v>REA-G8402</v>
      </c>
      <c r="B1038" s="3">
        <f ca="1">IFERROR(__xludf.DUMMYFUNCTION("""COMPUTED_VALUE"""),46207)</f>
        <v>46207</v>
      </c>
      <c r="C1038" s="3">
        <f ca="1">IFERROR(__xludf.DUMMYFUNCTION("""COMPUTED_VALUE"""),5902557330041)</f>
        <v>5902557330041</v>
      </c>
      <c r="D1038" s="4" t="str">
        <f ca="1">IFERROR(__xludf.DUMMYFUNCTION("""COMPUTED_VALUE"""),"ODPŁYW NEO SLIM PRO SZCZOTKOWANY 800")</f>
        <v>ODPŁYW NEO SLIM PRO SZCZOTKOWANY 800</v>
      </c>
      <c r="E1038" s="31">
        <v>51.439024390243908</v>
      </c>
      <c r="F1038" s="31">
        <f t="shared" si="16"/>
        <v>63.27</v>
      </c>
    </row>
    <row r="1039" spans="1:6" ht="18.75" customHeight="1" x14ac:dyDescent="0.25">
      <c r="A1039" s="2" t="str">
        <f ca="1">IFERROR(__xludf.DUMMYFUNCTION("""COMPUTED_VALUE"""),"REA-G8403")</f>
        <v>REA-G8403</v>
      </c>
      <c r="B1039" s="3">
        <f ca="1">IFERROR(__xludf.DUMMYFUNCTION("""COMPUTED_VALUE"""),46209)</f>
        <v>46209</v>
      </c>
      <c r="C1039" s="3">
        <f ca="1">IFERROR(__xludf.DUMMYFUNCTION("""COMPUTED_VALUE"""),5902557330027)</f>
        <v>5902557330027</v>
      </c>
      <c r="D1039" s="4" t="str">
        <f ca="1">IFERROR(__xludf.DUMMYFUNCTION("""COMPUTED_VALUE"""),"ODPŁYW NEO SLIM PRO SZCZOTKOWANY 900")</f>
        <v>ODPŁYW NEO SLIM PRO SZCZOTKOWANY 900</v>
      </c>
      <c r="E1039" s="31">
        <v>60.463414634146346</v>
      </c>
      <c r="F1039" s="31">
        <f t="shared" si="16"/>
        <v>74.37</v>
      </c>
    </row>
    <row r="1040" spans="1:6" ht="18.75" customHeight="1" x14ac:dyDescent="0.25">
      <c r="A1040" s="2" t="str">
        <f ca="1">IFERROR(__xludf.DUMMYFUNCTION("""COMPUTED_VALUE"""),"REA-G5612")</f>
        <v>REA-G5612</v>
      </c>
      <c r="B1040" s="3">
        <f ca="1">IFERROR(__xludf.DUMMYFUNCTION("""COMPUTED_VALUE"""),45631)</f>
        <v>45631</v>
      </c>
      <c r="C1040" s="3">
        <f ca="1">IFERROR(__xludf.DUMMYFUNCTION("""COMPUTED_VALUE"""),5902557368372)</f>
        <v>5902557368372</v>
      </c>
      <c r="D1040" s="4" t="str">
        <f ca="1">IFERROR(__xludf.DUMMYFUNCTION("""COMPUTED_VALUE"""),"ODPŁYW NEO SLIM PRO ZŁOTY POŁYSK 1000")</f>
        <v>ODPŁYW NEO SLIM PRO ZŁOTY POŁYSK 1000</v>
      </c>
      <c r="E1040" s="31">
        <v>100.17073170731709</v>
      </c>
      <c r="F1040" s="31">
        <f t="shared" si="16"/>
        <v>123.21000000000002</v>
      </c>
    </row>
    <row r="1041" spans="1:6" ht="18.75" customHeight="1" x14ac:dyDescent="0.25">
      <c r="A1041" s="2" t="str">
        <f ca="1">IFERROR(__xludf.DUMMYFUNCTION("""COMPUTED_VALUE"""),"REA-G5692")</f>
        <v>REA-G5692</v>
      </c>
      <c r="B1041" s="3">
        <f ca="1">IFERROR(__xludf.DUMMYFUNCTION("""COMPUTED_VALUE"""),45626)</f>
        <v>45626</v>
      </c>
      <c r="C1041" s="3">
        <f ca="1">IFERROR(__xludf.DUMMYFUNCTION("""COMPUTED_VALUE"""),5902557368457)</f>
        <v>5902557368457</v>
      </c>
      <c r="D1041" s="4" t="str">
        <f ca="1">IFERROR(__xludf.DUMMYFUNCTION("""COMPUTED_VALUE"""),"ODPŁYW NEO SLIM PRO ZŁOTY POŁYSK 500")</f>
        <v>ODPŁYW NEO SLIM PRO ZŁOTY POŁYSK 500</v>
      </c>
      <c r="E1041" s="31">
        <v>60.463414634146346</v>
      </c>
      <c r="F1041" s="31">
        <f t="shared" si="16"/>
        <v>74.37</v>
      </c>
    </row>
    <row r="1042" spans="1:6" ht="18.75" customHeight="1" x14ac:dyDescent="0.25">
      <c r="A1042" s="2" t="str">
        <f ca="1">IFERROR(__xludf.DUMMYFUNCTION("""COMPUTED_VALUE"""),"REA-G5698")</f>
        <v>REA-G5698</v>
      </c>
      <c r="B1042" s="3">
        <f ca="1">IFERROR(__xludf.DUMMYFUNCTION("""COMPUTED_VALUE"""),45627)</f>
        <v>45627</v>
      </c>
      <c r="C1042" s="3">
        <f ca="1">IFERROR(__xludf.DUMMYFUNCTION("""COMPUTED_VALUE"""),5902557368365)</f>
        <v>5902557368365</v>
      </c>
      <c r="D1042" s="4" t="str">
        <f ca="1">IFERROR(__xludf.DUMMYFUNCTION("""COMPUTED_VALUE"""),"ODPŁYW NEO SLIM PRO ZŁOTY POŁYSK 600")</f>
        <v>ODPŁYW NEO SLIM PRO ZŁOTY POŁYSK 600</v>
      </c>
      <c r="E1042" s="31">
        <v>64.073170731707322</v>
      </c>
      <c r="F1042" s="31">
        <f t="shared" si="16"/>
        <v>78.81</v>
      </c>
    </row>
    <row r="1043" spans="1:6" ht="18.75" customHeight="1" x14ac:dyDescent="0.25">
      <c r="A1043" s="2" t="str">
        <f ca="1">IFERROR(__xludf.DUMMYFUNCTION("""COMPUTED_VALUE"""),"REA-G5603")</f>
        <v>REA-G5603</v>
      </c>
      <c r="B1043" s="3">
        <f ca="1">IFERROR(__xludf.DUMMYFUNCTION("""COMPUTED_VALUE"""),45628)</f>
        <v>45628</v>
      </c>
      <c r="C1043" s="3">
        <f ca="1">IFERROR(__xludf.DUMMYFUNCTION("""COMPUTED_VALUE"""),5902557357246)</f>
        <v>5902557357246</v>
      </c>
      <c r="D1043" s="4" t="str">
        <f ca="1">IFERROR(__xludf.DUMMYFUNCTION("""COMPUTED_VALUE"""),"ODPŁYW NEO SLIM PRO ZŁOTY POŁYSK 700")</f>
        <v>ODPŁYW NEO SLIM PRO ZŁOTY POŁYSK 700</v>
      </c>
      <c r="E1043" s="31">
        <v>73.097560975609767</v>
      </c>
      <c r="F1043" s="31">
        <f t="shared" si="16"/>
        <v>89.910000000000011</v>
      </c>
    </row>
    <row r="1044" spans="1:6" ht="18.75" customHeight="1" x14ac:dyDescent="0.25">
      <c r="A1044" s="2" t="str">
        <f ca="1">IFERROR(__xludf.DUMMYFUNCTION("""COMPUTED_VALUE"""),"REA-G5604")</f>
        <v>REA-G5604</v>
      </c>
      <c r="B1044" s="3">
        <f ca="1">IFERROR(__xludf.DUMMYFUNCTION("""COMPUTED_VALUE"""),45629)</f>
        <v>45629</v>
      </c>
      <c r="C1044" s="3">
        <f ca="1">IFERROR(__xludf.DUMMYFUNCTION("""COMPUTED_VALUE"""),5902557357253)</f>
        <v>5902557357253</v>
      </c>
      <c r="D1044" s="4" t="str">
        <f ca="1">IFERROR(__xludf.DUMMYFUNCTION("""COMPUTED_VALUE"""),"ODPŁYW NEO SLIM PRO ZŁOTY POŁYSK 800")</f>
        <v>ODPŁYW NEO SLIM PRO ZŁOTY POŁYSK 800</v>
      </c>
      <c r="E1044" s="31">
        <v>81.219512195121965</v>
      </c>
      <c r="F1044" s="31">
        <f t="shared" si="16"/>
        <v>99.90000000000002</v>
      </c>
    </row>
    <row r="1045" spans="1:6" ht="18.75" customHeight="1" x14ac:dyDescent="0.25">
      <c r="A1045" s="2" t="str">
        <f ca="1">IFERROR(__xludf.DUMMYFUNCTION("""COMPUTED_VALUE"""),"REA-G5605")</f>
        <v>REA-G5605</v>
      </c>
      <c r="B1045" s="3">
        <f ca="1">IFERROR(__xludf.DUMMYFUNCTION("""COMPUTED_VALUE"""),45630)</f>
        <v>45630</v>
      </c>
      <c r="C1045" s="3">
        <f ca="1">IFERROR(__xludf.DUMMYFUNCTION("""COMPUTED_VALUE"""),5902557357260)</f>
        <v>5902557357260</v>
      </c>
      <c r="D1045" s="4" t="str">
        <f ca="1">IFERROR(__xludf.DUMMYFUNCTION("""COMPUTED_VALUE"""),"ODPŁYW NEO SLIM PRO ZŁOTY POŁYSK 900")</f>
        <v>ODPŁYW NEO SLIM PRO ZŁOTY POŁYSK 900</v>
      </c>
      <c r="E1045" s="31">
        <v>93.853658536585371</v>
      </c>
      <c r="F1045" s="31">
        <f t="shared" si="16"/>
        <v>115.44</v>
      </c>
    </row>
    <row r="1046" spans="1:6" ht="18.75" customHeight="1" x14ac:dyDescent="0.25">
      <c r="A1046" s="2" t="str">
        <f ca="1">IFERROR(__xludf.DUMMYFUNCTION("""COMPUTED_VALUE"""),"REA-G8013")</f>
        <v>REA-G8013</v>
      </c>
      <c r="B1046" s="3"/>
      <c r="C1046" s="3">
        <f ca="1">IFERROR(__xludf.DUMMYFUNCTION("""COMPUTED_VALUE"""),5902557352555)</f>
        <v>5902557352555</v>
      </c>
      <c r="D1046" s="4" t="str">
        <f ca="1">IFERROR(__xludf.DUMMYFUNCTION("""COMPUTED_VALUE"""),"ODPŁYW NEO SLIM SZCZOTKOWANY SZAMPAŃSKI PRO-600")</f>
        <v>ODPŁYW NEO SLIM SZCZOTKOWANY SZAMPAŃSKI PRO-600</v>
      </c>
      <c r="E1046" s="31">
        <v>68.585365853658544</v>
      </c>
      <c r="F1046" s="31">
        <f t="shared" si="16"/>
        <v>84.360000000000014</v>
      </c>
    </row>
    <row r="1047" spans="1:6" ht="18.75" customHeight="1" x14ac:dyDescent="0.25">
      <c r="A1047" s="2" t="str">
        <f ca="1">IFERROR(__xludf.DUMMYFUNCTION("""COMPUTED_VALUE"""),"REA-G8014")</f>
        <v>REA-G8014</v>
      </c>
      <c r="B1047" s="3"/>
      <c r="C1047" s="3">
        <f ca="1">IFERROR(__xludf.DUMMYFUNCTION("""COMPUTED_VALUE"""),5902557352562)</f>
        <v>5902557352562</v>
      </c>
      <c r="D1047" s="4" t="str">
        <f ca="1">IFERROR(__xludf.DUMMYFUNCTION("""COMPUTED_VALUE"""),"ODPŁYW NEO SLIM SZCZOTKOWANY SZAMPAŃSKI PRO-700")</f>
        <v>ODPŁYW NEO SLIM SZCZOTKOWANY SZAMPAŃSKI PRO-700</v>
      </c>
      <c r="E1047" s="31">
        <v>78.512195121951223</v>
      </c>
      <c r="F1047" s="31">
        <f t="shared" si="16"/>
        <v>96.570000000000007</v>
      </c>
    </row>
    <row r="1048" spans="1:6" ht="18.75" customHeight="1" x14ac:dyDescent="0.25">
      <c r="A1048" s="2" t="str">
        <f ca="1">IFERROR(__xludf.DUMMYFUNCTION("""COMPUTED_VALUE"""),"REA-G8015")</f>
        <v>REA-G8015</v>
      </c>
      <c r="B1048" s="3"/>
      <c r="C1048" s="3">
        <f ca="1">IFERROR(__xludf.DUMMYFUNCTION("""COMPUTED_VALUE"""),5902557352579)</f>
        <v>5902557352579</v>
      </c>
      <c r="D1048" s="4" t="str">
        <f ca="1">IFERROR(__xludf.DUMMYFUNCTION("""COMPUTED_VALUE"""),"ODPŁYW NEO SLIM SZCZOTKOWANY SZAMPAŃSKI PRO-800")</f>
        <v>ODPŁYW NEO SLIM SZCZOTKOWANY SZAMPAŃSKI PRO-800</v>
      </c>
      <c r="E1048" s="31">
        <v>84.82926829268294</v>
      </c>
      <c r="F1048" s="31">
        <f t="shared" si="16"/>
        <v>104.34000000000002</v>
      </c>
    </row>
    <row r="1049" spans="1:6" ht="18.75" customHeight="1" x14ac:dyDescent="0.25">
      <c r="A1049" s="2" t="str">
        <f ca="1">IFERROR(__xludf.DUMMYFUNCTION("""COMPUTED_VALUE"""),"REA-G8016")</f>
        <v>REA-G8016</v>
      </c>
      <c r="B1049" s="3"/>
      <c r="C1049" s="3">
        <f ca="1">IFERROR(__xludf.DUMMYFUNCTION("""COMPUTED_VALUE"""),5902557352586)</f>
        <v>5902557352586</v>
      </c>
      <c r="D1049" s="4" t="str">
        <f ca="1">IFERROR(__xludf.DUMMYFUNCTION("""COMPUTED_VALUE"""),"ODPŁYW NEO SLIM SZCZOTKOWANY SZAMPAŃSKI PRO-900")</f>
        <v>ODPŁYW NEO SLIM SZCZOTKOWANY SZAMPAŃSKI PRO-900</v>
      </c>
      <c r="E1049" s="31">
        <v>90.243902439024396</v>
      </c>
      <c r="F1049" s="31">
        <f t="shared" si="16"/>
        <v>111</v>
      </c>
    </row>
    <row r="1050" spans="1:6" ht="18.75" customHeight="1" x14ac:dyDescent="0.25">
      <c r="A1050" s="2" t="str">
        <f ca="1">IFERROR(__xludf.DUMMYFUNCTION("""COMPUTED_VALUE"""),"REA-G9800")</f>
        <v>REA-G9800</v>
      </c>
      <c r="B1050" s="3">
        <f ca="1">IFERROR(__xludf.DUMMYFUNCTION("""COMPUTED_VALUE"""),51039)</f>
        <v>51039</v>
      </c>
      <c r="C1050" s="3">
        <f ca="1">IFERROR(__xludf.DUMMYFUNCTION("""COMPUTED_VALUE"""),5902557386994)</f>
        <v>5902557386994</v>
      </c>
      <c r="D1050" s="4" t="str">
        <f ca="1">IFERROR(__xludf.DUMMYFUNCTION("""COMPUTED_VALUE"""),"ODPŁYW NEO ULTRA SLIM PRO SZCZOTKOWANY 600")</f>
        <v>ODPŁYW NEO ULTRA SLIM PRO SZCZOTKOWANY 600</v>
      </c>
      <c r="E1050" s="31">
        <v>62.268292682926841</v>
      </c>
      <c r="F1050" s="31">
        <f t="shared" si="16"/>
        <v>76.590000000000018</v>
      </c>
    </row>
    <row r="1051" spans="1:6" ht="18.75" customHeight="1" x14ac:dyDescent="0.25">
      <c r="A1051" s="2" t="str">
        <f ca="1">IFERROR(__xludf.DUMMYFUNCTION("""COMPUTED_VALUE"""),"REA-G9801")</f>
        <v>REA-G9801</v>
      </c>
      <c r="B1051" s="3">
        <f ca="1">IFERROR(__xludf.DUMMYFUNCTION("""COMPUTED_VALUE"""),51040)</f>
        <v>51040</v>
      </c>
      <c r="C1051" s="3">
        <f ca="1">IFERROR(__xludf.DUMMYFUNCTION("""COMPUTED_VALUE"""),5902557387007)</f>
        <v>5902557387007</v>
      </c>
      <c r="D1051" s="4" t="str">
        <f ca="1">IFERROR(__xludf.DUMMYFUNCTION("""COMPUTED_VALUE"""),"ODPŁYW NEO ULTRA SLIM PRO SZCZOTKOWANY 700")</f>
        <v>ODPŁYW NEO ULTRA SLIM PRO SZCZOTKOWANY 700</v>
      </c>
      <c r="E1051" s="31">
        <v>66.780487804878049</v>
      </c>
      <c r="F1051" s="31">
        <f t="shared" si="16"/>
        <v>82.14</v>
      </c>
    </row>
    <row r="1052" spans="1:6" ht="18.75" customHeight="1" x14ac:dyDescent="0.25">
      <c r="A1052" s="2" t="str">
        <f ca="1">IFERROR(__xludf.DUMMYFUNCTION("""COMPUTED_VALUE"""),"REA-G9802")</f>
        <v>REA-G9802</v>
      </c>
      <c r="B1052" s="3">
        <f ca="1">IFERROR(__xludf.DUMMYFUNCTION("""COMPUTED_VALUE"""),51041)</f>
        <v>51041</v>
      </c>
      <c r="C1052" s="3">
        <f ca="1">IFERROR(__xludf.DUMMYFUNCTION("""COMPUTED_VALUE"""),5902557387014)</f>
        <v>5902557387014</v>
      </c>
      <c r="D1052" s="4" t="str">
        <f ca="1">IFERROR(__xludf.DUMMYFUNCTION("""COMPUTED_VALUE"""),"ODPŁYW NEO ULTRA SLIM PRO SZCZOTKOWANY 800")</f>
        <v>ODPŁYW NEO ULTRA SLIM PRO SZCZOTKOWANY 800</v>
      </c>
      <c r="E1052" s="31">
        <v>70.390243902439025</v>
      </c>
      <c r="F1052" s="31">
        <f t="shared" si="16"/>
        <v>86.58</v>
      </c>
    </row>
    <row r="1053" spans="1:6" ht="18.75" customHeight="1" x14ac:dyDescent="0.25">
      <c r="A1053" s="2" t="str">
        <f ca="1">IFERROR(__xludf.DUMMYFUNCTION("""COMPUTED_VALUE"""),"REA-G9803")</f>
        <v>REA-G9803</v>
      </c>
      <c r="B1053" s="3">
        <f ca="1">IFERROR(__xludf.DUMMYFUNCTION("""COMPUTED_VALUE"""),51043)</f>
        <v>51043</v>
      </c>
      <c r="C1053" s="3">
        <f ca="1">IFERROR(__xludf.DUMMYFUNCTION("""COMPUTED_VALUE"""),5902557387045)</f>
        <v>5902557387045</v>
      </c>
      <c r="D1053" s="4" t="str">
        <f ca="1">IFERROR(__xludf.DUMMYFUNCTION("""COMPUTED_VALUE"""),"ODPŁYW NEO ULTRA SLIM PRO ZŁOTY 600")</f>
        <v>ODPŁYW NEO ULTRA SLIM PRO ZŁOTY 600</v>
      </c>
      <c r="E1053" s="31">
        <v>70.390243902439025</v>
      </c>
      <c r="F1053" s="31">
        <f t="shared" si="16"/>
        <v>86.58</v>
      </c>
    </row>
    <row r="1054" spans="1:6" ht="18.75" customHeight="1" x14ac:dyDescent="0.25">
      <c r="A1054" s="2" t="str">
        <f ca="1">IFERROR(__xludf.DUMMYFUNCTION("""COMPUTED_VALUE"""),"REA-G9804")</f>
        <v>REA-G9804</v>
      </c>
      <c r="B1054" s="3">
        <f ca="1">IFERROR(__xludf.DUMMYFUNCTION("""COMPUTED_VALUE"""),51044)</f>
        <v>51044</v>
      </c>
      <c r="C1054" s="3">
        <f ca="1">IFERROR(__xludf.DUMMYFUNCTION("""COMPUTED_VALUE"""),5902557387038)</f>
        <v>5902557387038</v>
      </c>
      <c r="D1054" s="4" t="str">
        <f ca="1">IFERROR(__xludf.DUMMYFUNCTION("""COMPUTED_VALUE"""),"ODPŁYW NEO ULTRA SLIM PRO ZŁOTY 700")</f>
        <v>ODPŁYW NEO ULTRA SLIM PRO ZŁOTY 700</v>
      </c>
      <c r="E1054" s="31">
        <v>74.902439024390262</v>
      </c>
      <c r="F1054" s="31">
        <f t="shared" si="16"/>
        <v>92.130000000000024</v>
      </c>
    </row>
    <row r="1055" spans="1:6" ht="18.75" customHeight="1" x14ac:dyDescent="0.25">
      <c r="A1055" s="2" t="str">
        <f ca="1">IFERROR(__xludf.DUMMYFUNCTION("""COMPUTED_VALUE"""),"REA-G9805")</f>
        <v>REA-G9805</v>
      </c>
      <c r="B1055" s="3">
        <f ca="1">IFERROR(__xludf.DUMMYFUNCTION("""COMPUTED_VALUE"""),51045)</f>
        <v>51045</v>
      </c>
      <c r="C1055" s="3">
        <f ca="1">IFERROR(__xludf.DUMMYFUNCTION("""COMPUTED_VALUE"""),5902557387021)</f>
        <v>5902557387021</v>
      </c>
      <c r="D1055" s="4" t="str">
        <f ca="1">IFERROR(__xludf.DUMMYFUNCTION("""COMPUTED_VALUE"""),"ODPŁYW NEO ULTRA SLIM PRO ZŁOTY 800")</f>
        <v>ODPŁYW NEO ULTRA SLIM PRO ZŁOTY 800</v>
      </c>
      <c r="E1055" s="31">
        <v>78.512195121951223</v>
      </c>
      <c r="F1055" s="31">
        <f t="shared" si="16"/>
        <v>96.570000000000007</v>
      </c>
    </row>
    <row r="1056" spans="1:6" ht="18.75" customHeight="1" x14ac:dyDescent="0.25">
      <c r="A1056" s="2" t="str">
        <f ca="1">IFERROR(__xludf.DUMMYFUNCTION("""COMPUTED_VALUE"""),"REA-G6605")</f>
        <v>REA-G6605</v>
      </c>
      <c r="B1056" s="3">
        <f ca="1">IFERROR(__xludf.DUMMYFUNCTION("""COMPUTED_VALUE"""),51386)</f>
        <v>51386</v>
      </c>
      <c r="C1056" s="3">
        <f ca="1">IFERROR(__xludf.DUMMYFUNCTION("""COMPUTED_VALUE"""),5902557394319)</f>
        <v>5902557394319</v>
      </c>
      <c r="D1056" s="4" t="str">
        <f ca="1">IFERROR(__xludf.DUMMYFUNCTION("""COMPUTED_VALUE"""),"ODPŁYW NEOX CZARNY 1000")</f>
        <v>ODPŁYW NEOX CZARNY 1000</v>
      </c>
      <c r="E1056" s="31">
        <v>64.073170731707322</v>
      </c>
      <c r="F1056" s="31">
        <f t="shared" si="16"/>
        <v>78.81</v>
      </c>
    </row>
    <row r="1057" spans="1:6" ht="18.75" customHeight="1" x14ac:dyDescent="0.25">
      <c r="A1057" s="2" t="str">
        <f ca="1">IFERROR(__xludf.DUMMYFUNCTION("""COMPUTED_VALUE"""),"REA-G6600")</f>
        <v>REA-G6600</v>
      </c>
      <c r="B1057" s="3">
        <f ca="1">IFERROR(__xludf.DUMMYFUNCTION("""COMPUTED_VALUE"""),51379)</f>
        <v>51379</v>
      </c>
      <c r="C1057" s="3">
        <f ca="1">IFERROR(__xludf.DUMMYFUNCTION("""COMPUTED_VALUE"""),5902557394265)</f>
        <v>5902557394265</v>
      </c>
      <c r="D1057" s="4" t="str">
        <f ca="1">IFERROR(__xludf.DUMMYFUNCTION("""COMPUTED_VALUE"""),"ODPŁYW NEOX CZARNY 500")</f>
        <v>ODPŁYW NEOX CZARNY 500</v>
      </c>
      <c r="E1057" s="31">
        <v>46.024390243902438</v>
      </c>
      <c r="F1057" s="31">
        <f t="shared" si="16"/>
        <v>56.61</v>
      </c>
    </row>
    <row r="1058" spans="1:6" ht="18.75" customHeight="1" x14ac:dyDescent="0.25">
      <c r="A1058" s="2" t="str">
        <f ca="1">IFERROR(__xludf.DUMMYFUNCTION("""COMPUTED_VALUE"""),"REA-G6601")</f>
        <v>REA-G6601</v>
      </c>
      <c r="B1058" s="3">
        <f ca="1">IFERROR(__xludf.DUMMYFUNCTION("""COMPUTED_VALUE"""),51381)</f>
        <v>51381</v>
      </c>
      <c r="C1058" s="3">
        <f ca="1">IFERROR(__xludf.DUMMYFUNCTION("""COMPUTED_VALUE"""),5902557394272)</f>
        <v>5902557394272</v>
      </c>
      <c r="D1058" s="4" t="str">
        <f ca="1">IFERROR(__xludf.DUMMYFUNCTION("""COMPUTED_VALUE"""),"ODPŁYW NEOX CZARNY 600")</f>
        <v>ODPŁYW NEOX CZARNY 600</v>
      </c>
      <c r="E1058" s="31">
        <v>49.634146341463421</v>
      </c>
      <c r="F1058" s="31">
        <f t="shared" si="16"/>
        <v>61.050000000000004</v>
      </c>
    </row>
    <row r="1059" spans="1:6" ht="18.75" customHeight="1" x14ac:dyDescent="0.25">
      <c r="A1059" s="2" t="str">
        <f ca="1">IFERROR(__xludf.DUMMYFUNCTION("""COMPUTED_VALUE"""),"REA-G6602")</f>
        <v>REA-G6602</v>
      </c>
      <c r="B1059" s="3">
        <f ca="1">IFERROR(__xludf.DUMMYFUNCTION("""COMPUTED_VALUE"""),51382)</f>
        <v>51382</v>
      </c>
      <c r="C1059" s="3">
        <f ca="1">IFERROR(__xludf.DUMMYFUNCTION("""COMPUTED_VALUE"""),5902557394289)</f>
        <v>5902557394289</v>
      </c>
      <c r="D1059" s="4" t="str">
        <f ca="1">IFERROR(__xludf.DUMMYFUNCTION("""COMPUTED_VALUE"""),"ODPŁYW NEOX CZARNY 700")</f>
        <v>ODPŁYW NEOX CZARNY 700</v>
      </c>
      <c r="E1059" s="31">
        <v>54.146341463414643</v>
      </c>
      <c r="F1059" s="31">
        <f t="shared" si="16"/>
        <v>66.600000000000009</v>
      </c>
    </row>
    <row r="1060" spans="1:6" ht="18.75" customHeight="1" x14ac:dyDescent="0.25">
      <c r="A1060" s="2" t="str">
        <f ca="1">IFERROR(__xludf.DUMMYFUNCTION("""COMPUTED_VALUE"""),"REA-G6604")</f>
        <v>REA-G6604</v>
      </c>
      <c r="B1060" s="3">
        <f ca="1">IFERROR(__xludf.DUMMYFUNCTION("""COMPUTED_VALUE"""),51383)</f>
        <v>51383</v>
      </c>
      <c r="C1060" s="3">
        <f ca="1">IFERROR(__xludf.DUMMYFUNCTION("""COMPUTED_VALUE"""),5902557394296)</f>
        <v>5902557394296</v>
      </c>
      <c r="D1060" s="4" t="str">
        <f ca="1">IFERROR(__xludf.DUMMYFUNCTION("""COMPUTED_VALUE"""),"ODPŁYW NEOX CZARNY 800")</f>
        <v>ODPŁYW NEOX CZARNY 800</v>
      </c>
      <c r="E1060" s="31">
        <v>57.756097560975611</v>
      </c>
      <c r="F1060" s="31">
        <f t="shared" si="16"/>
        <v>71.040000000000006</v>
      </c>
    </row>
    <row r="1061" spans="1:6" ht="18.75" customHeight="1" x14ac:dyDescent="0.25">
      <c r="A1061" s="2" t="str">
        <f ca="1">IFERROR(__xludf.DUMMYFUNCTION("""COMPUTED_VALUE"""),"REA-G6603")</f>
        <v>REA-G6603</v>
      </c>
      <c r="B1061" s="3">
        <f ca="1">IFERROR(__xludf.DUMMYFUNCTION("""COMPUTED_VALUE"""),51385)</f>
        <v>51385</v>
      </c>
      <c r="C1061" s="3">
        <f ca="1">IFERROR(__xludf.DUMMYFUNCTION("""COMPUTED_VALUE"""),5902557394302)</f>
        <v>5902557394302</v>
      </c>
      <c r="D1061" s="4" t="str">
        <f ca="1">IFERROR(__xludf.DUMMYFUNCTION("""COMPUTED_VALUE"""),"ODPŁYW NEOX CZARNY 900")</f>
        <v>ODPŁYW NEOX CZARNY 900</v>
      </c>
      <c r="E1061" s="31">
        <v>62.268292682926841</v>
      </c>
      <c r="F1061" s="31">
        <f t="shared" si="16"/>
        <v>76.590000000000018</v>
      </c>
    </row>
    <row r="1062" spans="1:6" ht="18.75" customHeight="1" x14ac:dyDescent="0.25">
      <c r="A1062" s="2" t="str">
        <f ca="1">IFERROR(__xludf.DUMMYFUNCTION("""COMPUTED_VALUE"""),"REA-G7800")</f>
        <v>REA-G7800</v>
      </c>
      <c r="B1062" s="3">
        <f ca="1">IFERROR(__xludf.DUMMYFUNCTION("""COMPUTED_VALUE"""),51615)</f>
        <v>51615</v>
      </c>
      <c r="C1062" s="3">
        <f ca="1">IFERROR(__xludf.DUMMYFUNCTION("""COMPUTED_VALUE"""),5902557394562)</f>
        <v>5902557394562</v>
      </c>
      <c r="D1062" s="4" t="str">
        <f ca="1">IFERROR(__xludf.DUMMYFUNCTION("""COMPUTED_VALUE"""),"ODPŁYW NEOX PRO CZARNY 1000")</f>
        <v>ODPŁYW NEOX PRO CZARNY 1000</v>
      </c>
      <c r="E1062" s="31">
        <v>64.073170731707322</v>
      </c>
      <c r="F1062" s="31">
        <f t="shared" si="16"/>
        <v>78.81</v>
      </c>
    </row>
    <row r="1063" spans="1:6" ht="18.75" customHeight="1" x14ac:dyDescent="0.25">
      <c r="A1063" s="2" t="str">
        <f ca="1">IFERROR(__xludf.DUMMYFUNCTION("""COMPUTED_VALUE"""),"REA-G2741")</f>
        <v>REA-G2741</v>
      </c>
      <c r="B1063" s="3">
        <f ca="1">IFERROR(__xludf.DUMMYFUNCTION("""COMPUTED_VALUE"""),54202)</f>
        <v>54202</v>
      </c>
      <c r="C1063" s="3">
        <f ca="1">IFERROR(__xludf.DUMMYFUNCTION("""COMPUTED_VALUE"""),5902557394616)</f>
        <v>5902557394616</v>
      </c>
      <c r="D1063" s="4" t="str">
        <f ca="1">IFERROR(__xludf.DUMMYFUNCTION("""COMPUTED_VALUE"""),"ODPŁYW NEOX PRO CZARNY 500")</f>
        <v>ODPŁYW NEOX PRO CZARNY 500</v>
      </c>
      <c r="E1063" s="31">
        <v>40.609756097560982</v>
      </c>
      <c r="F1063" s="31">
        <f t="shared" si="16"/>
        <v>49.95000000000001</v>
      </c>
    </row>
    <row r="1064" spans="1:6" ht="18.75" customHeight="1" x14ac:dyDescent="0.25">
      <c r="A1064" s="2" t="str">
        <f ca="1">IFERROR(__xludf.DUMMYFUNCTION("""COMPUTED_VALUE"""),"REA-G7801")</f>
        <v>REA-G7801</v>
      </c>
      <c r="B1064" s="3">
        <f ca="1">IFERROR(__xludf.DUMMYFUNCTION("""COMPUTED_VALUE"""),51614)</f>
        <v>51614</v>
      </c>
      <c r="C1064" s="3">
        <f ca="1">IFERROR(__xludf.DUMMYFUNCTION("""COMPUTED_VALUE"""),5902557394609)</f>
        <v>5902557394609</v>
      </c>
      <c r="D1064" s="4" t="str">
        <f ca="1">IFERROR(__xludf.DUMMYFUNCTION("""COMPUTED_VALUE"""),"ODPŁYW NEOX PRO CZARNY 600")</f>
        <v>ODPŁYW NEOX PRO CZARNY 600</v>
      </c>
      <c r="E1064" s="31">
        <v>51.439024390243908</v>
      </c>
      <c r="F1064" s="31">
        <f t="shared" si="16"/>
        <v>63.27</v>
      </c>
    </row>
    <row r="1065" spans="1:6" ht="18.75" customHeight="1" x14ac:dyDescent="0.25">
      <c r="A1065" s="2" t="str">
        <f ca="1">IFERROR(__xludf.DUMMYFUNCTION("""COMPUTED_VALUE"""),"REA-G7802")</f>
        <v>REA-G7802</v>
      </c>
      <c r="B1065" s="3">
        <f ca="1">IFERROR(__xludf.DUMMYFUNCTION("""COMPUTED_VALUE"""),51613)</f>
        <v>51613</v>
      </c>
      <c r="C1065" s="3">
        <f ca="1">IFERROR(__xludf.DUMMYFUNCTION("""COMPUTED_VALUE"""),5902557394593)</f>
        <v>5902557394593</v>
      </c>
      <c r="D1065" s="4" t="str">
        <f ca="1">IFERROR(__xludf.DUMMYFUNCTION("""COMPUTED_VALUE"""),"ODPŁYW NEOX PRO CZARNY 700")</f>
        <v>ODPŁYW NEOX PRO CZARNY 700</v>
      </c>
      <c r="E1065" s="31">
        <v>55.951219512195124</v>
      </c>
      <c r="F1065" s="31">
        <f t="shared" si="16"/>
        <v>68.820000000000007</v>
      </c>
    </row>
    <row r="1066" spans="1:6" ht="18.75" customHeight="1" x14ac:dyDescent="0.25">
      <c r="A1066" s="2" t="str">
        <f ca="1">IFERROR(__xludf.DUMMYFUNCTION("""COMPUTED_VALUE"""),"REA-G7803")</f>
        <v>REA-G7803</v>
      </c>
      <c r="B1066" s="3">
        <f ca="1">IFERROR(__xludf.DUMMYFUNCTION("""COMPUTED_VALUE"""),51612)</f>
        <v>51612</v>
      </c>
      <c r="C1066" s="3">
        <f ca="1">IFERROR(__xludf.DUMMYFUNCTION("""COMPUTED_VALUE"""),5902557394586)</f>
        <v>5902557394586</v>
      </c>
      <c r="D1066" s="4" t="str">
        <f ca="1">IFERROR(__xludf.DUMMYFUNCTION("""COMPUTED_VALUE"""),"ODPŁYW NEOX PRO CZARNY 800")</f>
        <v>ODPŁYW NEOX PRO CZARNY 800</v>
      </c>
      <c r="E1066" s="31">
        <v>57.756097560975611</v>
      </c>
      <c r="F1066" s="31">
        <f t="shared" si="16"/>
        <v>71.040000000000006</v>
      </c>
    </row>
    <row r="1067" spans="1:6" ht="18.75" customHeight="1" x14ac:dyDescent="0.25">
      <c r="A1067" s="2" t="str">
        <f ca="1">IFERROR(__xludf.DUMMYFUNCTION("""COMPUTED_VALUE"""),"REA-G7804")</f>
        <v>REA-G7804</v>
      </c>
      <c r="B1067" s="3">
        <f ca="1">IFERROR(__xludf.DUMMYFUNCTION("""COMPUTED_VALUE"""),51607)</f>
        <v>51607</v>
      </c>
      <c r="C1067" s="3">
        <f ca="1">IFERROR(__xludf.DUMMYFUNCTION("""COMPUTED_VALUE"""),5902557394579)</f>
        <v>5902557394579</v>
      </c>
      <c r="D1067" s="4" t="str">
        <f ca="1">IFERROR(__xludf.DUMMYFUNCTION("""COMPUTED_VALUE"""),"ODPŁYW NEOX PRO CZARNY 900")</f>
        <v>ODPŁYW NEOX PRO CZARNY 900</v>
      </c>
      <c r="E1067" s="31">
        <v>62.268292682926841</v>
      </c>
      <c r="F1067" s="31">
        <f t="shared" si="16"/>
        <v>76.590000000000018</v>
      </c>
    </row>
    <row r="1068" spans="1:6" ht="18.75" customHeight="1" x14ac:dyDescent="0.25">
      <c r="A1068" s="2" t="str">
        <f ca="1">IFERROR(__xludf.DUMMYFUNCTION("""COMPUTED_VALUE"""),"REA-G5811")</f>
        <v>REA-G5811</v>
      </c>
      <c r="B1068" s="3">
        <f ca="1">IFERROR(__xludf.DUMMYFUNCTION("""COMPUTED_VALUE"""),53710)</f>
        <v>53710</v>
      </c>
      <c r="C1068" s="3">
        <f ca="1">IFERROR(__xludf.DUMMYFUNCTION("""COMPUTED_VALUE"""),5906366000294)</f>
        <v>5906366000294</v>
      </c>
      <c r="D1068" s="4" t="str">
        <f ca="1">IFERROR(__xludf.DUMMYFUNCTION("""COMPUTED_VALUE"""),"ODPŁYW NEOX PRO SZCZOTKOWANY 1000")</f>
        <v>ODPŁYW NEOX PRO SZCZOTKOWANY 1000</v>
      </c>
      <c r="E1068" s="31">
        <v>65.878048780487816</v>
      </c>
      <c r="F1068" s="31">
        <f t="shared" si="16"/>
        <v>81.030000000000015</v>
      </c>
    </row>
    <row r="1069" spans="1:6" ht="18.75" customHeight="1" x14ac:dyDescent="0.25">
      <c r="A1069" s="2" t="str">
        <f ca="1">IFERROR(__xludf.DUMMYFUNCTION("""COMPUTED_VALUE"""),"REA-G5806")</f>
        <v>REA-G5806</v>
      </c>
      <c r="B1069" s="3">
        <f ca="1">IFERROR(__xludf.DUMMYFUNCTION("""COMPUTED_VALUE"""),53706)</f>
        <v>53706</v>
      </c>
      <c r="C1069" s="3">
        <f ca="1">IFERROR(__xludf.DUMMYFUNCTION("""COMPUTED_VALUE"""),5906366000225)</f>
        <v>5906366000225</v>
      </c>
      <c r="D1069" s="4" t="str">
        <f ca="1">IFERROR(__xludf.DUMMYFUNCTION("""COMPUTED_VALUE"""),"ODPŁYW NEOX PRO SZCZOTKOWANY 500")</f>
        <v>ODPŁYW NEOX PRO SZCZOTKOWANY 500</v>
      </c>
      <c r="E1069" s="31">
        <v>46.926829268292686</v>
      </c>
      <c r="F1069" s="31">
        <f t="shared" si="16"/>
        <v>57.72</v>
      </c>
    </row>
    <row r="1070" spans="1:6" ht="18.75" customHeight="1" x14ac:dyDescent="0.25">
      <c r="A1070" s="2" t="str">
        <f ca="1">IFERROR(__xludf.DUMMYFUNCTION("""COMPUTED_VALUE"""),"REA-G5807")</f>
        <v>REA-G5807</v>
      </c>
      <c r="B1070" s="3">
        <f ca="1">IFERROR(__xludf.DUMMYFUNCTION("""COMPUTED_VALUE"""),53705)</f>
        <v>53705</v>
      </c>
      <c r="C1070" s="3">
        <f ca="1">IFERROR(__xludf.DUMMYFUNCTION("""COMPUTED_VALUE"""),5906366000331)</f>
        <v>5906366000331</v>
      </c>
      <c r="D1070" s="4" t="str">
        <f ca="1">IFERROR(__xludf.DUMMYFUNCTION("""COMPUTED_VALUE"""),"ODPŁYW NEOX PRO SZCZOTKOWANY 600")</f>
        <v>ODPŁYW NEOX PRO SZCZOTKOWANY 600</v>
      </c>
      <c r="E1070" s="31">
        <v>48.73170731707318</v>
      </c>
      <c r="F1070" s="31">
        <f t="shared" si="16"/>
        <v>59.940000000000012</v>
      </c>
    </row>
    <row r="1071" spans="1:6" ht="18.75" customHeight="1" x14ac:dyDescent="0.25">
      <c r="A1071" s="2" t="str">
        <f ca="1">IFERROR(__xludf.DUMMYFUNCTION("""COMPUTED_VALUE"""),"REA-G5808")</f>
        <v>REA-G5808</v>
      </c>
      <c r="B1071" s="3">
        <f ca="1">IFERROR(__xludf.DUMMYFUNCTION("""COMPUTED_VALUE"""),53707)</f>
        <v>53707</v>
      </c>
      <c r="C1071" s="3">
        <f ca="1">IFERROR(__xludf.DUMMYFUNCTION("""COMPUTED_VALUE"""),5906366000324)</f>
        <v>5906366000324</v>
      </c>
      <c r="D1071" s="4" t="str">
        <f ca="1">IFERROR(__xludf.DUMMYFUNCTION("""COMPUTED_VALUE"""),"ODPŁYW NEOX PRO SZCZOTKOWANY 700")</f>
        <v>ODPŁYW NEOX PRO SZCZOTKOWANY 700</v>
      </c>
      <c r="E1071" s="31">
        <v>50.536585365853668</v>
      </c>
      <c r="F1071" s="31">
        <f t="shared" si="16"/>
        <v>62.160000000000011</v>
      </c>
    </row>
    <row r="1072" spans="1:6" ht="18.75" customHeight="1" x14ac:dyDescent="0.25">
      <c r="A1072" s="2" t="str">
        <f ca="1">IFERROR(__xludf.DUMMYFUNCTION("""COMPUTED_VALUE"""),"REA-G5809")</f>
        <v>REA-G5809</v>
      </c>
      <c r="B1072" s="3">
        <f ca="1">IFERROR(__xludf.DUMMYFUNCTION("""COMPUTED_VALUE"""),53708)</f>
        <v>53708</v>
      </c>
      <c r="C1072" s="3">
        <f ca="1">IFERROR(__xludf.DUMMYFUNCTION("""COMPUTED_VALUE"""),5906366000317)</f>
        <v>5906366000317</v>
      </c>
      <c r="D1072" s="4" t="str">
        <f ca="1">IFERROR(__xludf.DUMMYFUNCTION("""COMPUTED_VALUE"""),"ODPŁYW NEOX PRO SZCZOTKOWANY 800")</f>
        <v>ODPŁYW NEOX PRO SZCZOTKOWANY 800</v>
      </c>
      <c r="E1072" s="31">
        <v>55.048780487804883</v>
      </c>
      <c r="F1072" s="31">
        <f t="shared" si="16"/>
        <v>67.710000000000008</v>
      </c>
    </row>
    <row r="1073" spans="1:6" ht="18.75" customHeight="1" x14ac:dyDescent="0.25">
      <c r="A1073" s="2" t="str">
        <f ca="1">IFERROR(__xludf.DUMMYFUNCTION("""COMPUTED_VALUE"""),"REA-G5810")</f>
        <v>REA-G5810</v>
      </c>
      <c r="B1073" s="3">
        <f ca="1">IFERROR(__xludf.DUMMYFUNCTION("""COMPUTED_VALUE"""),53709)</f>
        <v>53709</v>
      </c>
      <c r="C1073" s="3">
        <f ca="1">IFERROR(__xludf.DUMMYFUNCTION("""COMPUTED_VALUE"""),5906366000300)</f>
        <v>5906366000300</v>
      </c>
      <c r="D1073" s="4" t="str">
        <f ca="1">IFERROR(__xludf.DUMMYFUNCTION("""COMPUTED_VALUE"""),"ODPŁYW NEOX PRO SZCZOTKOWANY 900")</f>
        <v>ODPŁYW NEOX PRO SZCZOTKOWANY 900</v>
      </c>
      <c r="E1073" s="31">
        <v>61.365853658536594</v>
      </c>
      <c r="F1073" s="31">
        <f t="shared" si="16"/>
        <v>75.48</v>
      </c>
    </row>
    <row r="1074" spans="1:6" ht="18.75" customHeight="1" x14ac:dyDescent="0.25">
      <c r="A1074" s="2" t="str">
        <f ca="1">IFERROR(__xludf.DUMMYFUNCTION("""COMPUTED_VALUE"""),"REA-G2738")</f>
        <v>REA-G2738</v>
      </c>
      <c r="B1074" s="3">
        <f ca="1">IFERROR(__xludf.DUMMYFUNCTION("""COMPUTED_VALUE"""),54209)</f>
        <v>54209</v>
      </c>
      <c r="C1074" s="3">
        <f ca="1">IFERROR(__xludf.DUMMYFUNCTION("""COMPUTED_VALUE"""),5906366007453)</f>
        <v>5906366007453</v>
      </c>
      <c r="D1074" s="4" t="str">
        <f ca="1">IFERROR(__xludf.DUMMYFUNCTION("""COMPUTED_VALUE"""),"ODPŁYW NEOX PRO ZŁOTY 1000")</f>
        <v>ODPŁYW NEOX PRO ZŁOTY 1000</v>
      </c>
      <c r="E1074" s="31">
        <v>65.878048780487816</v>
      </c>
      <c r="F1074" s="31">
        <f t="shared" si="16"/>
        <v>81.030000000000015</v>
      </c>
    </row>
    <row r="1075" spans="1:6" ht="18.75" customHeight="1" x14ac:dyDescent="0.25">
      <c r="A1075" s="2" t="str">
        <f ca="1">IFERROR(__xludf.DUMMYFUNCTION("""COMPUTED_VALUE"""),"REA-G2743")</f>
        <v>REA-G2743</v>
      </c>
      <c r="B1075" s="3">
        <f ca="1">IFERROR(__xludf.DUMMYFUNCTION("""COMPUTED_VALUE"""),54204)</f>
        <v>54204</v>
      </c>
      <c r="C1075" s="3">
        <f ca="1">IFERROR(__xludf.DUMMYFUNCTION("""COMPUTED_VALUE"""),5906366007415)</f>
        <v>5906366007415</v>
      </c>
      <c r="D1075" s="4" t="str">
        <f ca="1">IFERROR(__xludf.DUMMYFUNCTION("""COMPUTED_VALUE"""),"ODPŁYW NEOX PRO ZŁOTY 600")</f>
        <v>ODPŁYW NEOX PRO ZŁOTY 600</v>
      </c>
      <c r="E1075" s="31">
        <v>49.634146341463421</v>
      </c>
      <c r="F1075" s="31">
        <f t="shared" si="16"/>
        <v>61.050000000000004</v>
      </c>
    </row>
    <row r="1076" spans="1:6" ht="18.75" customHeight="1" x14ac:dyDescent="0.25">
      <c r="A1076" s="2" t="str">
        <f ca="1">IFERROR(__xludf.DUMMYFUNCTION("""COMPUTED_VALUE"""),"REA-G2742")</f>
        <v>REA-G2742</v>
      </c>
      <c r="B1076" s="3">
        <f ca="1">IFERROR(__xludf.DUMMYFUNCTION("""COMPUTED_VALUE"""),54205)</f>
        <v>54205</v>
      </c>
      <c r="C1076" s="3">
        <f ca="1">IFERROR(__xludf.DUMMYFUNCTION("""COMPUTED_VALUE"""),5906366007422)</f>
        <v>5906366007422</v>
      </c>
      <c r="D1076" s="4" t="str">
        <f ca="1">IFERROR(__xludf.DUMMYFUNCTION("""COMPUTED_VALUE"""),"ODPŁYW NEOX PRO ZŁOTY 700")</f>
        <v>ODPŁYW NEOX PRO ZŁOTY 700</v>
      </c>
      <c r="E1076" s="31">
        <v>53.243902439024396</v>
      </c>
      <c r="F1076" s="31">
        <f t="shared" si="16"/>
        <v>65.490000000000009</v>
      </c>
    </row>
    <row r="1077" spans="1:6" ht="18.75" customHeight="1" x14ac:dyDescent="0.25">
      <c r="A1077" s="2" t="str">
        <f ca="1">IFERROR(__xludf.DUMMYFUNCTION("""COMPUTED_VALUE"""),"REA-G2740")</f>
        <v>REA-G2740</v>
      </c>
      <c r="B1077" s="3">
        <f ca="1">IFERROR(__xludf.DUMMYFUNCTION("""COMPUTED_VALUE"""),54206)</f>
        <v>54206</v>
      </c>
      <c r="C1077" s="3">
        <f ca="1">IFERROR(__xludf.DUMMYFUNCTION("""COMPUTED_VALUE"""),5906366007439)</f>
        <v>5906366007439</v>
      </c>
      <c r="D1077" s="4" t="str">
        <f ca="1">IFERROR(__xludf.DUMMYFUNCTION("""COMPUTED_VALUE"""),"ODPŁYW NEOX PRO ZŁOTY 800")</f>
        <v>ODPŁYW NEOX PRO ZŁOTY 800</v>
      </c>
      <c r="E1077" s="31">
        <v>57.756097560975611</v>
      </c>
      <c r="F1077" s="31">
        <f t="shared" si="16"/>
        <v>71.040000000000006</v>
      </c>
    </row>
    <row r="1078" spans="1:6" ht="18.75" customHeight="1" x14ac:dyDescent="0.25">
      <c r="A1078" s="2" t="str">
        <f ca="1">IFERROR(__xludf.DUMMYFUNCTION("""COMPUTED_VALUE"""),"REA-G2739")</f>
        <v>REA-G2739</v>
      </c>
      <c r="B1078" s="3">
        <f ca="1">IFERROR(__xludf.DUMMYFUNCTION("""COMPUTED_VALUE"""),54208)</f>
        <v>54208</v>
      </c>
      <c r="C1078" s="3">
        <f ca="1">IFERROR(__xludf.DUMMYFUNCTION("""COMPUTED_VALUE"""),5906366007446)</f>
        <v>5906366007446</v>
      </c>
      <c r="D1078" s="4" t="str">
        <f ca="1">IFERROR(__xludf.DUMMYFUNCTION("""COMPUTED_VALUE"""),"ODPŁYW NEOX PRO ZŁOTY 900")</f>
        <v>ODPŁYW NEOX PRO ZŁOTY 900</v>
      </c>
      <c r="E1078" s="31">
        <v>61.365853658536594</v>
      </c>
      <c r="F1078" s="31">
        <f t="shared" si="16"/>
        <v>75.48</v>
      </c>
    </row>
    <row r="1079" spans="1:6" ht="18.75" customHeight="1" x14ac:dyDescent="0.25">
      <c r="A1079" s="2" t="str">
        <f ca="1">IFERROR(__xludf.DUMMYFUNCTION("""COMPUTED_VALUE"""),"REA-G2850")</f>
        <v>REA-G2850</v>
      </c>
      <c r="B1079" s="3">
        <f ca="1">IFERROR(__xludf.DUMMYFUNCTION("""COMPUTED_VALUE"""),54084)</f>
        <v>54084</v>
      </c>
      <c r="C1079" s="3">
        <f ca="1">IFERROR(__xludf.DUMMYFUNCTION("""COMPUTED_VALUE"""),5902557394555)</f>
        <v>5902557394555</v>
      </c>
      <c r="D1079" s="4" t="str">
        <f ca="1">IFERROR(__xludf.DUMMYFUNCTION("""COMPUTED_VALUE"""),"ODPŁYW NEOX PRO ZŁOTY SZCZOTKOWANY 1000")</f>
        <v>ODPŁYW NEOX PRO ZŁOTY SZCZOTKOWANY 1000</v>
      </c>
      <c r="E1079" s="31">
        <v>72.195121951219519</v>
      </c>
      <c r="F1079" s="31">
        <f t="shared" si="16"/>
        <v>88.800000000000011</v>
      </c>
    </row>
    <row r="1080" spans="1:6" ht="18.75" customHeight="1" x14ac:dyDescent="0.25">
      <c r="A1080" s="2" t="str">
        <f ca="1">IFERROR(__xludf.DUMMYFUNCTION("""COMPUTED_VALUE"""),"REA-G2701")</f>
        <v>REA-G2701</v>
      </c>
      <c r="B1080" s="3">
        <f ca="1">IFERROR(__xludf.DUMMYFUNCTION("""COMPUTED_VALUE"""),52182)</f>
        <v>52182</v>
      </c>
      <c r="C1080" s="3">
        <f ca="1">IFERROR(__xludf.DUMMYFUNCTION("""COMPUTED_VALUE"""),5902557394517)</f>
        <v>5902557394517</v>
      </c>
      <c r="D1080" s="4" t="str">
        <f ca="1">IFERROR(__xludf.DUMMYFUNCTION("""COMPUTED_VALUE"""),"ODPŁYW NEOX PRO ZŁOTY SZCZOTKOWANY 600")</f>
        <v>ODPŁYW NEOX PRO ZŁOTY SZCZOTKOWANY 600</v>
      </c>
      <c r="E1080" s="31">
        <v>59.560975609756099</v>
      </c>
      <c r="F1080" s="31">
        <f t="shared" si="16"/>
        <v>73.260000000000005</v>
      </c>
    </row>
    <row r="1081" spans="1:6" ht="18.75" customHeight="1" x14ac:dyDescent="0.25">
      <c r="A1081" s="2" t="str">
        <f ca="1">IFERROR(__xludf.DUMMYFUNCTION("""COMPUTED_VALUE"""),"REA-G2702")</f>
        <v>REA-G2702</v>
      </c>
      <c r="B1081" s="3">
        <f ca="1">IFERROR(__xludf.DUMMYFUNCTION("""COMPUTED_VALUE"""),52183)</f>
        <v>52183</v>
      </c>
      <c r="C1081" s="3">
        <f ca="1">IFERROR(__xludf.DUMMYFUNCTION("""COMPUTED_VALUE"""),5902557394524)</f>
        <v>5902557394524</v>
      </c>
      <c r="D1081" s="4" t="str">
        <f ca="1">IFERROR(__xludf.DUMMYFUNCTION("""COMPUTED_VALUE"""),"ODPŁYW NEOX PRO ZŁOTY SZCZOTKOWANY 700")</f>
        <v>ODPŁYW NEOX PRO ZŁOTY SZCZOTKOWANY 700</v>
      </c>
      <c r="E1081" s="31">
        <v>61.365853658536594</v>
      </c>
      <c r="F1081" s="31">
        <f t="shared" si="16"/>
        <v>75.48</v>
      </c>
    </row>
    <row r="1082" spans="1:6" ht="18.75" customHeight="1" x14ac:dyDescent="0.25">
      <c r="A1082" s="2" t="str">
        <f ca="1">IFERROR(__xludf.DUMMYFUNCTION("""COMPUTED_VALUE"""),"REA-G2703")</f>
        <v>REA-G2703</v>
      </c>
      <c r="B1082" s="3">
        <f ca="1">IFERROR(__xludf.DUMMYFUNCTION("""COMPUTED_VALUE"""),52184)</f>
        <v>52184</v>
      </c>
      <c r="C1082" s="3">
        <f ca="1">IFERROR(__xludf.DUMMYFUNCTION("""COMPUTED_VALUE"""),5902557394531)</f>
        <v>5902557394531</v>
      </c>
      <c r="D1082" s="4" t="str">
        <f ca="1">IFERROR(__xludf.DUMMYFUNCTION("""COMPUTED_VALUE"""),"ODPŁYW NEOX PRO ZŁOTY SZCZOTKOWANY 800")</f>
        <v>ODPŁYW NEOX PRO ZŁOTY SZCZOTKOWANY 800</v>
      </c>
      <c r="E1082" s="31">
        <v>65.878048780487816</v>
      </c>
      <c r="F1082" s="31">
        <f t="shared" si="16"/>
        <v>81.030000000000015</v>
      </c>
    </row>
    <row r="1083" spans="1:6" ht="18.75" customHeight="1" x14ac:dyDescent="0.25">
      <c r="A1083" s="2" t="str">
        <f ca="1">IFERROR(__xludf.DUMMYFUNCTION("""COMPUTED_VALUE"""),"REA-G2704")</f>
        <v>REA-G2704</v>
      </c>
      <c r="B1083" s="3">
        <f ca="1">IFERROR(__xludf.DUMMYFUNCTION("""COMPUTED_VALUE"""),52185)</f>
        <v>52185</v>
      </c>
      <c r="C1083" s="3">
        <f ca="1">IFERROR(__xludf.DUMMYFUNCTION("""COMPUTED_VALUE"""),5902557394548)</f>
        <v>5902557394548</v>
      </c>
      <c r="D1083" s="4" t="str">
        <f ca="1">IFERROR(__xludf.DUMMYFUNCTION("""COMPUTED_VALUE"""),"ODPŁYW NEOX PRO ZŁOTY SZCZOTKOWANY 900")</f>
        <v>ODPŁYW NEOX PRO ZŁOTY SZCZOTKOWANY 900</v>
      </c>
      <c r="E1083" s="31">
        <v>67.682926829268297</v>
      </c>
      <c r="F1083" s="31">
        <f t="shared" si="16"/>
        <v>83.25</v>
      </c>
    </row>
    <row r="1084" spans="1:6" ht="18.75" customHeight="1" x14ac:dyDescent="0.25">
      <c r="A1084" s="2" t="str">
        <f ca="1">IFERROR(__xludf.DUMMYFUNCTION("""COMPUTED_VALUE"""),"REA-G2712")</f>
        <v>REA-G2712</v>
      </c>
      <c r="B1084" s="3">
        <f ca="1">IFERROR(__xludf.DUMMYFUNCTION("""COMPUTED_VALUE"""),52191)</f>
        <v>52191</v>
      </c>
      <c r="C1084" s="3">
        <f ca="1">IFERROR(__xludf.DUMMYFUNCTION("""COMPUTED_VALUE"""),5902557394326)</f>
        <v>5902557394326</v>
      </c>
      <c r="D1084" s="4" t="str">
        <f ca="1">IFERROR(__xludf.DUMMYFUNCTION("""COMPUTED_VALUE"""),"ODPŁYW NEOX SLIM PRO CZARNY 1000")</f>
        <v>ODPŁYW NEOX SLIM PRO CZARNY 1000</v>
      </c>
      <c r="E1084" s="31">
        <v>55.951219512195124</v>
      </c>
      <c r="F1084" s="31">
        <f t="shared" si="16"/>
        <v>68.820000000000007</v>
      </c>
    </row>
    <row r="1085" spans="1:6" ht="18.75" customHeight="1" x14ac:dyDescent="0.25">
      <c r="A1085" s="2" t="str">
        <f ca="1">IFERROR(__xludf.DUMMYFUNCTION("""COMPUTED_VALUE"""),"REA-G2744")</f>
        <v>REA-G2744</v>
      </c>
      <c r="B1085" s="3">
        <f ca="1">IFERROR(__xludf.DUMMYFUNCTION("""COMPUTED_VALUE"""),54203)</f>
        <v>54203</v>
      </c>
      <c r="C1085" s="3">
        <f ca="1">IFERROR(__xludf.DUMMYFUNCTION("""COMPUTED_VALUE"""),5902557394371)</f>
        <v>5902557394371</v>
      </c>
      <c r="D1085" s="4" t="str">
        <f ca="1">IFERROR(__xludf.DUMMYFUNCTION("""COMPUTED_VALUE"""),"ODPŁYW NEOX SLIM PRO CZARNY 500")</f>
        <v>ODPŁYW NEOX SLIM PRO CZARNY 500</v>
      </c>
      <c r="E1085" s="31">
        <v>37.000000000000007</v>
      </c>
      <c r="F1085" s="31">
        <f t="shared" si="16"/>
        <v>45.510000000000005</v>
      </c>
    </row>
    <row r="1086" spans="1:6" ht="18.75" customHeight="1" x14ac:dyDescent="0.25">
      <c r="A1086" s="2" t="str">
        <f ca="1">IFERROR(__xludf.DUMMYFUNCTION("""COMPUTED_VALUE"""),"REA-G2700")</f>
        <v>REA-G2700</v>
      </c>
      <c r="B1086" s="3">
        <f ca="1">IFERROR(__xludf.DUMMYFUNCTION("""COMPUTED_VALUE"""),52186)</f>
        <v>52186</v>
      </c>
      <c r="C1086" s="3">
        <f ca="1">IFERROR(__xludf.DUMMYFUNCTION("""COMPUTED_VALUE"""),5902557394364)</f>
        <v>5902557394364</v>
      </c>
      <c r="D1086" s="4" t="str">
        <f ca="1">IFERROR(__xludf.DUMMYFUNCTION("""COMPUTED_VALUE"""),"ODPŁYW NEOX SLIM PRO CZARNY 600")</f>
        <v>ODPŁYW NEOX SLIM PRO CZARNY 600</v>
      </c>
      <c r="E1086" s="31">
        <v>46.926829268292686</v>
      </c>
      <c r="F1086" s="31">
        <f t="shared" si="16"/>
        <v>57.72</v>
      </c>
    </row>
    <row r="1087" spans="1:6" ht="18.75" customHeight="1" x14ac:dyDescent="0.25">
      <c r="A1087" s="2" t="str">
        <f ca="1">IFERROR(__xludf.DUMMYFUNCTION("""COMPUTED_VALUE"""),"REA-G2709")</f>
        <v>REA-G2709</v>
      </c>
      <c r="B1087" s="3">
        <f ca="1">IFERROR(__xludf.DUMMYFUNCTION("""COMPUTED_VALUE"""),52188)</f>
        <v>52188</v>
      </c>
      <c r="C1087" s="3">
        <f ca="1">IFERROR(__xludf.DUMMYFUNCTION("""COMPUTED_VALUE"""),5902557394357)</f>
        <v>5902557394357</v>
      </c>
      <c r="D1087" s="4" t="str">
        <f ca="1">IFERROR(__xludf.DUMMYFUNCTION("""COMPUTED_VALUE"""),"ODPŁYW NEOX SLIM PRO CZARNY 700")</f>
        <v>ODPŁYW NEOX SLIM PRO CZARNY 700</v>
      </c>
      <c r="E1087" s="31">
        <v>46.926829268292686</v>
      </c>
      <c r="F1087" s="31">
        <f t="shared" si="16"/>
        <v>57.72</v>
      </c>
    </row>
    <row r="1088" spans="1:6" ht="18.75" customHeight="1" x14ac:dyDescent="0.25">
      <c r="A1088" s="2" t="str">
        <f ca="1">IFERROR(__xludf.DUMMYFUNCTION("""COMPUTED_VALUE"""),"REA-G2710")</f>
        <v>REA-G2710</v>
      </c>
      <c r="B1088" s="3">
        <f ca="1">IFERROR(__xludf.DUMMYFUNCTION("""COMPUTED_VALUE"""),52189)</f>
        <v>52189</v>
      </c>
      <c r="C1088" s="3">
        <f ca="1">IFERROR(__xludf.DUMMYFUNCTION("""COMPUTED_VALUE"""),5902557394340)</f>
        <v>5902557394340</v>
      </c>
      <c r="D1088" s="4" t="str">
        <f ca="1">IFERROR(__xludf.DUMMYFUNCTION("""COMPUTED_VALUE"""),"ODPŁYW NEOX SLIM PRO CZARNY 800")</f>
        <v>ODPŁYW NEOX SLIM PRO CZARNY 800</v>
      </c>
      <c r="E1088" s="31">
        <v>50.536585365853668</v>
      </c>
      <c r="F1088" s="31">
        <f t="shared" si="16"/>
        <v>62.160000000000011</v>
      </c>
    </row>
    <row r="1089" spans="1:6" ht="18.75" customHeight="1" x14ac:dyDescent="0.25">
      <c r="A1089" s="2" t="str">
        <f ca="1">IFERROR(__xludf.DUMMYFUNCTION("""COMPUTED_VALUE"""),"REA-G2711")</f>
        <v>REA-G2711</v>
      </c>
      <c r="B1089" s="3">
        <f ca="1">IFERROR(__xludf.DUMMYFUNCTION("""COMPUTED_VALUE"""),52190)</f>
        <v>52190</v>
      </c>
      <c r="C1089" s="3">
        <f ca="1">IFERROR(__xludf.DUMMYFUNCTION("""COMPUTED_VALUE"""),5902557394333)</f>
        <v>5902557394333</v>
      </c>
      <c r="D1089" s="4" t="str">
        <f ca="1">IFERROR(__xludf.DUMMYFUNCTION("""COMPUTED_VALUE"""),"ODPŁYW NEOX SLIM PRO CZARNY 900")</f>
        <v>ODPŁYW NEOX SLIM PRO CZARNY 900</v>
      </c>
      <c r="E1089" s="31">
        <v>53.243902439024396</v>
      </c>
      <c r="F1089" s="31">
        <f t="shared" si="16"/>
        <v>65.490000000000009</v>
      </c>
    </row>
    <row r="1090" spans="1:6" ht="18.75" customHeight="1" x14ac:dyDescent="0.25">
      <c r="A1090" s="2" t="str">
        <f ca="1">IFERROR(__xludf.DUMMYFUNCTION("""COMPUTED_VALUE"""),"REA-G5803")</f>
        <v>REA-G5803</v>
      </c>
      <c r="B1090" s="3">
        <f ca="1">IFERROR(__xludf.DUMMYFUNCTION("""COMPUTED_VALUE"""),53717)</f>
        <v>53717</v>
      </c>
      <c r="C1090" s="3">
        <f ca="1">IFERROR(__xludf.DUMMYFUNCTION("""COMPUTED_VALUE"""),5906366000287)</f>
        <v>5906366000287</v>
      </c>
      <c r="D1090" s="4" t="str">
        <f ca="1">IFERROR(__xludf.DUMMYFUNCTION("""COMPUTED_VALUE"""),"ODPŁYW NEOX SLIM PRO SZCZOTKOWANY 1000")</f>
        <v>ODPŁYW NEOX SLIM PRO SZCZOTKOWANY 1000</v>
      </c>
      <c r="E1090" s="31">
        <v>53.243902439024396</v>
      </c>
      <c r="F1090" s="31">
        <f t="shared" si="16"/>
        <v>65.490000000000009</v>
      </c>
    </row>
    <row r="1091" spans="1:6" ht="18.75" customHeight="1" x14ac:dyDescent="0.25">
      <c r="A1091" s="2" t="str">
        <f ca="1">IFERROR(__xludf.DUMMYFUNCTION("""COMPUTED_VALUE"""),"REA-G5800")</f>
        <v>REA-G5800</v>
      </c>
      <c r="B1091" s="3">
        <f ca="1">IFERROR(__xludf.DUMMYFUNCTION("""COMPUTED_VALUE"""),53713)</f>
        <v>53713</v>
      </c>
      <c r="C1091" s="3">
        <f ca="1">IFERROR(__xludf.DUMMYFUNCTION("""COMPUTED_VALUE"""),5906366000232)</f>
        <v>5906366000232</v>
      </c>
      <c r="D1091" s="4" t="str">
        <f ca="1">IFERROR(__xludf.DUMMYFUNCTION("""COMPUTED_VALUE"""),"ODPŁYW NEOX SLIM PRO SZCZOTKOWANY 500")</f>
        <v>ODPŁYW NEOX SLIM PRO SZCZOTKOWANY 500</v>
      </c>
      <c r="E1091" s="31">
        <v>42.41463414634147</v>
      </c>
      <c r="F1091" s="31">
        <f t="shared" ref="F1091:F1154" si="17">E1091*1.23</f>
        <v>52.170000000000009</v>
      </c>
    </row>
    <row r="1092" spans="1:6" ht="18.75" customHeight="1" x14ac:dyDescent="0.25">
      <c r="A1092" s="2" t="str">
        <f ca="1">IFERROR(__xludf.DUMMYFUNCTION("""COMPUTED_VALUE"""),"REA-G5801")</f>
        <v>REA-G5801</v>
      </c>
      <c r="B1092" s="3">
        <f ca="1">IFERROR(__xludf.DUMMYFUNCTION("""COMPUTED_VALUE"""),53714)</f>
        <v>53714</v>
      </c>
      <c r="C1092" s="3">
        <f ca="1">IFERROR(__xludf.DUMMYFUNCTION("""COMPUTED_VALUE"""),5906366000249)</f>
        <v>5906366000249</v>
      </c>
      <c r="D1092" s="4" t="str">
        <f ca="1">IFERROR(__xludf.DUMMYFUNCTION("""COMPUTED_VALUE"""),"ODPŁYW NEOX SLIM PRO SZCZOTKOWANY 600")</f>
        <v>ODPŁYW NEOX SLIM PRO SZCZOTKOWANY 600</v>
      </c>
      <c r="E1092" s="31">
        <v>44.219512195121951</v>
      </c>
      <c r="F1092" s="31">
        <f t="shared" si="17"/>
        <v>54.39</v>
      </c>
    </row>
    <row r="1093" spans="1:6" ht="18.75" customHeight="1" x14ac:dyDescent="0.25">
      <c r="A1093" s="2" t="str">
        <f ca="1">IFERROR(__xludf.DUMMYFUNCTION("""COMPUTED_VALUE"""),"REA-G5802")</f>
        <v>REA-G5802</v>
      </c>
      <c r="B1093" s="3">
        <f ca="1">IFERROR(__xludf.DUMMYFUNCTION("""COMPUTED_VALUE"""),53715)</f>
        <v>53715</v>
      </c>
      <c r="C1093" s="3">
        <f ca="1">IFERROR(__xludf.DUMMYFUNCTION("""COMPUTED_VALUE"""),5906366000263)</f>
        <v>5906366000263</v>
      </c>
      <c r="D1093" s="4" t="str">
        <f ca="1">IFERROR(__xludf.DUMMYFUNCTION("""COMPUTED_VALUE"""),"ODPŁYW NEOX SLIM PRO SZCZOTKOWANY 800")</f>
        <v>ODPŁYW NEOX SLIM PRO SZCZOTKOWANY 800</v>
      </c>
      <c r="E1093" s="31">
        <v>48.73170731707318</v>
      </c>
      <c r="F1093" s="31">
        <f t="shared" si="17"/>
        <v>59.940000000000012</v>
      </c>
    </row>
    <row r="1094" spans="1:6" ht="18.75" customHeight="1" x14ac:dyDescent="0.25">
      <c r="A1094" s="2" t="str">
        <f ca="1">IFERROR(__xludf.DUMMYFUNCTION("""COMPUTED_VALUE"""),"REA-G5804")</f>
        <v>REA-G5804</v>
      </c>
      <c r="B1094" s="3">
        <f ca="1">IFERROR(__xludf.DUMMYFUNCTION("""COMPUTED_VALUE"""),53718)</f>
        <v>53718</v>
      </c>
      <c r="C1094" s="3">
        <f ca="1">IFERROR(__xludf.DUMMYFUNCTION("""COMPUTED_VALUE"""),5902557394432)</f>
        <v>5902557394432</v>
      </c>
      <c r="D1094" s="4" t="str">
        <f ca="1">IFERROR(__xludf.DUMMYFUNCTION("""COMPUTED_VALUE"""),"ODPŁYW NEOX SLIM PRO ZŁOTY 1000")</f>
        <v>ODPŁYW NEOX SLIM PRO ZŁOTY 1000</v>
      </c>
      <c r="E1094" s="31">
        <v>65.878048780487816</v>
      </c>
      <c r="F1094" s="31">
        <f t="shared" si="17"/>
        <v>81.030000000000015</v>
      </c>
    </row>
    <row r="1095" spans="1:6" ht="18.75" customHeight="1" x14ac:dyDescent="0.25">
      <c r="A1095" s="2" t="str">
        <f ca="1">IFERROR(__xludf.DUMMYFUNCTION("""COMPUTED_VALUE"""),"REA-G2717")</f>
        <v>REA-G2717</v>
      </c>
      <c r="B1095" s="3">
        <f ca="1">IFERROR(__xludf.DUMMYFUNCTION("""COMPUTED_VALUE"""),52202)</f>
        <v>52202</v>
      </c>
      <c r="C1095" s="3">
        <f ca="1">IFERROR(__xludf.DUMMYFUNCTION("""COMPUTED_VALUE"""),5902557394395)</f>
        <v>5902557394395</v>
      </c>
      <c r="D1095" s="4" t="str">
        <f ca="1">IFERROR(__xludf.DUMMYFUNCTION("""COMPUTED_VALUE"""),"ODPŁYW NEOX SLIM PRO ZŁOTY 600")</f>
        <v>ODPŁYW NEOX SLIM PRO ZŁOTY 600</v>
      </c>
      <c r="E1095" s="31">
        <v>49.634146341463421</v>
      </c>
      <c r="F1095" s="31">
        <f t="shared" si="17"/>
        <v>61.050000000000004</v>
      </c>
    </row>
    <row r="1096" spans="1:6" ht="18.75" customHeight="1" x14ac:dyDescent="0.25">
      <c r="A1096" s="2" t="str">
        <f ca="1">IFERROR(__xludf.DUMMYFUNCTION("""COMPUTED_VALUE"""),"REA-G2718")</f>
        <v>REA-G2718</v>
      </c>
      <c r="B1096" s="3">
        <f ca="1">IFERROR(__xludf.DUMMYFUNCTION("""COMPUTED_VALUE"""),52206)</f>
        <v>52206</v>
      </c>
      <c r="C1096" s="3">
        <f ca="1">IFERROR(__xludf.DUMMYFUNCTION("""COMPUTED_VALUE"""),5902557394401)</f>
        <v>5902557394401</v>
      </c>
      <c r="D1096" s="4" t="str">
        <f ca="1">IFERROR(__xludf.DUMMYFUNCTION("""COMPUTED_VALUE"""),"ODPŁYW NEOX SLIM PRO ZŁOTY 700")</f>
        <v>ODPŁYW NEOX SLIM PRO ZŁOTY 700</v>
      </c>
      <c r="E1096" s="31">
        <v>55.048780487804883</v>
      </c>
      <c r="F1096" s="31">
        <f t="shared" si="17"/>
        <v>67.710000000000008</v>
      </c>
    </row>
    <row r="1097" spans="1:6" ht="18.75" customHeight="1" x14ac:dyDescent="0.25">
      <c r="A1097" s="2" t="str">
        <f ca="1">IFERROR(__xludf.DUMMYFUNCTION("""COMPUTED_VALUE"""),"REA-G2719")</f>
        <v>REA-G2719</v>
      </c>
      <c r="B1097" s="3">
        <f ca="1">IFERROR(__xludf.DUMMYFUNCTION("""COMPUTED_VALUE"""),52207)</f>
        <v>52207</v>
      </c>
      <c r="C1097" s="3">
        <f ca="1">IFERROR(__xludf.DUMMYFUNCTION("""COMPUTED_VALUE"""),5902557394418)</f>
        <v>5902557394418</v>
      </c>
      <c r="D1097" s="4" t="str">
        <f ca="1">IFERROR(__xludf.DUMMYFUNCTION("""COMPUTED_VALUE"""),"ODPŁYW NEOX SLIM PRO ZŁOTY 800")</f>
        <v>ODPŁYW NEOX SLIM PRO ZŁOTY 800</v>
      </c>
      <c r="E1097" s="31">
        <v>56.853658536585371</v>
      </c>
      <c r="F1097" s="31">
        <f t="shared" si="17"/>
        <v>69.930000000000007</v>
      </c>
    </row>
    <row r="1098" spans="1:6" ht="18.75" customHeight="1" x14ac:dyDescent="0.25">
      <c r="A1098" s="2" t="str">
        <f ca="1">IFERROR(__xludf.DUMMYFUNCTION("""COMPUTED_VALUE"""),"REA-G5805")</f>
        <v>REA-G5805</v>
      </c>
      <c r="B1098" s="3">
        <f ca="1">IFERROR(__xludf.DUMMYFUNCTION("""COMPUTED_VALUE"""),53712)</f>
        <v>53712</v>
      </c>
      <c r="C1098" s="3">
        <f ca="1">IFERROR(__xludf.DUMMYFUNCTION("""COMPUTED_VALUE"""),5902557394425)</f>
        <v>5902557394425</v>
      </c>
      <c r="D1098" s="4" t="str">
        <f ca="1">IFERROR(__xludf.DUMMYFUNCTION("""COMPUTED_VALUE"""),"ODPŁYW NEOX SLIM PRO ZŁOTY 900")</f>
        <v>ODPŁYW NEOX SLIM PRO ZŁOTY 900</v>
      </c>
      <c r="E1098" s="31">
        <v>61.365853658536594</v>
      </c>
      <c r="F1098" s="31">
        <f t="shared" si="17"/>
        <v>75.48</v>
      </c>
    </row>
    <row r="1099" spans="1:6" ht="18.75" customHeight="1" x14ac:dyDescent="0.25">
      <c r="A1099" s="2" t="str">
        <f ca="1">IFERROR(__xludf.DUMMYFUNCTION("""COMPUTED_VALUE"""),"REA-G6990")</f>
        <v>REA-G6990</v>
      </c>
      <c r="B1099" s="3">
        <f ca="1">IFERROR(__xludf.DUMMYFUNCTION("""COMPUTED_VALUE"""),54085)</f>
        <v>54085</v>
      </c>
      <c r="C1099" s="3">
        <f ca="1">IFERROR(__xludf.DUMMYFUNCTION("""COMPUTED_VALUE"""),5902557394449)</f>
        <v>5902557394449</v>
      </c>
      <c r="D1099" s="4" t="str">
        <f ca="1">IFERROR(__xludf.DUMMYFUNCTION("""COMPUTED_VALUE"""),"ODPŁYW NEOX SLIM PRO ZŁOTY SZCZOTKOWANY 1000")</f>
        <v>ODPŁYW NEOX SLIM PRO ZŁOTY SZCZOTKOWANY 1000</v>
      </c>
      <c r="E1099" s="31">
        <v>64.073170731707322</v>
      </c>
      <c r="F1099" s="31">
        <f t="shared" si="17"/>
        <v>78.81</v>
      </c>
    </row>
    <row r="1100" spans="1:6" ht="18.75" customHeight="1" x14ac:dyDescent="0.25">
      <c r="A1100" s="2" t="str">
        <f ca="1">IFERROR(__xludf.DUMMYFUNCTION("""COMPUTED_VALUE"""),"REA-G2713")</f>
        <v>REA-G2713</v>
      </c>
      <c r="B1100" s="3">
        <f ca="1">IFERROR(__xludf.DUMMYFUNCTION("""COMPUTED_VALUE"""),52187)</f>
        <v>52187</v>
      </c>
      <c r="C1100" s="3">
        <f ca="1">IFERROR(__xludf.DUMMYFUNCTION("""COMPUTED_VALUE"""),5902557394487)</f>
        <v>5902557394487</v>
      </c>
      <c r="D1100" s="4" t="str">
        <f ca="1">IFERROR(__xludf.DUMMYFUNCTION("""COMPUTED_VALUE"""),"ODPŁYW NEOX SLIM PRO ZŁOTY SZCZOTKOWANY 600")</f>
        <v>ODPŁYW NEOX SLIM PRO ZŁOTY SZCZOTKOWANY 600</v>
      </c>
      <c r="E1100" s="31">
        <v>53.243902439024396</v>
      </c>
      <c r="F1100" s="31">
        <f t="shared" si="17"/>
        <v>65.490000000000009</v>
      </c>
    </row>
    <row r="1101" spans="1:6" ht="18.75" customHeight="1" x14ac:dyDescent="0.25">
      <c r="A1101" s="2" t="str">
        <f ca="1">IFERROR(__xludf.DUMMYFUNCTION("""COMPUTED_VALUE"""),"REA-G2714")</f>
        <v>REA-G2714</v>
      </c>
      <c r="B1101" s="3">
        <f ca="1">IFERROR(__xludf.DUMMYFUNCTION("""COMPUTED_VALUE"""),52193)</f>
        <v>52193</v>
      </c>
      <c r="C1101" s="3">
        <f ca="1">IFERROR(__xludf.DUMMYFUNCTION("""COMPUTED_VALUE"""),5902557394470)</f>
        <v>5902557394470</v>
      </c>
      <c r="D1101" s="4" t="str">
        <f ca="1">IFERROR(__xludf.DUMMYFUNCTION("""COMPUTED_VALUE"""),"ODPŁYW NEOX SLIM PRO ZŁOTY SZCZOTKOWANY 700")</f>
        <v>ODPŁYW NEOX SLIM PRO ZŁOTY SZCZOTKOWANY 700</v>
      </c>
      <c r="E1101" s="31">
        <v>55.951219512195124</v>
      </c>
      <c r="F1101" s="31">
        <f t="shared" si="17"/>
        <v>68.820000000000007</v>
      </c>
    </row>
    <row r="1102" spans="1:6" ht="18.75" customHeight="1" x14ac:dyDescent="0.25">
      <c r="A1102" s="2" t="str">
        <f ca="1">IFERROR(__xludf.DUMMYFUNCTION("""COMPUTED_VALUE"""),"REA-G2715")</f>
        <v>REA-G2715</v>
      </c>
      <c r="B1102" s="3">
        <f ca="1">IFERROR(__xludf.DUMMYFUNCTION("""COMPUTED_VALUE"""),52194)</f>
        <v>52194</v>
      </c>
      <c r="C1102" s="3">
        <f ca="1">IFERROR(__xludf.DUMMYFUNCTION("""COMPUTED_VALUE"""),5902557394463)</f>
        <v>5902557394463</v>
      </c>
      <c r="D1102" s="4" t="str">
        <f ca="1">IFERROR(__xludf.DUMMYFUNCTION("""COMPUTED_VALUE"""),"ODPŁYW NEOX SLIM PRO ZŁOTY SZCZOTKOWANY 800")</f>
        <v>ODPŁYW NEOX SLIM PRO ZŁOTY SZCZOTKOWANY 800</v>
      </c>
      <c r="E1102" s="31">
        <v>57.756097560975611</v>
      </c>
      <c r="F1102" s="31">
        <f t="shared" si="17"/>
        <v>71.040000000000006</v>
      </c>
    </row>
    <row r="1103" spans="1:6" ht="18.75" customHeight="1" x14ac:dyDescent="0.25">
      <c r="A1103" s="2" t="str">
        <f ca="1">IFERROR(__xludf.DUMMYFUNCTION("""COMPUTED_VALUE"""),"REA-G2716")</f>
        <v>REA-G2716</v>
      </c>
      <c r="B1103" s="3">
        <f ca="1">IFERROR(__xludf.DUMMYFUNCTION("""COMPUTED_VALUE"""),52195)</f>
        <v>52195</v>
      </c>
      <c r="C1103" s="3">
        <f ca="1">IFERROR(__xludf.DUMMYFUNCTION("""COMPUTED_VALUE"""),5902557394456)</f>
        <v>5902557394456</v>
      </c>
      <c r="D1103" s="4" t="str">
        <f ca="1">IFERROR(__xludf.DUMMYFUNCTION("""COMPUTED_VALUE"""),"ODPŁYW NEOX SLIM PRO ZŁOTY SZCZOTKOWANY 900")</f>
        <v>ODPŁYW NEOX SLIM PRO ZŁOTY SZCZOTKOWANY 900</v>
      </c>
      <c r="E1103" s="31">
        <v>59.560975609756099</v>
      </c>
      <c r="F1103" s="31">
        <f t="shared" si="17"/>
        <v>73.260000000000005</v>
      </c>
    </row>
    <row r="1104" spans="1:6" ht="18.75" customHeight="1" x14ac:dyDescent="0.25">
      <c r="A1104" s="2" t="str">
        <f ca="1">IFERROR(__xludf.DUMMYFUNCTION("""COMPUTED_VALUE"""),"REA-G7807")</f>
        <v>REA-G7807</v>
      </c>
      <c r="B1104" s="3">
        <f ca="1">IFERROR(__xludf.DUMMYFUNCTION("""COMPUTED_VALUE"""),51609)</f>
        <v>51609</v>
      </c>
      <c r="C1104" s="3">
        <f ca="1">IFERROR(__xludf.DUMMYFUNCTION("""COMPUTED_VALUE"""),5902557394654)</f>
        <v>5902557394654</v>
      </c>
      <c r="D1104" s="4" t="str">
        <f ca="1">IFERROR(__xludf.DUMMYFUNCTION("""COMPUTED_VALUE"""),"ODPŁYW NEOX SUPERFLOW  CZARNY 800")</f>
        <v>ODPŁYW NEOX SUPERFLOW  CZARNY 800</v>
      </c>
      <c r="E1104" s="31">
        <v>75.804878048780495</v>
      </c>
      <c r="F1104" s="31">
        <f t="shared" si="17"/>
        <v>93.240000000000009</v>
      </c>
    </row>
    <row r="1105" spans="1:6" ht="18.75" customHeight="1" x14ac:dyDescent="0.25">
      <c r="A1105" s="2" t="str">
        <f ca="1">IFERROR(__xludf.DUMMYFUNCTION("""COMPUTED_VALUE"""),"REA-G7805")</f>
        <v>REA-G7805</v>
      </c>
      <c r="B1105" s="3">
        <f ca="1">IFERROR(__xludf.DUMMYFUNCTION("""COMPUTED_VALUE"""),51610)</f>
        <v>51610</v>
      </c>
      <c r="C1105" s="3">
        <f ca="1">IFERROR(__xludf.DUMMYFUNCTION("""COMPUTED_VALUE"""),5902557394630)</f>
        <v>5902557394630</v>
      </c>
      <c r="D1105" s="4" t="str">
        <f ca="1">IFERROR(__xludf.DUMMYFUNCTION("""COMPUTED_VALUE"""),"ODPŁYW NEOX SUPERFLOW CZARNY 600")</f>
        <v>ODPŁYW NEOX SUPERFLOW CZARNY 600</v>
      </c>
      <c r="E1105" s="31">
        <v>55.048000000000002</v>
      </c>
      <c r="F1105" s="31">
        <f t="shared" si="17"/>
        <v>67.709040000000002</v>
      </c>
    </row>
    <row r="1106" spans="1:6" ht="18.75" customHeight="1" x14ac:dyDescent="0.25">
      <c r="A1106" s="2" t="str">
        <f ca="1">IFERROR(__xludf.DUMMYFUNCTION("""COMPUTED_VALUE"""),"REA-G7806")</f>
        <v>REA-G7806</v>
      </c>
      <c r="B1106" s="3">
        <f ca="1">IFERROR(__xludf.DUMMYFUNCTION("""COMPUTED_VALUE"""),51611)</f>
        <v>51611</v>
      </c>
      <c r="C1106" s="3">
        <f ca="1">IFERROR(__xludf.DUMMYFUNCTION("""COMPUTED_VALUE"""),5902557394647)</f>
        <v>5902557394647</v>
      </c>
      <c r="D1106" s="4" t="str">
        <f ca="1">IFERROR(__xludf.DUMMYFUNCTION("""COMPUTED_VALUE"""),"ODPŁYW NEOX SUPERFLOW CZARNY 700")</f>
        <v>ODPŁYW NEOX SUPERFLOW CZARNY 700</v>
      </c>
      <c r="E1106" s="31">
        <v>56.85</v>
      </c>
      <c r="F1106" s="31">
        <f t="shared" si="17"/>
        <v>69.9255</v>
      </c>
    </row>
    <row r="1107" spans="1:6" ht="18.75" customHeight="1" x14ac:dyDescent="0.25">
      <c r="A1107" s="2" t="str">
        <f ca="1">IFERROR(__xludf.DUMMYFUNCTION("""COMPUTED_VALUE"""),"REA-G7808")</f>
        <v>REA-G7808</v>
      </c>
      <c r="B1107" s="3">
        <f ca="1">IFERROR(__xludf.DUMMYFUNCTION("""COMPUTED_VALUE"""),51608)</f>
        <v>51608</v>
      </c>
      <c r="C1107" s="3">
        <f ca="1">IFERROR(__xludf.DUMMYFUNCTION("""COMPUTED_VALUE"""),5902557394661)</f>
        <v>5902557394661</v>
      </c>
      <c r="D1107" s="4" t="str">
        <f ca="1">IFERROR(__xludf.DUMMYFUNCTION("""COMPUTED_VALUE"""),"ODPŁYW NEOX SUPERFLOW CZARNY 900")</f>
        <v>ODPŁYW NEOX SUPERFLOW CZARNY 900</v>
      </c>
      <c r="E1107" s="31">
        <v>78.512195121951223</v>
      </c>
      <c r="F1107" s="31">
        <f t="shared" si="17"/>
        <v>96.570000000000007</v>
      </c>
    </row>
    <row r="1108" spans="1:6" ht="18.75" customHeight="1" x14ac:dyDescent="0.25">
      <c r="A1108" s="2" t="str">
        <f ca="1">IFERROR(__xludf.DUMMYFUNCTION("""COMPUTED_VALUE"""),"REA-G2705")</f>
        <v>REA-G2705</v>
      </c>
      <c r="B1108" s="3">
        <f ca="1">IFERROR(__xludf.DUMMYFUNCTION("""COMPUTED_VALUE"""),52192)</f>
        <v>52192</v>
      </c>
      <c r="C1108" s="3">
        <f ca="1">IFERROR(__xludf.DUMMYFUNCTION("""COMPUTED_VALUE"""),5902557394722)</f>
        <v>5902557394722</v>
      </c>
      <c r="D1108" s="4" t="str">
        <f ca="1">IFERROR(__xludf.DUMMYFUNCTION("""COMPUTED_VALUE"""),"ODPŁYW NEOX SUPERFLOW NIKIEL SZCZOTKOWANY 600")</f>
        <v>ODPŁYW NEOX SUPERFLOW NIKIEL SZCZOTKOWANY 600</v>
      </c>
      <c r="E1108" s="31">
        <v>50.536585365853668</v>
      </c>
      <c r="F1108" s="31">
        <f t="shared" si="17"/>
        <v>62.160000000000011</v>
      </c>
    </row>
    <row r="1109" spans="1:6" ht="18.75" customHeight="1" x14ac:dyDescent="0.25">
      <c r="A1109" s="2" t="str">
        <f ca="1">IFERROR(__xludf.DUMMYFUNCTION("""COMPUTED_VALUE"""),"REA-G2706")</f>
        <v>REA-G2706</v>
      </c>
      <c r="B1109" s="3">
        <f ca="1">IFERROR(__xludf.DUMMYFUNCTION("""COMPUTED_VALUE"""),52196)</f>
        <v>52196</v>
      </c>
      <c r="C1109" s="3">
        <f ca="1">IFERROR(__xludf.DUMMYFUNCTION("""COMPUTED_VALUE"""),5902557394715)</f>
        <v>5902557394715</v>
      </c>
      <c r="D1109" s="4" t="str">
        <f ca="1">IFERROR(__xludf.DUMMYFUNCTION("""COMPUTED_VALUE"""),"ODPŁYW NEOX SUPERFLOW NIKIEL SZCZOTKOWANY 700")</f>
        <v>ODPŁYW NEOX SUPERFLOW NIKIEL SZCZOTKOWANY 700</v>
      </c>
      <c r="E1109" s="31">
        <v>53.243902439024396</v>
      </c>
      <c r="F1109" s="31">
        <f t="shared" si="17"/>
        <v>65.490000000000009</v>
      </c>
    </row>
    <row r="1110" spans="1:6" ht="18.75" customHeight="1" x14ac:dyDescent="0.25">
      <c r="A1110" s="2" t="str">
        <f ca="1">IFERROR(__xludf.DUMMYFUNCTION("""COMPUTED_VALUE"""),"REA-G2707")</f>
        <v>REA-G2707</v>
      </c>
      <c r="B1110" s="3">
        <f ca="1">IFERROR(__xludf.DUMMYFUNCTION("""COMPUTED_VALUE"""),52197)</f>
        <v>52197</v>
      </c>
      <c r="C1110" s="3">
        <f ca="1">IFERROR(__xludf.DUMMYFUNCTION("""COMPUTED_VALUE"""),5902557394708)</f>
        <v>5902557394708</v>
      </c>
      <c r="D1110" s="4" t="str">
        <f ca="1">IFERROR(__xludf.DUMMYFUNCTION("""COMPUTED_VALUE"""),"ODPŁYW NEOX SUPERFLOW NIKIEL SZCZOTKOWANY 800")</f>
        <v>ODPŁYW NEOX SUPERFLOW NIKIEL SZCZOTKOWANY 800</v>
      </c>
      <c r="E1110" s="31">
        <v>56.853658536585371</v>
      </c>
      <c r="F1110" s="31">
        <f t="shared" si="17"/>
        <v>69.930000000000007</v>
      </c>
    </row>
    <row r="1111" spans="1:6" ht="18.75" customHeight="1" x14ac:dyDescent="0.25">
      <c r="A1111" s="2" t="str">
        <f ca="1">IFERROR(__xludf.DUMMYFUNCTION("""COMPUTED_VALUE"""),"REA-G2708")</f>
        <v>REA-G2708</v>
      </c>
      <c r="B1111" s="3">
        <f ca="1">IFERROR(__xludf.DUMMYFUNCTION("""COMPUTED_VALUE"""),52198)</f>
        <v>52198</v>
      </c>
      <c r="C1111" s="3">
        <f ca="1">IFERROR(__xludf.DUMMYFUNCTION("""COMPUTED_VALUE"""),5902557394692)</f>
        <v>5902557394692</v>
      </c>
      <c r="D1111" s="4" t="str">
        <f ca="1">IFERROR(__xludf.DUMMYFUNCTION("""COMPUTED_VALUE"""),"ODPŁYW NEOX SUPERFLOW NIKIEL SZCZOTKOWANY 900")</f>
        <v>ODPŁYW NEOX SUPERFLOW NIKIEL SZCZOTKOWANY 900</v>
      </c>
      <c r="E1111" s="31">
        <v>59.560975609756099</v>
      </c>
      <c r="F1111" s="31">
        <f t="shared" si="17"/>
        <v>73.260000000000005</v>
      </c>
    </row>
    <row r="1112" spans="1:6" ht="18.75" customHeight="1" x14ac:dyDescent="0.25">
      <c r="A1112" s="2" t="str">
        <f ca="1">IFERROR(__xludf.DUMMYFUNCTION("""COMPUTED_VALUE"""),"REA-G2505")</f>
        <v>REA-G2505</v>
      </c>
      <c r="B1112" s="3">
        <f ca="1">IFERROR(__xludf.DUMMYFUNCTION("""COMPUTED_VALUE"""),53385)</f>
        <v>53385</v>
      </c>
      <c r="C1112" s="3">
        <f ca="1">IFERROR(__xludf.DUMMYFUNCTION("""COMPUTED_VALUE"""),5906366000386)</f>
        <v>5906366000386</v>
      </c>
      <c r="D1112" s="4" t="str">
        <f ca="1">IFERROR(__xludf.DUMMYFUNCTION("""COMPUTED_VALUE"""),"ODPŁYW NEOX SZCZOTKOWANY 1000")</f>
        <v>ODPŁYW NEOX SZCZOTKOWANY 1000</v>
      </c>
      <c r="E1112" s="31">
        <v>53.243902439024396</v>
      </c>
      <c r="F1112" s="31">
        <f t="shared" si="17"/>
        <v>65.490000000000009</v>
      </c>
    </row>
    <row r="1113" spans="1:6" ht="18.75" customHeight="1" x14ac:dyDescent="0.25">
      <c r="A1113" s="2" t="str">
        <f ca="1">IFERROR(__xludf.DUMMYFUNCTION("""COMPUTED_VALUE"""),"REA-G2500")</f>
        <v>REA-G2500</v>
      </c>
      <c r="B1113" s="3">
        <f ca="1">IFERROR(__xludf.DUMMYFUNCTION("""COMPUTED_VALUE"""),53380)</f>
        <v>53380</v>
      </c>
      <c r="C1113" s="3">
        <f ca="1">IFERROR(__xludf.DUMMYFUNCTION("""COMPUTED_VALUE"""),5906366000218)</f>
        <v>5906366000218</v>
      </c>
      <c r="D1113" s="4" t="str">
        <f ca="1">IFERROR(__xludf.DUMMYFUNCTION("""COMPUTED_VALUE"""),"ODPŁYW NEOX SZCZOTKOWANY 500")</f>
        <v>ODPŁYW NEOX SZCZOTKOWANY 500</v>
      </c>
      <c r="E1113" s="31">
        <v>39.707317073170735</v>
      </c>
      <c r="F1113" s="31">
        <f t="shared" si="17"/>
        <v>48.84</v>
      </c>
    </row>
    <row r="1114" spans="1:6" ht="18.75" customHeight="1" x14ac:dyDescent="0.25">
      <c r="A1114" s="2" t="str">
        <f ca="1">IFERROR(__xludf.DUMMYFUNCTION("""COMPUTED_VALUE"""),"REA-G2501")</f>
        <v>REA-G2501</v>
      </c>
      <c r="B1114" s="3">
        <f ca="1">IFERROR(__xludf.DUMMYFUNCTION("""COMPUTED_VALUE"""),53381)</f>
        <v>53381</v>
      </c>
      <c r="C1114" s="3">
        <f ca="1">IFERROR(__xludf.DUMMYFUNCTION("""COMPUTED_VALUE"""),5906366000348)</f>
        <v>5906366000348</v>
      </c>
      <c r="D1114" s="4" t="str">
        <f ca="1">IFERROR(__xludf.DUMMYFUNCTION("""COMPUTED_VALUE"""),"ODPŁYW NEOX SZCZOTKOWANY 600")</f>
        <v>ODPŁYW NEOX SZCZOTKOWANY 600</v>
      </c>
      <c r="E1114" s="31">
        <v>42.41463414634147</v>
      </c>
      <c r="F1114" s="31">
        <f t="shared" si="17"/>
        <v>52.170000000000009</v>
      </c>
    </row>
    <row r="1115" spans="1:6" ht="18.75" customHeight="1" x14ac:dyDescent="0.25">
      <c r="A1115" s="2" t="str">
        <f ca="1">IFERROR(__xludf.DUMMYFUNCTION("""COMPUTED_VALUE"""),"REA-G2502")</f>
        <v>REA-G2502</v>
      </c>
      <c r="B1115" s="3">
        <f ca="1">IFERROR(__xludf.DUMMYFUNCTION("""COMPUTED_VALUE"""),53382)</f>
        <v>53382</v>
      </c>
      <c r="C1115" s="3">
        <f ca="1">IFERROR(__xludf.DUMMYFUNCTION("""COMPUTED_VALUE"""),5906366000355)</f>
        <v>5906366000355</v>
      </c>
      <c r="D1115" s="4" t="str">
        <f ca="1">IFERROR(__xludf.DUMMYFUNCTION("""COMPUTED_VALUE"""),"ODPŁYW NEOX SZCZOTKOWANY 700")</f>
        <v>ODPŁYW NEOX SZCZOTKOWANY 700</v>
      </c>
      <c r="E1115" s="31">
        <v>44.219512195121951</v>
      </c>
      <c r="F1115" s="31">
        <f t="shared" si="17"/>
        <v>54.39</v>
      </c>
    </row>
    <row r="1116" spans="1:6" ht="18.75" customHeight="1" x14ac:dyDescent="0.25">
      <c r="A1116" s="2" t="str">
        <f ca="1">IFERROR(__xludf.DUMMYFUNCTION("""COMPUTED_VALUE"""),"REA-G2503")</f>
        <v>REA-G2503</v>
      </c>
      <c r="B1116" s="3">
        <f ca="1">IFERROR(__xludf.DUMMYFUNCTION("""COMPUTED_VALUE"""),53383)</f>
        <v>53383</v>
      </c>
      <c r="C1116" s="3">
        <f ca="1">IFERROR(__xludf.DUMMYFUNCTION("""COMPUTED_VALUE"""),5906366000362)</f>
        <v>5906366000362</v>
      </c>
      <c r="D1116" s="4" t="str">
        <f ca="1">IFERROR(__xludf.DUMMYFUNCTION("""COMPUTED_VALUE"""),"ODPŁYW NEOX SZCZOTKOWANY 800")</f>
        <v>ODPŁYW NEOX SZCZOTKOWANY 800</v>
      </c>
      <c r="E1116" s="31">
        <v>46.926829268292686</v>
      </c>
      <c r="F1116" s="31">
        <f t="shared" si="17"/>
        <v>57.72</v>
      </c>
    </row>
    <row r="1117" spans="1:6" ht="18.75" customHeight="1" x14ac:dyDescent="0.25">
      <c r="A1117" s="2" t="str">
        <f ca="1">IFERROR(__xludf.DUMMYFUNCTION("""COMPUTED_VALUE"""),"REA-G2504")</f>
        <v>REA-G2504</v>
      </c>
      <c r="B1117" s="3">
        <f ca="1">IFERROR(__xludf.DUMMYFUNCTION("""COMPUTED_VALUE"""),53384)</f>
        <v>53384</v>
      </c>
      <c r="C1117" s="3">
        <f ca="1">IFERROR(__xludf.DUMMYFUNCTION("""COMPUTED_VALUE"""),5906366000379)</f>
        <v>5906366000379</v>
      </c>
      <c r="D1117" s="4" t="str">
        <f ca="1">IFERROR(__xludf.DUMMYFUNCTION("""COMPUTED_VALUE"""),"ODPŁYW NEOX SZCZOTKOWANY 900")</f>
        <v>ODPŁYW NEOX SZCZOTKOWANY 900</v>
      </c>
      <c r="E1117" s="31">
        <v>48.73170731707318</v>
      </c>
      <c r="F1117" s="31">
        <f t="shared" si="17"/>
        <v>59.940000000000012</v>
      </c>
    </row>
    <row r="1118" spans="1:6" ht="18.75" customHeight="1" x14ac:dyDescent="0.25">
      <c r="A1118" s="2" t="str">
        <f ca="1">IFERROR(__xludf.DUMMYFUNCTION("""COMPUTED_VALUE"""),"REA-G0119")</f>
        <v>REA-G0119</v>
      </c>
      <c r="B1118" s="3">
        <f ca="1">IFERROR(__xludf.DUMMYFUNCTION("""COMPUTED_VALUE"""),45772)</f>
        <v>45772</v>
      </c>
      <c r="C1118" s="3">
        <f ca="1">IFERROR(__xludf.DUMMYFUNCTION("""COMPUTED_VALUE"""),5902557301133)</f>
        <v>5902557301133</v>
      </c>
      <c r="D1118" s="4" t="str">
        <f ca="1">IFERROR(__xludf.DUMMYFUNCTION("""COMPUTED_VALUE"""),"ODPŁYW WAVE N SZCZOTKOWANY 900")</f>
        <v>ODPŁYW WAVE N SZCZOTKOWANY 900</v>
      </c>
      <c r="E1118" s="31">
        <v>55.951219512195124</v>
      </c>
      <c r="F1118" s="31">
        <f t="shared" si="17"/>
        <v>68.820000000000007</v>
      </c>
    </row>
    <row r="1119" spans="1:6" ht="18.75" customHeight="1" x14ac:dyDescent="0.25">
      <c r="A1119" s="2" t="str">
        <f ca="1">IFERROR(__xludf.DUMMYFUNCTION("""COMPUTED_VALUE"""),"REA-G0409")</f>
        <v>REA-G0409</v>
      </c>
      <c r="B1119" s="3">
        <f ca="1">IFERROR(__xludf.DUMMYFUNCTION("""COMPUTED_VALUE"""),45773)</f>
        <v>45773</v>
      </c>
      <c r="C1119" s="3">
        <f ca="1">IFERROR(__xludf.DUMMYFUNCTION("""COMPUTED_VALUE"""),5902557301126)</f>
        <v>5902557301126</v>
      </c>
      <c r="D1119" s="4" t="str">
        <f ca="1">IFERROR(__xludf.DUMMYFUNCTION("""COMPUTED_VALUE"""),"ODPŁYW WAVE-1000 N SZCZOTKOWANY")</f>
        <v>ODPŁYW WAVE-1000 N SZCZOTKOWANY</v>
      </c>
      <c r="E1119" s="31">
        <v>61.365853658536594</v>
      </c>
      <c r="F1119" s="31">
        <f t="shared" si="17"/>
        <v>75.48</v>
      </c>
    </row>
    <row r="1120" spans="1:6" ht="18.75" customHeight="1" x14ac:dyDescent="0.25">
      <c r="A1120" s="2" t="str">
        <f ca="1">IFERROR(__xludf.DUMMYFUNCTION("""COMPUTED_VALUE"""),"REA-W0300")</f>
        <v>REA-W0300</v>
      </c>
      <c r="B1120" s="3">
        <f ca="1">IFERROR(__xludf.DUMMYFUNCTION("""COMPUTED_VALUE"""),7338)</f>
        <v>7338</v>
      </c>
      <c r="C1120" s="3">
        <f ca="1">IFERROR(__xludf.DUMMYFUNCTION("""COMPUTED_VALUE"""),5902557308569)</f>
        <v>5902557308569</v>
      </c>
      <c r="D1120" s="4" t="str">
        <f ca="1">IFERROR(__xludf.DUMMYFUNCTION("""COMPUTED_VALUE"""),"PARAWAN WANNOWY AGAT CHROM 100")</f>
        <v>PARAWAN WANNOWY AGAT CHROM 100</v>
      </c>
      <c r="E1120" s="31">
        <v>127.24390243902441</v>
      </c>
      <c r="F1120" s="31">
        <f t="shared" si="17"/>
        <v>156.51000000000002</v>
      </c>
    </row>
    <row r="1121" spans="1:6" ht="18.75" customHeight="1" x14ac:dyDescent="0.25">
      <c r="A1121" s="2" t="str">
        <f ca="1">IFERROR(__xludf.DUMMYFUNCTION("""COMPUTED_VALUE"""),"REA-W0301")</f>
        <v>REA-W0301</v>
      </c>
      <c r="B1121" s="3">
        <f ca="1">IFERROR(__xludf.DUMMYFUNCTION("""COMPUTED_VALUE"""),7334)</f>
        <v>7334</v>
      </c>
      <c r="C1121" s="3">
        <f ca="1">IFERROR(__xludf.DUMMYFUNCTION("""COMPUTED_VALUE"""),5902557313273)</f>
        <v>5902557313273</v>
      </c>
      <c r="D1121" s="4" t="str">
        <f ca="1">IFERROR(__xludf.DUMMYFUNCTION("""COMPUTED_VALUE"""),"PARAWAN WANNOWY AGAT CHROM 120")</f>
        <v>PARAWAN WANNOWY AGAT CHROM 120</v>
      </c>
      <c r="E1121" s="31">
        <v>148.00000000000003</v>
      </c>
      <c r="F1121" s="31">
        <f t="shared" si="17"/>
        <v>182.04000000000002</v>
      </c>
    </row>
    <row r="1122" spans="1:6" ht="18.75" customHeight="1" x14ac:dyDescent="0.25">
      <c r="A1122" s="2" t="str">
        <f ca="1">IFERROR(__xludf.DUMMYFUNCTION("""COMPUTED_VALUE"""),"REA-W0700")</f>
        <v>REA-W0700</v>
      </c>
      <c r="B1122" s="3">
        <f ca="1">IFERROR(__xludf.DUMMYFUNCTION("""COMPUTED_VALUE"""),7336)</f>
        <v>7336</v>
      </c>
      <c r="C1122" s="3">
        <f ca="1">IFERROR(__xludf.DUMMYFUNCTION("""COMPUTED_VALUE"""),5902557313365)</f>
        <v>5902557313365</v>
      </c>
      <c r="D1122" s="4" t="str">
        <f ca="1">IFERROR(__xludf.DUMMYFUNCTION("""COMPUTED_VALUE"""),"PARAWAN WANNOWY AGAT CHROM 80")</f>
        <v>PARAWAN WANNOWY AGAT CHROM 80</v>
      </c>
      <c r="E1122" s="31">
        <v>124.53658536585368</v>
      </c>
      <c r="F1122" s="31">
        <f t="shared" si="17"/>
        <v>153.18000000000004</v>
      </c>
    </row>
    <row r="1123" spans="1:6" ht="18.75" customHeight="1" x14ac:dyDescent="0.25">
      <c r="A1123" s="2" t="str">
        <f ca="1">IFERROR(__xludf.DUMMYFUNCTION("""COMPUTED_VALUE"""),"REA-K9777")</f>
        <v>REA-K9777</v>
      </c>
      <c r="B1123" s="3">
        <f ca="1">IFERROR(__xludf.DUMMYFUNCTION("""COMPUTED_VALUE"""),52856)</f>
        <v>52856</v>
      </c>
      <c r="C1123" s="3">
        <f ca="1">IFERROR(__xludf.DUMMYFUNCTION("""COMPUTED_VALUE"""),5902557398812)</f>
        <v>5902557398812</v>
      </c>
      <c r="D1123" s="4" t="str">
        <f ca="1">IFERROR(__xludf.DUMMYFUNCTION("""COMPUTED_VALUE"""),"PARAWAN WANNOWY AGAT GOLD BRUSH 100")</f>
        <v>PARAWAN WANNOWY AGAT GOLD BRUSH 100</v>
      </c>
      <c r="E1123" s="31">
        <v>141.6829268292683</v>
      </c>
      <c r="F1123" s="31">
        <f t="shared" si="17"/>
        <v>174.27</v>
      </c>
    </row>
    <row r="1124" spans="1:6" ht="18.75" customHeight="1" x14ac:dyDescent="0.25">
      <c r="A1124" s="2" t="str">
        <f ca="1">IFERROR(__xludf.DUMMYFUNCTION("""COMPUTED_VALUE"""),"REA-W2501")</f>
        <v>REA-W2501</v>
      </c>
      <c r="B1124" s="3">
        <f ca="1">IFERROR(__xludf.DUMMYFUNCTION("""COMPUTED_VALUE"""),53355)</f>
        <v>53355</v>
      </c>
      <c r="C1124" s="3">
        <f ca="1">IFERROR(__xludf.DUMMYFUNCTION("""COMPUTED_VALUE"""),5902557398836)</f>
        <v>5902557398836</v>
      </c>
      <c r="D1124" s="4" t="str">
        <f ca="1">IFERROR(__xludf.DUMMYFUNCTION("""COMPUTED_VALUE"""),"PARAWAN WANNOWY AGAT GOLD BRUSH 120")</f>
        <v>PARAWAN WANNOWY AGAT GOLD BRUSH 120</v>
      </c>
      <c r="E1124" s="31">
        <v>169.65853658536588</v>
      </c>
      <c r="F1124" s="31">
        <f t="shared" si="17"/>
        <v>208.68000000000004</v>
      </c>
    </row>
    <row r="1125" spans="1:6" ht="18.75" customHeight="1" x14ac:dyDescent="0.25">
      <c r="A1125" s="2" t="str">
        <f ca="1">IFERROR(__xludf.DUMMYFUNCTION("""COMPUTED_VALUE"""),"REA-W2500")</f>
        <v>REA-W2500</v>
      </c>
      <c r="B1125" s="3">
        <f ca="1">IFERROR(__xludf.DUMMYFUNCTION("""COMPUTED_VALUE"""),53354)</f>
        <v>53354</v>
      </c>
      <c r="C1125" s="3">
        <f ca="1">IFERROR(__xludf.DUMMYFUNCTION("""COMPUTED_VALUE"""),5902557398829)</f>
        <v>5902557398829</v>
      </c>
      <c r="D1125" s="4" t="str">
        <f ca="1">IFERROR(__xludf.DUMMYFUNCTION("""COMPUTED_VALUE"""),"PARAWAN WANNOWY AGAT GOLD BRUSH 80")</f>
        <v>PARAWAN WANNOWY AGAT GOLD BRUSH 80</v>
      </c>
      <c r="E1125" s="31">
        <v>144.39024390243904</v>
      </c>
      <c r="F1125" s="31">
        <f t="shared" si="17"/>
        <v>177.60000000000002</v>
      </c>
    </row>
    <row r="1126" spans="1:6" ht="18.75" customHeight="1" x14ac:dyDescent="0.25">
      <c r="A1126" s="2" t="str">
        <f ca="1">IFERROR(__xludf.DUMMYFUNCTION("""COMPUTED_VALUE"""),"REA-W5600")</f>
        <v>REA-W5600</v>
      </c>
      <c r="B1126" s="3">
        <f ca="1">IFERROR(__xludf.DUMMYFUNCTION("""COMPUTED_VALUE"""),39639)</f>
        <v>39639</v>
      </c>
      <c r="C1126" s="3">
        <f ca="1">IFERROR(__xludf.DUMMYFUNCTION("""COMPUTED_VALUE"""),5902557355860)</f>
        <v>5902557355860</v>
      </c>
      <c r="D1126" s="4" t="str">
        <f ca="1">IFERROR(__xludf.DUMMYFUNCTION("""COMPUTED_VALUE"""),"PARAWAN WANNOWY ELEGANT GOLD 70")</f>
        <v>PARAWAN WANNOWY ELEGANT GOLD 70</v>
      </c>
      <c r="E1126" s="31">
        <v>101.97560975609757</v>
      </c>
      <c r="F1126" s="31">
        <f t="shared" si="17"/>
        <v>125.43</v>
      </c>
    </row>
    <row r="1127" spans="1:6" ht="18.75" customHeight="1" x14ac:dyDescent="0.25">
      <c r="A1127" s="2" t="str">
        <f ca="1">IFERROR(__xludf.DUMMYFUNCTION("""COMPUTED_VALUE"""),"REA-W5601")</f>
        <v>REA-W5601</v>
      </c>
      <c r="B1127" s="3">
        <f ca="1">IFERROR(__xludf.DUMMYFUNCTION("""COMPUTED_VALUE"""),39638)</f>
        <v>39638</v>
      </c>
      <c r="C1127" s="3">
        <f ca="1">IFERROR(__xludf.DUMMYFUNCTION("""COMPUTED_VALUE"""),5902557355877)</f>
        <v>5902557355877</v>
      </c>
      <c r="D1127" s="4" t="str">
        <f ca="1">IFERROR(__xludf.DUMMYFUNCTION("""COMPUTED_VALUE"""),"PARAWAN WANNOWY ELEGANT GOLD 80")</f>
        <v>PARAWAN WANNOWY ELEGANT GOLD 80</v>
      </c>
      <c r="E1127" s="31">
        <v>105.58536585365854</v>
      </c>
      <c r="F1127" s="31">
        <f t="shared" si="17"/>
        <v>129.87</v>
      </c>
    </row>
    <row r="1128" spans="1:6" ht="18.75" customHeight="1" x14ac:dyDescent="0.25">
      <c r="A1128" s="2" t="str">
        <f ca="1">IFERROR(__xludf.DUMMYFUNCTION("""COMPUTED_VALUE"""),"REA-W6600")</f>
        <v>REA-W6600</v>
      </c>
      <c r="B1128" s="3">
        <f ca="1">IFERROR(__xludf.DUMMYFUNCTION("""COMPUTED_VALUE"""),50135)</f>
        <v>50135</v>
      </c>
      <c r="C1128" s="3">
        <f ca="1">IFERROR(__xludf.DUMMYFUNCTION("""COMPUTED_VALUE"""),5902557385249)</f>
        <v>5902557385249</v>
      </c>
      <c r="D1128" s="4" t="str">
        <f ca="1">IFERROR(__xludf.DUMMYFUNCTION("""COMPUTED_VALUE"""),"PARAWAN WANNOWY ELEGANT GOLD BRUSH 70")</f>
        <v>PARAWAN WANNOWY ELEGANT GOLD BRUSH 70</v>
      </c>
      <c r="E1128" s="31">
        <v>103.78048780487806</v>
      </c>
      <c r="F1128" s="31">
        <f t="shared" si="17"/>
        <v>127.65000000000002</v>
      </c>
    </row>
    <row r="1129" spans="1:6" ht="18.75" customHeight="1" x14ac:dyDescent="0.25">
      <c r="A1129" s="2" t="str">
        <f ca="1">IFERROR(__xludf.DUMMYFUNCTION("""COMPUTED_VALUE"""),"REA-W6601")</f>
        <v>REA-W6601</v>
      </c>
      <c r="B1129" s="3">
        <f ca="1">IFERROR(__xludf.DUMMYFUNCTION("""COMPUTED_VALUE"""),50130)</f>
        <v>50130</v>
      </c>
      <c r="C1129" s="3">
        <f ca="1">IFERROR(__xludf.DUMMYFUNCTION("""COMPUTED_VALUE"""),5902557385256)</f>
        <v>5902557385256</v>
      </c>
      <c r="D1129" s="4" t="str">
        <f ca="1">IFERROR(__xludf.DUMMYFUNCTION("""COMPUTED_VALUE"""),"PARAWAN WANNOWY ELEGANT GOLD BRUSH 80")</f>
        <v>PARAWAN WANNOWY ELEGANT GOLD BRUSH 80</v>
      </c>
      <c r="E1129" s="31">
        <v>108.29268292682929</v>
      </c>
      <c r="F1129" s="31">
        <f t="shared" si="17"/>
        <v>133.20000000000002</v>
      </c>
    </row>
    <row r="1130" spans="1:6" ht="18.75" customHeight="1" x14ac:dyDescent="0.25">
      <c r="A1130" s="2" t="str">
        <f ca="1">IFERROR(__xludf.DUMMYFUNCTION("""COMPUTED_VALUE"""),"REA-K6526")</f>
        <v>REA-K6526</v>
      </c>
      <c r="B1130" s="3">
        <f ca="1">IFERROR(__xludf.DUMMYFUNCTION("""COMPUTED_VALUE"""),51022)</f>
        <v>51022</v>
      </c>
      <c r="C1130" s="3">
        <f ca="1">IFERROR(__xludf.DUMMYFUNCTION("""COMPUTED_VALUE"""),5902557392827)</f>
        <v>5902557392827</v>
      </c>
      <c r="D1130" s="4" t="str">
        <f ca="1">IFERROR(__xludf.DUMMYFUNCTION("""COMPUTED_VALUE"""),"PARAWAN WANNOWY FABIAN GOLD 100")</f>
        <v>PARAWAN WANNOWY FABIAN GOLD 100</v>
      </c>
      <c r="E1130" s="31">
        <v>177.78048780487805</v>
      </c>
      <c r="F1130" s="31">
        <f t="shared" si="17"/>
        <v>218.67</v>
      </c>
    </row>
    <row r="1131" spans="1:6" ht="18.75" customHeight="1" x14ac:dyDescent="0.25">
      <c r="A1131" s="2" t="str">
        <f ca="1">IFERROR(__xludf.DUMMYFUNCTION("""COMPUTED_VALUE"""),"REA-K6527")</f>
        <v>REA-K6527</v>
      </c>
      <c r="B1131" s="3">
        <f ca="1">IFERROR(__xludf.DUMMYFUNCTION("""COMPUTED_VALUE"""),51018)</f>
        <v>51018</v>
      </c>
      <c r="C1131" s="3">
        <f ca="1">IFERROR(__xludf.DUMMYFUNCTION("""COMPUTED_VALUE"""),5902557392834)</f>
        <v>5902557392834</v>
      </c>
      <c r="D1131" s="4" t="str">
        <f ca="1">IFERROR(__xludf.DUMMYFUNCTION("""COMPUTED_VALUE"""),"PARAWAN WANNOWY FABIAN GOLD BRUSH 100")</f>
        <v>PARAWAN WANNOWY FABIAN GOLD BRUSH 100</v>
      </c>
      <c r="E1131" s="31">
        <v>175.07317073170734</v>
      </c>
      <c r="F1131" s="31">
        <f t="shared" si="17"/>
        <v>215.34000000000003</v>
      </c>
    </row>
    <row r="1132" spans="1:6" ht="18.75" customHeight="1" x14ac:dyDescent="0.25">
      <c r="A1132" s="2" t="str">
        <f ca="1">IFERROR(__xludf.DUMMYFUNCTION("""COMPUTED_VALUE"""),"REA-W0850")</f>
        <v>REA-W0850</v>
      </c>
      <c r="B1132" s="3">
        <f ca="1">IFERROR(__xludf.DUMMYFUNCTION("""COMPUTED_VALUE"""),29621)</f>
        <v>29621</v>
      </c>
      <c r="C1132" s="3">
        <f ca="1">IFERROR(__xludf.DUMMYFUNCTION("""COMPUTED_VALUE"""),5902557340620)</f>
        <v>5902557340620</v>
      </c>
      <c r="D1132" s="4" t="str">
        <f ca="1">IFERROR(__xludf.DUMMYFUNCTION("""COMPUTED_VALUE"""),"PARAWAN WANNOWY IDEA CHROM 120")</f>
        <v>PARAWAN WANNOWY IDEA CHROM 120</v>
      </c>
      <c r="E1132" s="31">
        <v>165.14634146341464</v>
      </c>
      <c r="F1132" s="31">
        <f t="shared" si="17"/>
        <v>203.13</v>
      </c>
    </row>
    <row r="1133" spans="1:6" ht="18.75" customHeight="1" x14ac:dyDescent="0.25">
      <c r="A1133" s="2" t="str">
        <f ca="1">IFERROR(__xludf.DUMMYFUNCTION("""COMPUTED_VALUE"""),"REA-K7689")</f>
        <v>REA-K7689</v>
      </c>
      <c r="B1133" s="3">
        <f ca="1">IFERROR(__xludf.DUMMYFUNCTION("""COMPUTED_VALUE"""),36581)</f>
        <v>36581</v>
      </c>
      <c r="C1133" s="3">
        <f ca="1">IFERROR(__xludf.DUMMYFUNCTION("""COMPUTED_VALUE"""),5902557345182)</f>
        <v>5902557345182</v>
      </c>
      <c r="D1133" s="4" t="str">
        <f ca="1">IFERROR(__xludf.DUMMYFUNCTION("""COMPUTED_VALUE"""),"PARAWAN WANNOWY LAGOS FIX STAŁY BLACK 70")</f>
        <v>PARAWAN WANNOWY LAGOS FIX STAŁY BLACK 70</v>
      </c>
      <c r="E1133" s="31">
        <v>70.390243902439025</v>
      </c>
      <c r="F1133" s="31">
        <f t="shared" si="17"/>
        <v>86.58</v>
      </c>
    </row>
    <row r="1134" spans="1:6" ht="18.75" customHeight="1" x14ac:dyDescent="0.25">
      <c r="A1134" s="2" t="str">
        <f ca="1">IFERROR(__xludf.DUMMYFUNCTION("""COMPUTED_VALUE"""),"REA-K7390")</f>
        <v>REA-K7390</v>
      </c>
      <c r="B1134" s="3">
        <f ca="1">IFERROR(__xludf.DUMMYFUNCTION("""COMPUTED_VALUE"""),36584)</f>
        <v>36584</v>
      </c>
      <c r="C1134" s="3">
        <f ca="1">IFERROR(__xludf.DUMMYFUNCTION("""COMPUTED_VALUE"""),5902557345205)</f>
        <v>5902557345205</v>
      </c>
      <c r="D1134" s="4" t="str">
        <f ca="1">IFERROR(__xludf.DUMMYFUNCTION("""COMPUTED_VALUE"""),"PARAWAN WANNOWY LAGOS FIX STAŁY BLACK 80")</f>
        <v>PARAWAN WANNOWY LAGOS FIX STAŁY BLACK 80</v>
      </c>
      <c r="E1134" s="31">
        <v>83.024390243902445</v>
      </c>
      <c r="F1134" s="31">
        <f t="shared" si="17"/>
        <v>102.12</v>
      </c>
    </row>
    <row r="1135" spans="1:6" ht="18.75" customHeight="1" x14ac:dyDescent="0.25">
      <c r="A1135" s="2" t="str">
        <f ca="1">IFERROR(__xludf.DUMMYFUNCTION("""COMPUTED_VALUE"""),"REA-W5674")</f>
        <v>REA-W5674</v>
      </c>
      <c r="B1135" s="3">
        <f ca="1">IFERROR(__xludf.DUMMYFUNCTION("""COMPUTED_VALUE"""),53775)</f>
        <v>53775</v>
      </c>
      <c r="C1135" s="3">
        <f ca="1">IFERROR(__xludf.DUMMYFUNCTION("""COMPUTED_VALUE"""),5906366003196)</f>
        <v>5906366003196</v>
      </c>
      <c r="D1135" s="4" t="str">
        <f ca="1">IFERROR(__xludf.DUMMYFUNCTION("""COMPUTED_VALUE"""),"PARAWAN WANNOWY LAGOS FIX STAŁY CHROM 70")</f>
        <v>PARAWAN WANNOWY LAGOS FIX STAŁY CHROM 70</v>
      </c>
      <c r="E1135" s="31">
        <v>83.024390243902445</v>
      </c>
      <c r="F1135" s="31">
        <f t="shared" si="17"/>
        <v>102.12</v>
      </c>
    </row>
    <row r="1136" spans="1:6" ht="18.75" customHeight="1" x14ac:dyDescent="0.25">
      <c r="A1136" s="2" t="str">
        <f ca="1">IFERROR(__xludf.DUMMYFUNCTION("""COMPUTED_VALUE"""),"REA-W5630")</f>
        <v>REA-W5630</v>
      </c>
      <c r="B1136" s="3">
        <f ca="1">IFERROR(__xludf.DUMMYFUNCTION("""COMPUTED_VALUE"""),53778)</f>
        <v>53778</v>
      </c>
      <c r="C1136" s="3">
        <f ca="1">IFERROR(__xludf.DUMMYFUNCTION("""COMPUTED_VALUE"""),5906366003189)</f>
        <v>5906366003189</v>
      </c>
      <c r="D1136" s="4" t="str">
        <f ca="1">IFERROR(__xludf.DUMMYFUNCTION("""COMPUTED_VALUE"""),"PARAWAN WANNOWY LAGOS FIX STAŁY CHROM 80")</f>
        <v>PARAWAN WANNOWY LAGOS FIX STAŁY CHROM 80</v>
      </c>
      <c r="E1136" s="31">
        <v>80.317073170731717</v>
      </c>
      <c r="F1136" s="31">
        <f t="shared" si="17"/>
        <v>98.79</v>
      </c>
    </row>
    <row r="1137" spans="1:6" ht="18.75" customHeight="1" x14ac:dyDescent="0.25">
      <c r="A1137" s="2" t="str">
        <f ca="1">IFERROR(__xludf.DUMMYFUNCTION("""COMPUTED_VALUE"""),"REA-K7632")</f>
        <v>REA-K7632</v>
      </c>
      <c r="B1137" s="3">
        <f ca="1">IFERROR(__xludf.DUMMYFUNCTION("""COMPUTED_VALUE"""),36669)</f>
        <v>36669</v>
      </c>
      <c r="C1137" s="3">
        <f ca="1">IFERROR(__xludf.DUMMYFUNCTION("""COMPUTED_VALUE"""),5902557345175)</f>
        <v>5902557345175</v>
      </c>
      <c r="D1137" s="4" t="str">
        <f ca="1">IFERROR(__xludf.DUMMYFUNCTION("""COMPUTED_VALUE"""),"PARAWAN WANNOWY LAGOS RUCHOMY BLACK 70")</f>
        <v>PARAWAN WANNOWY LAGOS RUCHOMY BLACK 70</v>
      </c>
      <c r="E1137" s="31">
        <v>97.463414634146361</v>
      </c>
      <c r="F1137" s="31">
        <f t="shared" si="17"/>
        <v>119.88000000000002</v>
      </c>
    </row>
    <row r="1138" spans="1:6" ht="18.75" customHeight="1" x14ac:dyDescent="0.25">
      <c r="A1138" s="2" t="str">
        <f ca="1">IFERROR(__xludf.DUMMYFUNCTION("""COMPUTED_VALUE"""),"REA-K7633")</f>
        <v>REA-K7633</v>
      </c>
      <c r="B1138" s="3">
        <f ca="1">IFERROR(__xludf.DUMMYFUNCTION("""COMPUTED_VALUE"""),36670)</f>
        <v>36670</v>
      </c>
      <c r="C1138" s="3">
        <f ca="1">IFERROR(__xludf.DUMMYFUNCTION("""COMPUTED_VALUE"""),5902557345199)</f>
        <v>5902557345199</v>
      </c>
      <c r="D1138" s="4" t="str">
        <f ca="1">IFERROR(__xludf.DUMMYFUNCTION("""COMPUTED_VALUE"""),"PARAWAN WANNOWY LAGOS RUCHOMY BLACK 80")</f>
        <v>PARAWAN WANNOWY LAGOS RUCHOMY BLACK 80</v>
      </c>
      <c r="E1138" s="31">
        <v>105.58536585365854</v>
      </c>
      <c r="F1138" s="31">
        <f t="shared" si="17"/>
        <v>129.87</v>
      </c>
    </row>
    <row r="1139" spans="1:6" ht="18.75" customHeight="1" x14ac:dyDescent="0.25">
      <c r="A1139" s="2" t="str">
        <f ca="1">IFERROR(__xludf.DUMMYFUNCTION("""COMPUTED_VALUE"""),"REA-K4560")</f>
        <v>REA-K4560</v>
      </c>
      <c r="B1139" s="3">
        <f ca="1">IFERROR(__xludf.DUMMYFUNCTION("""COMPUTED_VALUE"""),38574)</f>
        <v>38574</v>
      </c>
      <c r="C1139" s="3">
        <f ca="1">IFERROR(__xludf.DUMMYFUNCTION("""COMPUTED_VALUE"""),5902557351541)</f>
        <v>5902557351541</v>
      </c>
      <c r="D1139" s="4" t="str">
        <f ca="1">IFERROR(__xludf.DUMMYFUNCTION("""COMPUTED_VALUE"""),"PARAWAN WANNOWY LAGOS-1 FIX STAŁY BLACK 70")</f>
        <v>PARAWAN WANNOWY LAGOS-1 FIX STAŁY BLACK 70</v>
      </c>
      <c r="E1139" s="31">
        <v>80.317073170731717</v>
      </c>
      <c r="F1139" s="31">
        <f t="shared" si="17"/>
        <v>98.79</v>
      </c>
    </row>
    <row r="1140" spans="1:6" ht="18.75" customHeight="1" x14ac:dyDescent="0.25">
      <c r="A1140" s="2" t="str">
        <f ca="1">IFERROR(__xludf.DUMMYFUNCTION("""COMPUTED_VALUE"""),"REA-K4561")</f>
        <v>REA-K4561</v>
      </c>
      <c r="B1140" s="3">
        <f ca="1">IFERROR(__xludf.DUMMYFUNCTION("""COMPUTED_VALUE"""),38575)</f>
        <v>38575</v>
      </c>
      <c r="C1140" s="3">
        <f ca="1">IFERROR(__xludf.DUMMYFUNCTION("""COMPUTED_VALUE"""),5902557351558)</f>
        <v>5902557351558</v>
      </c>
      <c r="D1140" s="4" t="str">
        <f ca="1">IFERROR(__xludf.DUMMYFUNCTION("""COMPUTED_VALUE"""),"PARAWAN WANNOWY LAGOS-1 FIX STAŁY BLACK 80")</f>
        <v>PARAWAN WANNOWY LAGOS-1 FIX STAŁY BLACK 80</v>
      </c>
      <c r="E1140" s="31">
        <v>83.024390243902445</v>
      </c>
      <c r="F1140" s="31">
        <f t="shared" si="17"/>
        <v>102.12</v>
      </c>
    </row>
    <row r="1141" spans="1:6" ht="18.75" customHeight="1" x14ac:dyDescent="0.25">
      <c r="A1141" s="2" t="str">
        <f ca="1">IFERROR(__xludf.DUMMYFUNCTION("""COMPUTED_VALUE"""),"REA-K4569")</f>
        <v>REA-K4569</v>
      </c>
      <c r="B1141" s="3">
        <f ca="1">IFERROR(__xludf.DUMMYFUNCTION("""COMPUTED_VALUE"""),39025)</f>
        <v>39025</v>
      </c>
      <c r="C1141" s="3">
        <f ca="1">IFERROR(__xludf.DUMMYFUNCTION("""COMPUTED_VALUE"""),5902557351657)</f>
        <v>5902557351657</v>
      </c>
      <c r="D1141" s="4" t="str">
        <f ca="1">IFERROR(__xludf.DUMMYFUNCTION("""COMPUTED_VALUE"""),"PARAWAN WANNOWY LAGOS-1 RUCHOMY BLACK 70")</f>
        <v>PARAWAN WANNOWY LAGOS-1 RUCHOMY BLACK 70</v>
      </c>
      <c r="E1141" s="31">
        <v>104.68292682926831</v>
      </c>
      <c r="F1141" s="31">
        <f t="shared" si="17"/>
        <v>128.76000000000002</v>
      </c>
    </row>
    <row r="1142" spans="1:6" ht="18.75" customHeight="1" x14ac:dyDescent="0.25">
      <c r="A1142" s="2" t="str">
        <f ca="1">IFERROR(__xludf.DUMMYFUNCTION("""COMPUTED_VALUE"""),"REA-K4570")</f>
        <v>REA-K4570</v>
      </c>
      <c r="B1142" s="3">
        <f ca="1">IFERROR(__xludf.DUMMYFUNCTION("""COMPUTED_VALUE"""),39024)</f>
        <v>39024</v>
      </c>
      <c r="C1142" s="3">
        <f ca="1">IFERROR(__xludf.DUMMYFUNCTION("""COMPUTED_VALUE"""),5902557351664)</f>
        <v>5902557351664</v>
      </c>
      <c r="D1142" s="4" t="str">
        <f ca="1">IFERROR(__xludf.DUMMYFUNCTION("""COMPUTED_VALUE"""),"PARAWAN WANNOWY LAGOS-1 RUCHOMY BLACK 80")</f>
        <v>PARAWAN WANNOWY LAGOS-1 RUCHOMY BLACK 80</v>
      </c>
      <c r="E1142" s="31">
        <v>103.78048780487806</v>
      </c>
      <c r="F1142" s="31">
        <f t="shared" si="17"/>
        <v>127.65000000000002</v>
      </c>
    </row>
    <row r="1143" spans="1:6" ht="18.75" customHeight="1" x14ac:dyDescent="0.25">
      <c r="A1143" s="2" t="str">
        <f ca="1">IFERROR(__xludf.DUMMYFUNCTION("""COMPUTED_VALUE"""),"REA-W0087")</f>
        <v>REA-W0087</v>
      </c>
      <c r="B1143" s="3">
        <f ca="1">IFERROR(__xludf.DUMMYFUNCTION("""COMPUTED_VALUE"""),12437)</f>
        <v>12437</v>
      </c>
      <c r="C1143" s="3">
        <f ca="1">IFERROR(__xludf.DUMMYFUNCTION("""COMPUTED_VALUE"""),5902557313259)</f>
        <v>5902557313259</v>
      </c>
      <c r="D1143" s="4" t="str">
        <f ca="1">IFERROR(__xludf.DUMMYFUNCTION("""COMPUTED_VALUE"""),"PARAWAN WANNOWY TOPAZ CHROM 70 BEZ UCHWYTU")</f>
        <v>PARAWAN WANNOWY TOPAZ CHROM 70 BEZ UCHWYTU</v>
      </c>
      <c r="E1143" s="31">
        <v>112.80487804878049</v>
      </c>
      <c r="F1143" s="31">
        <f t="shared" si="17"/>
        <v>138.75</v>
      </c>
    </row>
    <row r="1144" spans="1:6" ht="18.75" customHeight="1" x14ac:dyDescent="0.25">
      <c r="A1144" s="2" t="str">
        <f ca="1">IFERROR(__xludf.DUMMYFUNCTION("""COMPUTED_VALUE"""),"REA-U0270")</f>
        <v>REA-U0270</v>
      </c>
      <c r="B1144" s="3">
        <f ca="1">IFERROR(__xludf.DUMMYFUNCTION("""COMPUTED_VALUE"""),51082)</f>
        <v>51082</v>
      </c>
      <c r="C1144" s="3">
        <f ca="1">IFERROR(__xludf.DUMMYFUNCTION("""COMPUTED_VALUE"""),5902557386253)</f>
        <v>5902557386253</v>
      </c>
      <c r="D1144" s="4" t="str">
        <f ca="1">IFERROR(__xludf.DUMMYFUNCTION("""COMPUTED_VALUE"""),"POSTUMENT MARMO")</f>
        <v>POSTUMENT MARMO</v>
      </c>
      <c r="E1144" s="31">
        <v>195.82926829268297</v>
      </c>
      <c r="F1144" s="31">
        <f t="shared" si="17"/>
        <v>240.87000000000006</v>
      </c>
    </row>
    <row r="1145" spans="1:6" ht="18.75" customHeight="1" x14ac:dyDescent="0.25">
      <c r="A1145" s="2" t="str">
        <f ca="1">IFERROR(__xludf.DUMMYFUNCTION("""COMPUTED_VALUE"""),"REA-U0275")</f>
        <v>REA-U0275</v>
      </c>
      <c r="B1145" s="3"/>
      <c r="C1145" s="3">
        <f ca="1">IFERROR(__xludf.DUMMYFUNCTION("""COMPUTED_VALUE"""),5902557386253)</f>
        <v>5902557386253</v>
      </c>
      <c r="D1145" s="4" t="str">
        <f ca="1">IFERROR(__xludf.DUMMYFUNCTION("""COMPUTED_VALUE"""),"POSTUMENT MARMO Z UMYWALKĄ CRISTAL 39 GREY")</f>
        <v>POSTUMENT MARMO Z UMYWALKĄ CRISTAL 39 GREY</v>
      </c>
      <c r="E1145" s="31">
        <v>296.00000000000006</v>
      </c>
      <c r="F1145" s="31">
        <f t="shared" si="17"/>
        <v>364.08000000000004</v>
      </c>
    </row>
    <row r="1146" spans="1:6" ht="18.75" customHeight="1" x14ac:dyDescent="0.25">
      <c r="A1146" s="2" t="str">
        <f ca="1">IFERROR(__xludf.DUMMYFUNCTION("""COMPUTED_VALUE"""),"REA-U0271")</f>
        <v>REA-U0271</v>
      </c>
      <c r="B1146" s="3">
        <f ca="1">IFERROR(__xludf.DUMMYFUNCTION("""COMPUTED_VALUE"""),50896)</f>
        <v>50896</v>
      </c>
      <c r="C1146" s="3">
        <f ca="1">IFERROR(__xludf.DUMMYFUNCTION("""COMPUTED_VALUE"""),5902557386260)</f>
        <v>5902557386260</v>
      </c>
      <c r="D1146" s="4" t="str">
        <f ca="1">IFERROR(__xludf.DUMMYFUNCTION("""COMPUTED_VALUE"""),"POSTUMENT WHITE")</f>
        <v>POSTUMENT WHITE</v>
      </c>
      <c r="E1146" s="31">
        <v>237.34146341463415</v>
      </c>
      <c r="F1146" s="31">
        <f t="shared" si="17"/>
        <v>291.93</v>
      </c>
    </row>
    <row r="1147" spans="1:6" ht="18.75" customHeight="1" x14ac:dyDescent="0.25">
      <c r="A1147" s="2" t="str">
        <f ca="1">IFERROR(__xludf.DUMMYFUNCTION("""COMPUTED_VALUE"""),"REA-U0276")</f>
        <v>REA-U0276</v>
      </c>
      <c r="B1147" s="3"/>
      <c r="C1147" s="3">
        <f ca="1">IFERROR(__xludf.DUMMYFUNCTION("""COMPUTED_VALUE"""),5902557386260)</f>
        <v>5902557386260</v>
      </c>
      <c r="D1147" s="4" t="str">
        <f ca="1">IFERROR(__xludf.DUMMYFUNCTION("""COMPUTED_VALUE"""),"POSTUMENT WHITE Z UMYWALKĄ INGRID TRANSPARENT")</f>
        <v>POSTUMENT WHITE Z UMYWALKĄ INGRID TRANSPARENT</v>
      </c>
      <c r="E1147" s="31">
        <v>342.92682926829269</v>
      </c>
      <c r="F1147" s="31">
        <f t="shared" si="17"/>
        <v>421.8</v>
      </c>
    </row>
    <row r="1148" spans="1:6" ht="18.75" customHeight="1" x14ac:dyDescent="0.25">
      <c r="A1148" s="2" t="str">
        <f ca="1">IFERROR(__xludf.DUMMYFUNCTION("""COMPUTED_VALUE"""),"REA-05600")</f>
        <v>REA-05600</v>
      </c>
      <c r="B1148" s="3">
        <f ca="1">IFERROR(__xludf.DUMMYFUNCTION("""COMPUTED_VALUE"""),52329)</f>
        <v>52329</v>
      </c>
      <c r="C1148" s="3">
        <f ca="1">IFERROR(__xludf.DUMMYFUNCTION("""COMPUTED_VALUE"""),5902557396351)</f>
        <v>5902557396351</v>
      </c>
      <c r="D1148" s="4" t="str">
        <f ca="1">IFERROR(__xludf.DUMMYFUNCTION("""COMPUTED_VALUE"""),"PÓŁKA PODTYNKOWA 01 30x30x10 NIKIEL SZCZOTKOWANY")</f>
        <v>PÓŁKA PODTYNKOWA 01 30x30x10 NIKIEL SZCZOTKOWANY</v>
      </c>
      <c r="E1148" s="31">
        <v>53.243902439024396</v>
      </c>
      <c r="F1148" s="31">
        <f t="shared" si="17"/>
        <v>65.490000000000009</v>
      </c>
    </row>
    <row r="1149" spans="1:6" ht="18.75" customHeight="1" x14ac:dyDescent="0.25">
      <c r="A1149" s="2" t="str">
        <f ca="1">IFERROR(__xludf.DUMMYFUNCTION("""COMPUTED_VALUE"""),"REA-05601")</f>
        <v>REA-05601</v>
      </c>
      <c r="B1149" s="3">
        <f ca="1">IFERROR(__xludf.DUMMYFUNCTION("""COMPUTED_VALUE"""),52334)</f>
        <v>52334</v>
      </c>
      <c r="C1149" s="3">
        <f ca="1">IFERROR(__xludf.DUMMYFUNCTION("""COMPUTED_VALUE"""),5902557396368)</f>
        <v>5902557396368</v>
      </c>
      <c r="D1149" s="4" t="str">
        <f ca="1">IFERROR(__xludf.DUMMYFUNCTION("""COMPUTED_VALUE"""),"PÓŁKA PODTYNKOWA 02 30x45x10 NIKIEL SZCZOTKOWANY")</f>
        <v>PÓŁKA PODTYNKOWA 02 30x45x10 NIKIEL SZCZOTKOWANY</v>
      </c>
      <c r="E1149" s="31">
        <v>62.268292682926841</v>
      </c>
      <c r="F1149" s="31">
        <f t="shared" si="17"/>
        <v>76.590000000000018</v>
      </c>
    </row>
    <row r="1150" spans="1:6" ht="18.75" customHeight="1" x14ac:dyDescent="0.25">
      <c r="A1150" s="2" t="str">
        <f ca="1">IFERROR(__xludf.DUMMYFUNCTION("""COMPUTED_VALUE"""),"REA-05602")</f>
        <v>REA-05602</v>
      </c>
      <c r="B1150" s="3">
        <f ca="1">IFERROR(__xludf.DUMMYFUNCTION("""COMPUTED_VALUE"""),52336)</f>
        <v>52336</v>
      </c>
      <c r="C1150" s="3">
        <f ca="1">IFERROR(__xludf.DUMMYFUNCTION("""COMPUTED_VALUE"""),5902557396375)</f>
        <v>5902557396375</v>
      </c>
      <c r="D1150" s="4" t="str">
        <f ca="1">IFERROR(__xludf.DUMMYFUNCTION("""COMPUTED_VALUE"""),"PÓŁKA PODTYNKOWA 03 30x60x10 NIKIEL SZCZOTKOWANY")</f>
        <v>PÓŁKA PODTYNKOWA 03 30x60x10 NIKIEL SZCZOTKOWANY</v>
      </c>
      <c r="E1150" s="31">
        <v>74.000000000000014</v>
      </c>
      <c r="F1150" s="31">
        <f t="shared" si="17"/>
        <v>91.02000000000001</v>
      </c>
    </row>
    <row r="1151" spans="1:6" ht="18.75" customHeight="1" x14ac:dyDescent="0.25">
      <c r="A1151" s="2" t="str">
        <f ca="1">IFERROR(__xludf.DUMMYFUNCTION("""COMPUTED_VALUE"""),"REA-05603")</f>
        <v>REA-05603</v>
      </c>
      <c r="B1151" s="3">
        <f ca="1">IFERROR(__xludf.DUMMYFUNCTION("""COMPUTED_VALUE"""),52328)</f>
        <v>52328</v>
      </c>
      <c r="C1151" s="3">
        <f ca="1">IFERROR(__xludf.DUMMYFUNCTION("""COMPUTED_VALUE"""),5902557396498)</f>
        <v>5902557396498</v>
      </c>
      <c r="D1151" s="4" t="str">
        <f ca="1">IFERROR(__xludf.DUMMYFUNCTION("""COMPUTED_VALUE"""),"PÓŁKA PODTYNKOWA 04 30x30x10 CZARNA")</f>
        <v>PÓŁKA PODTYNKOWA 04 30x30x10 CZARNA</v>
      </c>
      <c r="E1151" s="31">
        <v>61.365853658536594</v>
      </c>
      <c r="F1151" s="31">
        <f t="shared" si="17"/>
        <v>75.48</v>
      </c>
    </row>
    <row r="1152" spans="1:6" ht="18.75" customHeight="1" x14ac:dyDescent="0.25">
      <c r="A1152" s="2" t="str">
        <f ca="1">IFERROR(__xludf.DUMMYFUNCTION("""COMPUTED_VALUE"""),"REA-05604")</f>
        <v>REA-05604</v>
      </c>
      <c r="B1152" s="3">
        <f ca="1">IFERROR(__xludf.DUMMYFUNCTION("""COMPUTED_VALUE"""),52333)</f>
        <v>52333</v>
      </c>
      <c r="C1152" s="3">
        <f ca="1">IFERROR(__xludf.DUMMYFUNCTION("""COMPUTED_VALUE"""),5902557396504)</f>
        <v>5902557396504</v>
      </c>
      <c r="D1152" s="4" t="str">
        <f ca="1">IFERROR(__xludf.DUMMYFUNCTION("""COMPUTED_VALUE"""),"PÓŁKA PODTYNKOWA 05 30x45x10 CZARNA")</f>
        <v>PÓŁKA PODTYNKOWA 05 30x45x10 CZARNA</v>
      </c>
      <c r="E1152" s="31">
        <v>68.585365853658544</v>
      </c>
      <c r="F1152" s="31">
        <f t="shared" si="17"/>
        <v>84.360000000000014</v>
      </c>
    </row>
    <row r="1153" spans="1:6" ht="18.75" customHeight="1" x14ac:dyDescent="0.25">
      <c r="A1153" s="2" t="str">
        <f ca="1">IFERROR(__xludf.DUMMYFUNCTION("""COMPUTED_VALUE"""),"REA-05605")</f>
        <v>REA-05605</v>
      </c>
      <c r="B1153" s="3">
        <f ca="1">IFERROR(__xludf.DUMMYFUNCTION("""COMPUTED_VALUE"""),52338)</f>
        <v>52338</v>
      </c>
      <c r="C1153" s="3">
        <f ca="1">IFERROR(__xludf.DUMMYFUNCTION("""COMPUTED_VALUE"""),5902557396511)</f>
        <v>5902557396511</v>
      </c>
      <c r="D1153" s="4" t="str">
        <f ca="1">IFERROR(__xludf.DUMMYFUNCTION("""COMPUTED_VALUE"""),"PÓŁKA PODTYNKOWA 06 30x60x10 CZARNA")</f>
        <v>PÓŁKA PODTYNKOWA 06 30x60x10 CZARNA</v>
      </c>
      <c r="E1153" s="31">
        <v>80.317073170731717</v>
      </c>
      <c r="F1153" s="31">
        <f t="shared" si="17"/>
        <v>98.79</v>
      </c>
    </row>
    <row r="1154" spans="1:6" ht="18.75" customHeight="1" x14ac:dyDescent="0.25">
      <c r="A1154" s="2" t="str">
        <f ca="1">IFERROR(__xludf.DUMMYFUNCTION("""COMPUTED_VALUE"""),"REA-05606")</f>
        <v>REA-05606</v>
      </c>
      <c r="B1154" s="3">
        <f ca="1">IFERROR(__xludf.DUMMYFUNCTION("""COMPUTED_VALUE"""),52327)</f>
        <v>52327</v>
      </c>
      <c r="C1154" s="3">
        <f ca="1">IFERROR(__xludf.DUMMYFUNCTION("""COMPUTED_VALUE"""),5902557396740)</f>
        <v>5902557396740</v>
      </c>
      <c r="D1154" s="4" t="str">
        <f ca="1">IFERROR(__xludf.DUMMYFUNCTION("""COMPUTED_VALUE"""),"PÓŁKA PODTYNKOWA 07 30x30x10 ZŁOTY SZCZOTKOWANY")</f>
        <v>PÓŁKA PODTYNKOWA 07 30x30x10 ZŁOTY SZCZOTKOWANY</v>
      </c>
      <c r="E1154" s="31">
        <v>72.195121951219519</v>
      </c>
      <c r="F1154" s="31">
        <f t="shared" si="17"/>
        <v>88.800000000000011</v>
      </c>
    </row>
    <row r="1155" spans="1:6" ht="18.75" customHeight="1" x14ac:dyDescent="0.25">
      <c r="A1155" s="2" t="str">
        <f ca="1">IFERROR(__xludf.DUMMYFUNCTION("""COMPUTED_VALUE"""),"REA-05607")</f>
        <v>REA-05607</v>
      </c>
      <c r="B1155" s="3">
        <f ca="1">IFERROR(__xludf.DUMMYFUNCTION("""COMPUTED_VALUE"""),52332)</f>
        <v>52332</v>
      </c>
      <c r="C1155" s="3">
        <f ca="1">IFERROR(__xludf.DUMMYFUNCTION("""COMPUTED_VALUE"""),5902557396757)</f>
        <v>5902557396757</v>
      </c>
      <c r="D1155" s="4" t="str">
        <f ca="1">IFERROR(__xludf.DUMMYFUNCTION("""COMPUTED_VALUE"""),"PÓŁKA PODTYNKOWA 08 30x45x10 ZŁOTY SZCZOTKOWANY")</f>
        <v>PÓŁKA PODTYNKOWA 08 30x45x10 ZŁOTY SZCZOTKOWANY</v>
      </c>
      <c r="E1155" s="31">
        <v>80.317073170731717</v>
      </c>
      <c r="F1155" s="31">
        <f t="shared" ref="F1155:F1218" si="18">E1155*1.23</f>
        <v>98.79</v>
      </c>
    </row>
    <row r="1156" spans="1:6" ht="18.75" customHeight="1" x14ac:dyDescent="0.25">
      <c r="A1156" s="2" t="str">
        <f ca="1">IFERROR(__xludf.DUMMYFUNCTION("""COMPUTED_VALUE"""),"REA-05608")</f>
        <v>REA-05608</v>
      </c>
      <c r="B1156" s="3">
        <f ca="1">IFERROR(__xludf.DUMMYFUNCTION("""COMPUTED_VALUE"""),52335)</f>
        <v>52335</v>
      </c>
      <c r="C1156" s="3">
        <f ca="1">IFERROR(__xludf.DUMMYFUNCTION("""COMPUTED_VALUE"""),5902557396764)</f>
        <v>5902557396764</v>
      </c>
      <c r="D1156" s="4" t="str">
        <f ca="1">IFERROR(__xludf.DUMMYFUNCTION("""COMPUTED_VALUE"""),"PÓŁKA PODTYNKOWA 09 30x60x10 ZŁOTY SZCZOTKOWANY")</f>
        <v>PÓŁKA PODTYNKOWA 09 30x60x10 ZŁOTY SZCZOTKOWANY</v>
      </c>
      <c r="E1156" s="31">
        <v>97.463414634146361</v>
      </c>
      <c r="F1156" s="31">
        <f t="shared" si="18"/>
        <v>119.88000000000002</v>
      </c>
    </row>
    <row r="1157" spans="1:6" ht="18.75" customHeight="1" x14ac:dyDescent="0.25">
      <c r="A1157" s="2" t="str">
        <f ca="1">IFERROR(__xludf.DUMMYFUNCTION("""COMPUTED_VALUE"""),"REA-85000")</f>
        <v>REA-85000</v>
      </c>
      <c r="B1157" s="3">
        <f ca="1">IFERROR(__xludf.DUMMYFUNCTION("""COMPUTED_VALUE"""),48878)</f>
        <v>48878</v>
      </c>
      <c r="C1157" s="3">
        <f ca="1">IFERROR(__xludf.DUMMYFUNCTION("""COMPUTED_VALUE"""),5902557375370)</f>
        <v>5902557375370</v>
      </c>
      <c r="D1157" s="4" t="str">
        <f ca="1">IFERROR(__xludf.DUMMYFUNCTION("""COMPUTED_VALUE"""),"PÓŁKA TORI BLACK")</f>
        <v>PÓŁKA TORI BLACK</v>
      </c>
      <c r="E1157" s="31">
        <v>36.09756097560976</v>
      </c>
      <c r="F1157" s="31">
        <f t="shared" si="18"/>
        <v>44.400000000000006</v>
      </c>
    </row>
    <row r="1158" spans="1:6" ht="18.75" customHeight="1" x14ac:dyDescent="0.25">
      <c r="A1158" s="2" t="str">
        <f ca="1">IFERROR(__xludf.DUMMYFUNCTION("""COMPUTED_VALUE"""),"REA-85001")</f>
        <v>REA-85001</v>
      </c>
      <c r="B1158" s="3">
        <f ca="1">IFERROR(__xludf.DUMMYFUNCTION("""COMPUTED_VALUE"""),49009)</f>
        <v>49009</v>
      </c>
      <c r="C1158" s="3">
        <f ca="1">IFERROR(__xludf.DUMMYFUNCTION("""COMPUTED_VALUE"""),5902557375394)</f>
        <v>5902557375394</v>
      </c>
      <c r="D1158" s="4" t="str">
        <f ca="1">IFERROR(__xludf.DUMMYFUNCTION("""COMPUTED_VALUE"""),"PÓŁKA TORI GOLD SZCZOTKOWANY")</f>
        <v>PÓŁKA TORI GOLD SZCZOTKOWANY</v>
      </c>
      <c r="E1158" s="31">
        <v>46.926829268292686</v>
      </c>
      <c r="F1158" s="31">
        <f t="shared" si="18"/>
        <v>57.72</v>
      </c>
    </row>
    <row r="1159" spans="1:6" ht="18.75" customHeight="1" x14ac:dyDescent="0.25">
      <c r="A1159" s="2" t="str">
        <f ca="1">IFERROR(__xludf.DUMMYFUNCTION("""COMPUTED_VALUE"""),"REA-85002")</f>
        <v>REA-85002</v>
      </c>
      <c r="B1159" s="3">
        <f ca="1">IFERROR(__xludf.DUMMYFUNCTION("""COMPUTED_VALUE"""),49010)</f>
        <v>49010</v>
      </c>
      <c r="C1159" s="3">
        <f ca="1">IFERROR(__xludf.DUMMYFUNCTION("""COMPUTED_VALUE"""),5902557375387)</f>
        <v>5902557375387</v>
      </c>
      <c r="D1159" s="4" t="str">
        <f ca="1">IFERROR(__xludf.DUMMYFUNCTION("""COMPUTED_VALUE"""),"PÓŁKA TORI NIKIEL SZCZOTKOWANY")</f>
        <v>PÓŁKA TORI NIKIEL SZCZOTKOWANY</v>
      </c>
      <c r="E1159" s="31">
        <v>39.707317073170735</v>
      </c>
      <c r="F1159" s="31">
        <f t="shared" si="18"/>
        <v>48.84</v>
      </c>
    </row>
    <row r="1160" spans="1:6" ht="18.75" customHeight="1" x14ac:dyDescent="0.25">
      <c r="A1160" s="2" t="str">
        <f ca="1">IFERROR(__xludf.DUMMYFUNCTION("""COMPUTED_VALUE"""),"MCA-000006")</f>
        <v>MCA-000006</v>
      </c>
      <c r="B1160" s="3">
        <f ca="1">IFERROR(__xludf.DUMMYFUNCTION("""COMPUTED_VALUE"""),46451)</f>
        <v>46451</v>
      </c>
      <c r="C1160" s="3">
        <f ca="1">IFERROR(__xludf.DUMMYFUNCTION("""COMPUTED_VALUE"""),5036484500113)</f>
        <v>5036484500113</v>
      </c>
      <c r="D1160" s="4" t="str">
        <f ca="1">IFERROR(__xludf.DUMMYFUNCTION("""COMPUTED_VALUE"""),"PÓŁSYFON UMYWALKOWY HC2.")</f>
        <v>PÓŁSYFON UMYWALKOWY HC2.</v>
      </c>
      <c r="E1160" s="31">
        <v>5.4146341463414638</v>
      </c>
      <c r="F1160" s="31">
        <f t="shared" si="18"/>
        <v>6.66</v>
      </c>
    </row>
    <row r="1161" spans="1:6" ht="18.75" customHeight="1" x14ac:dyDescent="0.25">
      <c r="A1161" s="2" t="str">
        <f ca="1">IFERROR(__xludf.DUMMYFUNCTION("""COMPUTED_VALUE"""),"REA-K0881")</f>
        <v>REA-K0881</v>
      </c>
      <c r="B1161" s="3">
        <f ca="1">IFERROR(__xludf.DUMMYFUNCTION("""COMPUTED_VALUE"""),50936)</f>
        <v>50936</v>
      </c>
      <c r="C1161" s="3">
        <f ca="1">IFERROR(__xludf.DUMMYFUNCTION("""COMPUTED_VALUE"""),5902557395774)</f>
        <v>5902557395774</v>
      </c>
      <c r="D1161" s="4" t="str">
        <f ca="1">IFERROR(__xludf.DUMMYFUNCTION("""COMPUTED_VALUE"""),"PRZEDŁUŻKA 50cm DO ZESTAWU CHROM")</f>
        <v>PRZEDŁUŻKA 50cm DO ZESTAWU CHROM</v>
      </c>
      <c r="E1161" s="31">
        <v>13.536585365853661</v>
      </c>
      <c r="F1161" s="31">
        <f t="shared" si="18"/>
        <v>16.650000000000002</v>
      </c>
    </row>
    <row r="1162" spans="1:6" ht="18.75" customHeight="1" x14ac:dyDescent="0.25">
      <c r="A1162" s="2" t="str">
        <f ca="1">IFERROR(__xludf.DUMMYFUNCTION("""COMPUTED_VALUE"""),"REA-K0880")</f>
        <v>REA-K0880</v>
      </c>
      <c r="B1162" s="3">
        <f ca="1">IFERROR(__xludf.DUMMYFUNCTION("""COMPUTED_VALUE"""),50938)</f>
        <v>50938</v>
      </c>
      <c r="C1162" s="3">
        <f ca="1">IFERROR(__xludf.DUMMYFUNCTION("""COMPUTED_VALUE"""),5902557395767)</f>
        <v>5902557395767</v>
      </c>
      <c r="D1162" s="4" t="str">
        <f ca="1">IFERROR(__xludf.DUMMYFUNCTION("""COMPUTED_VALUE"""),"PRZEDŁUŻKA 50cm DO ZESTAWU CZARNY")</f>
        <v>PRZEDŁUŻKA 50cm DO ZESTAWU CZARNY</v>
      </c>
      <c r="E1162" s="31">
        <v>16.243902439024392</v>
      </c>
      <c r="F1162" s="31">
        <f t="shared" si="18"/>
        <v>19.98</v>
      </c>
    </row>
    <row r="1163" spans="1:6" ht="18.75" customHeight="1" x14ac:dyDescent="0.25">
      <c r="A1163" s="2" t="str">
        <f ca="1">IFERROR(__xludf.DUMMYFUNCTION("""COMPUTED_VALUE"""),"REA-K0890")</f>
        <v>REA-K0890</v>
      </c>
      <c r="B1163" s="3">
        <f ca="1">IFERROR(__xludf.DUMMYFUNCTION("""COMPUTED_VALUE"""),50937)</f>
        <v>50937</v>
      </c>
      <c r="C1163" s="3">
        <f ca="1">IFERROR(__xludf.DUMMYFUNCTION("""COMPUTED_VALUE"""),5902557395750)</f>
        <v>5902557395750</v>
      </c>
      <c r="D1163" s="4" t="str">
        <f ca="1">IFERROR(__xludf.DUMMYFUNCTION("""COMPUTED_VALUE"""),"PRZEDŁUŻKA 50cm DO ZESTAWU ZŁOTY")</f>
        <v>PRZEDŁUŻKA 50cm DO ZESTAWU ZŁOTY</v>
      </c>
      <c r="E1163" s="31">
        <v>18.04878048780488</v>
      </c>
      <c r="F1163" s="31">
        <f t="shared" si="18"/>
        <v>22.200000000000003</v>
      </c>
    </row>
    <row r="1164" spans="1:6" ht="18.75" customHeight="1" x14ac:dyDescent="0.25">
      <c r="A1164" s="2" t="str">
        <f ca="1">IFERROR(__xludf.DUMMYFUNCTION("""COMPUTED_VALUE"""),"REA-K0891")</f>
        <v>REA-K0891</v>
      </c>
      <c r="B1164" s="3">
        <f ca="1">IFERROR(__xludf.DUMMYFUNCTION("""COMPUTED_VALUE"""),50939)</f>
        <v>50939</v>
      </c>
      <c r="C1164" s="3">
        <f ca="1">IFERROR(__xludf.DUMMYFUNCTION("""COMPUTED_VALUE"""),5902557395750)</f>
        <v>5902557395750</v>
      </c>
      <c r="D1164" s="4" t="str">
        <f ca="1">IFERROR(__xludf.DUMMYFUNCTION("""COMPUTED_VALUE"""),"PRZEDŁUŻKA 50cm DO ZESTAWU ZŁOTY SZCZOTKOWANY")</f>
        <v>PRZEDŁUŻKA 50cm DO ZESTAWU ZŁOTY SZCZOTKOWANY</v>
      </c>
      <c r="E1164" s="31">
        <v>18.04878048780488</v>
      </c>
      <c r="F1164" s="31">
        <f t="shared" si="18"/>
        <v>22.200000000000003</v>
      </c>
    </row>
    <row r="1165" spans="1:6" ht="18.75" customHeight="1" x14ac:dyDescent="0.25">
      <c r="A1165" s="2" t="str">
        <f ca="1">IFERROR(__xludf.DUMMYFUNCTION("""COMPUTED_VALUE"""),"REA-K6654")</f>
        <v>REA-K6654</v>
      </c>
      <c r="B1165" s="3">
        <f ca="1">IFERROR(__xludf.DUMMYFUNCTION("""COMPUTED_VALUE"""),49361)</f>
        <v>49361</v>
      </c>
      <c r="C1165" s="3">
        <f ca="1">IFERROR(__xludf.DUMMYFUNCTION("""COMPUTED_VALUE"""),5902557383696)</f>
        <v>5902557383696</v>
      </c>
      <c r="D1165" s="4" t="str">
        <f ca="1">IFERROR(__xludf.DUMMYFUNCTION("""COMPUTED_VALUE"""),"PRZEDŁUŻKA 60cm DO ZESTAWU CHROM")</f>
        <v>PRZEDŁUŻKA 60cm DO ZESTAWU CHROM</v>
      </c>
      <c r="E1165" s="31">
        <v>14.439024390243903</v>
      </c>
      <c r="F1165" s="31">
        <f t="shared" si="18"/>
        <v>17.760000000000002</v>
      </c>
    </row>
    <row r="1166" spans="1:6" ht="18.75" customHeight="1" x14ac:dyDescent="0.25">
      <c r="A1166" s="2" t="str">
        <f ca="1">IFERROR(__xludf.DUMMYFUNCTION("""COMPUTED_VALUE"""),"REA-K6650")</f>
        <v>REA-K6650</v>
      </c>
      <c r="B1166" s="3">
        <f ca="1">IFERROR(__xludf.DUMMYFUNCTION("""COMPUTED_VALUE"""),49364)</f>
        <v>49364</v>
      </c>
      <c r="C1166" s="3">
        <f ca="1">IFERROR(__xludf.DUMMYFUNCTION("""COMPUTED_VALUE"""),5902557383672)</f>
        <v>5902557383672</v>
      </c>
      <c r="D1166" s="4" t="str">
        <f ca="1">IFERROR(__xludf.DUMMYFUNCTION("""COMPUTED_VALUE"""),"PRZEDŁUŻKA 60cm DO ZESTAWU CZARNY")</f>
        <v>PRZEDŁUŻKA 60cm DO ZESTAWU CZARNY</v>
      </c>
      <c r="E1166" s="31">
        <v>16.243902439024392</v>
      </c>
      <c r="F1166" s="31">
        <f t="shared" si="18"/>
        <v>19.98</v>
      </c>
    </row>
    <row r="1167" spans="1:6" ht="18.75" customHeight="1" x14ac:dyDescent="0.25">
      <c r="A1167" s="2" t="str">
        <f ca="1">IFERROR(__xludf.DUMMYFUNCTION("""COMPUTED_VALUE"""),"REA-K6651")</f>
        <v>REA-K6651</v>
      </c>
      <c r="B1167" s="3">
        <f ca="1">IFERROR(__xludf.DUMMYFUNCTION("""COMPUTED_VALUE"""),49363)</f>
        <v>49363</v>
      </c>
      <c r="C1167" s="3">
        <f ca="1">IFERROR(__xludf.DUMMYFUNCTION("""COMPUTED_VALUE"""),5902557383689)</f>
        <v>5902557383689</v>
      </c>
      <c r="D1167" s="4" t="str">
        <f ca="1">IFERROR(__xludf.DUMMYFUNCTION("""COMPUTED_VALUE"""),"PRZEDŁUŻKA 60cm DO ZESTAWU ZŁOTY")</f>
        <v>PRZEDŁUŻKA 60cm DO ZESTAWU ZŁOTY</v>
      </c>
      <c r="E1167" s="31">
        <v>18.951219512195124</v>
      </c>
      <c r="F1167" s="31">
        <f t="shared" si="18"/>
        <v>23.310000000000002</v>
      </c>
    </row>
    <row r="1168" spans="1:6" ht="18.75" customHeight="1" x14ac:dyDescent="0.25">
      <c r="A1168" s="2" t="str">
        <f ca="1">IFERROR(__xludf.DUMMYFUNCTION("""COMPUTED_VALUE"""),"REA-K6652")</f>
        <v>REA-K6652</v>
      </c>
      <c r="B1168" s="3">
        <f ca="1">IFERROR(__xludf.DUMMYFUNCTION("""COMPUTED_VALUE"""),50647)</f>
        <v>50647</v>
      </c>
      <c r="C1168" s="3">
        <f ca="1">IFERROR(__xludf.DUMMYFUNCTION("""COMPUTED_VALUE"""),5902557393442)</f>
        <v>5902557393442</v>
      </c>
      <c r="D1168" s="4" t="str">
        <f ca="1">IFERROR(__xludf.DUMMYFUNCTION("""COMPUTED_VALUE"""),"PRZEDŁUŻKA 60cm DO ZESTAWU ZŁOTY SZCZO")</f>
        <v>PRZEDŁUŻKA 60cm DO ZESTAWU ZŁOTY SZCZO</v>
      </c>
      <c r="E1168" s="31">
        <v>18.951219512195124</v>
      </c>
      <c r="F1168" s="31">
        <f t="shared" si="18"/>
        <v>23.310000000000002</v>
      </c>
    </row>
    <row r="1169" spans="1:6" ht="18.75" customHeight="1" x14ac:dyDescent="0.25">
      <c r="A1169" s="2" t="str">
        <f ca="1">IFERROR(__xludf.DUMMYFUNCTION("""COMPUTED_VALUE"""),"REA-B0660")</f>
        <v>REA-B0660</v>
      </c>
      <c r="B1169" s="3">
        <f ca="1">IFERROR(__xludf.DUMMYFUNCTION("""COMPUTED_VALUE"""),50952)</f>
        <v>50952</v>
      </c>
      <c r="C1169" s="3">
        <f ca="1">IFERROR(__xludf.DUMMYFUNCTION("""COMPUTED_VALUE"""),5902557391875)</f>
        <v>5902557391875</v>
      </c>
      <c r="D1169" s="4" t="str">
        <f ca="1">IFERROR(__xludf.DUMMYFUNCTION("""COMPUTED_VALUE"""),"PRZEDŁUŻKA OBROTOWA COLT CHROM")</f>
        <v>PRZEDŁUŻKA OBROTOWA COLT CHROM</v>
      </c>
      <c r="E1169" s="31">
        <v>12.634146341463417</v>
      </c>
      <c r="F1169" s="31">
        <f t="shared" si="18"/>
        <v>15.540000000000003</v>
      </c>
    </row>
    <row r="1170" spans="1:6" ht="18.75" customHeight="1" x14ac:dyDescent="0.25">
      <c r="A1170" s="2" t="str">
        <f ca="1">IFERROR(__xludf.DUMMYFUNCTION("""COMPUTED_VALUE"""),"MCA-00010")</f>
        <v>MCA-00010</v>
      </c>
      <c r="B1170" s="3">
        <f ca="1">IFERROR(__xludf.DUMMYFUNCTION("""COMPUTED_VALUE"""),49887)</f>
        <v>49887</v>
      </c>
      <c r="C1170" s="3">
        <f ca="1">IFERROR(__xludf.DUMMYFUNCTION("""COMPUTED_VALUE"""),5036484012630)</f>
        <v>5036484012630</v>
      </c>
      <c r="D1170" s="4" t="str">
        <f ca="1">IFERROR(__xludf.DUMMYFUNCTION("""COMPUTED_VALUE"""),"PRZEDŁUŻKA Z KOLANKIEM HC13-32")</f>
        <v>PRZEDŁUŻKA Z KOLANKIEM HC13-32</v>
      </c>
      <c r="E1170" s="31">
        <v>8.1219512195121961</v>
      </c>
      <c r="F1170" s="31">
        <f t="shared" si="18"/>
        <v>9.99</v>
      </c>
    </row>
    <row r="1171" spans="1:6" ht="18.75" customHeight="1" x14ac:dyDescent="0.25">
      <c r="A1171" s="2" t="str">
        <f ca="1">IFERROR(__xludf.DUMMYFUNCTION("""COMPUTED_VALUE"""),"REA-E9854")</f>
        <v>REA-E9854</v>
      </c>
      <c r="B1171" s="3">
        <f ca="1">IFERROR(__xludf.DUMMYFUNCTION("""COMPUTED_VALUE"""),39380)</f>
        <v>39380</v>
      </c>
      <c r="C1171" s="3">
        <f ca="1">IFERROR(__xludf.DUMMYFUNCTION("""COMPUTED_VALUE"""),5902557356720)</f>
        <v>5902557356720</v>
      </c>
      <c r="D1171" s="4" t="str">
        <f ca="1">IFERROR(__xludf.DUMMYFUNCTION("""COMPUTED_VALUE"""),"PRZYCISK DO STELAŻA PODTYNKOWEGO F BLACK")</f>
        <v>PRZYCISK DO STELAŻA PODTYNKOWEGO F BLACK</v>
      </c>
      <c r="E1171" s="31">
        <v>27.073170731707322</v>
      </c>
      <c r="F1171" s="31">
        <f t="shared" si="18"/>
        <v>33.300000000000004</v>
      </c>
    </row>
    <row r="1172" spans="1:6" ht="18.75" customHeight="1" x14ac:dyDescent="0.25">
      <c r="A1172" s="2" t="str">
        <f ca="1">IFERROR(__xludf.DUMMYFUNCTION("""COMPUTED_VALUE"""),"REA-E019A")</f>
        <v>REA-E019A</v>
      </c>
      <c r="B1172" s="3">
        <f ca="1">IFERROR(__xludf.DUMMYFUNCTION("""COMPUTED_VALUE"""),41721)</f>
        <v>41721</v>
      </c>
      <c r="C1172" s="3">
        <f ca="1">IFERROR(__xludf.DUMMYFUNCTION("""COMPUTED_VALUE"""),5902557376919)</f>
        <v>5902557376919</v>
      </c>
      <c r="D1172" s="4" t="str">
        <f ca="1">IFERROR(__xludf.DUMMYFUNCTION("""COMPUTED_VALUE"""),"PRZYCISK DO STELAŻA PODTYNKOWEGO F CHROM")</f>
        <v>PRZYCISK DO STELAŻA PODTYNKOWEGO F CHROM</v>
      </c>
      <c r="E1172" s="31">
        <v>27.073170731707322</v>
      </c>
      <c r="F1172" s="31">
        <f t="shared" si="18"/>
        <v>33.300000000000004</v>
      </c>
    </row>
    <row r="1173" spans="1:6" ht="18.75" customHeight="1" x14ac:dyDescent="0.25">
      <c r="A1173" s="2" t="str">
        <f ca="1">IFERROR(__xludf.DUMMYFUNCTION("""COMPUTED_VALUE"""),"REA-E9853")</f>
        <v>REA-E9853</v>
      </c>
      <c r="B1173" s="3">
        <f ca="1">IFERROR(__xludf.DUMMYFUNCTION("""COMPUTED_VALUE"""),39379)</f>
        <v>39379</v>
      </c>
      <c r="C1173" s="3">
        <f ca="1">IFERROR(__xludf.DUMMYFUNCTION("""COMPUTED_VALUE"""),5902557356713)</f>
        <v>5902557356713</v>
      </c>
      <c r="D1173" s="4" t="str">
        <f ca="1">IFERROR(__xludf.DUMMYFUNCTION("""COMPUTED_VALUE"""),"PRZYCISK DO STELAŻA PODTYNKOWEGO F GOLD")</f>
        <v>PRZYCISK DO STELAŻA PODTYNKOWEGO F GOLD</v>
      </c>
      <c r="E1173" s="31">
        <v>48.73170731707318</v>
      </c>
      <c r="F1173" s="31">
        <f t="shared" si="18"/>
        <v>59.940000000000012</v>
      </c>
    </row>
    <row r="1174" spans="1:6" ht="18.75" customHeight="1" x14ac:dyDescent="0.25">
      <c r="A1174" s="2" t="str">
        <f ca="1">IFERROR(__xludf.DUMMYFUNCTION("""COMPUTED_VALUE"""),"REA-E5699")</f>
        <v>REA-E5699</v>
      </c>
      <c r="B1174" s="3">
        <f ca="1">IFERROR(__xludf.DUMMYFUNCTION("""COMPUTED_VALUE"""),49473)</f>
        <v>49473</v>
      </c>
      <c r="C1174" s="3">
        <f ca="1">IFERROR(__xludf.DUMMYFUNCTION("""COMPUTED_VALUE"""),5902557383733)</f>
        <v>5902557383733</v>
      </c>
      <c r="D1174" s="4" t="str">
        <f ca="1">IFERROR(__xludf.DUMMYFUNCTION("""COMPUTED_VALUE"""),"PRZYCISK DO STELAŻA PODTYNKOWEGO F GUN GREY")</f>
        <v>PRZYCISK DO STELAŻA PODTYNKOWEGO F GUN GREY</v>
      </c>
      <c r="E1174" s="31">
        <v>27.073170731707322</v>
      </c>
      <c r="F1174" s="31">
        <f t="shared" si="18"/>
        <v>33.300000000000004</v>
      </c>
    </row>
    <row r="1175" spans="1:6" ht="18.75" customHeight="1" x14ac:dyDescent="0.25">
      <c r="A1175" s="2" t="str">
        <f ca="1">IFERROR(__xludf.DUMMYFUNCTION("""COMPUTED_VALUE"""),"REA-E0111")</f>
        <v>REA-E0111</v>
      </c>
      <c r="B1175" s="3">
        <f ca="1">IFERROR(__xludf.DUMMYFUNCTION("""COMPUTED_VALUE"""),41720)</f>
        <v>41720</v>
      </c>
      <c r="C1175" s="3">
        <f ca="1">IFERROR(__xludf.DUMMYFUNCTION("""COMPUTED_VALUE"""),5902557368570)</f>
        <v>5902557368570</v>
      </c>
      <c r="D1175" s="4" t="str">
        <f ca="1">IFERROR(__xludf.DUMMYFUNCTION("""COMPUTED_VALUE"""),"PRZYCISK DO STELAŻA PODTYNKOWEGO H BLACK")</f>
        <v>PRZYCISK DO STELAŻA PODTYNKOWEGO H BLACK</v>
      </c>
      <c r="E1175" s="31">
        <v>27.073170731707322</v>
      </c>
      <c r="F1175" s="31">
        <f t="shared" si="18"/>
        <v>33.300000000000004</v>
      </c>
    </row>
    <row r="1176" spans="1:6" ht="18.75" customHeight="1" x14ac:dyDescent="0.25">
      <c r="A1176" s="2" t="str">
        <f ca="1">IFERROR(__xludf.DUMMYFUNCTION("""COMPUTED_VALUE"""),"REA-E5691")</f>
        <v>REA-E5691</v>
      </c>
      <c r="B1176" s="3">
        <f ca="1">IFERROR(__xludf.DUMMYFUNCTION("""COMPUTED_VALUE"""),41719)</f>
        <v>41719</v>
      </c>
      <c r="C1176" s="3">
        <f ca="1">IFERROR(__xludf.DUMMYFUNCTION("""COMPUTED_VALUE"""),5902557366835)</f>
        <v>5902557366835</v>
      </c>
      <c r="D1176" s="4" t="str">
        <f ca="1">IFERROR(__xludf.DUMMYFUNCTION("""COMPUTED_VALUE"""),"PRZYCISK DO STELAŻA PODTYNKOWEGO H CHROM")</f>
        <v>PRZYCISK DO STELAŻA PODTYNKOWEGO H CHROM</v>
      </c>
      <c r="E1176" s="31">
        <v>27.073170731707322</v>
      </c>
      <c r="F1176" s="31">
        <f t="shared" si="18"/>
        <v>33.300000000000004</v>
      </c>
    </row>
    <row r="1177" spans="1:6" ht="18.75" customHeight="1" x14ac:dyDescent="0.25">
      <c r="A1177" s="2" t="str">
        <f ca="1">IFERROR(__xludf.DUMMYFUNCTION("""COMPUTED_VALUE"""),"REA-E5692")</f>
        <v>REA-E5692</v>
      </c>
      <c r="B1177" s="3">
        <f ca="1">IFERROR(__xludf.DUMMYFUNCTION("""COMPUTED_VALUE"""),41966)</f>
        <v>41966</v>
      </c>
      <c r="C1177" s="3">
        <f ca="1">IFERROR(__xludf.DUMMYFUNCTION("""COMPUTED_VALUE"""),5902557368594)</f>
        <v>5902557368594</v>
      </c>
      <c r="D1177" s="4" t="str">
        <f ca="1">IFERROR(__xludf.DUMMYFUNCTION("""COMPUTED_VALUE"""),"PRZYCISK DO STELAŻA PODTYNKOWEGO H GOLD")</f>
        <v>PRZYCISK DO STELAŻA PODTYNKOWEGO H GOLD</v>
      </c>
      <c r="E1177" s="31">
        <v>48.73170731707318</v>
      </c>
      <c r="F1177" s="31">
        <f t="shared" si="18"/>
        <v>59.940000000000012</v>
      </c>
    </row>
    <row r="1178" spans="1:6" ht="18.75" customHeight="1" x14ac:dyDescent="0.25">
      <c r="A1178" s="2" t="str">
        <f ca="1">IFERROR(__xludf.DUMMYFUNCTION("""COMPUTED_VALUE"""),"REA-E5695")</f>
        <v>REA-E5695</v>
      </c>
      <c r="B1178" s="3">
        <f ca="1">IFERROR(__xludf.DUMMYFUNCTION("""COMPUTED_VALUE"""),49468)</f>
        <v>49468</v>
      </c>
      <c r="C1178" s="3">
        <f ca="1">IFERROR(__xludf.DUMMYFUNCTION("""COMPUTED_VALUE"""),5902557383702)</f>
        <v>5902557383702</v>
      </c>
      <c r="D1178" s="4" t="str">
        <f ca="1">IFERROR(__xludf.DUMMYFUNCTION("""COMPUTED_VALUE"""),"PRZYCISK DO STELAŻA PODTYNKOWEGO H GUN GREY")</f>
        <v>PRZYCISK DO STELAŻA PODTYNKOWEGO H GUN GREY</v>
      </c>
      <c r="E1178" s="31">
        <v>27.073170731707322</v>
      </c>
      <c r="F1178" s="31">
        <f t="shared" si="18"/>
        <v>33.300000000000004</v>
      </c>
    </row>
    <row r="1179" spans="1:6" ht="18.75" customHeight="1" x14ac:dyDescent="0.25">
      <c r="A1179" s="2" t="str">
        <f ca="1">IFERROR(__xludf.DUMMYFUNCTION("""COMPUTED_VALUE"""),"REA-U8667")</f>
        <v>REA-U8667</v>
      </c>
      <c r="B1179" s="3">
        <f ca="1">IFERROR(__xludf.DUMMYFUNCTION("""COMPUTED_VALUE"""),43133)</f>
        <v>43133</v>
      </c>
      <c r="C1179" s="3">
        <f ca="1">IFERROR(__xludf.DUMMYFUNCTION("""COMPUTED_VALUE"""),5902557363612)</f>
        <v>5902557363612</v>
      </c>
      <c r="D1179" s="4" t="str">
        <f ca="1">IFERROR(__xludf.DUMMYFUNCTION("""COMPUTED_VALUE"""),"RAMA DO UMYWALKI GOYA 50")</f>
        <v>RAMA DO UMYWALKI GOYA 50</v>
      </c>
      <c r="E1179" s="31">
        <v>66.780487804878049</v>
      </c>
      <c r="F1179" s="31">
        <f t="shared" si="18"/>
        <v>82.14</v>
      </c>
    </row>
    <row r="1180" spans="1:6" ht="18.75" customHeight="1" x14ac:dyDescent="0.25">
      <c r="A1180" s="2" t="str">
        <f ca="1">IFERROR(__xludf.DUMMYFUNCTION("""COMPUTED_VALUE"""),"REA-U6534")</f>
        <v>REA-U6534</v>
      </c>
      <c r="B1180" s="3">
        <f ca="1">IFERROR(__xludf.DUMMYFUNCTION("""COMPUTED_VALUE"""),43134)</f>
        <v>43134</v>
      </c>
      <c r="C1180" s="3">
        <f ca="1">IFERROR(__xludf.DUMMYFUNCTION("""COMPUTED_VALUE"""),5902557363629)</f>
        <v>5902557363629</v>
      </c>
      <c r="D1180" s="4" t="str">
        <f ca="1">IFERROR(__xludf.DUMMYFUNCTION("""COMPUTED_VALUE"""),"RAMA DO UMYWALKI GOYA 60")</f>
        <v>RAMA DO UMYWALKI GOYA 60</v>
      </c>
      <c r="E1180" s="31">
        <v>73.097560975609767</v>
      </c>
      <c r="F1180" s="31">
        <f t="shared" si="18"/>
        <v>89.910000000000011</v>
      </c>
    </row>
    <row r="1181" spans="1:6" ht="18.75" customHeight="1" x14ac:dyDescent="0.25">
      <c r="A1181" s="2" t="str">
        <f ca="1">IFERROR(__xludf.DUMMYFUNCTION("""COMPUTED_VALUE"""),"REA-U8668")</f>
        <v>REA-U8668</v>
      </c>
      <c r="B1181" s="3">
        <f ca="1">IFERROR(__xludf.DUMMYFUNCTION("""COMPUTED_VALUE"""),43135)</f>
        <v>43135</v>
      </c>
      <c r="C1181" s="3">
        <f ca="1">IFERROR(__xludf.DUMMYFUNCTION("""COMPUTED_VALUE"""),5902557363636)</f>
        <v>5902557363636</v>
      </c>
      <c r="D1181" s="4" t="str">
        <f ca="1">IFERROR(__xludf.DUMMYFUNCTION("""COMPUTED_VALUE"""),"RAMA DO UMYWALKI GOYA 70")</f>
        <v>RAMA DO UMYWALKI GOYA 70</v>
      </c>
      <c r="E1181" s="31">
        <v>80.317073170731717</v>
      </c>
      <c r="F1181" s="31">
        <f t="shared" si="18"/>
        <v>98.79</v>
      </c>
    </row>
    <row r="1182" spans="1:6" ht="18.75" customHeight="1" x14ac:dyDescent="0.25">
      <c r="A1182" s="2" t="str">
        <f ca="1">IFERROR(__xludf.DUMMYFUNCTION("""COMPUTED_VALUE"""),"REA-P0082")</f>
        <v>REA-P0082</v>
      </c>
      <c r="B1182" s="3">
        <f ca="1">IFERROR(__xludf.DUMMYFUNCTION("""COMPUTED_VALUE"""),2233)</f>
        <v>2233</v>
      </c>
      <c r="C1182" s="3">
        <f ca="1">IFERROR(__xludf.DUMMYFUNCTION("""COMPUTED_VALUE"""),5902557320431)</f>
        <v>5902557320431</v>
      </c>
      <c r="D1182" s="4" t="str">
        <f ca="1">IFERROR(__xludf.DUMMYFUNCTION("""COMPUTED_VALUE"""),"RAMIĘ DESZCZOWNICY ŚCIENNE KWADRAT 35 cm")</f>
        <v>RAMIĘ DESZCZOWNICY ŚCIENNE KWADRAT 35 cm</v>
      </c>
      <c r="E1182" s="31">
        <v>17.146341463414636</v>
      </c>
      <c r="F1182" s="31">
        <f t="shared" si="18"/>
        <v>21.090000000000003</v>
      </c>
    </row>
    <row r="1183" spans="1:6" ht="18.75" customHeight="1" x14ac:dyDescent="0.25">
      <c r="A1183" s="2" t="str">
        <f ca="1">IFERROR(__xludf.DUMMYFUNCTION("""COMPUTED_VALUE"""),"REA-K5670")</f>
        <v>REA-K5670</v>
      </c>
      <c r="B1183" s="3">
        <f ca="1">IFERROR(__xludf.DUMMYFUNCTION("""COMPUTED_VALUE"""),50768)</f>
        <v>50768</v>
      </c>
      <c r="C1183" s="3">
        <f ca="1">IFERROR(__xludf.DUMMYFUNCTION("""COMPUTED_VALUE"""),5902557394258)</f>
        <v>5902557394258</v>
      </c>
      <c r="D1183" s="4" t="str">
        <f ca="1">IFERROR(__xludf.DUMMYFUNCTION("""COMPUTED_VALUE"""),"RAMIĘ DO RAPID PRZYŚCIENNEJ BLACK")</f>
        <v>RAMIĘ DO RAPID PRZYŚCIENNEJ BLACK</v>
      </c>
      <c r="E1183" s="31">
        <v>20.756097560975611</v>
      </c>
      <c r="F1183" s="31">
        <f t="shared" si="18"/>
        <v>25.53</v>
      </c>
    </row>
    <row r="1184" spans="1:6" ht="18.75" customHeight="1" x14ac:dyDescent="0.25">
      <c r="A1184" s="2" t="str">
        <f ca="1">IFERROR(__xludf.DUMMYFUNCTION("""COMPUTED_VALUE"""),"REA-K5699")</f>
        <v>REA-K5699</v>
      </c>
      <c r="B1184" s="3">
        <f ca="1">IFERROR(__xludf.DUMMYFUNCTION("""COMPUTED_VALUE"""),50769)</f>
        <v>50769</v>
      </c>
      <c r="C1184" s="3">
        <f ca="1">IFERROR(__xludf.DUMMYFUNCTION("""COMPUTED_VALUE"""),5902557394241)</f>
        <v>5902557394241</v>
      </c>
      <c r="D1184" s="4" t="str">
        <f ca="1">IFERROR(__xludf.DUMMYFUNCTION("""COMPUTED_VALUE"""),"RAMIĘ DO RAPID PRZYŚCIENNEJ CHROM")</f>
        <v>RAMIĘ DO RAPID PRZYŚCIENNEJ CHROM</v>
      </c>
      <c r="E1184" s="31">
        <v>20.756097560975611</v>
      </c>
      <c r="F1184" s="31">
        <f t="shared" si="18"/>
        <v>25.53</v>
      </c>
    </row>
    <row r="1185" spans="1:6" ht="18.75" customHeight="1" x14ac:dyDescent="0.25">
      <c r="A1185" s="2" t="str">
        <f ca="1">IFERROR(__xludf.DUMMYFUNCTION("""COMPUTED_VALUE"""),"REA-08542")</f>
        <v>REA-08542</v>
      </c>
      <c r="B1185" s="3">
        <f ca="1">IFERROR(__xludf.DUMMYFUNCTION("""COMPUTED_VALUE"""),52486)</f>
        <v>52486</v>
      </c>
      <c r="C1185" s="3">
        <f ca="1">IFERROR(__xludf.DUMMYFUNCTION("""COMPUTED_VALUE"""),5902557398911)</f>
        <v>5902557398911</v>
      </c>
      <c r="D1185" s="4" t="str">
        <f ca="1">IFERROR(__xludf.DUMMYFUNCTION("""COMPUTED_VALUE"""),"RAMIĘ DO RAPID PRZYŚCIENNEJ GOLD")</f>
        <v>RAMIĘ DO RAPID PRZYŚCIENNEJ GOLD</v>
      </c>
      <c r="E1185" s="31">
        <v>29.780487804878049</v>
      </c>
      <c r="F1185" s="31">
        <f t="shared" si="18"/>
        <v>36.630000000000003</v>
      </c>
    </row>
    <row r="1186" spans="1:6" ht="18.75" customHeight="1" x14ac:dyDescent="0.25">
      <c r="A1186" s="2" t="str">
        <f ca="1">IFERROR(__xludf.DUMMYFUNCTION("""COMPUTED_VALUE"""),"REA-K6130")</f>
        <v>REA-K6130</v>
      </c>
      <c r="B1186" s="3">
        <f ca="1">IFERROR(__xludf.DUMMYFUNCTION("""COMPUTED_VALUE"""),52828)</f>
        <v>52828</v>
      </c>
      <c r="C1186" s="3">
        <f ca="1">IFERROR(__xludf.DUMMYFUNCTION("""COMPUTED_VALUE"""),5906366004018)</f>
        <v>5906366004018</v>
      </c>
      <c r="D1186" s="4" t="str">
        <f ca="1">IFERROR(__xludf.DUMMYFUNCTION("""COMPUTED_VALUE"""),"RAMIĘ DO RAPID PRZYŚCIENNEJ GOLD BRUSH")</f>
        <v>RAMIĘ DO RAPID PRZYŚCIENNEJ GOLD BRUSH</v>
      </c>
      <c r="E1186" s="31">
        <v>29.780487804878049</v>
      </c>
      <c r="F1186" s="31">
        <f t="shared" si="18"/>
        <v>36.630000000000003</v>
      </c>
    </row>
    <row r="1187" spans="1:6" ht="18.75" customHeight="1" x14ac:dyDescent="0.25">
      <c r="A1187" s="2" t="str">
        <f ca="1">IFERROR(__xludf.DUMMYFUNCTION("""COMPUTED_VALUE"""),"REA-K5672")</f>
        <v>REA-K5672</v>
      </c>
      <c r="B1187" s="3"/>
      <c r="C1187" s="3"/>
      <c r="D1187" s="4" t="str">
        <f ca="1">IFERROR(__xludf.DUMMYFUNCTION("""COMPUTED_VALUE"""),"RAMIĘ WSPORNIK AERO BLACK")</f>
        <v>RAMIĘ WSPORNIK AERO BLACK</v>
      </c>
      <c r="E1187" s="31">
        <v>26.170731707317078</v>
      </c>
      <c r="F1187" s="31">
        <f t="shared" si="18"/>
        <v>32.190000000000005</v>
      </c>
    </row>
    <row r="1188" spans="1:6" ht="18.75" customHeight="1" x14ac:dyDescent="0.25">
      <c r="A1188" s="2" t="str">
        <f ca="1">IFERROR(__xludf.DUMMYFUNCTION("""COMPUTED_VALUE"""),"REA-K5674")</f>
        <v>REA-K5674</v>
      </c>
      <c r="B1188" s="3"/>
      <c r="C1188" s="3"/>
      <c r="D1188" s="4" t="str">
        <f ca="1">IFERROR(__xludf.DUMMYFUNCTION("""COMPUTED_VALUE"""),"RAMIĘ WSPORNIK AERO BRUSH GOLD")</f>
        <v>RAMIĘ WSPORNIK AERO BRUSH GOLD</v>
      </c>
      <c r="E1188" s="31">
        <v>29.780487804878049</v>
      </c>
      <c r="F1188" s="31">
        <f t="shared" si="18"/>
        <v>36.630000000000003</v>
      </c>
    </row>
    <row r="1189" spans="1:6" ht="18.75" customHeight="1" x14ac:dyDescent="0.25">
      <c r="A1189" s="2" t="str">
        <f ca="1">IFERROR(__xludf.DUMMYFUNCTION("""COMPUTED_VALUE"""),"REA-K5671")</f>
        <v>REA-K5671</v>
      </c>
      <c r="B1189" s="3"/>
      <c r="C1189" s="3"/>
      <c r="D1189" s="4" t="str">
        <f ca="1">IFERROR(__xludf.DUMMYFUNCTION("""COMPUTED_VALUE"""),"RAMIĘ WSPORNIK AERO CHROM")</f>
        <v>RAMIĘ WSPORNIK AERO CHROM</v>
      </c>
      <c r="E1189" s="31">
        <v>26.170731707317078</v>
      </c>
      <c r="F1189" s="31">
        <f t="shared" si="18"/>
        <v>32.190000000000005</v>
      </c>
    </row>
    <row r="1190" spans="1:6" ht="18.75" customHeight="1" x14ac:dyDescent="0.25">
      <c r="A1190" s="2" t="str">
        <f ca="1">IFERROR(__xludf.DUMMYFUNCTION("""COMPUTED_VALUE"""),"REA-K5673")</f>
        <v>REA-K5673</v>
      </c>
      <c r="B1190" s="3"/>
      <c r="C1190" s="3"/>
      <c r="D1190" s="4" t="str">
        <f ca="1">IFERROR(__xludf.DUMMYFUNCTION("""COMPUTED_VALUE"""),"RAMIĘ WSPORNIK AERO GOLD")</f>
        <v>RAMIĘ WSPORNIK AERO GOLD</v>
      </c>
      <c r="E1190" s="31">
        <v>29.780487804878049</v>
      </c>
      <c r="F1190" s="31">
        <f t="shared" si="18"/>
        <v>36.630000000000003</v>
      </c>
    </row>
    <row r="1191" spans="1:6" ht="18.75" customHeight="1" x14ac:dyDescent="0.25">
      <c r="A1191" s="2" t="str">
        <f ca="1">IFERROR(__xludf.DUMMYFUNCTION("""COMPUTED_VALUE"""),"REA-A0701")</f>
        <v>REA-A0701</v>
      </c>
      <c r="B1191" s="3">
        <f ca="1">IFERROR(__xludf.DUMMYFUNCTION("""COMPUTED_VALUE"""),7452)</f>
        <v>7452</v>
      </c>
      <c r="C1191" s="3">
        <f ca="1">IFERROR(__xludf.DUMMYFUNCTION("""COMPUTED_VALUE"""),5902557307036)</f>
        <v>5902557307036</v>
      </c>
      <c r="D1191" s="4" t="str">
        <f ca="1">IFERROR(__xludf.DUMMYFUNCTION("""COMPUTED_VALUE"""),"ROLKA DO KABINY PODWÓJNA GÓRNA")</f>
        <v>ROLKA DO KABINY PODWÓJNA GÓRNA</v>
      </c>
      <c r="E1191" s="31">
        <v>1.8048780487804879</v>
      </c>
      <c r="F1191" s="31">
        <f t="shared" si="18"/>
        <v>2.2200000000000002</v>
      </c>
    </row>
    <row r="1192" spans="1:6" ht="18.75" customHeight="1" x14ac:dyDescent="0.25">
      <c r="A1192" s="2" t="str">
        <f ca="1">IFERROR(__xludf.DUMMYFUNCTION("""COMPUTED_VALUE"""),"REA-A0700")</f>
        <v>REA-A0700</v>
      </c>
      <c r="B1192" s="3">
        <f ca="1">IFERROR(__xludf.DUMMYFUNCTION("""COMPUTED_VALUE"""),13276)</f>
        <v>13276</v>
      </c>
      <c r="C1192" s="3">
        <f ca="1">IFERROR(__xludf.DUMMYFUNCTION("""COMPUTED_VALUE"""),5902557307067)</f>
        <v>5902557307067</v>
      </c>
      <c r="D1192" s="4" t="str">
        <f ca="1">IFERROR(__xludf.DUMMYFUNCTION("""COMPUTED_VALUE"""),"ROLKA DO KABINY POJEDYŃCZA DOLNA")</f>
        <v>ROLKA DO KABINY POJEDYŃCZA DOLNA</v>
      </c>
      <c r="E1192" s="31">
        <v>0.90243902439024393</v>
      </c>
      <c r="F1192" s="31">
        <f t="shared" si="18"/>
        <v>1.1100000000000001</v>
      </c>
    </row>
    <row r="1193" spans="1:6" ht="18.75" customHeight="1" x14ac:dyDescent="0.25">
      <c r="A1193" s="2" t="str">
        <f ca="1">IFERROR(__xludf.DUMMYFUNCTION("""COMPUTED_VALUE"""),"REA-A0024")</f>
        <v>REA-A0024</v>
      </c>
      <c r="B1193" s="3">
        <f ca="1">IFERROR(__xludf.DUMMYFUNCTION("""COMPUTED_VALUE"""),13274)</f>
        <v>13274</v>
      </c>
      <c r="C1193" s="3">
        <f ca="1">IFERROR(__xludf.DUMMYFUNCTION("""COMPUTED_VALUE"""),5902557341382)</f>
        <v>5902557341382</v>
      </c>
      <c r="D1193" s="4" t="str">
        <f ca="1">IFERROR(__xludf.DUMMYFUNCTION("""COMPUTED_VALUE"""),"ROLKI DO KABIN KPL")</f>
        <v>ROLKI DO KABIN KPL</v>
      </c>
      <c r="E1193" s="31">
        <v>9.0243902439024399</v>
      </c>
      <c r="F1193" s="31">
        <f t="shared" si="18"/>
        <v>11.100000000000001</v>
      </c>
    </row>
    <row r="1194" spans="1:6" ht="18.75" customHeight="1" x14ac:dyDescent="0.25">
      <c r="A1194" s="2" t="str">
        <f ca="1">IFERROR(__xludf.DUMMYFUNCTION("""COMPUTED_VALUE"""),"REA-A0060")</f>
        <v>REA-A0060</v>
      </c>
      <c r="B1194" s="3">
        <f ca="1">IFERROR(__xludf.DUMMYFUNCTION("""COMPUTED_VALUE"""),42400)</f>
        <v>42400</v>
      </c>
      <c r="C1194" s="3"/>
      <c r="D1194" s="4" t="str">
        <f ca="1">IFERROR(__xludf.DUMMYFUNCTION("""COMPUTED_VALUE"""),"ROLKI DO KABIN KPL BLACK")</f>
        <v>ROLKI DO KABIN KPL BLACK</v>
      </c>
      <c r="E1194" s="31">
        <v>9.9268292682926838</v>
      </c>
      <c r="F1194" s="31">
        <f t="shared" si="18"/>
        <v>12.21</v>
      </c>
    </row>
    <row r="1195" spans="1:6" ht="18.75" customHeight="1" x14ac:dyDescent="0.25">
      <c r="A1195" s="2" t="str">
        <f ca="1">IFERROR(__xludf.DUMMYFUNCTION("""COMPUTED_VALUE"""),"REA-P4520")</f>
        <v>REA-P4520</v>
      </c>
      <c r="B1195" s="3">
        <f ca="1">IFERROR(__xludf.DUMMYFUNCTION("""COMPUTED_VALUE"""),41649)</f>
        <v>41649</v>
      </c>
      <c r="C1195" s="3">
        <f ca="1">IFERROR(__xludf.DUMMYFUNCTION("""COMPUTED_VALUE"""),5902557357161)</f>
        <v>5902557357161</v>
      </c>
      <c r="D1195" s="4" t="str">
        <f ca="1">IFERROR(__xludf.DUMMYFUNCTION("""COMPUTED_VALUE"""),"SŁUCHAWKA + WĄŻ + UCHWYT CHROM")</f>
        <v>SŁUCHAWKA + WĄŻ + UCHWYT CHROM</v>
      </c>
      <c r="E1195" s="31">
        <v>14.439024390243903</v>
      </c>
      <c r="F1195" s="31">
        <f t="shared" si="18"/>
        <v>17.760000000000002</v>
      </c>
    </row>
    <row r="1196" spans="1:6" ht="18.75" customHeight="1" x14ac:dyDescent="0.25">
      <c r="A1196" s="2" t="str">
        <f ca="1">IFERROR(__xludf.DUMMYFUNCTION("""COMPUTED_VALUE"""),"REA-P4101")</f>
        <v>REA-P4101</v>
      </c>
      <c r="B1196" s="3">
        <f ca="1">IFERROR(__xludf.DUMMYFUNCTION("""COMPUTED_VALUE"""),37977)</f>
        <v>37977</v>
      </c>
      <c r="C1196" s="3">
        <f ca="1">IFERROR(__xludf.DUMMYFUNCTION("""COMPUTED_VALUE"""),5902557349661)</f>
        <v>5902557349661</v>
      </c>
      <c r="D1196" s="4" t="str">
        <f ca="1">IFERROR(__xludf.DUMMYFUNCTION("""COMPUTED_VALUE"""),"SŁUCHAWKA + WĄŻ + UCHWYT CZARNY")</f>
        <v>SŁUCHAWKA + WĄŻ + UCHWYT CZARNY</v>
      </c>
      <c r="E1196" s="31">
        <v>14.439024390243903</v>
      </c>
      <c r="F1196" s="31">
        <f t="shared" si="18"/>
        <v>17.760000000000002</v>
      </c>
    </row>
    <row r="1197" spans="1:6" ht="18.75" customHeight="1" x14ac:dyDescent="0.25">
      <c r="A1197" s="2" t="str">
        <f ca="1">IFERROR(__xludf.DUMMYFUNCTION("""COMPUTED_VALUE"""),"REA-P8586")</f>
        <v>REA-P8586</v>
      </c>
      <c r="B1197" s="3">
        <f ca="1">IFERROR(__xludf.DUMMYFUNCTION("""COMPUTED_VALUE"""),41648)</f>
        <v>41648</v>
      </c>
      <c r="C1197" s="3">
        <f ca="1">IFERROR(__xludf.DUMMYFUNCTION("""COMPUTED_VALUE"""),5902557357178)</f>
        <v>5902557357178</v>
      </c>
      <c r="D1197" s="4" t="str">
        <f ca="1">IFERROR(__xludf.DUMMYFUNCTION("""COMPUTED_VALUE"""),"SŁUCHAWKA + WĄŻ + UCHWYT ECO POWER")</f>
        <v>SŁUCHAWKA + WĄŻ + UCHWYT ECO POWER</v>
      </c>
      <c r="E1197" s="31">
        <v>16.243902439024392</v>
      </c>
      <c r="F1197" s="31">
        <f t="shared" si="18"/>
        <v>19.98</v>
      </c>
    </row>
    <row r="1198" spans="1:6" ht="18.75" customHeight="1" x14ac:dyDescent="0.25">
      <c r="A1198" s="2" t="str">
        <f ca="1">IFERROR(__xludf.DUMMYFUNCTION("""COMPUTED_VALUE"""),"REA-P6637")</f>
        <v>REA-P6637</v>
      </c>
      <c r="B1198" s="3">
        <f ca="1">IFERROR(__xludf.DUMMYFUNCTION("""COMPUTED_VALUE"""),37999)</f>
        <v>37999</v>
      </c>
      <c r="C1198" s="3">
        <f ca="1">IFERROR(__xludf.DUMMYFUNCTION("""COMPUTED_VALUE"""),5902557349654)</f>
        <v>5902557349654</v>
      </c>
      <c r="D1198" s="4" t="str">
        <f ca="1">IFERROR(__xludf.DUMMYFUNCTION("""COMPUTED_VALUE"""),"SŁUCHAWKA + WĄŻ + UCHWYT ZŁOTY")</f>
        <v>SŁUCHAWKA + WĄŻ + UCHWYT ZŁOTY</v>
      </c>
      <c r="E1198" s="31">
        <v>16.243902439024392</v>
      </c>
      <c r="F1198" s="31">
        <f t="shared" si="18"/>
        <v>19.98</v>
      </c>
    </row>
    <row r="1199" spans="1:6" ht="18.75" customHeight="1" x14ac:dyDescent="0.25">
      <c r="A1199" s="2" t="str">
        <f ca="1">IFERROR(__xludf.DUMMYFUNCTION("""COMPUTED_VALUE"""),"REA-W0600")</f>
        <v>REA-W0600</v>
      </c>
      <c r="B1199" s="3">
        <f ca="1">IFERROR(__xludf.DUMMYFUNCTION("""COMPUTED_VALUE"""),38068)</f>
        <v>38068</v>
      </c>
      <c r="C1199" s="3">
        <f ca="1">IFERROR(__xludf.DUMMYFUNCTION("""COMPUTED_VALUE"""),5902557343362)</f>
        <v>5902557343362</v>
      </c>
      <c r="D1199" s="4" t="str">
        <f ca="1">IFERROR(__xludf.DUMMYFUNCTION("""COMPUTED_VALUE"""),"STELAŻ DEKORACYJNY DO WANNY MOLTO")</f>
        <v>STELAŻ DEKORACYJNY DO WANNY MOLTO</v>
      </c>
      <c r="E1199" s="31">
        <v>79.41463414634147</v>
      </c>
      <c r="F1199" s="31">
        <f t="shared" si="18"/>
        <v>97.68</v>
      </c>
    </row>
    <row r="1200" spans="1:6" ht="18.75" customHeight="1" x14ac:dyDescent="0.25">
      <c r="A1200" s="2" t="str">
        <f ca="1">IFERROR(__xludf.DUMMYFUNCTION("""COMPUTED_VALUE"""),"REA-E0009")</f>
        <v>REA-E0009</v>
      </c>
      <c r="B1200" s="3">
        <f ca="1">IFERROR(__xludf.DUMMYFUNCTION("""COMPUTED_VALUE"""),51035)</f>
        <v>51035</v>
      </c>
      <c r="C1200" s="3">
        <f ca="1">IFERROR(__xludf.DUMMYFUNCTION("""COMPUTED_VALUE"""),5902557396108)</f>
        <v>5902557396108</v>
      </c>
      <c r="D1200" s="4" t="str">
        <f ca="1">IFERROR(__xludf.DUMMYFUNCTION("""COMPUTED_VALUE"""),"STELAŻ PODTYNKOWY WC")</f>
        <v>STELAŻ PODTYNKOWY WC</v>
      </c>
      <c r="E1200" s="31">
        <v>138.07317073170734</v>
      </c>
      <c r="F1200" s="31">
        <f t="shared" si="18"/>
        <v>169.83</v>
      </c>
    </row>
    <row r="1201" spans="1:6" ht="18.75" customHeight="1" x14ac:dyDescent="0.25">
      <c r="A1201" s="2" t="str">
        <f ca="1">IFERROR(__xludf.DUMMYFUNCTION("""COMPUTED_VALUE"""),"REA-E3651")</f>
        <v>REA-E3651</v>
      </c>
      <c r="B1201" s="3">
        <f ca="1">IFERROR(__xludf.DUMMYFUNCTION("""COMPUTED_VALUE"""),35308)</f>
        <v>35308</v>
      </c>
      <c r="C1201" s="3">
        <f ca="1">IFERROR(__xludf.DUMMYFUNCTION("""COMPUTED_VALUE"""),5902557345052)</f>
        <v>5902557345052</v>
      </c>
      <c r="D1201" s="4" t="str">
        <f ca="1">IFERROR(__xludf.DUMMYFUNCTION("""COMPUTED_VALUE"""),"STELAŻ PODTYNKOWY WC E BLACK")</f>
        <v>STELAŻ PODTYNKOWY WC E BLACK</v>
      </c>
      <c r="E1201" s="31">
        <v>164.2439024390244</v>
      </c>
      <c r="F1201" s="31">
        <f t="shared" si="18"/>
        <v>202.02</v>
      </c>
    </row>
    <row r="1202" spans="1:6" ht="18.75" customHeight="1" x14ac:dyDescent="0.25">
      <c r="A1202" s="2" t="str">
        <f ca="1">IFERROR(__xludf.DUMMYFUNCTION("""COMPUTED_VALUE"""),"REA-E3652")</f>
        <v>REA-E3652</v>
      </c>
      <c r="B1202" s="3"/>
      <c r="C1202" s="3">
        <f ca="1">IFERROR(__xludf.DUMMYFUNCTION("""COMPUTED_VALUE"""),5902557345076)</f>
        <v>5902557345076</v>
      </c>
      <c r="D1202" s="4" t="str">
        <f ca="1">IFERROR(__xludf.DUMMYFUNCTION("""COMPUTED_VALUE"""),"STELAŻ PODTYNKOWY WC F BLACK")</f>
        <v>STELAŻ PODTYNKOWY WC F BLACK</v>
      </c>
      <c r="E1202" s="31">
        <v>195.82926829268297</v>
      </c>
      <c r="F1202" s="31">
        <f t="shared" si="18"/>
        <v>240.87000000000006</v>
      </c>
    </row>
    <row r="1203" spans="1:6" ht="18.75" customHeight="1" x14ac:dyDescent="0.25">
      <c r="A1203" s="2" t="str">
        <f ca="1">IFERROR(__xludf.DUMMYFUNCTION("""COMPUTED_VALUE"""),"REA-E0019")</f>
        <v>REA-E0019</v>
      </c>
      <c r="B1203" s="3"/>
      <c r="C1203" s="3">
        <f ca="1">IFERROR(__xludf.DUMMYFUNCTION("""COMPUTED_VALUE"""),5902557330829)</f>
        <v>5902557330829</v>
      </c>
      <c r="D1203" s="4" t="str">
        <f ca="1">IFERROR(__xludf.DUMMYFUNCTION("""COMPUTED_VALUE"""),"STELAŻ PODTYNKOWY WC F CHROM")</f>
        <v>STELAŻ PODTYNKOWY WC F CHROM</v>
      </c>
      <c r="E1203" s="31">
        <v>175.07317073170734</v>
      </c>
      <c r="F1203" s="31">
        <f t="shared" si="18"/>
        <v>215.34000000000003</v>
      </c>
    </row>
    <row r="1204" spans="1:6" ht="18.75" customHeight="1" x14ac:dyDescent="0.25">
      <c r="A1204" s="2" t="str">
        <f ca="1">IFERROR(__xludf.DUMMYFUNCTION("""COMPUTED_VALUE"""),"REA-E9851")</f>
        <v>REA-E9851</v>
      </c>
      <c r="B1204" s="3"/>
      <c r="C1204" s="3">
        <f ca="1">IFERROR(__xludf.DUMMYFUNCTION("""COMPUTED_VALUE"""),5902557351671)</f>
        <v>5902557351671</v>
      </c>
      <c r="D1204" s="4" t="str">
        <f ca="1">IFERROR(__xludf.DUMMYFUNCTION("""COMPUTED_VALUE"""),"STELAŻ PODTYNKOWY WC F GOLD")</f>
        <v>STELAŻ PODTYNKOWY WC F GOLD</v>
      </c>
      <c r="E1204" s="31">
        <v>191.31707317073173</v>
      </c>
      <c r="F1204" s="31">
        <f t="shared" si="18"/>
        <v>235.32000000000002</v>
      </c>
    </row>
    <row r="1205" spans="1:6" ht="18.75" customHeight="1" x14ac:dyDescent="0.25">
      <c r="A1205" s="2" t="str">
        <f ca="1">IFERROR(__xludf.DUMMYFUNCTION("""COMPUTED_VALUE"""),"REA-E3650")</f>
        <v>REA-E3650</v>
      </c>
      <c r="B1205" s="3"/>
      <c r="C1205" s="3">
        <f ca="1">IFERROR(__xludf.DUMMYFUNCTION("""COMPUTED_VALUE"""),5902557345045)</f>
        <v>5902557345045</v>
      </c>
      <c r="D1205" s="4" t="str">
        <f ca="1">IFERROR(__xludf.DUMMYFUNCTION("""COMPUTED_VALUE"""),"STELAŻ PODTYNKOWY WC H BLACK")</f>
        <v>STELAŻ PODTYNKOWY WC H BLACK</v>
      </c>
      <c r="E1205" s="31">
        <v>169.65853658536588</v>
      </c>
      <c r="F1205" s="31">
        <f t="shared" si="18"/>
        <v>208.68000000000004</v>
      </c>
    </row>
    <row r="1206" spans="1:6" ht="18.75" customHeight="1" x14ac:dyDescent="0.25">
      <c r="A1206" s="2" t="str">
        <f ca="1">IFERROR(__xludf.DUMMYFUNCTION("""COMPUTED_VALUE"""),"REA-E0014")</f>
        <v>REA-E0014</v>
      </c>
      <c r="B1206" s="3"/>
      <c r="C1206" s="3">
        <f ca="1">IFERROR(__xludf.DUMMYFUNCTION("""COMPUTED_VALUE"""),5902557305605)</f>
        <v>5902557305605</v>
      </c>
      <c r="D1206" s="4" t="str">
        <f ca="1">IFERROR(__xludf.DUMMYFUNCTION("""COMPUTED_VALUE"""),"STELAŻ PODTYNKOWY WC H CHROM")</f>
        <v>STELAŻ PODTYNKOWY WC H CHROM</v>
      </c>
      <c r="E1206" s="31">
        <v>175.07317073170734</v>
      </c>
      <c r="F1206" s="31">
        <f t="shared" si="18"/>
        <v>215.34000000000003</v>
      </c>
    </row>
    <row r="1207" spans="1:6" ht="18.75" customHeight="1" x14ac:dyDescent="0.25">
      <c r="A1207" s="2" t="str">
        <f ca="1">IFERROR(__xludf.DUMMYFUNCTION("""COMPUTED_VALUE"""),"REA-E9863")</f>
        <v>REA-E9863</v>
      </c>
      <c r="B1207" s="3"/>
      <c r="C1207" s="3">
        <f ca="1">IFERROR(__xludf.DUMMYFUNCTION("""COMPUTED_VALUE"""),5902557357048)</f>
        <v>5902557357048</v>
      </c>
      <c r="D1207" s="4" t="str">
        <f ca="1">IFERROR(__xludf.DUMMYFUNCTION("""COMPUTED_VALUE"""),"STELAŻ PODTYNKOWY WC H GOLD")</f>
        <v>STELAŻ PODTYNKOWY WC H GOLD</v>
      </c>
      <c r="E1207" s="31">
        <v>214.78048780487808</v>
      </c>
      <c r="F1207" s="31">
        <f t="shared" si="18"/>
        <v>264.18</v>
      </c>
    </row>
    <row r="1208" spans="1:6" ht="18.75" customHeight="1" x14ac:dyDescent="0.25">
      <c r="A1208" s="2" t="str">
        <f ca="1">IFERROR(__xludf.DUMMYFUNCTION("""COMPUTED_VALUE"""),"SYF-00100")</f>
        <v>SYF-00100</v>
      </c>
      <c r="B1208" s="3">
        <f ca="1">IFERROR(__xludf.DUMMYFUNCTION("""COMPUTED_VALUE"""),47694)</f>
        <v>47694</v>
      </c>
      <c r="C1208" s="3">
        <f ca="1">IFERROR(__xludf.DUMMYFUNCTION("""COMPUTED_VALUE"""),5902557378098)</f>
        <v>5902557378098</v>
      </c>
      <c r="D1208" s="4" t="str">
        <f ca="1">IFERROR(__xludf.DUMMYFUNCTION("""COMPUTED_VALUE"""),"SYFON 1-KOMOROWY ZŁOTY BR-001-AU")</f>
        <v>SYFON 1-KOMOROWY ZŁOTY BR-001-AU</v>
      </c>
      <c r="E1208" s="31">
        <v>40.609756097560982</v>
      </c>
      <c r="F1208" s="31">
        <f t="shared" si="18"/>
        <v>49.95000000000001</v>
      </c>
    </row>
    <row r="1209" spans="1:6" ht="18.75" customHeight="1" x14ac:dyDescent="0.25">
      <c r="A1209" s="2" t="str">
        <f ca="1">IFERROR(__xludf.DUMMYFUNCTION("""COMPUTED_VALUE"""),"SYF-00101")</f>
        <v>SYF-00101</v>
      </c>
      <c r="B1209" s="3">
        <f ca="1">IFERROR(__xludf.DUMMYFUNCTION("""COMPUTED_VALUE"""),47660)</f>
        <v>47660</v>
      </c>
      <c r="C1209" s="3">
        <f ca="1">IFERROR(__xludf.DUMMYFUNCTION("""COMPUTED_VALUE"""),5902557378104)</f>
        <v>5902557378104</v>
      </c>
      <c r="D1209" s="4" t="str">
        <f ca="1">IFERROR(__xludf.DUMMYFUNCTION("""COMPUTED_VALUE"""),"SYFON 2-KOMOROWY ZŁOTY BR-002-AU")</f>
        <v>SYFON 2-KOMOROWY ZŁOTY BR-002-AU</v>
      </c>
      <c r="E1209" s="31">
        <v>66.780487804878049</v>
      </c>
      <c r="F1209" s="31">
        <f t="shared" si="18"/>
        <v>82.14</v>
      </c>
    </row>
    <row r="1210" spans="1:6" ht="18.75" customHeight="1" x14ac:dyDescent="0.25">
      <c r="A1210" s="2" t="str">
        <f ca="1">IFERROR(__xludf.DUMMYFUNCTION("""COMPUTED_VALUE"""),"REA-A0524")</f>
        <v>REA-A0524</v>
      </c>
      <c r="B1210" s="3">
        <f ca="1">IFERROR(__xludf.DUMMYFUNCTION("""COMPUTED_VALUE"""),26270)</f>
        <v>26270</v>
      </c>
      <c r="C1210" s="3">
        <f ca="1">IFERROR(__xludf.DUMMYFUNCTION("""COMPUTED_VALUE"""),5902557335107)</f>
        <v>5902557335107</v>
      </c>
      <c r="D1210" s="4" t="str">
        <f ca="1">IFERROR(__xludf.DUMMYFUNCTION("""COMPUTED_VALUE"""),"SYFON KLIK-KLAK OLD BLACK BEZ PRZELEWU")</f>
        <v>SYFON KLIK-KLAK OLD BLACK BEZ PRZELEWU</v>
      </c>
      <c r="E1210" s="31">
        <v>41.512195121951223</v>
      </c>
      <c r="F1210" s="31">
        <f t="shared" si="18"/>
        <v>51.06</v>
      </c>
    </row>
    <row r="1211" spans="1:6" ht="18.75" customHeight="1" x14ac:dyDescent="0.25">
      <c r="A1211" s="2" t="str">
        <f ca="1">IFERROR(__xludf.DUMMYFUNCTION("""COMPUTED_VALUE"""),"REA-A6952")</f>
        <v>REA-A6952</v>
      </c>
      <c r="B1211" s="3">
        <f ca="1">IFERROR(__xludf.DUMMYFUNCTION("""COMPUTED_VALUE"""),43623)</f>
        <v>43623</v>
      </c>
      <c r="C1211" s="3">
        <f ca="1">IFERROR(__xludf.DUMMYFUNCTION("""COMPUTED_VALUE"""),5902557368334)</f>
        <v>5902557368334</v>
      </c>
      <c r="D1211" s="4" t="str">
        <f ca="1">IFERROR(__xludf.DUMMYFUNCTION("""COMPUTED_VALUE"""),"SYFON KLIK-KLAK UNIWERSALNY BIAŁY")</f>
        <v>SYFON KLIK-KLAK UNIWERSALNY BIAŁY</v>
      </c>
      <c r="E1211" s="31">
        <v>49.634146341463421</v>
      </c>
      <c r="F1211" s="31">
        <f t="shared" si="18"/>
        <v>61.050000000000004</v>
      </c>
    </row>
    <row r="1212" spans="1:6" ht="18.75" customHeight="1" x14ac:dyDescent="0.25">
      <c r="A1212" s="2" t="str">
        <f ca="1">IFERROR(__xludf.DUMMYFUNCTION("""COMPUTED_VALUE"""),"REA-A5693")</f>
        <v>REA-A5693</v>
      </c>
      <c r="B1212" s="3">
        <f ca="1">IFERROR(__xludf.DUMMYFUNCTION("""COMPUTED_VALUE"""),37421)</f>
        <v>37421</v>
      </c>
      <c r="C1212" s="3">
        <f ca="1">IFERROR(__xludf.DUMMYFUNCTION("""COMPUTED_VALUE"""),5902557349548)</f>
        <v>5902557349548</v>
      </c>
      <c r="D1212" s="4" t="str">
        <f ca="1">IFERROR(__xludf.DUMMYFUNCTION("""COMPUTED_VALUE"""),"SYFON KLIK-KLAK UNIWERSALNY CHROM")</f>
        <v>SYFON KLIK-KLAK UNIWERSALNY CHROM</v>
      </c>
      <c r="E1212" s="31">
        <v>36.09756097560976</v>
      </c>
      <c r="F1212" s="31">
        <f t="shared" si="18"/>
        <v>44.400000000000006</v>
      </c>
    </row>
    <row r="1213" spans="1:6" ht="18.75" customHeight="1" x14ac:dyDescent="0.25">
      <c r="A1213" s="2" t="str">
        <f ca="1">IFERROR(__xludf.DUMMYFUNCTION("""COMPUTED_VALUE"""),"REA-A5215")</f>
        <v>REA-A5215</v>
      </c>
      <c r="B1213" s="3">
        <f ca="1">IFERROR(__xludf.DUMMYFUNCTION("""COMPUTED_VALUE"""),35489)</f>
        <v>35489</v>
      </c>
      <c r="C1213" s="3">
        <f ca="1">IFERROR(__xludf.DUMMYFUNCTION("""COMPUTED_VALUE"""),5902557345298)</f>
        <v>5902557345298</v>
      </c>
      <c r="D1213" s="4" t="str">
        <f ca="1">IFERROR(__xludf.DUMMYFUNCTION("""COMPUTED_VALUE"""),"SYFON KLIK-KLAK UNIWERSALNY CZARNY")</f>
        <v>SYFON KLIK-KLAK UNIWERSALNY CZARNY</v>
      </c>
      <c r="E1213" s="31">
        <v>41.512195121951223</v>
      </c>
      <c r="F1213" s="31">
        <f t="shared" si="18"/>
        <v>51.06</v>
      </c>
    </row>
    <row r="1214" spans="1:6" ht="18.75" customHeight="1" x14ac:dyDescent="0.25">
      <c r="A1214" s="2" t="str">
        <f ca="1">IFERROR(__xludf.DUMMYFUNCTION("""COMPUTED_VALUE"""),"REA-A8536")</f>
        <v>REA-A8536</v>
      </c>
      <c r="B1214" s="3">
        <f ca="1">IFERROR(__xludf.DUMMYFUNCTION("""COMPUTED_VALUE"""),40322)</f>
        <v>40322</v>
      </c>
      <c r="C1214" s="3">
        <f ca="1">IFERROR(__xludf.DUMMYFUNCTION("""COMPUTED_VALUE"""),5902557356355)</f>
        <v>5902557356355</v>
      </c>
      <c r="D1214" s="4" t="str">
        <f ca="1">IFERROR(__xludf.DUMMYFUNCTION("""COMPUTED_VALUE"""),"SYFON KLIK-KLAK UNIWERSALNY CZARNY PRZECIERANY")</f>
        <v>SYFON KLIK-KLAK UNIWERSALNY CZARNY PRZECIERANY</v>
      </c>
      <c r="E1214" s="31">
        <v>59.560975609756099</v>
      </c>
      <c r="F1214" s="31">
        <f t="shared" si="18"/>
        <v>73.260000000000005</v>
      </c>
    </row>
    <row r="1215" spans="1:6" ht="18.75" customHeight="1" x14ac:dyDescent="0.25">
      <c r="A1215" s="2" t="str">
        <f ca="1">IFERROR(__xludf.DUMMYFUNCTION("""COMPUTED_VALUE"""),"REA-A4400")</f>
        <v>REA-A4400</v>
      </c>
      <c r="B1215" s="3">
        <f ca="1">IFERROR(__xludf.DUMMYFUNCTION("""COMPUTED_VALUE"""),52445)</f>
        <v>52445</v>
      </c>
      <c r="C1215" s="3">
        <f ca="1">IFERROR(__xludf.DUMMYFUNCTION("""COMPUTED_VALUE"""),5902557396085)</f>
        <v>5902557396085</v>
      </c>
      <c r="D1215" s="4" t="str">
        <f ca="1">IFERROR(__xludf.DUMMYFUNCTION("""COMPUTED_VALUE"""),"SYFON KLIK-KLAK UNIWERSALNY NIKIEL SZCZOTKOWANY")</f>
        <v>SYFON KLIK-KLAK UNIWERSALNY NIKIEL SZCZOTKOWANY</v>
      </c>
      <c r="E1215" s="31">
        <v>55.048780487804883</v>
      </c>
      <c r="F1215" s="31">
        <f t="shared" si="18"/>
        <v>67.710000000000008</v>
      </c>
    </row>
    <row r="1216" spans="1:6" ht="18.75" customHeight="1" x14ac:dyDescent="0.25">
      <c r="A1216" s="2" t="str">
        <f ca="1">IFERROR(__xludf.DUMMYFUNCTION("""COMPUTED_VALUE"""),"REA-A8541")</f>
        <v>REA-A8541</v>
      </c>
      <c r="B1216" s="3">
        <f ca="1">IFERROR(__xludf.DUMMYFUNCTION("""COMPUTED_VALUE"""),35318)</f>
        <v>35318</v>
      </c>
      <c r="C1216" s="3">
        <f ca="1">IFERROR(__xludf.DUMMYFUNCTION("""COMPUTED_VALUE"""),5902557345311)</f>
        <v>5902557345311</v>
      </c>
      <c r="D1216" s="4" t="str">
        <f ca="1">IFERROR(__xludf.DUMMYFUNCTION("""COMPUTED_VALUE"""),"SYFON KLIK-KLAK UNIWERSALNY RÓŻOWE ZŁOTO")</f>
        <v>SYFON KLIK-KLAK UNIWERSALNY RÓŻOWE ZŁOTO</v>
      </c>
      <c r="E1216" s="31">
        <v>49.634146341463421</v>
      </c>
      <c r="F1216" s="31">
        <f t="shared" si="18"/>
        <v>61.050000000000004</v>
      </c>
    </row>
    <row r="1217" spans="1:6" ht="18.75" customHeight="1" x14ac:dyDescent="0.25">
      <c r="A1217" s="2" t="str">
        <f ca="1">IFERROR(__xludf.DUMMYFUNCTION("""COMPUTED_VALUE"""),"REA-A5692")</f>
        <v>REA-A5692</v>
      </c>
      <c r="B1217" s="3">
        <f ca="1">IFERROR(__xludf.DUMMYFUNCTION("""COMPUTED_VALUE"""),35317)</f>
        <v>35317</v>
      </c>
      <c r="C1217" s="3">
        <f ca="1">IFERROR(__xludf.DUMMYFUNCTION("""COMPUTED_VALUE"""),5902557345304)</f>
        <v>5902557345304</v>
      </c>
      <c r="D1217" s="4" t="str">
        <f ca="1">IFERROR(__xludf.DUMMYFUNCTION("""COMPUTED_VALUE"""),"SYFON KLIK-KLAK UNIWERSALNY ZŁOTY")</f>
        <v>SYFON KLIK-KLAK UNIWERSALNY ZŁOTY</v>
      </c>
      <c r="E1217" s="31">
        <v>57.756097560975611</v>
      </c>
      <c r="F1217" s="31">
        <f t="shared" si="18"/>
        <v>71.040000000000006</v>
      </c>
    </row>
    <row r="1218" spans="1:6" ht="18.75" customHeight="1" x14ac:dyDescent="0.25">
      <c r="A1218" s="2" t="str">
        <f ca="1">IFERROR(__xludf.DUMMYFUNCTION("""COMPUTED_VALUE"""),"REA-A8586")</f>
        <v>REA-A8586</v>
      </c>
      <c r="B1218" s="3">
        <f ca="1">IFERROR(__xludf.DUMMYFUNCTION("""COMPUTED_VALUE"""),42906)</f>
        <v>42906</v>
      </c>
      <c r="C1218" s="3">
        <f ca="1">IFERROR(__xludf.DUMMYFUNCTION("""COMPUTED_VALUE"""),5902557364046)</f>
        <v>5902557364046</v>
      </c>
      <c r="D1218" s="4" t="str">
        <f ca="1">IFERROR(__xludf.DUMMYFUNCTION("""COMPUTED_VALUE"""),"SYFON KLIK-KLAK UNIWERSALNY ZŁOTY SZCZOTKOWANY")</f>
        <v>SYFON KLIK-KLAK UNIWERSALNY ZŁOTY SZCZOTKOWANY</v>
      </c>
      <c r="E1218" s="31">
        <v>62.268292682926841</v>
      </c>
      <c r="F1218" s="31">
        <f t="shared" si="18"/>
        <v>76.590000000000018</v>
      </c>
    </row>
    <row r="1219" spans="1:6" ht="18.75" customHeight="1" x14ac:dyDescent="0.25">
      <c r="A1219" s="2" t="str">
        <f ca="1">IFERROR(__xludf.DUMMYFUNCTION("""COMPUTED_VALUE"""),"REA-A8740")</f>
        <v>REA-A8740</v>
      </c>
      <c r="B1219" s="3">
        <f ca="1">IFERROR(__xludf.DUMMYFUNCTION("""COMPUTED_VALUE"""),50940)</f>
        <v>50940</v>
      </c>
      <c r="C1219" s="3">
        <f ca="1">IFERROR(__xludf.DUMMYFUNCTION("""COMPUTED_VALUE"""),5902557395781)</f>
        <v>5902557395781</v>
      </c>
      <c r="D1219" s="4" t="str">
        <f ca="1">IFERROR(__xludf.DUMMYFUNCTION("""COMPUTED_VALUE"""),"SYFON NISKI DO BRODZIKA WP-02")</f>
        <v>SYFON NISKI DO BRODZIKA WP-02</v>
      </c>
      <c r="E1219" s="31">
        <v>9.9268292682926838</v>
      </c>
      <c r="F1219" s="31">
        <f t="shared" ref="F1219:F1282" si="19">E1219*1.23</f>
        <v>12.21</v>
      </c>
    </row>
    <row r="1220" spans="1:6" ht="18.75" customHeight="1" x14ac:dyDescent="0.25">
      <c r="A1220" s="2" t="str">
        <f ca="1">IFERROR(__xludf.DUMMYFUNCTION("""COMPUTED_VALUE"""),"REA-00694")</f>
        <v>REA-00694</v>
      </c>
      <c r="B1220" s="3"/>
      <c r="C1220" s="3"/>
      <c r="D1220" s="4" t="str">
        <f ca="1">IFERROR(__xludf.DUMMYFUNCTION("""COMPUTED_VALUE"""),"SYFON WANNOWY KLIK-KLAK CHROM S2026 DO KORFU")</f>
        <v>SYFON WANNOWY KLIK-KLAK CHROM S2026 DO KORFU</v>
      </c>
      <c r="E1220" s="31">
        <v>37.000000000000007</v>
      </c>
      <c r="F1220" s="31">
        <f t="shared" si="19"/>
        <v>45.510000000000005</v>
      </c>
    </row>
    <row r="1221" spans="1:6" ht="18.75" customHeight="1" x14ac:dyDescent="0.25">
      <c r="A1221" s="2" t="str">
        <f ca="1">IFERROR(__xludf.DUMMYFUNCTION("""COMPUTED_VALUE"""),"REA-K1303")</f>
        <v>REA-K1303</v>
      </c>
      <c r="B1221" s="3">
        <f ca="1">IFERROR(__xludf.DUMMYFUNCTION("""COMPUTED_VALUE"""),19416)</f>
        <v>19416</v>
      </c>
      <c r="C1221" s="3">
        <f ca="1">IFERROR(__xludf.DUMMYFUNCTION("""COMPUTED_VALUE"""),5902557332410)</f>
        <v>5902557332410</v>
      </c>
      <c r="D1221" s="4" t="str">
        <f ca="1">IFERROR(__xludf.DUMMYFUNCTION("""COMPUTED_VALUE"""),"ŚCIANKA  PRYSZNICOWA BEST 100")</f>
        <v>ŚCIANKA  PRYSZNICOWA BEST 100</v>
      </c>
      <c r="E1221" s="31">
        <v>113.70731707317074</v>
      </c>
      <c r="F1221" s="31">
        <f t="shared" si="19"/>
        <v>139.86000000000001</v>
      </c>
    </row>
    <row r="1222" spans="1:6" ht="18.75" customHeight="1" x14ac:dyDescent="0.25">
      <c r="A1222" s="2" t="str">
        <f ca="1">IFERROR(__xludf.DUMMYFUNCTION("""COMPUTED_VALUE"""),"REA-K1308")</f>
        <v>REA-K1308</v>
      </c>
      <c r="B1222" s="3">
        <f ca="1">IFERROR(__xludf.DUMMYFUNCTION("""COMPUTED_VALUE"""),19411)</f>
        <v>19411</v>
      </c>
      <c r="C1222" s="3">
        <f ca="1">IFERROR(__xludf.DUMMYFUNCTION("""COMPUTED_VALUE"""),5902557332397)</f>
        <v>5902557332397</v>
      </c>
      <c r="D1222" s="4" t="str">
        <f ca="1">IFERROR(__xludf.DUMMYFUNCTION("""COMPUTED_VALUE"""),"ŚCIANKA  PRYSZNICOWA BEST 80")</f>
        <v>ŚCIANKA  PRYSZNICOWA BEST 80</v>
      </c>
      <c r="E1222" s="31">
        <v>103.78048780487806</v>
      </c>
      <c r="F1222" s="31">
        <f t="shared" si="19"/>
        <v>127.65000000000002</v>
      </c>
    </row>
    <row r="1223" spans="1:6" ht="18.75" customHeight="1" x14ac:dyDescent="0.25">
      <c r="A1223" s="2" t="str">
        <f ca="1">IFERROR(__xludf.DUMMYFUNCTION("""COMPUTED_VALUE"""),"REA-K1309")</f>
        <v>REA-K1309</v>
      </c>
      <c r="B1223" s="3">
        <f ca="1">IFERROR(__xludf.DUMMYFUNCTION("""COMPUTED_VALUE"""),19415)</f>
        <v>19415</v>
      </c>
      <c r="C1223" s="3">
        <f ca="1">IFERROR(__xludf.DUMMYFUNCTION("""COMPUTED_VALUE"""),5902557332403)</f>
        <v>5902557332403</v>
      </c>
      <c r="D1223" s="4" t="str">
        <f ca="1">IFERROR(__xludf.DUMMYFUNCTION("""COMPUTED_VALUE"""),"ŚCIANKA  PRYSZNICOWA BEST 90")</f>
        <v>ŚCIANKA  PRYSZNICOWA BEST 90</v>
      </c>
      <c r="E1223" s="31">
        <v>115.51219512195122</v>
      </c>
      <c r="F1223" s="31">
        <f t="shared" si="19"/>
        <v>142.08000000000001</v>
      </c>
    </row>
    <row r="1224" spans="1:6" ht="18.75" customHeight="1" x14ac:dyDescent="0.25">
      <c r="A1224" s="2" t="str">
        <f ca="1">IFERROR(__xludf.DUMMYFUNCTION("""COMPUTED_VALUE"""),"REA-K5014")</f>
        <v>REA-K5014</v>
      </c>
      <c r="B1224" s="3">
        <f ca="1">IFERROR(__xludf.DUMMYFUNCTION("""COMPUTED_VALUE"""),7116)</f>
        <v>7116</v>
      </c>
      <c r="C1224" s="3">
        <f ca="1">IFERROR(__xludf.DUMMYFUNCTION("""COMPUTED_VALUE"""),5902557335152)</f>
        <v>5902557335152</v>
      </c>
      <c r="D1224" s="4" t="str">
        <f ca="1">IFERROR(__xludf.DUMMYFUNCTION("""COMPUTED_VALUE"""),"ŚCIANKA DO KABINY NIXON-2 CHROM 100")</f>
        <v>ŚCIANKA DO KABINY NIXON-2 CHROM 100</v>
      </c>
      <c r="E1224" s="31">
        <v>185</v>
      </c>
      <c r="F1224" s="31">
        <f t="shared" si="19"/>
        <v>227.54999999999998</v>
      </c>
    </row>
    <row r="1225" spans="1:6" ht="18.75" customHeight="1" x14ac:dyDescent="0.25">
      <c r="A1225" s="2" t="str">
        <f ca="1">IFERROR(__xludf.DUMMYFUNCTION("""COMPUTED_VALUE"""),"REA-K5010")</f>
        <v>REA-K5010</v>
      </c>
      <c r="B1225" s="3">
        <f ca="1">IFERROR(__xludf.DUMMYFUNCTION("""COMPUTED_VALUE"""),7114)</f>
        <v>7114</v>
      </c>
      <c r="C1225" s="3">
        <f ca="1">IFERROR(__xludf.DUMMYFUNCTION("""COMPUTED_VALUE"""),5902557326648)</f>
        <v>5902557326648</v>
      </c>
      <c r="D1225" s="4" t="str">
        <f ca="1">IFERROR(__xludf.DUMMYFUNCTION("""COMPUTED_VALUE"""),"ŚCIANKA DO KABINY NIXON-2 CHROM 80")</f>
        <v>ŚCIANKA DO KABINY NIXON-2 CHROM 80</v>
      </c>
      <c r="E1225" s="31">
        <v>122.73170731707319</v>
      </c>
      <c r="F1225" s="31">
        <f t="shared" si="19"/>
        <v>150.96</v>
      </c>
    </row>
    <row r="1226" spans="1:6" ht="18.75" customHeight="1" x14ac:dyDescent="0.25">
      <c r="A1226" s="2" t="str">
        <f ca="1">IFERROR(__xludf.DUMMYFUNCTION("""COMPUTED_VALUE"""),"REA-K5011")</f>
        <v>REA-K5011</v>
      </c>
      <c r="B1226" s="3">
        <f ca="1">IFERROR(__xludf.DUMMYFUNCTION("""COMPUTED_VALUE"""),7115)</f>
        <v>7115</v>
      </c>
      <c r="C1226" s="3">
        <f ca="1">IFERROR(__xludf.DUMMYFUNCTION("""COMPUTED_VALUE"""),5902557326655)</f>
        <v>5902557326655</v>
      </c>
      <c r="D1226" s="4" t="str">
        <f ca="1">IFERROR(__xludf.DUMMYFUNCTION("""COMPUTED_VALUE"""),"ŚCIANKA DO KABINY NIXON-2 CHROM 90")</f>
        <v>ŚCIANKA DO KABINY NIXON-2 CHROM 90</v>
      </c>
      <c r="E1226" s="31">
        <v>138.07317073170734</v>
      </c>
      <c r="F1226" s="31">
        <f t="shared" si="19"/>
        <v>169.83</v>
      </c>
    </row>
    <row r="1227" spans="1:6" ht="18.75" customHeight="1" x14ac:dyDescent="0.25">
      <c r="A1227" s="2" t="str">
        <f ca="1">IFERROR(__xludf.DUMMYFUNCTION("""COMPUTED_VALUE"""),"REA-K6632")</f>
        <v>REA-K6632</v>
      </c>
      <c r="B1227" s="3">
        <f ca="1">IFERROR(__xludf.DUMMYFUNCTION("""COMPUTED_VALUE"""),54167)</f>
        <v>54167</v>
      </c>
      <c r="C1227" s="3">
        <f ca="1">IFERROR(__xludf.DUMMYFUNCTION("""COMPUTED_VALUE"""),5906366006593)</f>
        <v>5906366006593</v>
      </c>
      <c r="D1227" s="4" t="str">
        <f ca="1">IFERROR(__xludf.DUMMYFUNCTION("""COMPUTED_VALUE"""),"ŚCIANKA MONTANA BRUSH GOLD 100")</f>
        <v>ŚCIANKA MONTANA BRUSH GOLD 100</v>
      </c>
      <c r="E1227" s="31">
        <v>120.02439024390245</v>
      </c>
      <c r="F1227" s="31">
        <f t="shared" si="19"/>
        <v>147.63</v>
      </c>
    </row>
    <row r="1228" spans="1:6" ht="18.75" customHeight="1" x14ac:dyDescent="0.25">
      <c r="A1228" s="2" t="str">
        <f ca="1">IFERROR(__xludf.DUMMYFUNCTION("""COMPUTED_VALUE"""),"REA-K6633")</f>
        <v>REA-K6633</v>
      </c>
      <c r="B1228" s="3">
        <f ca="1">IFERROR(__xludf.DUMMYFUNCTION("""COMPUTED_VALUE"""),54165)</f>
        <v>54165</v>
      </c>
      <c r="C1228" s="3">
        <f ca="1">IFERROR(__xludf.DUMMYFUNCTION("""COMPUTED_VALUE"""),5906366006579)</f>
        <v>5906366006579</v>
      </c>
      <c r="D1228" s="4" t="str">
        <f ca="1">IFERROR(__xludf.DUMMYFUNCTION("""COMPUTED_VALUE"""),"ŚCIANKA MONTANA BRUSH GOLD 80")</f>
        <v>ŚCIANKA MONTANA BRUSH GOLD 80</v>
      </c>
      <c r="E1228" s="31">
        <v>109.19512195121952</v>
      </c>
      <c r="F1228" s="31">
        <f t="shared" si="19"/>
        <v>134.31</v>
      </c>
    </row>
    <row r="1229" spans="1:6" ht="18.75" customHeight="1" x14ac:dyDescent="0.25">
      <c r="A1229" s="2" t="str">
        <f ca="1">IFERROR(__xludf.DUMMYFUNCTION("""COMPUTED_VALUE"""),"REA-K6634")</f>
        <v>REA-K6634</v>
      </c>
      <c r="B1229" s="3">
        <f ca="1">IFERROR(__xludf.DUMMYFUNCTION("""COMPUTED_VALUE"""),54166)</f>
        <v>54166</v>
      </c>
      <c r="C1229" s="3">
        <f ca="1">IFERROR(__xludf.DUMMYFUNCTION("""COMPUTED_VALUE"""),5906366006586)</f>
        <v>5906366006586</v>
      </c>
      <c r="D1229" s="4" t="str">
        <f ca="1">IFERROR(__xludf.DUMMYFUNCTION("""COMPUTED_VALUE"""),"ŚCIANKA MONTANA BRUSH GOLD 90")</f>
        <v>ŚCIANKA MONTANA BRUSH GOLD 90</v>
      </c>
      <c r="E1229" s="31">
        <v>113.70731707317074</v>
      </c>
      <c r="F1229" s="31">
        <f t="shared" si="19"/>
        <v>139.86000000000001</v>
      </c>
    </row>
    <row r="1230" spans="1:6" ht="18.75" customHeight="1" x14ac:dyDescent="0.25">
      <c r="A1230" s="2" t="str">
        <f ca="1">IFERROR(__xludf.DUMMYFUNCTION("""COMPUTED_VALUE"""),"REA-K6606")</f>
        <v>REA-K6606</v>
      </c>
      <c r="B1230" s="3">
        <f ca="1">IFERROR(__xludf.DUMMYFUNCTION("""COMPUTED_VALUE"""),49180)</f>
        <v>49180</v>
      </c>
      <c r="C1230" s="3">
        <f ca="1">IFERROR(__xludf.DUMMYFUNCTION("""COMPUTED_VALUE"""),5902557376629)</f>
        <v>5902557376629</v>
      </c>
      <c r="D1230" s="4" t="str">
        <f ca="1">IFERROR(__xludf.DUMMYFUNCTION("""COMPUTED_VALUE"""),"ŚCIANKA POSZERZAJĄCA HUGO BLACK 30")</f>
        <v>ŚCIANKA POSZERZAJĄCA HUGO BLACK 30</v>
      </c>
      <c r="E1230" s="31">
        <v>88.439024390243901</v>
      </c>
      <c r="F1230" s="31">
        <f t="shared" si="19"/>
        <v>108.78</v>
      </c>
    </row>
    <row r="1231" spans="1:6" ht="18.75" customHeight="1" x14ac:dyDescent="0.25">
      <c r="A1231" s="2" t="str">
        <f ca="1">IFERROR(__xludf.DUMMYFUNCTION("""COMPUTED_VALUE"""),"REA-K6610")</f>
        <v>REA-K6610</v>
      </c>
      <c r="B1231" s="3">
        <f ca="1">IFERROR(__xludf.DUMMYFUNCTION("""COMPUTED_VALUE"""),49105)</f>
        <v>49105</v>
      </c>
      <c r="C1231" s="3">
        <f ca="1">IFERROR(__xludf.DUMMYFUNCTION("""COMPUTED_VALUE"""),5902557376728)</f>
        <v>5902557376728</v>
      </c>
      <c r="D1231" s="4" t="str">
        <f ca="1">IFERROR(__xludf.DUMMYFUNCTION("""COMPUTED_VALUE"""),"ŚCIANKA POSZERZAJĄCA HUGO GOLD BRUSH 30")</f>
        <v>ŚCIANKA POSZERZAJĄCA HUGO GOLD BRUSH 30</v>
      </c>
      <c r="E1231" s="31">
        <v>85.731707317073173</v>
      </c>
      <c r="F1231" s="31">
        <f t="shared" si="19"/>
        <v>105.45</v>
      </c>
    </row>
    <row r="1232" spans="1:6" ht="18.75" customHeight="1" x14ac:dyDescent="0.25">
      <c r="A1232" s="2" t="str">
        <f ca="1">IFERROR(__xludf.DUMMYFUNCTION("""COMPUTED_VALUE"""),"REA-K2464")</f>
        <v>REA-K2464</v>
      </c>
      <c r="B1232" s="3">
        <f ca="1">IFERROR(__xludf.DUMMYFUNCTION("""COMPUTED_VALUE"""),53665)</f>
        <v>53665</v>
      </c>
      <c r="C1232" s="3">
        <f ca="1">IFERROR(__xludf.DUMMYFUNCTION("""COMPUTED_VALUE"""),5902557390885)</f>
        <v>5902557390885</v>
      </c>
      <c r="D1232" s="4" t="str">
        <f ca="1">IFERROR(__xludf.DUMMYFUNCTION("""COMPUTED_VALUE"""),"ŚCIANKA PRYSZNICOW AERO OMBRE GOLD BRUSH/WHITE 100")</f>
        <v>ŚCIANKA PRYSZNICOW AERO OMBRE GOLD BRUSH/WHITE 100</v>
      </c>
      <c r="E1232" s="31">
        <v>191.31707317073173</v>
      </c>
      <c r="F1232" s="31">
        <f t="shared" si="19"/>
        <v>235.32000000000002</v>
      </c>
    </row>
    <row r="1233" spans="1:6" ht="18.75" customHeight="1" x14ac:dyDescent="0.25">
      <c r="A1233" s="2" t="str">
        <f ca="1">IFERROR(__xludf.DUMMYFUNCTION("""COMPUTED_VALUE"""),"REA-K2465")</f>
        <v>REA-K2465</v>
      </c>
      <c r="B1233" s="3">
        <f ca="1">IFERROR(__xludf.DUMMYFUNCTION("""COMPUTED_VALUE"""),53667)</f>
        <v>53667</v>
      </c>
      <c r="C1233" s="3">
        <f ca="1">IFERROR(__xludf.DUMMYFUNCTION("""COMPUTED_VALUE"""),5902557390892)</f>
        <v>5902557390892</v>
      </c>
      <c r="D1233" s="4" t="str">
        <f ca="1">IFERROR(__xludf.DUMMYFUNCTION("""COMPUTED_VALUE"""),"ŚCIANKA PRYSZNICOW AERO OMBRE GOLD BRUSH/WHITE 110")</f>
        <v>ŚCIANKA PRYSZNICOW AERO OMBRE GOLD BRUSH/WHITE 110</v>
      </c>
      <c r="E1233" s="31">
        <v>203.95121951219514</v>
      </c>
      <c r="F1233" s="31">
        <f t="shared" si="19"/>
        <v>250.86</v>
      </c>
    </row>
    <row r="1234" spans="1:6" ht="18.75" customHeight="1" x14ac:dyDescent="0.25">
      <c r="A1234" s="2" t="str">
        <f ca="1">IFERROR(__xludf.DUMMYFUNCTION("""COMPUTED_VALUE"""),"REA-K2466")</f>
        <v>REA-K2466</v>
      </c>
      <c r="B1234" s="3">
        <f ca="1">IFERROR(__xludf.DUMMYFUNCTION("""COMPUTED_VALUE"""),53668)</f>
        <v>53668</v>
      </c>
      <c r="C1234" s="3">
        <f ca="1">IFERROR(__xludf.DUMMYFUNCTION("""COMPUTED_VALUE"""),5902557390908)</f>
        <v>5902557390908</v>
      </c>
      <c r="D1234" s="4" t="str">
        <f ca="1">IFERROR(__xludf.DUMMYFUNCTION("""COMPUTED_VALUE"""),"ŚCIANKA PRYSZNICOW AERO OMBRE GOLD BRUSH/WHITE 120")</f>
        <v>ŚCIANKA PRYSZNICOW AERO OMBRE GOLD BRUSH/WHITE 120</v>
      </c>
      <c r="E1234" s="31">
        <v>212.07317073170734</v>
      </c>
      <c r="F1234" s="31">
        <f t="shared" si="19"/>
        <v>260.85000000000002</v>
      </c>
    </row>
    <row r="1235" spans="1:6" ht="18.75" customHeight="1" x14ac:dyDescent="0.25">
      <c r="A1235" s="2" t="str">
        <f ca="1">IFERROR(__xludf.DUMMYFUNCTION("""COMPUTED_VALUE"""),"REA-K7966")</f>
        <v>REA-K7966</v>
      </c>
      <c r="B1235" s="3"/>
      <c r="C1235" s="3">
        <f ca="1">IFERROR(__xludf.DUMMYFUNCTION("""COMPUTED_VALUE"""),5902557343454)</f>
        <v>5902557343454</v>
      </c>
      <c r="D1235" s="4" t="str">
        <f ca="1">IFERROR(__xludf.DUMMYFUNCTION("""COMPUTED_VALUE"""),"ŚCIANKA PRYSZNICOWA 100 BLER-2")</f>
        <v>ŚCIANKA PRYSZNICOWA 100 BLER-2</v>
      </c>
      <c r="E1235" s="31">
        <v>180.48780487804879</v>
      </c>
      <c r="F1235" s="31">
        <f t="shared" si="19"/>
        <v>222</v>
      </c>
    </row>
    <row r="1236" spans="1:6" ht="18.75" customHeight="1" x14ac:dyDescent="0.25">
      <c r="A1236" s="2" t="str">
        <f ca="1">IFERROR(__xludf.DUMMYFUNCTION("""COMPUTED_VALUE"""),"REA-K7968")</f>
        <v>REA-K7968</v>
      </c>
      <c r="B1236" s="3"/>
      <c r="C1236" s="3">
        <f ca="1">IFERROR(__xludf.DUMMYFUNCTION("""COMPUTED_VALUE"""),5902557345014)</f>
        <v>5902557345014</v>
      </c>
      <c r="D1236" s="4" t="str">
        <f ca="1">IFERROR(__xludf.DUMMYFUNCTION("""COMPUTED_VALUE"""),"ŚCIANKA PRYSZNICOWA 110 BLER-2")</f>
        <v>ŚCIANKA PRYSZNICOWA 110 BLER-2</v>
      </c>
      <c r="E1236" s="31">
        <v>151.60975609756099</v>
      </c>
      <c r="F1236" s="31">
        <f t="shared" si="19"/>
        <v>186.48000000000002</v>
      </c>
    </row>
    <row r="1237" spans="1:6" ht="18.75" customHeight="1" x14ac:dyDescent="0.25">
      <c r="A1237" s="2" t="str">
        <f ca="1">IFERROR(__xludf.DUMMYFUNCTION("""COMPUTED_VALUE"""),"REA-K7967")</f>
        <v>REA-K7967</v>
      </c>
      <c r="B1237" s="3"/>
      <c r="C1237" s="3">
        <f ca="1">IFERROR(__xludf.DUMMYFUNCTION("""COMPUTED_VALUE"""),5902557343461)</f>
        <v>5902557343461</v>
      </c>
      <c r="D1237" s="4" t="str">
        <f ca="1">IFERROR(__xludf.DUMMYFUNCTION("""COMPUTED_VALUE"""),"ŚCIANKA PRYSZNICOWA 120 BLER-2")</f>
        <v>ŚCIANKA PRYSZNICOWA 120 BLER-2</v>
      </c>
      <c r="E1237" s="31">
        <v>203.95121951219514</v>
      </c>
      <c r="F1237" s="31">
        <f t="shared" si="19"/>
        <v>250.86</v>
      </c>
    </row>
    <row r="1238" spans="1:6" ht="18.75" customHeight="1" x14ac:dyDescent="0.25">
      <c r="A1238" s="2" t="str">
        <f ca="1">IFERROR(__xludf.DUMMYFUNCTION("""COMPUTED_VALUE"""),"REA-K7951")</f>
        <v>REA-K7951</v>
      </c>
      <c r="B1238" s="3"/>
      <c r="C1238" s="3">
        <f ca="1">IFERROR(__xludf.DUMMYFUNCTION("""COMPUTED_VALUE"""),5902557344987)</f>
        <v>5902557344987</v>
      </c>
      <c r="D1238" s="4" t="str">
        <f ca="1">IFERROR(__xludf.DUMMYFUNCTION("""COMPUTED_VALUE"""),"ŚCIANKA PRYSZNICOWA 70 BLER-1")</f>
        <v>ŚCIANKA PRYSZNICOWA 70 BLER-1</v>
      </c>
      <c r="E1238" s="31">
        <v>110.09756097560977</v>
      </c>
      <c r="F1238" s="31">
        <f t="shared" si="19"/>
        <v>135.42000000000002</v>
      </c>
    </row>
    <row r="1239" spans="1:6" ht="18.75" customHeight="1" x14ac:dyDescent="0.25">
      <c r="A1239" s="2" t="str">
        <f ca="1">IFERROR(__xludf.DUMMYFUNCTION("""COMPUTED_VALUE"""),"REA-K7964")</f>
        <v>REA-K7964</v>
      </c>
      <c r="B1239" s="3"/>
      <c r="C1239" s="3">
        <f ca="1">IFERROR(__xludf.DUMMYFUNCTION("""COMPUTED_VALUE"""),5902557343447)</f>
        <v>5902557343447</v>
      </c>
      <c r="D1239" s="4" t="str">
        <f ca="1">IFERROR(__xludf.DUMMYFUNCTION("""COMPUTED_VALUE"""),"ŚCIANKA PRYSZNICOWA 90 BLER-2")</f>
        <v>ŚCIANKA PRYSZNICOWA 90 BLER-2</v>
      </c>
      <c r="E1239" s="31">
        <v>159.73170731707319</v>
      </c>
      <c r="F1239" s="31">
        <f t="shared" si="19"/>
        <v>196.47000000000003</v>
      </c>
    </row>
    <row r="1240" spans="1:6" ht="18.75" customHeight="1" x14ac:dyDescent="0.25">
      <c r="A1240" s="2" t="str">
        <f ca="1">IFERROR(__xludf.DUMMYFUNCTION("""COMPUTED_VALUE"""),"REA-K0612")</f>
        <v>REA-K0612</v>
      </c>
      <c r="B1240" s="3">
        <f ca="1">IFERROR(__xludf.DUMMYFUNCTION("""COMPUTED_VALUE"""),1572)</f>
        <v>1572</v>
      </c>
      <c r="C1240" s="3"/>
      <c r="D1240" s="4" t="str">
        <f ca="1">IFERROR(__xludf.DUMMYFUNCTION("""COMPUTED_VALUE"""),"ŚCIANKA PRYSZNICOWA AERO 110")</f>
        <v>ŚCIANKA PRYSZNICOWA AERO 110</v>
      </c>
      <c r="E1240" s="31">
        <v>188.60975609756099</v>
      </c>
      <c r="F1240" s="31">
        <f t="shared" si="19"/>
        <v>231.99</v>
      </c>
    </row>
    <row r="1241" spans="1:6" ht="18.75" customHeight="1" x14ac:dyDescent="0.25">
      <c r="A1241" s="2" t="str">
        <f ca="1">IFERROR(__xludf.DUMMYFUNCTION("""COMPUTED_VALUE"""),"REA-K6596")</f>
        <v>REA-K6596</v>
      </c>
      <c r="B1241" s="3">
        <f ca="1">IFERROR(__xludf.DUMMYFUNCTION("""COMPUTED_VALUE"""),38940)</f>
        <v>38940</v>
      </c>
      <c r="C1241" s="3">
        <f ca="1">IFERROR(__xludf.DUMMYFUNCTION("""COMPUTED_VALUE"""),5902557351787)</f>
        <v>5902557351787</v>
      </c>
      <c r="D1241" s="4" t="str">
        <f ca="1">IFERROR(__xludf.DUMMYFUNCTION("""COMPUTED_VALUE"""),"ŚCIANKA PRYSZNICOWA AERO BLACK 100")</f>
        <v>ŚCIANKA PRYSZNICOWA AERO BLACK 100</v>
      </c>
      <c r="E1241" s="31">
        <v>175.97560975609758</v>
      </c>
      <c r="F1241" s="31">
        <f t="shared" si="19"/>
        <v>216.45000000000002</v>
      </c>
    </row>
    <row r="1242" spans="1:6" ht="18.75" customHeight="1" x14ac:dyDescent="0.25">
      <c r="A1242" s="2" t="str">
        <f ca="1">IFERROR(__xludf.DUMMYFUNCTION("""COMPUTED_VALUE"""),"REA-K6597")</f>
        <v>REA-K6597</v>
      </c>
      <c r="B1242" s="3">
        <f ca="1">IFERROR(__xludf.DUMMYFUNCTION("""COMPUTED_VALUE"""),38939)</f>
        <v>38939</v>
      </c>
      <c r="C1242" s="3">
        <f ca="1">IFERROR(__xludf.DUMMYFUNCTION("""COMPUTED_VALUE"""),5902557351770)</f>
        <v>5902557351770</v>
      </c>
      <c r="D1242" s="4" t="str">
        <f ca="1">IFERROR(__xludf.DUMMYFUNCTION("""COMPUTED_VALUE"""),"ŚCIANKA PRYSZNICOWA AERO BLACK 110")</f>
        <v>ŚCIANKA PRYSZNICOWA AERO BLACK 110</v>
      </c>
      <c r="E1242" s="31">
        <v>184.09756097560975</v>
      </c>
      <c r="F1242" s="31">
        <f t="shared" si="19"/>
        <v>226.44</v>
      </c>
    </row>
    <row r="1243" spans="1:6" ht="18.75" customHeight="1" x14ac:dyDescent="0.25">
      <c r="A1243" s="2" t="str">
        <f ca="1">IFERROR(__xludf.DUMMYFUNCTION("""COMPUTED_VALUE"""),"REA-K6599")</f>
        <v>REA-K6599</v>
      </c>
      <c r="B1243" s="3">
        <f ca="1">IFERROR(__xludf.DUMMYFUNCTION("""COMPUTED_VALUE"""),38938)</f>
        <v>38938</v>
      </c>
      <c r="C1243" s="3">
        <f ca="1">IFERROR(__xludf.DUMMYFUNCTION("""COMPUTED_VALUE"""),5902557351763)</f>
        <v>5902557351763</v>
      </c>
      <c r="D1243" s="4" t="str">
        <f ca="1">IFERROR(__xludf.DUMMYFUNCTION("""COMPUTED_VALUE"""),"ŚCIANKA PRYSZNICOWA AERO BLACK 120")</f>
        <v>ŚCIANKA PRYSZNICOWA AERO BLACK 120</v>
      </c>
      <c r="E1243" s="31">
        <v>191.31707317073173</v>
      </c>
      <c r="F1243" s="31">
        <f t="shared" si="19"/>
        <v>235.32000000000002</v>
      </c>
    </row>
    <row r="1244" spans="1:6" ht="18.75" customHeight="1" x14ac:dyDescent="0.25">
      <c r="A1244" s="2" t="str">
        <f ca="1">IFERROR(__xludf.DUMMYFUNCTION("""COMPUTED_VALUE"""),"REA-K7580")</f>
        <v>REA-K7580</v>
      </c>
      <c r="B1244" s="3">
        <f ca="1">IFERROR(__xludf.DUMMYFUNCTION("""COMPUTED_VALUE"""),44826)</f>
        <v>44826</v>
      </c>
      <c r="C1244" s="3">
        <f ca="1">IFERROR(__xludf.DUMMYFUNCTION("""COMPUTED_VALUE"""),5902557373529)</f>
        <v>5902557373529</v>
      </c>
      <c r="D1244" s="4" t="str">
        <f ca="1">IFERROR(__xludf.DUMMYFUNCTION("""COMPUTED_VALUE"""),"ŚCIANKA PRYSZNICOWA AERO BLACK 80")</f>
        <v>ŚCIANKA PRYSZNICOWA AERO BLACK 80</v>
      </c>
      <c r="E1244" s="31">
        <v>169.65853658536588</v>
      </c>
      <c r="F1244" s="31">
        <f t="shared" si="19"/>
        <v>208.68000000000004</v>
      </c>
    </row>
    <row r="1245" spans="1:6" ht="18.75" customHeight="1" x14ac:dyDescent="0.25">
      <c r="A1245" s="2" t="str">
        <f ca="1">IFERROR(__xludf.DUMMYFUNCTION("""COMPUTED_VALUE"""),"REA-K7581")</f>
        <v>REA-K7581</v>
      </c>
      <c r="B1245" s="3">
        <f ca="1">IFERROR(__xludf.DUMMYFUNCTION("""COMPUTED_VALUE"""),38948)</f>
        <v>38948</v>
      </c>
      <c r="C1245" s="3">
        <f ca="1">IFERROR(__xludf.DUMMYFUNCTION("""COMPUTED_VALUE"""),5902557351794)</f>
        <v>5902557351794</v>
      </c>
      <c r="D1245" s="4" t="str">
        <f ca="1">IFERROR(__xludf.DUMMYFUNCTION("""COMPUTED_VALUE"""),"ŚCIANKA PRYSZNICOWA AERO BLACK 90")</f>
        <v>ŚCIANKA PRYSZNICOWA AERO BLACK 90</v>
      </c>
      <c r="E1245" s="31">
        <v>174.17073170731709</v>
      </c>
      <c r="F1245" s="31">
        <f t="shared" si="19"/>
        <v>214.23000000000002</v>
      </c>
    </row>
    <row r="1246" spans="1:6" ht="18.75" customHeight="1" x14ac:dyDescent="0.25">
      <c r="A1246" s="2" t="str">
        <f ca="1">IFERROR(__xludf.DUMMYFUNCTION("""COMPUTED_VALUE"""),"REA-K7551")</f>
        <v>REA-K7551</v>
      </c>
      <c r="B1246" s="3">
        <f ca="1">IFERROR(__xludf.DUMMYFUNCTION("""COMPUTED_VALUE"""),48376)</f>
        <v>48376</v>
      </c>
      <c r="C1246" s="3">
        <f ca="1">IFERROR(__xludf.DUMMYFUNCTION("""COMPUTED_VALUE"""),5902557306046)</f>
        <v>5902557306046</v>
      </c>
      <c r="D1246" s="4" t="str">
        <f ca="1">IFERROR(__xludf.DUMMYFUNCTION("""COMPUTED_VALUE"""),"ŚCIANKA PRYSZNICOWA AERO CHROM ""N"" 100")</f>
        <v>ŚCIANKA PRYSZNICOWA AERO CHROM "N" 100</v>
      </c>
      <c r="E1246" s="31">
        <v>193.12195121951223</v>
      </c>
      <c r="F1246" s="31">
        <f t="shared" si="19"/>
        <v>237.54000000000005</v>
      </c>
    </row>
    <row r="1247" spans="1:6" ht="18.75" customHeight="1" x14ac:dyDescent="0.25">
      <c r="A1247" s="2" t="str">
        <f ca="1">IFERROR(__xludf.DUMMYFUNCTION("""COMPUTED_VALUE"""),"REA-K3021")</f>
        <v>REA-K3021</v>
      </c>
      <c r="B1247" s="3">
        <f ca="1">IFERROR(__xludf.DUMMYFUNCTION("""COMPUTED_VALUE"""),43557)</f>
        <v>43557</v>
      </c>
      <c r="C1247" s="3">
        <f ca="1">IFERROR(__xludf.DUMMYFUNCTION("""COMPUTED_VALUE"""),5902557306107)</f>
        <v>5902557306107</v>
      </c>
      <c r="D1247" s="4" t="str">
        <f ca="1">IFERROR(__xludf.DUMMYFUNCTION("""COMPUTED_VALUE"""),"ŚCIANKA PRYSZNICOWA AERO CHROM ""N"" 110")</f>
        <v>ŚCIANKA PRYSZNICOWA AERO CHROM "N" 110</v>
      </c>
      <c r="E1247" s="31">
        <v>207.56097560975613</v>
      </c>
      <c r="F1247" s="31">
        <f t="shared" si="19"/>
        <v>255.30000000000004</v>
      </c>
    </row>
    <row r="1248" spans="1:6" ht="18.75" customHeight="1" x14ac:dyDescent="0.25">
      <c r="A1248" s="2" t="str">
        <f ca="1">IFERROR(__xludf.DUMMYFUNCTION("""COMPUTED_VALUE"""),"REA-K7550")</f>
        <v>REA-K7550</v>
      </c>
      <c r="B1248" s="3">
        <f ca="1">IFERROR(__xludf.DUMMYFUNCTION("""COMPUTED_VALUE"""),38945)</f>
        <v>38945</v>
      </c>
      <c r="C1248" s="3">
        <f ca="1">IFERROR(__xludf.DUMMYFUNCTION("""COMPUTED_VALUE"""),5902557306152)</f>
        <v>5902557306152</v>
      </c>
      <c r="D1248" s="4" t="str">
        <f ca="1">IFERROR(__xludf.DUMMYFUNCTION("""COMPUTED_VALUE"""),"ŚCIANKA PRYSZNICOWA AERO CHROM ""N"" 120")</f>
        <v>ŚCIANKA PRYSZNICOWA AERO CHROM "N" 120</v>
      </c>
      <c r="E1248" s="31">
        <v>197.63414634146343</v>
      </c>
      <c r="F1248" s="31">
        <f t="shared" si="19"/>
        <v>243.09000000000003</v>
      </c>
    </row>
    <row r="1249" spans="1:6" ht="18.75" customHeight="1" x14ac:dyDescent="0.25">
      <c r="A1249" s="2" t="str">
        <f ca="1">IFERROR(__xludf.DUMMYFUNCTION("""COMPUTED_VALUE"""),"REA-K7840")</f>
        <v>REA-K7840</v>
      </c>
      <c r="B1249" s="3">
        <f ca="1">IFERROR(__xludf.DUMMYFUNCTION("""COMPUTED_VALUE"""),32503)</f>
        <v>32503</v>
      </c>
      <c r="C1249" s="3">
        <f ca="1">IFERROR(__xludf.DUMMYFUNCTION("""COMPUTED_VALUE"""),5902557345038)</f>
        <v>5902557345038</v>
      </c>
      <c r="D1249" s="4" t="str">
        <f ca="1">IFERROR(__xludf.DUMMYFUNCTION("""COMPUTED_VALUE"""),"ŚCIANKA PRYSZNICOWA AERO CHROM ""N"" 70")</f>
        <v>ŚCIANKA PRYSZNICOWA AERO CHROM "N" 70</v>
      </c>
      <c r="E1249" s="31">
        <v>170.5609756097561</v>
      </c>
      <c r="F1249" s="31">
        <f t="shared" si="19"/>
        <v>209.79</v>
      </c>
    </row>
    <row r="1250" spans="1:6" ht="18.75" customHeight="1" x14ac:dyDescent="0.25">
      <c r="A1250" s="2" t="str">
        <f ca="1">IFERROR(__xludf.DUMMYFUNCTION("""COMPUTED_VALUE"""),"REA-K7552")</f>
        <v>REA-K7552</v>
      </c>
      <c r="B1250" s="3">
        <f ca="1">IFERROR(__xludf.DUMMYFUNCTION("""COMPUTED_VALUE"""),44349)</f>
        <v>44349</v>
      </c>
      <c r="C1250" s="3">
        <f ca="1">IFERROR(__xludf.DUMMYFUNCTION("""COMPUTED_VALUE"""),5902557306039)</f>
        <v>5902557306039</v>
      </c>
      <c r="D1250" s="4" t="str">
        <f ca="1">IFERROR(__xludf.DUMMYFUNCTION("""COMPUTED_VALUE"""),"ŚCIANKA PRYSZNICOWA AERO CHROM ""N"" 80")</f>
        <v>ŚCIANKA PRYSZNICOWA AERO CHROM "N" 80</v>
      </c>
      <c r="E1250" s="31">
        <v>161.53658536585368</v>
      </c>
      <c r="F1250" s="31">
        <f t="shared" si="19"/>
        <v>198.69000000000003</v>
      </c>
    </row>
    <row r="1251" spans="1:6" ht="18.75" customHeight="1" x14ac:dyDescent="0.25">
      <c r="A1251" s="2" t="str">
        <f ca="1">IFERROR(__xludf.DUMMYFUNCTION("""COMPUTED_VALUE"""),"REA-K7553")</f>
        <v>REA-K7553</v>
      </c>
      <c r="B1251" s="3">
        <f ca="1">IFERROR(__xludf.DUMMYFUNCTION("""COMPUTED_VALUE"""),48375)</f>
        <v>48375</v>
      </c>
      <c r="C1251" s="3">
        <f ca="1">IFERROR(__xludf.DUMMYFUNCTION("""COMPUTED_VALUE"""),5902557306022)</f>
        <v>5902557306022</v>
      </c>
      <c r="D1251" s="4" t="str">
        <f ca="1">IFERROR(__xludf.DUMMYFUNCTION("""COMPUTED_VALUE"""),"ŚCIANKA PRYSZNICOWA AERO CHROM ""N"" 90")</f>
        <v>ŚCIANKA PRYSZNICOWA AERO CHROM "N" 90</v>
      </c>
      <c r="E1251" s="31">
        <v>169.65853658536588</v>
      </c>
      <c r="F1251" s="31">
        <f t="shared" si="19"/>
        <v>208.68000000000004</v>
      </c>
    </row>
    <row r="1252" spans="1:6" ht="18.75" customHeight="1" x14ac:dyDescent="0.25">
      <c r="A1252" s="2" t="str">
        <f ca="1">IFERROR(__xludf.DUMMYFUNCTION("""COMPUTED_VALUE"""),"REA-K8440")</f>
        <v>REA-K8440</v>
      </c>
      <c r="B1252" s="3">
        <f ca="1">IFERROR(__xludf.DUMMYFUNCTION("""COMPUTED_VALUE"""),38950)</f>
        <v>38950</v>
      </c>
      <c r="C1252" s="3">
        <f ca="1">IFERROR(__xludf.DUMMYFUNCTION("""COMPUTED_VALUE"""),5902557352609)</f>
        <v>5902557352609</v>
      </c>
      <c r="D1252" s="4" t="str">
        <f ca="1">IFERROR(__xludf.DUMMYFUNCTION("""COMPUTED_VALUE"""),"ŚCIANKA PRYSZNICOWA AERO GOLD 100")</f>
        <v>ŚCIANKA PRYSZNICOWA AERO GOLD 100</v>
      </c>
      <c r="E1252" s="31">
        <v>207.56097560975613</v>
      </c>
      <c r="F1252" s="31">
        <f t="shared" si="19"/>
        <v>255.30000000000004</v>
      </c>
    </row>
    <row r="1253" spans="1:6" ht="18.75" customHeight="1" x14ac:dyDescent="0.25">
      <c r="A1253" s="2" t="str">
        <f ca="1">IFERROR(__xludf.DUMMYFUNCTION("""COMPUTED_VALUE"""),"REA-K8441")</f>
        <v>REA-K8441</v>
      </c>
      <c r="B1253" s="3">
        <f ca="1">IFERROR(__xludf.DUMMYFUNCTION("""COMPUTED_VALUE"""),38951)</f>
        <v>38951</v>
      </c>
      <c r="C1253" s="3">
        <f ca="1">IFERROR(__xludf.DUMMYFUNCTION("""COMPUTED_VALUE"""),5902557352616)</f>
        <v>5902557352616</v>
      </c>
      <c r="D1253" s="4" t="str">
        <f ca="1">IFERROR(__xludf.DUMMYFUNCTION("""COMPUTED_VALUE"""),"ŚCIANKA PRYSZNICOWA AERO GOLD 110")</f>
        <v>ŚCIANKA PRYSZNICOWA AERO GOLD 110</v>
      </c>
      <c r="E1253" s="31">
        <v>233.73170731707319</v>
      </c>
      <c r="F1253" s="31">
        <f t="shared" si="19"/>
        <v>287.49</v>
      </c>
    </row>
    <row r="1254" spans="1:6" ht="18.75" customHeight="1" x14ac:dyDescent="0.25">
      <c r="A1254" s="2" t="str">
        <f ca="1">IFERROR(__xludf.DUMMYFUNCTION("""COMPUTED_VALUE"""),"REA-K8443")</f>
        <v>REA-K8443</v>
      </c>
      <c r="B1254" s="3">
        <f ca="1">IFERROR(__xludf.DUMMYFUNCTION("""COMPUTED_VALUE"""),39018)</f>
        <v>39018</v>
      </c>
      <c r="C1254" s="3">
        <f ca="1">IFERROR(__xludf.DUMMYFUNCTION("""COMPUTED_VALUE"""),5902557352623)</f>
        <v>5902557352623</v>
      </c>
      <c r="D1254" s="4" t="str">
        <f ca="1">IFERROR(__xludf.DUMMYFUNCTION("""COMPUTED_VALUE"""),"ŚCIANKA PRYSZNICOWA AERO GOLD 120")</f>
        <v>ŚCIANKA PRYSZNICOWA AERO GOLD 120</v>
      </c>
      <c r="E1254" s="31">
        <v>250.87804878048783</v>
      </c>
      <c r="F1254" s="31">
        <f t="shared" si="19"/>
        <v>308.58000000000004</v>
      </c>
    </row>
    <row r="1255" spans="1:6" ht="18.75" customHeight="1" x14ac:dyDescent="0.25">
      <c r="A1255" s="2" t="str">
        <f ca="1">IFERROR(__xludf.DUMMYFUNCTION("""COMPUTED_VALUE"""),"REA-K8439")</f>
        <v>REA-K8439</v>
      </c>
      <c r="B1255" s="3">
        <f ca="1">IFERROR(__xludf.DUMMYFUNCTION("""COMPUTED_VALUE"""),43001)</f>
        <v>43001</v>
      </c>
      <c r="C1255" s="3">
        <f ca="1">IFERROR(__xludf.DUMMYFUNCTION("""COMPUTED_VALUE"""),5902557366187)</f>
        <v>5902557366187</v>
      </c>
      <c r="D1255" s="4" t="str">
        <f ca="1">IFERROR(__xludf.DUMMYFUNCTION("""COMPUTED_VALUE"""),"ŚCIANKA PRYSZNICOWA AERO GOLD 80")</f>
        <v>ŚCIANKA PRYSZNICOWA AERO GOLD 80</v>
      </c>
      <c r="E1255" s="31">
        <v>205.75609756097563</v>
      </c>
      <c r="F1255" s="31">
        <f t="shared" si="19"/>
        <v>253.08</v>
      </c>
    </row>
    <row r="1256" spans="1:6" ht="18.75" customHeight="1" x14ac:dyDescent="0.25">
      <c r="A1256" s="2" t="str">
        <f ca="1">IFERROR(__xludf.DUMMYFUNCTION("""COMPUTED_VALUE"""),"REA-K8442")</f>
        <v>REA-K8442</v>
      </c>
      <c r="B1256" s="3">
        <f ca="1">IFERROR(__xludf.DUMMYFUNCTION("""COMPUTED_VALUE"""),38949)</f>
        <v>38949</v>
      </c>
      <c r="C1256" s="3">
        <f ca="1">IFERROR(__xludf.DUMMYFUNCTION("""COMPUTED_VALUE"""),5902557352593)</f>
        <v>5902557352593</v>
      </c>
      <c r="D1256" s="4" t="str">
        <f ca="1">IFERROR(__xludf.DUMMYFUNCTION("""COMPUTED_VALUE"""),"ŚCIANKA PRYSZNICOWA AERO GOLD 90")</f>
        <v>ŚCIANKA PRYSZNICOWA AERO GOLD 90</v>
      </c>
      <c r="E1256" s="31">
        <v>205.75609756097563</v>
      </c>
      <c r="F1256" s="31">
        <f t="shared" si="19"/>
        <v>253.08</v>
      </c>
    </row>
    <row r="1257" spans="1:6" ht="18.75" customHeight="1" x14ac:dyDescent="0.25">
      <c r="A1257" s="2" t="str">
        <f ca="1">IFERROR(__xludf.DUMMYFUNCTION("""COMPUTED_VALUE"""),"REA-K4701")</f>
        <v>REA-K4701</v>
      </c>
      <c r="B1257" s="3">
        <f ca="1">IFERROR(__xludf.DUMMYFUNCTION("""COMPUTED_VALUE"""),50075)</f>
        <v>50075</v>
      </c>
      <c r="C1257" s="3">
        <f ca="1">IFERROR(__xludf.DUMMYFUNCTION("""COMPUTED_VALUE"""),5902557385164)</f>
        <v>5902557385164</v>
      </c>
      <c r="D1257" s="4" t="str">
        <f ca="1">IFERROR(__xludf.DUMMYFUNCTION("""COMPUTED_VALUE"""),"ŚCIANKA PRYSZNICOWA AERO GOLD BRUSH 100")</f>
        <v>ŚCIANKA PRYSZNICOWA AERO GOLD BRUSH 100</v>
      </c>
      <c r="E1257" s="31">
        <v>204.85365853658539</v>
      </c>
      <c r="F1257" s="31">
        <f t="shared" si="19"/>
        <v>251.97000000000003</v>
      </c>
    </row>
    <row r="1258" spans="1:6" ht="18.75" customHeight="1" x14ac:dyDescent="0.25">
      <c r="A1258" s="2" t="str">
        <f ca="1">IFERROR(__xludf.DUMMYFUNCTION("""COMPUTED_VALUE"""),"REA-K9840")</f>
        <v>REA-K9840</v>
      </c>
      <c r="B1258" s="3">
        <f ca="1">IFERROR(__xludf.DUMMYFUNCTION("""COMPUTED_VALUE"""),52353)</f>
        <v>52353</v>
      </c>
      <c r="C1258" s="3">
        <f ca="1">IFERROR(__xludf.DUMMYFUNCTION("""COMPUTED_VALUE"""),5902557396733)</f>
        <v>5902557396733</v>
      </c>
      <c r="D1258" s="4" t="str">
        <f ca="1">IFERROR(__xludf.DUMMYFUNCTION("""COMPUTED_VALUE"""),"ŚCIANKA PRYSZNICOWA AERO GOLD BRUSH 110")</f>
        <v>ŚCIANKA PRYSZNICOWA AERO GOLD BRUSH 110</v>
      </c>
      <c r="E1258" s="31">
        <v>212.07317073170734</v>
      </c>
      <c r="F1258" s="31">
        <f t="shared" si="19"/>
        <v>260.85000000000002</v>
      </c>
    </row>
    <row r="1259" spans="1:6" ht="18.75" customHeight="1" x14ac:dyDescent="0.25">
      <c r="A1259" s="2" t="str">
        <f ca="1">IFERROR(__xludf.DUMMYFUNCTION("""COMPUTED_VALUE"""),"REA-K4702")</f>
        <v>REA-K4702</v>
      </c>
      <c r="B1259" s="3">
        <f ca="1">IFERROR(__xludf.DUMMYFUNCTION("""COMPUTED_VALUE"""),50077)</f>
        <v>50077</v>
      </c>
      <c r="C1259" s="3">
        <f ca="1">IFERROR(__xludf.DUMMYFUNCTION("""COMPUTED_VALUE"""),5902557385171)</f>
        <v>5902557385171</v>
      </c>
      <c r="D1259" s="4" t="str">
        <f ca="1">IFERROR(__xludf.DUMMYFUNCTION("""COMPUTED_VALUE"""),"ŚCIANKA PRYSZNICOWA AERO GOLD BRUSH 120")</f>
        <v>ŚCIANKA PRYSZNICOWA AERO GOLD BRUSH 120</v>
      </c>
      <c r="E1259" s="31">
        <v>224.70731707317074</v>
      </c>
      <c r="F1259" s="31">
        <f t="shared" si="19"/>
        <v>276.39</v>
      </c>
    </row>
    <row r="1260" spans="1:6" ht="18.75" customHeight="1" x14ac:dyDescent="0.25">
      <c r="A1260" s="2" t="str">
        <f ca="1">IFERROR(__xludf.DUMMYFUNCTION("""COMPUTED_VALUE"""),"REA-K4700")</f>
        <v>REA-K4700</v>
      </c>
      <c r="B1260" s="3">
        <f ca="1">IFERROR(__xludf.DUMMYFUNCTION("""COMPUTED_VALUE"""),50083)</f>
        <v>50083</v>
      </c>
      <c r="C1260" s="3">
        <f ca="1">IFERROR(__xludf.DUMMYFUNCTION("""COMPUTED_VALUE"""),5902557385157)</f>
        <v>5902557385157</v>
      </c>
      <c r="D1260" s="4" t="str">
        <f ca="1">IFERROR(__xludf.DUMMYFUNCTION("""COMPUTED_VALUE"""),"ŚCIANKA PRYSZNICOWA AERO GOLD BRUSH 90")</f>
        <v>ŚCIANKA PRYSZNICOWA AERO GOLD BRUSH 90</v>
      </c>
      <c r="E1260" s="31">
        <v>199.43902439024393</v>
      </c>
      <c r="F1260" s="31">
        <f t="shared" si="19"/>
        <v>245.31000000000003</v>
      </c>
    </row>
    <row r="1261" spans="1:6" ht="18.75" customHeight="1" x14ac:dyDescent="0.25">
      <c r="A1261" s="2" t="str">
        <f ca="1">IFERROR(__xludf.DUMMYFUNCTION("""COMPUTED_VALUE"""),"REA-K4121")</f>
        <v>REA-K4121</v>
      </c>
      <c r="B1261" s="3">
        <f ca="1">IFERROR(__xludf.DUMMYFUNCTION("""COMPUTED_VALUE"""),50544)</f>
        <v>50544</v>
      </c>
      <c r="C1261" s="3">
        <f ca="1">IFERROR(__xludf.DUMMYFUNCTION("""COMPUTED_VALUE"""),5902557386758)</f>
        <v>5902557386758</v>
      </c>
      <c r="D1261" s="4" t="str">
        <f ca="1">IFERROR(__xludf.DUMMYFUNCTION("""COMPUTED_VALUE"""),"ŚCIANKA PRYSZNICOWA AERO INTIMO BLACK 100")</f>
        <v>ŚCIANKA PRYSZNICOWA AERO INTIMO BLACK 100</v>
      </c>
      <c r="E1261" s="31">
        <v>199.43902439024393</v>
      </c>
      <c r="F1261" s="31">
        <f t="shared" si="19"/>
        <v>245.31000000000003</v>
      </c>
    </row>
    <row r="1262" spans="1:6" ht="18.75" customHeight="1" x14ac:dyDescent="0.25">
      <c r="A1262" s="2" t="str">
        <f ca="1">IFERROR(__xludf.DUMMYFUNCTION("""COMPUTED_VALUE"""),"REA-K4122")</f>
        <v>REA-K4122</v>
      </c>
      <c r="B1262" s="3">
        <f ca="1">IFERROR(__xludf.DUMMYFUNCTION("""COMPUTED_VALUE"""),50546)</f>
        <v>50546</v>
      </c>
      <c r="C1262" s="3">
        <f ca="1">IFERROR(__xludf.DUMMYFUNCTION("""COMPUTED_VALUE"""),5902557386765)</f>
        <v>5902557386765</v>
      </c>
      <c r="D1262" s="4" t="str">
        <f ca="1">IFERROR(__xludf.DUMMYFUNCTION("""COMPUTED_VALUE"""),"ŚCIANKA PRYSZNICOWA AERO INTIMO BLACK 120")</f>
        <v>ŚCIANKA PRYSZNICOWA AERO INTIMO BLACK 120</v>
      </c>
      <c r="E1262" s="31">
        <v>224.70731707317074</v>
      </c>
      <c r="F1262" s="31">
        <f t="shared" si="19"/>
        <v>276.39</v>
      </c>
    </row>
    <row r="1263" spans="1:6" ht="18.75" customHeight="1" x14ac:dyDescent="0.25">
      <c r="A1263" s="2" t="str">
        <f ca="1">IFERROR(__xludf.DUMMYFUNCTION("""COMPUTED_VALUE"""),"REA-K4123")</f>
        <v>REA-K4123</v>
      </c>
      <c r="B1263" s="3">
        <f ca="1">IFERROR(__xludf.DUMMYFUNCTION("""COMPUTED_VALUE"""),50542)</f>
        <v>50542</v>
      </c>
      <c r="C1263" s="3">
        <f ca="1">IFERROR(__xludf.DUMMYFUNCTION("""COMPUTED_VALUE"""),5902557386741)</f>
        <v>5902557386741</v>
      </c>
      <c r="D1263" s="4" t="str">
        <f ca="1">IFERROR(__xludf.DUMMYFUNCTION("""COMPUTED_VALUE"""),"ŚCIANKA PRYSZNICOWA AERO INTIMO BLACK 90")</f>
        <v>ŚCIANKA PRYSZNICOWA AERO INTIMO BLACK 90</v>
      </c>
      <c r="E1263" s="31">
        <v>186.80487804878049</v>
      </c>
      <c r="F1263" s="31">
        <f t="shared" si="19"/>
        <v>229.77</v>
      </c>
    </row>
    <row r="1264" spans="1:6" ht="18.75" customHeight="1" x14ac:dyDescent="0.25">
      <c r="A1264" s="2" t="str">
        <f ca="1">IFERROR(__xludf.DUMMYFUNCTION("""COMPUTED_VALUE"""),"REA-K4126")</f>
        <v>REA-K4126</v>
      </c>
      <c r="B1264" s="3">
        <f ca="1">IFERROR(__xludf.DUMMYFUNCTION("""COMPUTED_VALUE"""),50549)</f>
        <v>50549</v>
      </c>
      <c r="C1264" s="3">
        <f ca="1">IFERROR(__xludf.DUMMYFUNCTION("""COMPUTED_VALUE"""),5902557386789)</f>
        <v>5902557386789</v>
      </c>
      <c r="D1264" s="4" t="str">
        <f ca="1">IFERROR(__xludf.DUMMYFUNCTION("""COMPUTED_VALUE"""),"ŚCIANKA PRYSZNICOWA AERO INTIMO GOLD BRUSH 100")</f>
        <v>ŚCIANKA PRYSZNICOWA AERO INTIMO GOLD BRUSH 100</v>
      </c>
      <c r="E1264" s="31">
        <v>229.21951219512198</v>
      </c>
      <c r="F1264" s="31">
        <f t="shared" si="19"/>
        <v>281.94000000000005</v>
      </c>
    </row>
    <row r="1265" spans="1:6" ht="18.75" customHeight="1" x14ac:dyDescent="0.25">
      <c r="A1265" s="2" t="str">
        <f ca="1">IFERROR(__xludf.DUMMYFUNCTION("""COMPUTED_VALUE"""),"REA-K4127")</f>
        <v>REA-K4127</v>
      </c>
      <c r="B1265" s="3">
        <f ca="1">IFERROR(__xludf.DUMMYFUNCTION("""COMPUTED_VALUE"""),50550)</f>
        <v>50550</v>
      </c>
      <c r="C1265" s="3">
        <f ca="1">IFERROR(__xludf.DUMMYFUNCTION("""COMPUTED_VALUE"""),5902557386796)</f>
        <v>5902557386796</v>
      </c>
      <c r="D1265" s="4" t="str">
        <f ca="1">IFERROR(__xludf.DUMMYFUNCTION("""COMPUTED_VALUE"""),"ŚCIANKA PRYSZNICOWA AERO INTIMO GOLD BRUSH 120")</f>
        <v>ŚCIANKA PRYSZNICOWA AERO INTIMO GOLD BRUSH 120</v>
      </c>
      <c r="E1265" s="31">
        <v>249.97560975609761</v>
      </c>
      <c r="F1265" s="31">
        <f t="shared" si="19"/>
        <v>307.47000000000008</v>
      </c>
    </row>
    <row r="1266" spans="1:6" ht="18.75" customHeight="1" x14ac:dyDescent="0.25">
      <c r="A1266" s="2" t="str">
        <f ca="1">IFERROR(__xludf.DUMMYFUNCTION("""COMPUTED_VALUE"""),"REA-K4124")</f>
        <v>REA-K4124</v>
      </c>
      <c r="B1266" s="3">
        <f ca="1">IFERROR(__xludf.DUMMYFUNCTION("""COMPUTED_VALUE"""),50547)</f>
        <v>50547</v>
      </c>
      <c r="C1266" s="3">
        <f ca="1">IFERROR(__xludf.DUMMYFUNCTION("""COMPUTED_VALUE"""),5902557386772)</f>
        <v>5902557386772</v>
      </c>
      <c r="D1266" s="4" t="str">
        <f ca="1">IFERROR(__xludf.DUMMYFUNCTION("""COMPUTED_VALUE"""),"ŚCIANKA PRYSZNICOWA AERO INTIMO GOLD BRUSH 90")</f>
        <v>ŚCIANKA PRYSZNICOWA AERO INTIMO GOLD BRUSH 90</v>
      </c>
      <c r="E1266" s="31">
        <v>208.46341463414637</v>
      </c>
      <c r="F1266" s="31">
        <f t="shared" si="19"/>
        <v>256.41000000000003</v>
      </c>
    </row>
    <row r="1267" spans="1:6" ht="18.75" customHeight="1" x14ac:dyDescent="0.25">
      <c r="A1267" s="2" t="str">
        <f ca="1">IFERROR(__xludf.DUMMYFUNCTION("""COMPUTED_VALUE"""),"REA-K2460")</f>
        <v>REA-K2460</v>
      </c>
      <c r="B1267" s="3">
        <f ca="1">IFERROR(__xludf.DUMMYFUNCTION("""COMPUTED_VALUE"""),53675)</f>
        <v>53675</v>
      </c>
      <c r="C1267" s="3">
        <f ca="1">IFERROR(__xludf.DUMMYFUNCTION("""COMPUTED_VALUE"""),5902557390922)</f>
        <v>5902557390922</v>
      </c>
      <c r="D1267" s="4" t="str">
        <f ca="1">IFERROR(__xludf.DUMMYFUNCTION("""COMPUTED_VALUE"""),"ŚCIANKA PRYSZNICOWA AERO OMBRE BLACK/BLACK 100")</f>
        <v>ŚCIANKA PRYSZNICOWA AERO OMBRE BLACK/BLACK 100</v>
      </c>
      <c r="E1267" s="31">
        <v>201.24390243902442</v>
      </c>
      <c r="F1267" s="31">
        <f t="shared" si="19"/>
        <v>247.53000000000003</v>
      </c>
    </row>
    <row r="1268" spans="1:6" ht="18.75" customHeight="1" x14ac:dyDescent="0.25">
      <c r="A1268" s="2" t="str">
        <f ca="1">IFERROR(__xludf.DUMMYFUNCTION("""COMPUTED_VALUE"""),"REA-K2461")</f>
        <v>REA-K2461</v>
      </c>
      <c r="B1268" s="3">
        <f ca="1">IFERROR(__xludf.DUMMYFUNCTION("""COMPUTED_VALUE"""),53670)</f>
        <v>53670</v>
      </c>
      <c r="C1268" s="3">
        <f ca="1">IFERROR(__xludf.DUMMYFUNCTION("""COMPUTED_VALUE"""),5902557390939)</f>
        <v>5902557390939</v>
      </c>
      <c r="D1268" s="4" t="str">
        <f ca="1">IFERROR(__xludf.DUMMYFUNCTION("""COMPUTED_VALUE"""),"ŚCIANKA PRYSZNICOWA AERO OMBRE BLACK/BLACK 110")</f>
        <v>ŚCIANKA PRYSZNICOWA AERO OMBRE BLACK/BLACK 110</v>
      </c>
      <c r="E1268" s="31">
        <v>212.07317073170734</v>
      </c>
      <c r="F1268" s="31">
        <f t="shared" si="19"/>
        <v>260.85000000000002</v>
      </c>
    </row>
    <row r="1269" spans="1:6" ht="18.75" customHeight="1" x14ac:dyDescent="0.25">
      <c r="A1269" s="2" t="str">
        <f ca="1">IFERROR(__xludf.DUMMYFUNCTION("""COMPUTED_VALUE"""),"REA-K2462")</f>
        <v>REA-K2462</v>
      </c>
      <c r="B1269" s="3">
        <f ca="1">IFERROR(__xludf.DUMMYFUNCTION("""COMPUTED_VALUE"""),53669)</f>
        <v>53669</v>
      </c>
      <c r="C1269" s="3">
        <f ca="1">IFERROR(__xludf.DUMMYFUNCTION("""COMPUTED_VALUE"""),5902557390946)</f>
        <v>5902557390946</v>
      </c>
      <c r="D1269" s="4" t="str">
        <f ca="1">IFERROR(__xludf.DUMMYFUNCTION("""COMPUTED_VALUE"""),"ŚCIANKA PRYSZNICOWA AERO OMBRE BLACK/BLACK 120")</f>
        <v>ŚCIANKA PRYSZNICOWA AERO OMBRE BLACK/BLACK 120</v>
      </c>
      <c r="E1269" s="31">
        <v>212.07317073170734</v>
      </c>
      <c r="F1269" s="31">
        <f t="shared" si="19"/>
        <v>260.85000000000002</v>
      </c>
    </row>
    <row r="1270" spans="1:6" ht="18.75" customHeight="1" x14ac:dyDescent="0.25">
      <c r="A1270" s="2" t="str">
        <f ca="1">IFERROR(__xludf.DUMMYFUNCTION("""COMPUTED_VALUE"""),"REA-K2459")</f>
        <v>REA-K2459</v>
      </c>
      <c r="B1270" s="3">
        <f ca="1">IFERROR(__xludf.DUMMYFUNCTION("""COMPUTED_VALUE"""),53676)</f>
        <v>53676</v>
      </c>
      <c r="C1270" s="3">
        <f ca="1">IFERROR(__xludf.DUMMYFUNCTION("""COMPUTED_VALUE"""),5902557390915)</f>
        <v>5902557390915</v>
      </c>
      <c r="D1270" s="4" t="str">
        <f ca="1">IFERROR(__xludf.DUMMYFUNCTION("""COMPUTED_VALUE"""),"ŚCIANKA PRYSZNICOWA AERO OMBRE BLACK/BLACK 90")</f>
        <v>ŚCIANKA PRYSZNICOWA AERO OMBRE BLACK/BLACK 90</v>
      </c>
      <c r="E1270" s="31">
        <v>191.31707317073173</v>
      </c>
      <c r="F1270" s="31">
        <f t="shared" si="19"/>
        <v>235.32000000000002</v>
      </c>
    </row>
    <row r="1271" spans="1:6" ht="18.75" customHeight="1" x14ac:dyDescent="0.25">
      <c r="A1271" s="2" t="str">
        <f ca="1">IFERROR(__xludf.DUMMYFUNCTION("""COMPUTED_VALUE"""),"REA-K2463")</f>
        <v>REA-K2463</v>
      </c>
      <c r="B1271" s="3">
        <f ca="1">IFERROR(__xludf.DUMMYFUNCTION("""COMPUTED_VALUE"""),53664)</f>
        <v>53664</v>
      </c>
      <c r="C1271" s="3">
        <f ca="1">IFERROR(__xludf.DUMMYFUNCTION("""COMPUTED_VALUE"""),5902557390878)</f>
        <v>5902557390878</v>
      </c>
      <c r="D1271" s="4" t="str">
        <f ca="1">IFERROR(__xludf.DUMMYFUNCTION("""COMPUTED_VALUE"""),"ŚCIANKA PRYSZNICOWA AERO OMBRE GOLD BRUSH/WHITE 90")</f>
        <v>ŚCIANKA PRYSZNICOWA AERO OMBRE GOLD BRUSH/WHITE 90</v>
      </c>
      <c r="E1271" s="31">
        <v>191.31707317073173</v>
      </c>
      <c r="F1271" s="31">
        <f t="shared" si="19"/>
        <v>235.32000000000002</v>
      </c>
    </row>
    <row r="1272" spans="1:6" ht="18.75" customHeight="1" x14ac:dyDescent="0.25">
      <c r="A1272" s="2" t="str">
        <f ca="1">IFERROR(__xludf.DUMMYFUNCTION("""COMPUTED_VALUE"""),"REA-K7634")</f>
        <v>REA-K7634</v>
      </c>
      <c r="B1272" s="3">
        <f ca="1">IFERROR(__xludf.DUMMYFUNCTION("""COMPUTED_VALUE"""),29333)</f>
        <v>29333</v>
      </c>
      <c r="C1272" s="3">
        <f ca="1">IFERROR(__xludf.DUMMYFUNCTION("""COMPUTED_VALUE"""),5902557337538)</f>
        <v>5902557337538</v>
      </c>
      <c r="D1272" s="4" t="str">
        <f ca="1">IFERROR(__xludf.DUMMYFUNCTION("""COMPUTED_VALUE"""),"ŚCIANKA PRYSZNICOWA BLER 100")</f>
        <v>ŚCIANKA PRYSZNICOWA BLER 100</v>
      </c>
      <c r="E1272" s="31">
        <v>191.31707317073173</v>
      </c>
      <c r="F1272" s="31">
        <f t="shared" si="19"/>
        <v>235.32000000000002</v>
      </c>
    </row>
    <row r="1273" spans="1:6" ht="18.75" customHeight="1" x14ac:dyDescent="0.25">
      <c r="A1273" s="2" t="str">
        <f ca="1">IFERROR(__xludf.DUMMYFUNCTION("""COMPUTED_VALUE"""),"REA-K7630")</f>
        <v>REA-K7630</v>
      </c>
      <c r="B1273" s="3">
        <f ca="1">IFERROR(__xludf.DUMMYFUNCTION("""COMPUTED_VALUE"""),29335)</f>
        <v>29335</v>
      </c>
      <c r="C1273" s="3">
        <f ca="1">IFERROR(__xludf.DUMMYFUNCTION("""COMPUTED_VALUE"""),5902557337545)</f>
        <v>5902557337545</v>
      </c>
      <c r="D1273" s="4" t="str">
        <f ca="1">IFERROR(__xludf.DUMMYFUNCTION("""COMPUTED_VALUE"""),"ŚCIANKA PRYSZNICOWA BLER 110")</f>
        <v>ŚCIANKA PRYSZNICOWA BLER 110</v>
      </c>
      <c r="E1273" s="31">
        <v>201.24390243902442</v>
      </c>
      <c r="F1273" s="31">
        <f t="shared" si="19"/>
        <v>247.53000000000003</v>
      </c>
    </row>
    <row r="1274" spans="1:6" ht="18.75" customHeight="1" x14ac:dyDescent="0.25">
      <c r="A1274" s="2" t="str">
        <f ca="1">IFERROR(__xludf.DUMMYFUNCTION("""COMPUTED_VALUE"""),"REA-K7631")</f>
        <v>REA-K7631</v>
      </c>
      <c r="B1274" s="3">
        <f ca="1">IFERROR(__xludf.DUMMYFUNCTION("""COMPUTED_VALUE"""),51334)</f>
        <v>51334</v>
      </c>
      <c r="C1274" s="3">
        <f ca="1">IFERROR(__xludf.DUMMYFUNCTION("""COMPUTED_VALUE"""),5902557337552)</f>
        <v>5902557337552</v>
      </c>
      <c r="D1274" s="4" t="str">
        <f ca="1">IFERROR(__xludf.DUMMYFUNCTION("""COMPUTED_VALUE"""),"ŚCIANKA PRYSZNICOWA BLER 120")</f>
        <v>ŚCIANKA PRYSZNICOWA BLER 120</v>
      </c>
      <c r="E1274" s="31">
        <v>212.07317073170734</v>
      </c>
      <c r="F1274" s="31">
        <f t="shared" si="19"/>
        <v>260.85000000000002</v>
      </c>
    </row>
    <row r="1275" spans="1:6" ht="18.75" customHeight="1" x14ac:dyDescent="0.25">
      <c r="A1275" s="2" t="str">
        <f ca="1">IFERROR(__xludf.DUMMYFUNCTION("""COMPUTED_VALUE"""),"REA-K7636")</f>
        <v>REA-K7636</v>
      </c>
      <c r="B1275" s="3">
        <f ca="1">IFERROR(__xludf.DUMMYFUNCTION("""COMPUTED_VALUE"""),29326)</f>
        <v>29326</v>
      </c>
      <c r="C1275" s="3">
        <f ca="1">IFERROR(__xludf.DUMMYFUNCTION("""COMPUTED_VALUE"""),5902557337507)</f>
        <v>5902557337507</v>
      </c>
      <c r="D1275" s="4" t="str">
        <f ca="1">IFERROR(__xludf.DUMMYFUNCTION("""COMPUTED_VALUE"""),"ŚCIANKA PRYSZNICOWA BLER 70")</f>
        <v>ŚCIANKA PRYSZNICOWA BLER 70</v>
      </c>
      <c r="E1275" s="31">
        <v>148.00000000000003</v>
      </c>
      <c r="F1275" s="31">
        <f t="shared" si="19"/>
        <v>182.04000000000002</v>
      </c>
    </row>
    <row r="1276" spans="1:6" ht="18.75" customHeight="1" x14ac:dyDescent="0.25">
      <c r="A1276" s="2" t="str">
        <f ca="1">IFERROR(__xludf.DUMMYFUNCTION("""COMPUTED_VALUE"""),"REA-K7637")</f>
        <v>REA-K7637</v>
      </c>
      <c r="B1276" s="3">
        <f ca="1">IFERROR(__xludf.DUMMYFUNCTION("""COMPUTED_VALUE"""),29329)</f>
        <v>29329</v>
      </c>
      <c r="C1276" s="3">
        <f ca="1">IFERROR(__xludf.DUMMYFUNCTION("""COMPUTED_VALUE"""),5902557337514)</f>
        <v>5902557337514</v>
      </c>
      <c r="D1276" s="4" t="str">
        <f ca="1">IFERROR(__xludf.DUMMYFUNCTION("""COMPUTED_VALUE"""),"ŚCIANKA PRYSZNICOWA BLER 80")</f>
        <v>ŚCIANKA PRYSZNICOWA BLER 80</v>
      </c>
      <c r="E1276" s="31">
        <v>169.65853658536588</v>
      </c>
      <c r="F1276" s="31">
        <f t="shared" si="19"/>
        <v>208.68000000000004</v>
      </c>
    </row>
    <row r="1277" spans="1:6" ht="18.75" customHeight="1" x14ac:dyDescent="0.25">
      <c r="A1277" s="2" t="str">
        <f ca="1">IFERROR(__xludf.DUMMYFUNCTION("""COMPUTED_VALUE"""),"REA-K7638")</f>
        <v>REA-K7638</v>
      </c>
      <c r="B1277" s="3">
        <f ca="1">IFERROR(__xludf.DUMMYFUNCTION("""COMPUTED_VALUE"""),29331)</f>
        <v>29331</v>
      </c>
      <c r="C1277" s="3">
        <f ca="1">IFERROR(__xludf.DUMMYFUNCTION("""COMPUTED_VALUE"""),5902557337521)</f>
        <v>5902557337521</v>
      </c>
      <c r="D1277" s="4" t="str">
        <f ca="1">IFERROR(__xludf.DUMMYFUNCTION("""COMPUTED_VALUE"""),"ŚCIANKA PRYSZNICOWA BLER 90")</f>
        <v>ŚCIANKA PRYSZNICOWA BLER 90</v>
      </c>
      <c r="E1277" s="31">
        <v>177.78048780487805</v>
      </c>
      <c r="F1277" s="31">
        <f t="shared" si="19"/>
        <v>218.67</v>
      </c>
    </row>
    <row r="1278" spans="1:6" ht="18.75" customHeight="1" x14ac:dyDescent="0.25">
      <c r="A1278" s="2" t="str">
        <f ca="1">IFERROR(__xludf.DUMMYFUNCTION("""COMPUTED_VALUE"""),"REA-K7955")</f>
        <v>REA-K7955</v>
      </c>
      <c r="B1278" s="3">
        <f ca="1">IFERROR(__xludf.DUMMYFUNCTION("""COMPUTED_VALUE"""),32026)</f>
        <v>32026</v>
      </c>
      <c r="C1278" s="3">
        <f ca="1">IFERROR(__xludf.DUMMYFUNCTION("""COMPUTED_VALUE"""),5902557343416)</f>
        <v>5902557343416</v>
      </c>
      <c r="D1278" s="4" t="str">
        <f ca="1">IFERROR(__xludf.DUMMYFUNCTION("""COMPUTED_VALUE"""),"ŚCIANKA PRYSZNICOWA BLER-1 100")</f>
        <v>ŚCIANKA PRYSZNICOWA BLER-1 100</v>
      </c>
      <c r="E1278" s="31">
        <v>199.43902439024393</v>
      </c>
      <c r="F1278" s="31">
        <f t="shared" si="19"/>
        <v>245.31000000000003</v>
      </c>
    </row>
    <row r="1279" spans="1:6" ht="18.75" customHeight="1" x14ac:dyDescent="0.25">
      <c r="A1279" s="2" t="str">
        <f ca="1">IFERROR(__xludf.DUMMYFUNCTION("""COMPUTED_VALUE"""),"REA-K7956")</f>
        <v>REA-K7956</v>
      </c>
      <c r="B1279" s="3">
        <f ca="1">IFERROR(__xludf.DUMMYFUNCTION("""COMPUTED_VALUE"""),32027)</f>
        <v>32027</v>
      </c>
      <c r="C1279" s="3">
        <f ca="1">IFERROR(__xludf.DUMMYFUNCTION("""COMPUTED_VALUE"""),5902557345007)</f>
        <v>5902557345007</v>
      </c>
      <c r="D1279" s="4" t="str">
        <f ca="1">IFERROR(__xludf.DUMMYFUNCTION("""COMPUTED_VALUE"""),"ŚCIANKA PRYSZNICOWA BLER-1 110")</f>
        <v>ŚCIANKA PRYSZNICOWA BLER-1 110</v>
      </c>
      <c r="E1279" s="31">
        <v>243.65853658536591</v>
      </c>
      <c r="F1279" s="31">
        <f t="shared" si="19"/>
        <v>299.70000000000005</v>
      </c>
    </row>
    <row r="1280" spans="1:6" ht="18.75" customHeight="1" x14ac:dyDescent="0.25">
      <c r="A1280" s="2" t="str">
        <f ca="1">IFERROR(__xludf.DUMMYFUNCTION("""COMPUTED_VALUE"""),"REA-K7957")</f>
        <v>REA-K7957</v>
      </c>
      <c r="B1280" s="3">
        <f ca="1">IFERROR(__xludf.DUMMYFUNCTION("""COMPUTED_VALUE"""),32028)</f>
        <v>32028</v>
      </c>
      <c r="C1280" s="3">
        <f ca="1">IFERROR(__xludf.DUMMYFUNCTION("""COMPUTED_VALUE"""),5902557343423)</f>
        <v>5902557343423</v>
      </c>
      <c r="D1280" s="4" t="str">
        <f ca="1">IFERROR(__xludf.DUMMYFUNCTION("""COMPUTED_VALUE"""),"ŚCIANKA PRYSZNICOWA BLER-1 120")</f>
        <v>ŚCIANKA PRYSZNICOWA BLER-1 120</v>
      </c>
      <c r="E1280" s="31">
        <v>259.00000000000006</v>
      </c>
      <c r="F1280" s="31">
        <f t="shared" si="19"/>
        <v>318.57000000000005</v>
      </c>
    </row>
    <row r="1281" spans="1:6" ht="18.75" customHeight="1" x14ac:dyDescent="0.25">
      <c r="A1281" s="2" t="str">
        <f ca="1">IFERROR(__xludf.DUMMYFUNCTION("""COMPUTED_VALUE"""),"REA-K7952")</f>
        <v>REA-K7952</v>
      </c>
      <c r="B1281" s="3">
        <f ca="1">IFERROR(__xludf.DUMMYFUNCTION("""COMPUTED_VALUE"""),32024)</f>
        <v>32024</v>
      </c>
      <c r="C1281" s="3">
        <f ca="1">IFERROR(__xludf.DUMMYFUNCTION("""COMPUTED_VALUE"""),5902557343393)</f>
        <v>5902557343393</v>
      </c>
      <c r="D1281" s="4" t="str">
        <f ca="1">IFERROR(__xludf.DUMMYFUNCTION("""COMPUTED_VALUE"""),"ŚCIANKA PRYSZNICOWA BLER-1 80")</f>
        <v>ŚCIANKA PRYSZNICOWA BLER-1 80</v>
      </c>
      <c r="E1281" s="31">
        <v>200.34146341463418</v>
      </c>
      <c r="F1281" s="31">
        <f t="shared" si="19"/>
        <v>246.42000000000004</v>
      </c>
    </row>
    <row r="1282" spans="1:6" ht="18.75" customHeight="1" x14ac:dyDescent="0.25">
      <c r="A1282" s="2" t="str">
        <f ca="1">IFERROR(__xludf.DUMMYFUNCTION("""COMPUTED_VALUE"""),"REA-K7953")</f>
        <v>REA-K7953</v>
      </c>
      <c r="B1282" s="3">
        <f ca="1">IFERROR(__xludf.DUMMYFUNCTION("""COMPUTED_VALUE"""),32025)</f>
        <v>32025</v>
      </c>
      <c r="C1282" s="3">
        <f ca="1">IFERROR(__xludf.DUMMYFUNCTION("""COMPUTED_VALUE"""),5902557343409)</f>
        <v>5902557343409</v>
      </c>
      <c r="D1282" s="4" t="str">
        <f ca="1">IFERROR(__xludf.DUMMYFUNCTION("""COMPUTED_VALUE"""),"ŚCIANKA PRYSZNICOWA BLER-1 90")</f>
        <v>ŚCIANKA PRYSZNICOWA BLER-1 90</v>
      </c>
      <c r="E1282" s="31">
        <v>195.82926829268297</v>
      </c>
      <c r="F1282" s="31">
        <f t="shared" si="19"/>
        <v>240.87000000000006</v>
      </c>
    </row>
    <row r="1283" spans="1:6" ht="18.75" customHeight="1" x14ac:dyDescent="0.25">
      <c r="A1283" s="2" t="str">
        <f ca="1">IFERROR(__xludf.DUMMYFUNCTION("""COMPUTED_VALUE"""),"REA-K7740")</f>
        <v>REA-K7740</v>
      </c>
      <c r="B1283" s="3">
        <f ca="1">IFERROR(__xludf.DUMMYFUNCTION("""COMPUTED_VALUE"""),42437)</f>
        <v>42437</v>
      </c>
      <c r="C1283" s="3">
        <f ca="1">IFERROR(__xludf.DUMMYFUNCTION("""COMPUTED_VALUE"""),5902557362905)</f>
        <v>5902557362905</v>
      </c>
      <c r="D1283" s="4" t="str">
        <f ca="1">IFERROR(__xludf.DUMMYFUNCTION("""COMPUTED_VALUE"""),"ŚCIANKA PRYSZNICOWA CORTIS BLACK 100")</f>
        <v>ŚCIANKA PRYSZNICOWA CORTIS BLACK 100</v>
      </c>
      <c r="E1283" s="31">
        <v>233.73</v>
      </c>
      <c r="F1283" s="31">
        <f t="shared" ref="F1283:F1346" si="20">E1283*1.23</f>
        <v>287.48789999999997</v>
      </c>
    </row>
    <row r="1284" spans="1:6" ht="18.75" customHeight="1" x14ac:dyDescent="0.25">
      <c r="A1284" s="2" t="str">
        <f ca="1">IFERROR(__xludf.DUMMYFUNCTION("""COMPUTED_VALUE"""),"REA-K8880")</f>
        <v>REA-K8880</v>
      </c>
      <c r="B1284" s="3">
        <f ca="1">IFERROR(__xludf.DUMMYFUNCTION("""COMPUTED_VALUE"""),39745)</f>
        <v>39745</v>
      </c>
      <c r="C1284" s="3">
        <f ca="1">IFERROR(__xludf.DUMMYFUNCTION("""COMPUTED_VALUE"""),5902557355884)</f>
        <v>5902557355884</v>
      </c>
      <c r="D1284" s="4" t="str">
        <f ca="1">IFERROR(__xludf.DUMMYFUNCTION("""COMPUTED_VALUE"""),"ŚCIANKA PRYSZNICOWA CORTIS BLACK 120")</f>
        <v>ŚCIANKA PRYSZNICOWA CORTIS BLACK 120</v>
      </c>
      <c r="E1284" s="31">
        <v>237.34</v>
      </c>
      <c r="F1284" s="31">
        <f t="shared" si="20"/>
        <v>291.9282</v>
      </c>
    </row>
    <row r="1285" spans="1:6" ht="18.75" customHeight="1" x14ac:dyDescent="0.25">
      <c r="A1285" s="2" t="str">
        <f ca="1">IFERROR(__xludf.DUMMYFUNCTION("""COMPUTED_VALUE"""),"REA-K7210")</f>
        <v>REA-K7210</v>
      </c>
      <c r="B1285" s="3">
        <f ca="1">IFERROR(__xludf.DUMMYFUNCTION("""COMPUTED_VALUE"""),33427)</f>
        <v>33427</v>
      </c>
      <c r="C1285" s="3">
        <f ca="1">IFERROR(__xludf.DUMMYFUNCTION("""COMPUTED_VALUE"""),5902557343379)</f>
        <v>5902557343379</v>
      </c>
      <c r="D1285" s="4" t="str">
        <f ca="1">IFERROR(__xludf.DUMMYFUNCTION("""COMPUTED_VALUE"""),"ŚCIANKA PRYSZNICOWA CORTIS CHROM 100")</f>
        <v>ŚCIANKA PRYSZNICOWA CORTIS CHROM 100</v>
      </c>
      <c r="E1285" s="31">
        <v>218.39024390243904</v>
      </c>
      <c r="F1285" s="31">
        <f t="shared" si="20"/>
        <v>268.62</v>
      </c>
    </row>
    <row r="1286" spans="1:6" ht="18.75" customHeight="1" x14ac:dyDescent="0.25">
      <c r="A1286" s="2" t="str">
        <f ca="1">IFERROR(__xludf.DUMMYFUNCTION("""COMPUTED_VALUE"""),"REA-K7211")</f>
        <v>REA-K7211</v>
      </c>
      <c r="B1286" s="3">
        <f ca="1">IFERROR(__xludf.DUMMYFUNCTION("""COMPUTED_VALUE"""),33428)</f>
        <v>33428</v>
      </c>
      <c r="C1286" s="3">
        <f ca="1">IFERROR(__xludf.DUMMYFUNCTION("""COMPUTED_VALUE"""),5902557343386)</f>
        <v>5902557343386</v>
      </c>
      <c r="D1286" s="4" t="str">
        <f ca="1">IFERROR(__xludf.DUMMYFUNCTION("""COMPUTED_VALUE"""),"ŚCIANKA PRYSZNICOWA CORTIS CHROM 120")</f>
        <v>ŚCIANKA PRYSZNICOWA CORTIS CHROM 120</v>
      </c>
      <c r="E1286" s="31">
        <v>233.73170731707319</v>
      </c>
      <c r="F1286" s="31">
        <f t="shared" si="20"/>
        <v>287.49</v>
      </c>
    </row>
    <row r="1287" spans="1:6" ht="18.75" customHeight="1" x14ac:dyDescent="0.25">
      <c r="A1287" s="2" t="str">
        <f ca="1">IFERROR(__xludf.DUMMYFUNCTION("""COMPUTED_VALUE"""),"REA-K8484")</f>
        <v>REA-K8484</v>
      </c>
      <c r="B1287" s="3">
        <f ca="1">IFERROR(__xludf.DUMMYFUNCTION("""COMPUTED_VALUE"""),47719)</f>
        <v>47719</v>
      </c>
      <c r="C1287" s="3">
        <f ca="1">IFERROR(__xludf.DUMMYFUNCTION("""COMPUTED_VALUE"""),5902557376803)</f>
        <v>5902557376803</v>
      </c>
      <c r="D1287" s="4" t="str">
        <f ca="1">IFERROR(__xludf.DUMMYFUNCTION("""COMPUTED_VALUE"""),"ŚCIANKA PRYSZNICOWA CORTIS GOLD 100")</f>
        <v>ŚCIANKA PRYSZNICOWA CORTIS GOLD 100</v>
      </c>
      <c r="E1287" s="31">
        <v>249.97560975609761</v>
      </c>
      <c r="F1287" s="31">
        <f t="shared" si="20"/>
        <v>307.47000000000008</v>
      </c>
    </row>
    <row r="1288" spans="1:6" ht="18.75" customHeight="1" x14ac:dyDescent="0.25">
      <c r="A1288" s="2" t="str">
        <f ca="1">IFERROR(__xludf.DUMMYFUNCTION("""COMPUTED_VALUE"""),"REA-K8485")</f>
        <v>REA-K8485</v>
      </c>
      <c r="B1288" s="3">
        <f ca="1">IFERROR(__xludf.DUMMYFUNCTION("""COMPUTED_VALUE"""),47720)</f>
        <v>47720</v>
      </c>
      <c r="C1288" s="3">
        <f ca="1">IFERROR(__xludf.DUMMYFUNCTION("""COMPUTED_VALUE"""),5902557376810)</f>
        <v>5902557376810</v>
      </c>
      <c r="D1288" s="4" t="str">
        <f ca="1">IFERROR(__xludf.DUMMYFUNCTION("""COMPUTED_VALUE"""),"ŚCIANKA PRYSZNICOWA CORTIS GOLD 120")</f>
        <v>ŚCIANKA PRYSZNICOWA CORTIS GOLD 120</v>
      </c>
      <c r="E1288" s="31">
        <v>260.80487804878049</v>
      </c>
      <c r="F1288" s="31">
        <f t="shared" si="20"/>
        <v>320.79000000000002</v>
      </c>
    </row>
    <row r="1289" spans="1:6" ht="18.75" customHeight="1" x14ac:dyDescent="0.25">
      <c r="A1289" s="2" t="str">
        <f ca="1">IFERROR(__xludf.DUMMYFUNCTION("""COMPUTED_VALUE"""),"REA-K1903")</f>
        <v>REA-K1903</v>
      </c>
      <c r="B1289" s="3"/>
      <c r="C1289" s="3">
        <f ca="1">IFERROR(__xludf.DUMMYFUNCTION("""COMPUTED_VALUE"""),5902557329892)</f>
        <v>5902557329892</v>
      </c>
      <c r="D1289" s="4" t="str">
        <f ca="1">IFERROR(__xludf.DUMMYFUNCTION("""COMPUTED_VALUE"""),"ŚCIANKA PRYSZNICOWA FLEXI 100")</f>
        <v>ŚCIANKA PRYSZNICOWA FLEXI 100</v>
      </c>
      <c r="E1289" s="31">
        <v>176.8780487804878</v>
      </c>
      <c r="F1289" s="31">
        <f t="shared" si="20"/>
        <v>217.56</v>
      </c>
    </row>
    <row r="1290" spans="1:6" ht="18.75" customHeight="1" x14ac:dyDescent="0.25">
      <c r="A1290" s="2" t="str">
        <f ca="1">IFERROR(__xludf.DUMMYFUNCTION("""COMPUTED_VALUE"""),"REA-K1904")</f>
        <v>REA-K1904</v>
      </c>
      <c r="B1290" s="3"/>
      <c r="C1290" s="3">
        <f ca="1">IFERROR(__xludf.DUMMYFUNCTION("""COMPUTED_VALUE"""),5902557329908)</f>
        <v>5902557329908</v>
      </c>
      <c r="D1290" s="4" t="str">
        <f ca="1">IFERROR(__xludf.DUMMYFUNCTION("""COMPUTED_VALUE"""),"ŚCIANKA PRYSZNICOWA FLEXI 110")</f>
        <v>ŚCIANKA PRYSZNICOWA FLEXI 110</v>
      </c>
      <c r="E1290" s="31">
        <v>189.51219512195127</v>
      </c>
      <c r="F1290" s="31">
        <f t="shared" si="20"/>
        <v>233.10000000000005</v>
      </c>
    </row>
    <row r="1291" spans="1:6" ht="18.75" customHeight="1" x14ac:dyDescent="0.25">
      <c r="A1291" s="2" t="str">
        <f ca="1">IFERROR(__xludf.DUMMYFUNCTION("""COMPUTED_VALUE"""),"REA-K1905")</f>
        <v>REA-K1905</v>
      </c>
      <c r="B1291" s="3">
        <f ca="1">IFERROR(__xludf.DUMMYFUNCTION("""COMPUTED_VALUE"""),51433)</f>
        <v>51433</v>
      </c>
      <c r="C1291" s="3">
        <f ca="1">IFERROR(__xludf.DUMMYFUNCTION("""COMPUTED_VALUE"""),5902557329915)</f>
        <v>5902557329915</v>
      </c>
      <c r="D1291" s="4" t="str">
        <f ca="1">IFERROR(__xludf.DUMMYFUNCTION("""COMPUTED_VALUE"""),"ŚCIANKA PRYSZNICOWA FLEXI 120")</f>
        <v>ŚCIANKA PRYSZNICOWA FLEXI 120</v>
      </c>
      <c r="E1291" s="31">
        <v>163.34146341463415</v>
      </c>
      <c r="F1291" s="31">
        <f t="shared" si="20"/>
        <v>200.91</v>
      </c>
    </row>
    <row r="1292" spans="1:6" ht="18.75" customHeight="1" x14ac:dyDescent="0.25">
      <c r="A1292" s="2" t="str">
        <f ca="1">IFERROR(__xludf.DUMMYFUNCTION("""COMPUTED_VALUE"""),"REA-K1900")</f>
        <v>REA-K1900</v>
      </c>
      <c r="B1292" s="3"/>
      <c r="C1292" s="3">
        <f ca="1">IFERROR(__xludf.DUMMYFUNCTION("""COMPUTED_VALUE"""),5902557329861)</f>
        <v>5902557329861</v>
      </c>
      <c r="D1292" s="4" t="str">
        <f ca="1">IFERROR(__xludf.DUMMYFUNCTION("""COMPUTED_VALUE"""),"ŚCIANKA PRYSZNICOWA FLEXI 70")</f>
        <v>ŚCIANKA PRYSZNICOWA FLEXI 70</v>
      </c>
      <c r="E1292" s="31">
        <v>141.6829268292683</v>
      </c>
      <c r="F1292" s="31">
        <f t="shared" si="20"/>
        <v>174.27</v>
      </c>
    </row>
    <row r="1293" spans="1:6" ht="18.75" customHeight="1" x14ac:dyDescent="0.25">
      <c r="A1293" s="2" t="str">
        <f ca="1">IFERROR(__xludf.DUMMYFUNCTION("""COMPUTED_VALUE"""),"REA-K1901")</f>
        <v>REA-K1901</v>
      </c>
      <c r="B1293" s="3"/>
      <c r="C1293" s="3">
        <f ca="1">IFERROR(__xludf.DUMMYFUNCTION("""COMPUTED_VALUE"""),5902557329878)</f>
        <v>5902557329878</v>
      </c>
      <c r="D1293" s="4" t="str">
        <f ca="1">IFERROR(__xludf.DUMMYFUNCTION("""COMPUTED_VALUE"""),"ŚCIANKA PRYSZNICOWA FLEXI 80")</f>
        <v>ŚCIANKA PRYSZNICOWA FLEXI 80</v>
      </c>
      <c r="E1293" s="31">
        <v>153.41463414634148</v>
      </c>
      <c r="F1293" s="31">
        <f t="shared" si="20"/>
        <v>188.70000000000002</v>
      </c>
    </row>
    <row r="1294" spans="1:6" ht="18.75" customHeight="1" x14ac:dyDescent="0.25">
      <c r="A1294" s="2" t="str">
        <f ca="1">IFERROR(__xludf.DUMMYFUNCTION("""COMPUTED_VALUE"""),"REA-K1902")</f>
        <v>REA-K1902</v>
      </c>
      <c r="B1294" s="3"/>
      <c r="C1294" s="3">
        <f ca="1">IFERROR(__xludf.DUMMYFUNCTION("""COMPUTED_VALUE"""),5902557329885)</f>
        <v>5902557329885</v>
      </c>
      <c r="D1294" s="4" t="str">
        <f ca="1">IFERROR(__xludf.DUMMYFUNCTION("""COMPUTED_VALUE"""),"ŚCIANKA PRYSZNICOWA FLEXI 90")</f>
        <v>ŚCIANKA PRYSZNICOWA FLEXI 90</v>
      </c>
      <c r="E1294" s="31">
        <v>165.14634146341464</v>
      </c>
      <c r="F1294" s="31">
        <f t="shared" si="20"/>
        <v>203.13</v>
      </c>
    </row>
    <row r="1295" spans="1:6" ht="18.75" customHeight="1" x14ac:dyDescent="0.25">
      <c r="A1295" s="2" t="str">
        <f ca="1">IFERROR(__xludf.DUMMYFUNCTION("""COMPUTED_VALUE"""),"REA-K6607")</f>
        <v>REA-K6607</v>
      </c>
      <c r="B1295" s="3">
        <f ca="1">IFERROR(__xludf.DUMMYFUNCTION("""COMPUTED_VALUE"""),49216)</f>
        <v>49216</v>
      </c>
      <c r="C1295" s="3">
        <f ca="1">IFERROR(__xludf.DUMMYFUNCTION("""COMPUTED_VALUE"""),5902557376636)</f>
        <v>5902557376636</v>
      </c>
      <c r="D1295" s="4" t="str">
        <f ca="1">IFERROR(__xludf.DUMMYFUNCTION("""COMPUTED_VALUE"""),"ŚCIANKA PRYSZNICOWA HUGO BLACK 80")</f>
        <v>ŚCIANKA PRYSZNICOWA HUGO BLACK 80</v>
      </c>
      <c r="E1295" s="31">
        <v>114.60975609756099</v>
      </c>
      <c r="F1295" s="31">
        <f t="shared" si="20"/>
        <v>140.97000000000003</v>
      </c>
    </row>
    <row r="1296" spans="1:6" ht="18.75" customHeight="1" x14ac:dyDescent="0.25">
      <c r="A1296" s="2" t="str">
        <f ca="1">IFERROR(__xludf.DUMMYFUNCTION("""COMPUTED_VALUE"""),"REA-K6611")</f>
        <v>REA-K6611</v>
      </c>
      <c r="B1296" s="3">
        <f ca="1">IFERROR(__xludf.DUMMYFUNCTION("""COMPUTED_VALUE"""),49217)</f>
        <v>49217</v>
      </c>
      <c r="C1296" s="3">
        <f ca="1">IFERROR(__xludf.DUMMYFUNCTION("""COMPUTED_VALUE"""),5902557376643)</f>
        <v>5902557376643</v>
      </c>
      <c r="D1296" s="4" t="str">
        <f ca="1">IFERROR(__xludf.DUMMYFUNCTION("""COMPUTED_VALUE"""),"ŚCIANKA PRYSZNICOWA HUGO BLACK 90")</f>
        <v>ŚCIANKA PRYSZNICOWA HUGO BLACK 90</v>
      </c>
      <c r="E1296" s="31">
        <v>114.60975609756099</v>
      </c>
      <c r="F1296" s="31">
        <f t="shared" si="20"/>
        <v>140.97000000000003</v>
      </c>
    </row>
    <row r="1297" spans="1:6" ht="18.75" customHeight="1" x14ac:dyDescent="0.25">
      <c r="A1297" s="2" t="str">
        <f ca="1">IFERROR(__xludf.DUMMYFUNCTION("""COMPUTED_VALUE"""),"REA-K6612")</f>
        <v>REA-K6612</v>
      </c>
      <c r="B1297" s="3">
        <f ca="1">IFERROR(__xludf.DUMMYFUNCTION("""COMPUTED_VALUE"""),49035)</f>
        <v>49035</v>
      </c>
      <c r="C1297" s="3">
        <f ca="1">IFERROR(__xludf.DUMMYFUNCTION("""COMPUTED_VALUE"""),5902557376735)</f>
        <v>5902557376735</v>
      </c>
      <c r="D1297" s="4" t="str">
        <f ca="1">IFERROR(__xludf.DUMMYFUNCTION("""COMPUTED_VALUE"""),"ŚCIANKA PRYSZNICOWA HUGO GOLD BRUSH 80")</f>
        <v>ŚCIANKA PRYSZNICOWA HUGO GOLD BRUSH 80</v>
      </c>
      <c r="E1297" s="31">
        <v>117.31707317073172</v>
      </c>
      <c r="F1297" s="31">
        <f t="shared" si="20"/>
        <v>144.30000000000001</v>
      </c>
    </row>
    <row r="1298" spans="1:6" ht="18.75" customHeight="1" x14ac:dyDescent="0.25">
      <c r="A1298" s="2" t="str">
        <f ca="1">IFERROR(__xludf.DUMMYFUNCTION("""COMPUTED_VALUE"""),"REA-K6613")</f>
        <v>REA-K6613</v>
      </c>
      <c r="B1298" s="3">
        <f ca="1">IFERROR(__xludf.DUMMYFUNCTION("""COMPUTED_VALUE"""),49036)</f>
        <v>49036</v>
      </c>
      <c r="C1298" s="3">
        <f ca="1">IFERROR(__xludf.DUMMYFUNCTION("""COMPUTED_VALUE"""),5902557376742)</f>
        <v>5902557376742</v>
      </c>
      <c r="D1298" s="4" t="str">
        <f ca="1">IFERROR(__xludf.DUMMYFUNCTION("""COMPUTED_VALUE"""),"ŚCIANKA PRYSZNICOWA HUGO GOLD BRUSH 90")</f>
        <v>ŚCIANKA PRYSZNICOWA HUGO GOLD BRUSH 90</v>
      </c>
      <c r="E1298" s="31">
        <v>119.1219512195122</v>
      </c>
      <c r="F1298" s="31">
        <f t="shared" si="20"/>
        <v>146.52000000000001</v>
      </c>
    </row>
    <row r="1299" spans="1:6" ht="18.75" customHeight="1" x14ac:dyDescent="0.25">
      <c r="A1299" s="2" t="str">
        <f ca="1">IFERROR(__xludf.DUMMYFUNCTION("""COMPUTED_VALUE"""),"REA-K1763")</f>
        <v>REA-K1763</v>
      </c>
      <c r="B1299" s="3">
        <f ca="1">IFERROR(__xludf.DUMMYFUNCTION("""COMPUTED_VALUE"""),42135)</f>
        <v>42135</v>
      </c>
      <c r="C1299" s="3">
        <f ca="1">IFERROR(__xludf.DUMMYFUNCTION("""COMPUTED_VALUE"""),5902557357420)</f>
        <v>5902557357420</v>
      </c>
      <c r="D1299" s="4" t="str">
        <f ca="1">IFERROR(__xludf.DUMMYFUNCTION("""COMPUTED_VALUE"""),"ŚCIANKA PRYSZNICOWA MOLIER 100 BLACK")</f>
        <v>ŚCIANKA PRYSZNICOWA MOLIER 100 BLACK</v>
      </c>
      <c r="E1299" s="31">
        <v>136.26829268292684</v>
      </c>
      <c r="F1299" s="31">
        <f t="shared" si="20"/>
        <v>167.61</v>
      </c>
    </row>
    <row r="1300" spans="1:6" ht="18.75" customHeight="1" x14ac:dyDescent="0.25">
      <c r="A1300" s="2" t="str">
        <f ca="1">IFERROR(__xludf.DUMMYFUNCTION("""COMPUTED_VALUE"""),"REA-K8536")</f>
        <v>REA-K8536</v>
      </c>
      <c r="B1300" s="3">
        <f ca="1">IFERROR(__xludf.DUMMYFUNCTION("""COMPUTED_VALUE"""),42131)</f>
        <v>42131</v>
      </c>
      <c r="C1300" s="3">
        <f ca="1">IFERROR(__xludf.DUMMYFUNCTION("""COMPUTED_VALUE"""),5902557357390)</f>
        <v>5902557357390</v>
      </c>
      <c r="D1300" s="4" t="str">
        <f ca="1">IFERROR(__xludf.DUMMYFUNCTION("""COMPUTED_VALUE"""),"ŚCIANKA PRYSZNICOWA MOLIER 100 CHROM")</f>
        <v>ŚCIANKA PRYSZNICOWA MOLIER 100 CHROM</v>
      </c>
      <c r="E1300" s="31">
        <v>109.19512195121952</v>
      </c>
      <c r="F1300" s="31">
        <f t="shared" si="20"/>
        <v>134.31</v>
      </c>
    </row>
    <row r="1301" spans="1:6" ht="18.75" customHeight="1" x14ac:dyDescent="0.25">
      <c r="A1301" s="2" t="str">
        <f ca="1">IFERROR(__xludf.DUMMYFUNCTION("""COMPUTED_VALUE"""),"REA-K8412")</f>
        <v>REA-K8412</v>
      </c>
      <c r="B1301" s="3">
        <f ca="1">IFERROR(__xludf.DUMMYFUNCTION("""COMPUTED_VALUE"""),42133)</f>
        <v>42133</v>
      </c>
      <c r="C1301" s="3">
        <f ca="1">IFERROR(__xludf.DUMMYFUNCTION("""COMPUTED_VALUE"""),5902557357406)</f>
        <v>5902557357406</v>
      </c>
      <c r="D1301" s="4" t="str">
        <f ca="1">IFERROR(__xludf.DUMMYFUNCTION("""COMPUTED_VALUE"""),"ŚCIANKA PRYSZNICOWA MOLIER BLACK 80")</f>
        <v>ŚCIANKA PRYSZNICOWA MOLIER BLACK 80</v>
      </c>
      <c r="E1301" s="31">
        <v>140.78048780487805</v>
      </c>
      <c r="F1301" s="31">
        <f t="shared" si="20"/>
        <v>173.16</v>
      </c>
    </row>
    <row r="1302" spans="1:6" ht="18.75" customHeight="1" x14ac:dyDescent="0.25">
      <c r="A1302" s="2" t="str">
        <f ca="1">IFERROR(__xludf.DUMMYFUNCTION("""COMPUTED_VALUE"""),"REA-K8531")</f>
        <v>REA-K8531</v>
      </c>
      <c r="B1302" s="3">
        <f ca="1">IFERROR(__xludf.DUMMYFUNCTION("""COMPUTED_VALUE"""),42134)</f>
        <v>42134</v>
      </c>
      <c r="C1302" s="3">
        <f ca="1">IFERROR(__xludf.DUMMYFUNCTION("""COMPUTED_VALUE"""),5902557357413)</f>
        <v>5902557357413</v>
      </c>
      <c r="D1302" s="4" t="str">
        <f ca="1">IFERROR(__xludf.DUMMYFUNCTION("""COMPUTED_VALUE"""),"ŚCIANKA PRYSZNICOWA MOLIER BLACK 90")</f>
        <v>ŚCIANKA PRYSZNICOWA MOLIER BLACK 90</v>
      </c>
      <c r="E1302" s="31">
        <v>133.5609756097561</v>
      </c>
      <c r="F1302" s="31">
        <f t="shared" si="20"/>
        <v>164.28</v>
      </c>
    </row>
    <row r="1303" spans="1:6" ht="18.75" customHeight="1" x14ac:dyDescent="0.25">
      <c r="A1303" s="2" t="str">
        <f ca="1">IFERROR(__xludf.DUMMYFUNCTION("""COMPUTED_VALUE"""),"REA-K8534")</f>
        <v>REA-K8534</v>
      </c>
      <c r="B1303" s="3">
        <f ca="1">IFERROR(__xludf.DUMMYFUNCTION("""COMPUTED_VALUE"""),42129)</f>
        <v>42129</v>
      </c>
      <c r="C1303" s="3">
        <f ca="1">IFERROR(__xludf.DUMMYFUNCTION("""COMPUTED_VALUE"""),5902557357376)</f>
        <v>5902557357376</v>
      </c>
      <c r="D1303" s="4" t="str">
        <f ca="1">IFERROR(__xludf.DUMMYFUNCTION("""COMPUTED_VALUE"""),"ŚCIANKA PRYSZNICOWA MOLIER CHROM 80")</f>
        <v>ŚCIANKA PRYSZNICOWA MOLIER CHROM 80</v>
      </c>
      <c r="E1303" s="31">
        <v>94.756097560975633</v>
      </c>
      <c r="F1303" s="31">
        <f t="shared" si="20"/>
        <v>116.55000000000003</v>
      </c>
    </row>
    <row r="1304" spans="1:6" ht="18.75" customHeight="1" x14ac:dyDescent="0.25">
      <c r="A1304" s="2" t="str">
        <f ca="1">IFERROR(__xludf.DUMMYFUNCTION("""COMPUTED_VALUE"""),"REA-K8535")</f>
        <v>REA-K8535</v>
      </c>
      <c r="B1304" s="3">
        <f ca="1">IFERROR(__xludf.DUMMYFUNCTION("""COMPUTED_VALUE"""),42130)</f>
        <v>42130</v>
      </c>
      <c r="C1304" s="3">
        <f ca="1">IFERROR(__xludf.DUMMYFUNCTION("""COMPUTED_VALUE"""),5902557357383)</f>
        <v>5902557357383</v>
      </c>
      <c r="D1304" s="4" t="str">
        <f ca="1">IFERROR(__xludf.DUMMYFUNCTION("""COMPUTED_VALUE"""),"ŚCIANKA PRYSZNICOWA MOLIER CHROM 90")</f>
        <v>ŚCIANKA PRYSZNICOWA MOLIER CHROM 90</v>
      </c>
      <c r="E1304" s="31">
        <v>96.560975609756113</v>
      </c>
      <c r="F1304" s="31">
        <f t="shared" si="20"/>
        <v>118.77000000000002</v>
      </c>
    </row>
    <row r="1305" spans="1:6" ht="18.75" customHeight="1" x14ac:dyDescent="0.25">
      <c r="A1305" s="2" t="str">
        <f ca="1">IFERROR(__xludf.DUMMYFUNCTION("""COMPUTED_VALUE"""),"REA-K8751")</f>
        <v>REA-K8751</v>
      </c>
      <c r="B1305" s="3">
        <f ca="1">IFERROR(__xludf.DUMMYFUNCTION("""COMPUTED_VALUE"""),14149)</f>
        <v>14149</v>
      </c>
      <c r="C1305" s="3">
        <f ca="1">IFERROR(__xludf.DUMMYFUNCTION("""COMPUTED_VALUE"""),5902557329847)</f>
        <v>5902557329847</v>
      </c>
      <c r="D1305" s="4" t="str">
        <f ca="1">IFERROR(__xludf.DUMMYFUNCTION("""COMPUTED_VALUE"""),"ŚCIANKA PRYSZNICOWA SLIDE PRO 80")</f>
        <v>ŚCIANKA PRYSZNICOWA SLIDE PRO 80</v>
      </c>
      <c r="E1305" s="31">
        <v>101.97560975609757</v>
      </c>
      <c r="F1305" s="31">
        <f t="shared" si="20"/>
        <v>125.43</v>
      </c>
    </row>
    <row r="1306" spans="1:6" ht="18.75" customHeight="1" x14ac:dyDescent="0.25">
      <c r="A1306" s="2" t="str">
        <f ca="1">IFERROR(__xludf.DUMMYFUNCTION("""COMPUTED_VALUE"""),"REA-K8752")</f>
        <v>REA-K8752</v>
      </c>
      <c r="B1306" s="3">
        <f ca="1">IFERROR(__xludf.DUMMYFUNCTION("""COMPUTED_VALUE"""),14150)</f>
        <v>14150</v>
      </c>
      <c r="C1306" s="3">
        <f ca="1">IFERROR(__xludf.DUMMYFUNCTION("""COMPUTED_VALUE"""),5902557329854)</f>
        <v>5902557329854</v>
      </c>
      <c r="D1306" s="4" t="str">
        <f ca="1">IFERROR(__xludf.DUMMYFUNCTION("""COMPUTED_VALUE"""),"ŚCIANKA PRYSZNICOWA SLIDE PRO 90")</f>
        <v>ŚCIANKA PRYSZNICOWA SLIDE PRO 90</v>
      </c>
      <c r="E1306" s="31">
        <v>105.58536585365854</v>
      </c>
      <c r="F1306" s="31">
        <f t="shared" si="20"/>
        <v>129.87</v>
      </c>
    </row>
    <row r="1307" spans="1:6" ht="18.75" customHeight="1" x14ac:dyDescent="0.25">
      <c r="A1307" s="2" t="str">
        <f ca="1">IFERROR(__xludf.DUMMYFUNCTION("""COMPUTED_VALUE"""),"REA-K6423")</f>
        <v>REA-K6423</v>
      </c>
      <c r="B1307" s="3">
        <f ca="1">IFERROR(__xludf.DUMMYFUNCTION("""COMPUTED_VALUE"""),35281)</f>
        <v>35281</v>
      </c>
      <c r="C1307" s="3">
        <f ca="1">IFERROR(__xludf.DUMMYFUNCTION("""COMPUTED_VALUE"""),5902557342563)</f>
        <v>5902557342563</v>
      </c>
      <c r="D1307" s="4" t="str">
        <f ca="1">IFERROR(__xludf.DUMMYFUNCTION("""COMPUTED_VALUE"""),"ŚCIANKA RAPID BLACK 100")</f>
        <v>ŚCIANKA RAPID BLACK 100</v>
      </c>
      <c r="E1307" s="31">
        <v>114.60975609756099</v>
      </c>
      <c r="F1307" s="31">
        <f t="shared" si="20"/>
        <v>140.97000000000003</v>
      </c>
    </row>
    <row r="1308" spans="1:6" ht="18.75" customHeight="1" x14ac:dyDescent="0.25">
      <c r="A1308" s="2" t="str">
        <f ca="1">IFERROR(__xludf.DUMMYFUNCTION("""COMPUTED_VALUE"""),"REA-K6421")</f>
        <v>REA-K6421</v>
      </c>
      <c r="B1308" s="3">
        <f ca="1">IFERROR(__xludf.DUMMYFUNCTION("""COMPUTED_VALUE"""),35279)</f>
        <v>35279</v>
      </c>
      <c r="C1308" s="3">
        <f ca="1">IFERROR(__xludf.DUMMYFUNCTION("""COMPUTED_VALUE"""),5902557342549)</f>
        <v>5902557342549</v>
      </c>
      <c r="D1308" s="4" t="str">
        <f ca="1">IFERROR(__xludf.DUMMYFUNCTION("""COMPUTED_VALUE"""),"ŚCIANKA RAPID BLACK 80")</f>
        <v>ŚCIANKA RAPID BLACK 80</v>
      </c>
      <c r="E1308" s="31">
        <v>103.78048780487806</v>
      </c>
      <c r="F1308" s="31">
        <f t="shared" si="20"/>
        <v>127.65000000000002</v>
      </c>
    </row>
    <row r="1309" spans="1:6" ht="18.75" customHeight="1" x14ac:dyDescent="0.25">
      <c r="A1309" s="2" t="str">
        <f ca="1">IFERROR(__xludf.DUMMYFUNCTION("""COMPUTED_VALUE"""),"REA-K6422")</f>
        <v>REA-K6422</v>
      </c>
      <c r="B1309" s="3">
        <f ca="1">IFERROR(__xludf.DUMMYFUNCTION("""COMPUTED_VALUE"""),35280)</f>
        <v>35280</v>
      </c>
      <c r="C1309" s="3">
        <f ca="1">IFERROR(__xludf.DUMMYFUNCTION("""COMPUTED_VALUE"""),5902557342556)</f>
        <v>5902557342556</v>
      </c>
      <c r="D1309" s="4" t="str">
        <f ca="1">IFERROR(__xludf.DUMMYFUNCTION("""COMPUTED_VALUE"""),"ŚCIANKA RAPID BLACK 90")</f>
        <v>ŚCIANKA RAPID BLACK 90</v>
      </c>
      <c r="E1309" s="31">
        <v>108.29268292682929</v>
      </c>
      <c r="F1309" s="31">
        <f t="shared" si="20"/>
        <v>133.20000000000002</v>
      </c>
    </row>
    <row r="1310" spans="1:6" ht="18.75" customHeight="1" x14ac:dyDescent="0.25">
      <c r="A1310" s="2" t="str">
        <f ca="1">IFERROR(__xludf.DUMMYFUNCTION("""COMPUTED_VALUE"""),"REA-K5610")</f>
        <v>REA-K5610</v>
      </c>
      <c r="B1310" s="3">
        <f ca="1">IFERROR(__xludf.DUMMYFUNCTION("""COMPUTED_VALUE"""),49267)</f>
        <v>49267</v>
      </c>
      <c r="C1310" s="3">
        <f ca="1">IFERROR(__xludf.DUMMYFUNCTION("""COMPUTED_VALUE"""),5902557377022)</f>
        <v>5902557377022</v>
      </c>
      <c r="D1310" s="4" t="str">
        <f ca="1">IFERROR(__xludf.DUMMYFUNCTION("""COMPUTED_VALUE"""),"ŚCIANKA RAPID CHROM 100")</f>
        <v>ŚCIANKA RAPID CHROM 100</v>
      </c>
      <c r="E1310" s="31">
        <v>111.90243902439025</v>
      </c>
      <c r="F1310" s="31">
        <f t="shared" si="20"/>
        <v>137.64000000000001</v>
      </c>
    </row>
    <row r="1311" spans="1:6" ht="18.75" customHeight="1" x14ac:dyDescent="0.25">
      <c r="A1311" s="2" t="str">
        <f ca="1">IFERROR(__xludf.DUMMYFUNCTION("""COMPUTED_VALUE"""),"REA-K5608")</f>
        <v>REA-K5608</v>
      </c>
      <c r="B1311" s="3">
        <f ca="1">IFERROR(__xludf.DUMMYFUNCTION("""COMPUTED_VALUE"""),49265)</f>
        <v>49265</v>
      </c>
      <c r="C1311" s="3">
        <f ca="1">IFERROR(__xludf.DUMMYFUNCTION("""COMPUTED_VALUE"""),5902557377008)</f>
        <v>5902557377008</v>
      </c>
      <c r="D1311" s="4" t="str">
        <f ca="1">IFERROR(__xludf.DUMMYFUNCTION("""COMPUTED_VALUE"""),"ŚCIANKA RAPID CHROM 80")</f>
        <v>ŚCIANKA RAPID CHROM 80</v>
      </c>
      <c r="E1311" s="31">
        <v>106.48780487804879</v>
      </c>
      <c r="F1311" s="31">
        <f t="shared" si="20"/>
        <v>130.98000000000002</v>
      </c>
    </row>
    <row r="1312" spans="1:6" ht="18.75" customHeight="1" x14ac:dyDescent="0.25">
      <c r="A1312" s="2" t="str">
        <f ca="1">IFERROR(__xludf.DUMMYFUNCTION("""COMPUTED_VALUE"""),"REA-K5609")</f>
        <v>REA-K5609</v>
      </c>
      <c r="B1312" s="3">
        <f ca="1">IFERROR(__xludf.DUMMYFUNCTION("""COMPUTED_VALUE"""),49266)</f>
        <v>49266</v>
      </c>
      <c r="C1312" s="3">
        <f ca="1">IFERROR(__xludf.DUMMYFUNCTION("""COMPUTED_VALUE"""),5902557377015)</f>
        <v>5902557377015</v>
      </c>
      <c r="D1312" s="4" t="str">
        <f ca="1">IFERROR(__xludf.DUMMYFUNCTION("""COMPUTED_VALUE"""),"ŚCIANKA RAPID CHROM 90")</f>
        <v>ŚCIANKA RAPID CHROM 90</v>
      </c>
      <c r="E1312" s="31">
        <v>110.09756097560977</v>
      </c>
      <c r="F1312" s="31">
        <f t="shared" si="20"/>
        <v>135.42000000000002</v>
      </c>
    </row>
    <row r="1313" spans="1:6" ht="18.75" customHeight="1" x14ac:dyDescent="0.25">
      <c r="A1313" s="2" t="str">
        <f ca="1">IFERROR(__xludf.DUMMYFUNCTION("""COMPUTED_VALUE"""),"REA-K5625")</f>
        <v>REA-K5625</v>
      </c>
      <c r="B1313" s="3">
        <f ca="1">IFERROR(__xludf.DUMMYFUNCTION("""COMPUTED_VALUE"""),49225)</f>
        <v>49225</v>
      </c>
      <c r="C1313" s="3">
        <f ca="1">IFERROR(__xludf.DUMMYFUNCTION("""COMPUTED_VALUE"""),5902557377145)</f>
        <v>5902557377145</v>
      </c>
      <c r="D1313" s="4" t="str">
        <f ca="1">IFERROR(__xludf.DUMMYFUNCTION("""COMPUTED_VALUE"""),"ŚCIANKA RAPID GOLD 100")</f>
        <v>ŚCIANKA RAPID GOLD 100</v>
      </c>
      <c r="E1313" s="31">
        <v>159.73170731707319</v>
      </c>
      <c r="F1313" s="31">
        <f t="shared" si="20"/>
        <v>196.47000000000003</v>
      </c>
    </row>
    <row r="1314" spans="1:6" ht="18.75" customHeight="1" x14ac:dyDescent="0.25">
      <c r="A1314" s="2" t="str">
        <f ca="1">IFERROR(__xludf.DUMMYFUNCTION("""COMPUTED_VALUE"""),"REA-K5621")</f>
        <v>REA-K5621</v>
      </c>
      <c r="B1314" s="3">
        <f ca="1">IFERROR(__xludf.DUMMYFUNCTION("""COMPUTED_VALUE"""),49223)</f>
        <v>49223</v>
      </c>
      <c r="C1314" s="3">
        <f ca="1">IFERROR(__xludf.DUMMYFUNCTION("""COMPUTED_VALUE"""),5902557377121)</f>
        <v>5902557377121</v>
      </c>
      <c r="D1314" s="4" t="str">
        <f ca="1">IFERROR(__xludf.DUMMYFUNCTION("""COMPUTED_VALUE"""),"ŚCIANKA RAPID GOLD 80")</f>
        <v>ŚCIANKA RAPID GOLD 80</v>
      </c>
      <c r="E1314" s="31">
        <v>138.07317073170734</v>
      </c>
      <c r="F1314" s="31">
        <f t="shared" si="20"/>
        <v>169.83</v>
      </c>
    </row>
    <row r="1315" spans="1:6" ht="18.75" customHeight="1" x14ac:dyDescent="0.25">
      <c r="A1315" s="2" t="str">
        <f ca="1">IFERROR(__xludf.DUMMYFUNCTION("""COMPUTED_VALUE"""),"REA-K5624")</f>
        <v>REA-K5624</v>
      </c>
      <c r="B1315" s="3">
        <f ca="1">IFERROR(__xludf.DUMMYFUNCTION("""COMPUTED_VALUE"""),49224)</f>
        <v>49224</v>
      </c>
      <c r="C1315" s="3">
        <f ca="1">IFERROR(__xludf.DUMMYFUNCTION("""COMPUTED_VALUE"""),5902557377138)</f>
        <v>5902557377138</v>
      </c>
      <c r="D1315" s="4" t="str">
        <f ca="1">IFERROR(__xludf.DUMMYFUNCTION("""COMPUTED_VALUE"""),"ŚCIANKA RAPID GOLD 90")</f>
        <v>ŚCIANKA RAPID GOLD 90</v>
      </c>
      <c r="E1315" s="31">
        <v>146.19512195121953</v>
      </c>
      <c r="F1315" s="31">
        <f t="shared" si="20"/>
        <v>179.82000000000002</v>
      </c>
    </row>
    <row r="1316" spans="1:6" ht="18.75" customHeight="1" x14ac:dyDescent="0.25">
      <c r="A1316" s="2" t="str">
        <f ca="1">IFERROR(__xludf.DUMMYFUNCTION("""COMPUTED_VALUE"""),"REA-K4706")</f>
        <v>REA-K4706</v>
      </c>
      <c r="B1316" s="3">
        <f ca="1">IFERROR(__xludf.DUMMYFUNCTION("""COMPUTED_VALUE"""),50109)</f>
        <v>50109</v>
      </c>
      <c r="C1316" s="3">
        <f ca="1">IFERROR(__xludf.DUMMYFUNCTION("""COMPUTED_VALUE"""),5902557385232)</f>
        <v>5902557385232</v>
      </c>
      <c r="D1316" s="4" t="str">
        <f ca="1">IFERROR(__xludf.DUMMYFUNCTION("""COMPUTED_VALUE"""),"ŚCIANKA RAPID GOLD BRUSH 100")</f>
        <v>ŚCIANKA RAPID GOLD BRUSH 100</v>
      </c>
      <c r="E1316" s="31">
        <v>163.34146341463415</v>
      </c>
      <c r="F1316" s="31">
        <f t="shared" si="20"/>
        <v>200.91</v>
      </c>
    </row>
    <row r="1317" spans="1:6" ht="18.75" customHeight="1" x14ac:dyDescent="0.25">
      <c r="A1317" s="2" t="str">
        <f ca="1">IFERROR(__xludf.DUMMYFUNCTION("""COMPUTED_VALUE"""),"REA-K4704")</f>
        <v>REA-K4704</v>
      </c>
      <c r="B1317" s="3">
        <f ca="1">IFERROR(__xludf.DUMMYFUNCTION("""COMPUTED_VALUE"""),50107)</f>
        <v>50107</v>
      </c>
      <c r="C1317" s="3">
        <f ca="1">IFERROR(__xludf.DUMMYFUNCTION("""COMPUTED_VALUE"""),5902557385218)</f>
        <v>5902557385218</v>
      </c>
      <c r="D1317" s="4" t="str">
        <f ca="1">IFERROR(__xludf.DUMMYFUNCTION("""COMPUTED_VALUE"""),"ŚCIANKA RAPID GOLD BRUSH 80")</f>
        <v>ŚCIANKA RAPID GOLD BRUSH 80</v>
      </c>
      <c r="E1317" s="31">
        <v>157.02439024390245</v>
      </c>
      <c r="F1317" s="31">
        <f t="shared" si="20"/>
        <v>193.14000000000001</v>
      </c>
    </row>
    <row r="1318" spans="1:6" ht="18.75" customHeight="1" x14ac:dyDescent="0.25">
      <c r="A1318" s="2" t="str">
        <f ca="1">IFERROR(__xludf.DUMMYFUNCTION("""COMPUTED_VALUE"""),"REA-K4705")</f>
        <v>REA-K4705</v>
      </c>
      <c r="B1318" s="3">
        <f ca="1">IFERROR(__xludf.DUMMYFUNCTION("""COMPUTED_VALUE"""),50108)</f>
        <v>50108</v>
      </c>
      <c r="C1318" s="3">
        <f ca="1">IFERROR(__xludf.DUMMYFUNCTION("""COMPUTED_VALUE"""),5902557385225)</f>
        <v>5902557385225</v>
      </c>
      <c r="D1318" s="4" t="str">
        <f ca="1">IFERROR(__xludf.DUMMYFUNCTION("""COMPUTED_VALUE"""),"ŚCIANKA RAPID GOLD BRUSH 90")</f>
        <v>ŚCIANKA RAPID GOLD BRUSH 90</v>
      </c>
      <c r="E1318" s="31">
        <v>163.34146341463415</v>
      </c>
      <c r="F1318" s="31">
        <f t="shared" si="20"/>
        <v>200.91</v>
      </c>
    </row>
    <row r="1319" spans="1:6" ht="18.75" customHeight="1" x14ac:dyDescent="0.25">
      <c r="A1319" s="2" t="str">
        <f ca="1">IFERROR(__xludf.DUMMYFUNCTION("""COMPUTED_VALUE"""),"REA-P5982")</f>
        <v>REA-P5982</v>
      </c>
      <c r="B1319" s="3">
        <f ca="1">IFERROR(__xludf.DUMMYFUNCTION("""COMPUTED_VALUE"""),44920)</f>
        <v>44920</v>
      </c>
      <c r="C1319" s="3">
        <f ca="1">IFERROR(__xludf.DUMMYFUNCTION("""COMPUTED_VALUE"""),5902557369683)</f>
        <v>5902557369683</v>
      </c>
      <c r="D1319" s="4" t="str">
        <f ca="1">IFERROR(__xludf.DUMMYFUNCTION("""COMPUTED_VALUE"""),"UCHWYT PRYSZNICOWY 01 CHROM")</f>
        <v>UCHWYT PRYSZNICOWY 01 CHROM</v>
      </c>
      <c r="E1319" s="31">
        <v>14.439024390243903</v>
      </c>
      <c r="F1319" s="31">
        <f t="shared" si="20"/>
        <v>17.760000000000002</v>
      </c>
    </row>
    <row r="1320" spans="1:6" ht="18.75" customHeight="1" x14ac:dyDescent="0.25">
      <c r="A1320" s="2" t="str">
        <f ca="1">IFERROR(__xludf.DUMMYFUNCTION("""COMPUTED_VALUE"""),"REA-P5983")</f>
        <v>REA-P5983</v>
      </c>
      <c r="B1320" s="3">
        <f ca="1">IFERROR(__xludf.DUMMYFUNCTION("""COMPUTED_VALUE"""),44919)</f>
        <v>44919</v>
      </c>
      <c r="C1320" s="3">
        <f ca="1">IFERROR(__xludf.DUMMYFUNCTION("""COMPUTED_VALUE"""),5902557369690)</f>
        <v>5902557369690</v>
      </c>
      <c r="D1320" s="4" t="str">
        <f ca="1">IFERROR(__xludf.DUMMYFUNCTION("""COMPUTED_VALUE"""),"UCHWYT PRYSZNICOWY 01 CZARNY")</f>
        <v>UCHWYT PRYSZNICOWY 01 CZARNY</v>
      </c>
      <c r="E1320" s="31">
        <v>20.756097560975611</v>
      </c>
      <c r="F1320" s="31">
        <f t="shared" si="20"/>
        <v>25.53</v>
      </c>
    </row>
    <row r="1321" spans="1:6" ht="18.75" customHeight="1" x14ac:dyDescent="0.25">
      <c r="A1321" s="2" t="str">
        <f ca="1">IFERROR(__xludf.DUMMYFUNCTION("""COMPUTED_VALUE"""),"REA-P5981")</f>
        <v>REA-P5981</v>
      </c>
      <c r="B1321" s="3">
        <f ca="1">IFERROR(__xludf.DUMMYFUNCTION("""COMPUTED_VALUE"""),44918)</f>
        <v>44918</v>
      </c>
      <c r="C1321" s="3">
        <f ca="1">IFERROR(__xludf.DUMMYFUNCTION("""COMPUTED_VALUE"""),5902557369706)</f>
        <v>5902557369706</v>
      </c>
      <c r="D1321" s="4" t="str">
        <f ca="1">IFERROR(__xludf.DUMMYFUNCTION("""COMPUTED_VALUE"""),"UCHWYT PRYSZNICOWY 01 ZŁOTY")</f>
        <v>UCHWYT PRYSZNICOWY 01 ZŁOTY</v>
      </c>
      <c r="E1321" s="31">
        <v>20.756097560975611</v>
      </c>
      <c r="F1321" s="31">
        <f t="shared" si="20"/>
        <v>25.53</v>
      </c>
    </row>
    <row r="1322" spans="1:6" ht="18.75" customHeight="1" x14ac:dyDescent="0.25">
      <c r="A1322" s="2" t="str">
        <f ca="1">IFERROR(__xludf.DUMMYFUNCTION("""COMPUTED_VALUE"""),"REA-P6500")</f>
        <v>REA-P6500</v>
      </c>
      <c r="B1322" s="3">
        <f ca="1">IFERROR(__xludf.DUMMYFUNCTION("""COMPUTED_VALUE"""),52756)</f>
        <v>52756</v>
      </c>
      <c r="C1322" s="3">
        <f ca="1">IFERROR(__xludf.DUMMYFUNCTION("""COMPUTED_VALUE"""),5902557397747)</f>
        <v>5902557397747</v>
      </c>
      <c r="D1322" s="4" t="str">
        <f ca="1">IFERROR(__xludf.DUMMYFUNCTION("""COMPUTED_VALUE"""),"UCHWYT PRYSZNICOWY 01 ZŁOTY SZCZOTKOWANY")</f>
        <v>UCHWYT PRYSZNICOWY 01 ZŁOTY SZCZOTKOWANY</v>
      </c>
      <c r="E1322" s="31">
        <v>27.073170731707322</v>
      </c>
      <c r="F1322" s="31">
        <f t="shared" si="20"/>
        <v>33.300000000000004</v>
      </c>
    </row>
    <row r="1323" spans="1:6" ht="18.75" customHeight="1" x14ac:dyDescent="0.25">
      <c r="A1323" s="2" t="str">
        <f ca="1">IFERROR(__xludf.DUMMYFUNCTION("""COMPUTED_VALUE"""),"REA-U9902")</f>
        <v>REA-U9902</v>
      </c>
      <c r="B1323" s="3">
        <f ca="1">IFERROR(__xludf.DUMMYFUNCTION("""COMPUTED_VALUE"""),13378)</f>
        <v>13378</v>
      </c>
      <c r="C1323" s="3">
        <f ca="1">IFERROR(__xludf.DUMMYFUNCTION("""COMPUTED_VALUE"""),5902557329564)</f>
        <v>5902557329564</v>
      </c>
      <c r="D1323" s="4" t="str">
        <f ca="1">IFERROR(__xludf.DUMMYFUNCTION("""COMPUTED_VALUE"""),"UMYWALKA ADA - WOLNOSTOJĄCA")</f>
        <v>UMYWALKA ADA - WOLNOSTOJĄCA</v>
      </c>
      <c r="E1323" s="31">
        <v>212.07317073170734</v>
      </c>
      <c r="F1323" s="31">
        <f t="shared" si="20"/>
        <v>260.85000000000002</v>
      </c>
    </row>
    <row r="1324" spans="1:6" ht="18.75" customHeight="1" x14ac:dyDescent="0.25">
      <c r="A1324" s="2" t="str">
        <f ca="1">IFERROR(__xludf.DUMMYFUNCTION("""COMPUTED_VALUE"""),"REA-U6653")</f>
        <v>REA-U6653</v>
      </c>
      <c r="B1324" s="3">
        <f ca="1">IFERROR(__xludf.DUMMYFUNCTION("""COMPUTED_VALUE"""),26982)</f>
        <v>26982</v>
      </c>
      <c r="C1324" s="3">
        <f ca="1">IFERROR(__xludf.DUMMYFUNCTION("""COMPUTED_VALUE"""),5902557335756)</f>
        <v>5902557335756</v>
      </c>
      <c r="D1324" s="4" t="str">
        <f ca="1">IFERROR(__xludf.DUMMYFUNCTION("""COMPUTED_VALUE"""),"UMYWALKA ADELA - PODBLATOWA")</f>
        <v>UMYWALKA ADELA - PODBLATOWA</v>
      </c>
      <c r="E1324" s="31">
        <v>42.41463414634147</v>
      </c>
      <c r="F1324" s="31">
        <f t="shared" si="20"/>
        <v>52.170000000000009</v>
      </c>
    </row>
    <row r="1325" spans="1:6" ht="18.75" customHeight="1" x14ac:dyDescent="0.25">
      <c r="A1325" s="2" t="str">
        <f ca="1">IFERROR(__xludf.DUMMYFUNCTION("""COMPUTED_VALUE"""),"REA-U9906")</f>
        <v>REA-U9906</v>
      </c>
      <c r="B1325" s="3">
        <f ca="1">IFERROR(__xludf.DUMMYFUNCTION("""COMPUTED_VALUE"""),30378)</f>
        <v>30378</v>
      </c>
      <c r="C1325" s="3">
        <f ca="1">IFERROR(__xludf.DUMMYFUNCTION("""COMPUTED_VALUE"""),5902557342143)</f>
        <v>5902557342143</v>
      </c>
      <c r="D1325" s="4" t="str">
        <f ca="1">IFERROR(__xludf.DUMMYFUNCTION("""COMPUTED_VALUE"""),"UMYWALKA AGNES - WOLNOSTOJĄCA")</f>
        <v>UMYWALKA AGNES - WOLNOSTOJĄCA</v>
      </c>
      <c r="E1325" s="31">
        <v>212.07317073170734</v>
      </c>
      <c r="F1325" s="31">
        <f t="shared" si="20"/>
        <v>260.85000000000002</v>
      </c>
    </row>
    <row r="1326" spans="1:6" ht="18.75" customHeight="1" x14ac:dyDescent="0.25">
      <c r="A1326" s="2" t="str">
        <f ca="1">IFERROR(__xludf.DUMMYFUNCTION("""COMPUTED_VALUE"""),"REA-U3309")</f>
        <v>REA-U3309</v>
      </c>
      <c r="B1326" s="3">
        <f ca="1">IFERROR(__xludf.DUMMYFUNCTION("""COMPUTED_VALUE"""),50958)</f>
        <v>50958</v>
      </c>
      <c r="C1326" s="3">
        <f ca="1">IFERROR(__xludf.DUMMYFUNCTION("""COMPUTED_VALUE"""),5902557392353)</f>
        <v>5902557392353</v>
      </c>
      <c r="D1326" s="4" t="str">
        <f ca="1">IFERROR(__xludf.DUMMYFUNCTION("""COMPUTED_VALUE"""),"UMYWALKA AKOYA PEARL - NABLATOWA")</f>
        <v>UMYWALKA AKOYA PEARL - NABLATOWA</v>
      </c>
      <c r="E1326" s="31">
        <v>105.58536585365854</v>
      </c>
      <c r="F1326" s="31">
        <f t="shared" si="20"/>
        <v>129.87</v>
      </c>
    </row>
    <row r="1327" spans="1:6" ht="18.75" customHeight="1" x14ac:dyDescent="0.25">
      <c r="A1327" s="2" t="str">
        <f ca="1">IFERROR(__xludf.DUMMYFUNCTION("""COMPUTED_VALUE"""),"REA-U8601")</f>
        <v>REA-U8601</v>
      </c>
      <c r="B1327" s="3"/>
      <c r="C1327" s="3">
        <f ca="1">IFERROR(__xludf.DUMMYFUNCTION("""COMPUTED_VALUE"""),5902557336111)</f>
        <v>5902557336111</v>
      </c>
      <c r="D1327" s="4" t="str">
        <f ca="1">IFERROR(__xludf.DUMMYFUNCTION("""COMPUTED_VALUE"""),"UMYWALKA ALISA - NABLATOWA")</f>
        <v>UMYWALKA ALISA - NABLATOWA</v>
      </c>
      <c r="E1327" s="31">
        <v>77.609756097560989</v>
      </c>
      <c r="F1327" s="31">
        <f t="shared" si="20"/>
        <v>95.460000000000022</v>
      </c>
    </row>
    <row r="1328" spans="1:6" ht="18.75" customHeight="1" x14ac:dyDescent="0.25">
      <c r="A1328" s="2" t="str">
        <f ca="1">IFERROR(__xludf.DUMMYFUNCTION("""COMPUTED_VALUE"""),"REA-U6021")</f>
        <v>REA-U6021</v>
      </c>
      <c r="B1328" s="3">
        <f ca="1">IFERROR(__xludf.DUMMYFUNCTION("""COMPUTED_VALUE"""),51663)</f>
        <v>51663</v>
      </c>
      <c r="C1328" s="3">
        <f ca="1">IFERROR(__xludf.DUMMYFUNCTION("""COMPUTED_VALUE"""),5902557395736)</f>
        <v>5902557395736</v>
      </c>
      <c r="D1328" s="4" t="str">
        <f ca="1">IFERROR(__xludf.DUMMYFUNCTION("""COMPUTED_VALUE"""),"UMYWALKA ALISON 60 - NABLATOWA")</f>
        <v>UMYWALKA ALISON 60 - NABLATOWA</v>
      </c>
      <c r="E1328" s="31">
        <v>124.53658536585368</v>
      </c>
      <c r="F1328" s="31">
        <f t="shared" si="20"/>
        <v>153.18000000000004</v>
      </c>
    </row>
    <row r="1329" spans="1:6" ht="18.75" customHeight="1" x14ac:dyDescent="0.25">
      <c r="A1329" s="2" t="str">
        <f ca="1">IFERROR(__xludf.DUMMYFUNCTION("""COMPUTED_VALUE"""),"REA-U0600")</f>
        <v>REA-U0600</v>
      </c>
      <c r="B1329" s="3">
        <f ca="1">IFERROR(__xludf.DUMMYFUNCTION("""COMPUTED_VALUE"""),52421)</f>
        <v>52421</v>
      </c>
      <c r="C1329" s="3">
        <f ca="1">IFERROR(__xludf.DUMMYFUNCTION("""COMPUTED_VALUE"""),5902557398263)</f>
        <v>5902557398263</v>
      </c>
      <c r="D1329" s="4" t="str">
        <f ca="1">IFERROR(__xludf.DUMMYFUNCTION("""COMPUTED_VALUE"""),"UMYWALKA ALMA - NABLATOWA")</f>
        <v>UMYWALKA ALMA - NABLATOWA</v>
      </c>
      <c r="E1329" s="31">
        <v>53.243000000000002</v>
      </c>
      <c r="F1329" s="31">
        <f t="shared" si="20"/>
        <v>65.488889999999998</v>
      </c>
    </row>
    <row r="1330" spans="1:6" ht="18.75" customHeight="1" x14ac:dyDescent="0.25">
      <c r="A1330" s="2" t="str">
        <f ca="1">IFERROR(__xludf.DUMMYFUNCTION("""COMPUTED_VALUE"""),"REA-U0493")</f>
        <v>REA-U0493</v>
      </c>
      <c r="B1330" s="3">
        <f ca="1">IFERROR(__xludf.DUMMYFUNCTION("""COMPUTED_VALUE"""),1701)</f>
        <v>1701</v>
      </c>
      <c r="C1330" s="3">
        <f ca="1">IFERROR(__xludf.DUMMYFUNCTION("""COMPUTED_VALUE"""),5902557319077)</f>
        <v>5902557319077</v>
      </c>
      <c r="D1330" s="4" t="str">
        <f ca="1">IFERROR(__xludf.DUMMYFUNCTION("""COMPUTED_VALUE"""),"UMYWALKA AMANDA 54 - NABLATOWA")</f>
        <v>UMYWALKA AMANDA 54 - NABLATOWA</v>
      </c>
      <c r="E1330" s="31">
        <v>55.048780487804883</v>
      </c>
      <c r="F1330" s="31">
        <f t="shared" si="20"/>
        <v>67.710000000000008</v>
      </c>
    </row>
    <row r="1331" spans="1:6" ht="18.75" customHeight="1" x14ac:dyDescent="0.25">
      <c r="A1331" s="2" t="str">
        <f ca="1">IFERROR(__xludf.DUMMYFUNCTION("""COMPUTED_VALUE"""),"REA-U0414")</f>
        <v>REA-U0414</v>
      </c>
      <c r="B1331" s="3"/>
      <c r="C1331" s="3">
        <f ca="1">IFERROR(__xludf.DUMMYFUNCTION("""COMPUTED_VALUE"""),5902557314010)</f>
        <v>5902557314010</v>
      </c>
      <c r="D1331" s="4" t="str">
        <f ca="1">IFERROR(__xludf.DUMMYFUNCTION("""COMPUTED_VALUE"""),"UMYWALKA AMBER 60 - WPUSZCZANA")</f>
        <v>UMYWALKA AMBER 60 - WPUSZCZANA</v>
      </c>
      <c r="E1331" s="31">
        <v>46.024390243902438</v>
      </c>
      <c r="F1331" s="31">
        <f t="shared" si="20"/>
        <v>56.61</v>
      </c>
    </row>
    <row r="1332" spans="1:6" ht="18.75" customHeight="1" x14ac:dyDescent="0.25">
      <c r="A1332" s="2" t="str">
        <f ca="1">IFERROR(__xludf.DUMMYFUNCTION("""COMPUTED_VALUE"""),"REA-U0416")</f>
        <v>REA-U0416</v>
      </c>
      <c r="B1332" s="3">
        <f ca="1">IFERROR(__xludf.DUMMYFUNCTION("""COMPUTED_VALUE"""),7507)</f>
        <v>7507</v>
      </c>
      <c r="C1332" s="3">
        <f ca="1">IFERROR(__xludf.DUMMYFUNCTION("""COMPUTED_VALUE"""),5902557314003)</f>
        <v>5902557314003</v>
      </c>
      <c r="D1332" s="4" t="str">
        <f ca="1">IFERROR(__xludf.DUMMYFUNCTION("""COMPUTED_VALUE"""),"UMYWALKA AMELIA - NABLATOWA")</f>
        <v>UMYWALKA AMELIA - NABLATOWA</v>
      </c>
      <c r="E1332" s="31">
        <v>45.121951219512198</v>
      </c>
      <c r="F1332" s="31">
        <f t="shared" si="20"/>
        <v>55.5</v>
      </c>
    </row>
    <row r="1333" spans="1:6" ht="18.75" customHeight="1" x14ac:dyDescent="0.25">
      <c r="A1333" s="2" t="str">
        <f ca="1">IFERROR(__xludf.DUMMYFUNCTION("""COMPUTED_VALUE"""),"REA-U7411")</f>
        <v>REA-U7411</v>
      </c>
      <c r="B1333" s="3">
        <f ca="1">IFERROR(__xludf.DUMMYFUNCTION("""COMPUTED_VALUE"""),37981)</f>
        <v>37981</v>
      </c>
      <c r="C1333" s="3">
        <f ca="1">IFERROR(__xludf.DUMMYFUNCTION("""COMPUTED_VALUE"""),5902557350292)</f>
        <v>5902557350292</v>
      </c>
      <c r="D1333" s="4" t="str">
        <f ca="1">IFERROR(__xludf.DUMMYFUNCTION("""COMPUTED_VALUE"""),"UMYWALKA AMELIA BLACK - NABLATOWA")</f>
        <v>UMYWALKA AMELIA BLACK - NABLATOWA</v>
      </c>
      <c r="E1333" s="31">
        <v>55.951219512195124</v>
      </c>
      <c r="F1333" s="31">
        <f t="shared" si="20"/>
        <v>68.820000000000007</v>
      </c>
    </row>
    <row r="1334" spans="1:6" ht="18.75" customHeight="1" x14ac:dyDescent="0.25">
      <c r="A1334" s="2" t="str">
        <f ca="1">IFERROR(__xludf.DUMMYFUNCTION("""COMPUTED_VALUE"""),"REA-U8000")</f>
        <v>REA-U8000</v>
      </c>
      <c r="B1334" s="3">
        <f ca="1">IFERROR(__xludf.DUMMYFUNCTION("""COMPUTED_VALUE"""),48046)</f>
        <v>48046</v>
      </c>
      <c r="C1334" s="3">
        <f ca="1">IFERROR(__xludf.DUMMYFUNCTION("""COMPUTED_VALUE"""),5902557376544)</f>
        <v>5902557376544</v>
      </c>
      <c r="D1334" s="4" t="str">
        <f ca="1">IFERROR(__xludf.DUMMYFUNCTION("""COMPUTED_VALUE"""),"UMYWALKA AMELIA BLACK MARBLE SHINY - NABLATOWA")</f>
        <v>UMYWALKA AMELIA BLACK MARBLE SHINY - NABLATOWA</v>
      </c>
      <c r="E1334" s="31">
        <v>73.097560975609767</v>
      </c>
      <c r="F1334" s="31">
        <f t="shared" si="20"/>
        <v>89.910000000000011</v>
      </c>
    </row>
    <row r="1335" spans="1:6" ht="18.75" customHeight="1" x14ac:dyDescent="0.25">
      <c r="A1335" s="2" t="str">
        <f ca="1">IFERROR(__xludf.DUMMYFUNCTION("""COMPUTED_VALUE"""),"REA-U8001")</f>
        <v>REA-U8001</v>
      </c>
      <c r="B1335" s="3">
        <f ca="1">IFERROR(__xludf.DUMMYFUNCTION("""COMPUTED_VALUE"""),49130)</f>
        <v>49130</v>
      </c>
      <c r="C1335" s="3">
        <f ca="1">IFERROR(__xludf.DUMMYFUNCTION("""COMPUTED_VALUE"""),5902557377459)</f>
        <v>5902557377459</v>
      </c>
      <c r="D1335" s="4" t="str">
        <f ca="1">IFERROR(__xludf.DUMMYFUNCTION("""COMPUTED_VALUE"""),"UMYWALKA AMELIA MARMO SHINY - NABLATOWA")</f>
        <v>UMYWALKA AMELIA MARMO SHINY - NABLATOWA</v>
      </c>
      <c r="E1335" s="31">
        <v>69.487804878048792</v>
      </c>
      <c r="F1335" s="31">
        <f t="shared" si="20"/>
        <v>85.470000000000013</v>
      </c>
    </row>
    <row r="1336" spans="1:6" ht="18.75" customHeight="1" x14ac:dyDescent="0.25">
      <c r="A1336" s="2" t="str">
        <f ca="1">IFERROR(__xludf.DUMMYFUNCTION("""COMPUTED_VALUE"""),"REA-U3322")</f>
        <v>REA-U3322</v>
      </c>
      <c r="B1336" s="3">
        <f ca="1">IFERROR(__xludf.DUMMYFUNCTION("""COMPUTED_VALUE"""),52330)</f>
        <v>52330</v>
      </c>
      <c r="C1336" s="3">
        <f ca="1">IFERROR(__xludf.DUMMYFUNCTION("""COMPUTED_VALUE"""),5902557396269)</f>
        <v>5902557396269</v>
      </c>
      <c r="D1336" s="4" t="str">
        <f ca="1">IFERROR(__xludf.DUMMYFUNCTION("""COMPUTED_VALUE"""),"UMYWALKA AMELIA MINI - NABLATOWA")</f>
        <v>UMYWALKA AMELIA MINI - NABLATOWA</v>
      </c>
      <c r="E1336" s="31">
        <v>42.41463414634147</v>
      </c>
      <c r="F1336" s="31">
        <f t="shared" si="20"/>
        <v>52.170000000000009</v>
      </c>
    </row>
    <row r="1337" spans="1:6" ht="18.75" customHeight="1" x14ac:dyDescent="0.25">
      <c r="A1337" s="2" t="str">
        <f ca="1">IFERROR(__xludf.DUMMYFUNCTION("""COMPUTED_VALUE"""),"REA-U9107")</f>
        <v>REA-U9107</v>
      </c>
      <c r="B1337" s="3">
        <f ca="1">IFERROR(__xludf.DUMMYFUNCTION("""COMPUTED_VALUE"""),52489)</f>
        <v>52489</v>
      </c>
      <c r="C1337" s="3">
        <f ca="1">IFERROR(__xludf.DUMMYFUNCTION("""COMPUTED_VALUE"""),5902557396276)</f>
        <v>5902557396276</v>
      </c>
      <c r="D1337" s="4" t="str">
        <f ca="1">IFERROR(__xludf.DUMMYFUNCTION("""COMPUTED_VALUE"""),"UMYWALKA AMELIA MINI AIAX SHINY - NABLATOWA")</f>
        <v>UMYWALKA AMELIA MINI AIAX SHINY - NABLATOWA</v>
      </c>
      <c r="E1337" s="31">
        <v>62.268292682926841</v>
      </c>
      <c r="F1337" s="31">
        <f t="shared" si="20"/>
        <v>76.590000000000018</v>
      </c>
    </row>
    <row r="1338" spans="1:6" ht="18.75" customHeight="1" x14ac:dyDescent="0.25">
      <c r="A1338" s="2" t="str">
        <f ca="1">IFERROR(__xludf.DUMMYFUNCTION("""COMPUTED_VALUE"""),"REA-U9109")</f>
        <v>REA-U9109</v>
      </c>
      <c r="B1338" s="3">
        <f ca="1">IFERROR(__xludf.DUMMYFUNCTION("""COMPUTED_VALUE"""),52636)</f>
        <v>52636</v>
      </c>
      <c r="C1338" s="3">
        <f ca="1">IFERROR(__xludf.DUMMYFUNCTION("""COMPUTED_VALUE"""),5902557396283)</f>
        <v>5902557396283</v>
      </c>
      <c r="D1338" s="4" t="str">
        <f ca="1">IFERROR(__xludf.DUMMYFUNCTION("""COMPUTED_VALUE"""),"UMYWALKA AMELIA MINI STONE MATT - NABLATOWA")</f>
        <v>UMYWALKA AMELIA MINI STONE MATT - NABLATOWA</v>
      </c>
      <c r="E1338" s="31">
        <v>54.146341463414643</v>
      </c>
      <c r="F1338" s="31">
        <f t="shared" si="20"/>
        <v>66.600000000000009</v>
      </c>
    </row>
    <row r="1339" spans="1:6" ht="18.75" customHeight="1" x14ac:dyDescent="0.25">
      <c r="A1339" s="2" t="str">
        <f ca="1">IFERROR(__xludf.DUMMYFUNCTION("""COMPUTED_VALUE"""),"REA-U6593")</f>
        <v>REA-U6593</v>
      </c>
      <c r="B1339" s="3">
        <f ca="1">IFERROR(__xludf.DUMMYFUNCTION("""COMPUTED_VALUE"""),42900)</f>
        <v>42900</v>
      </c>
      <c r="C1339" s="3">
        <f ca="1">IFERROR(__xludf.DUMMYFUNCTION("""COMPUTED_VALUE"""),5902557365845)</f>
        <v>5902557365845</v>
      </c>
      <c r="D1339" s="4" t="str">
        <f ca="1">IFERROR(__xludf.DUMMYFUNCTION("""COMPUTED_VALUE"""),"UMYWALKA AMELIA TERAZZO - NABLATOWA")</f>
        <v>UMYWALKA AMELIA TERAZZO - NABLATOWA</v>
      </c>
      <c r="E1339" s="31">
        <v>66.780487804878049</v>
      </c>
      <c r="F1339" s="31">
        <f t="shared" si="20"/>
        <v>82.14</v>
      </c>
    </row>
    <row r="1340" spans="1:6" ht="18.75" customHeight="1" x14ac:dyDescent="0.25">
      <c r="A1340" s="2" t="str">
        <f ca="1">IFERROR(__xludf.DUMMYFUNCTION("""COMPUTED_VALUE"""),"REA-U5060")</f>
        <v>REA-U5060</v>
      </c>
      <c r="B1340" s="3">
        <f ca="1">IFERROR(__xludf.DUMMYFUNCTION("""COMPUTED_VALUE"""),52271)</f>
        <v>52271</v>
      </c>
      <c r="C1340" s="3">
        <f ca="1">IFERROR(__xludf.DUMMYFUNCTION("""COMPUTED_VALUE"""),5902557396184)</f>
        <v>5902557396184</v>
      </c>
      <c r="D1340" s="4" t="str">
        <f ca="1">IFERROR(__xludf.DUMMYFUNCTION("""COMPUTED_VALUE"""),"UMYWALKA AMELIA WOOD MATT - NABLATOWA")</f>
        <v>UMYWALKA AMELIA WOOD MATT - NABLATOWA</v>
      </c>
      <c r="E1340" s="31">
        <v>81.219512195121965</v>
      </c>
      <c r="F1340" s="31">
        <f t="shared" si="20"/>
        <v>99.90000000000002</v>
      </c>
    </row>
    <row r="1341" spans="1:6" ht="18.75" customHeight="1" x14ac:dyDescent="0.25">
      <c r="A1341" s="2" t="str">
        <f ca="1">IFERROR(__xludf.DUMMYFUNCTION("""COMPUTED_VALUE"""),"REA-U0878")</f>
        <v>REA-U0878</v>
      </c>
      <c r="B1341" s="3"/>
      <c r="C1341" s="3">
        <f ca="1">IFERROR(__xludf.DUMMYFUNCTION("""COMPUTED_VALUE"""),5902557300402)</f>
        <v>5902557300402</v>
      </c>
      <c r="D1341" s="4" t="str">
        <f ca="1">IFERROR(__xludf.DUMMYFUNCTION("""COMPUTED_VALUE"""),"UMYWALKA AMY 60 - WPUSZCZANA")</f>
        <v>UMYWALKA AMY 60 - WPUSZCZANA</v>
      </c>
      <c r="E1341" s="31">
        <v>46.926829268292686</v>
      </c>
      <c r="F1341" s="31">
        <f t="shared" si="20"/>
        <v>57.72</v>
      </c>
    </row>
    <row r="1342" spans="1:6" ht="18.75" customHeight="1" x14ac:dyDescent="0.25">
      <c r="A1342" s="2" t="str">
        <f ca="1">IFERROR(__xludf.DUMMYFUNCTION("""COMPUTED_VALUE"""),"REA-U6333")</f>
        <v>REA-U6333</v>
      </c>
      <c r="B1342" s="3">
        <f ca="1">IFERROR(__xludf.DUMMYFUNCTION("""COMPUTED_VALUE"""),40657)</f>
        <v>40657</v>
      </c>
      <c r="C1342" s="3">
        <f ca="1">IFERROR(__xludf.DUMMYFUNCTION("""COMPUTED_VALUE"""),5902557355518)</f>
        <v>5902557355518</v>
      </c>
      <c r="D1342" s="4" t="str">
        <f ca="1">IFERROR(__xludf.DUMMYFUNCTION("""COMPUTED_VALUE"""),"UMYWALKA ANDREA - NABLATOWA")</f>
        <v>UMYWALKA ANDREA - NABLATOWA</v>
      </c>
      <c r="E1342" s="31">
        <v>61.365853658536594</v>
      </c>
      <c r="F1342" s="31">
        <f t="shared" si="20"/>
        <v>75.48</v>
      </c>
    </row>
    <row r="1343" spans="1:6" ht="18.75" customHeight="1" x14ac:dyDescent="0.25">
      <c r="A1343" s="2" t="str">
        <f ca="1">IFERROR(__xludf.DUMMYFUNCTION("""COMPUTED_VALUE"""),"REA-U9634")</f>
        <v>REA-U9634</v>
      </c>
      <c r="B1343" s="3"/>
      <c r="C1343" s="3">
        <f ca="1">IFERROR(__xludf.DUMMYFUNCTION("""COMPUTED_VALUE"""),5902557355495)</f>
        <v>5902557355495</v>
      </c>
      <c r="D1343" s="4" t="str">
        <f ca="1">IFERROR(__xludf.DUMMYFUNCTION("""COMPUTED_VALUE"""),"UMYWALKA ANGELA WHITE - NABLATOWA")</f>
        <v>UMYWALKA ANGELA WHITE - NABLATOWA</v>
      </c>
      <c r="E1343" s="31">
        <v>37.902439024390247</v>
      </c>
      <c r="F1343" s="31">
        <f t="shared" si="20"/>
        <v>46.620000000000005</v>
      </c>
    </row>
    <row r="1344" spans="1:6" ht="18.75" customHeight="1" x14ac:dyDescent="0.25">
      <c r="A1344" s="2" t="str">
        <f ca="1">IFERROR(__xludf.DUMMYFUNCTION("""COMPUTED_VALUE"""),"REA-U9635")</f>
        <v>REA-U9635</v>
      </c>
      <c r="B1344" s="3"/>
      <c r="C1344" s="3">
        <f ca="1">IFERROR(__xludf.DUMMYFUNCTION("""COMPUTED_VALUE"""),5902557355488)</f>
        <v>5902557355488</v>
      </c>
      <c r="D1344" s="4" t="str">
        <f ca="1">IFERROR(__xludf.DUMMYFUNCTION("""COMPUTED_VALUE"""),"UMYWALKA ANGELA WHITE/BLACK - NABLATOWA")</f>
        <v>UMYWALKA ANGELA WHITE/BLACK - NABLATOWA</v>
      </c>
      <c r="E1344" s="31">
        <v>87.536585365853668</v>
      </c>
      <c r="F1344" s="31">
        <f t="shared" si="20"/>
        <v>107.67000000000002</v>
      </c>
    </row>
    <row r="1345" spans="1:6" ht="18.75" customHeight="1" x14ac:dyDescent="0.25">
      <c r="A1345" s="2" t="str">
        <f ca="1">IFERROR(__xludf.DUMMYFUNCTION("""COMPUTED_VALUE"""),"REA-U4121")</f>
        <v>REA-U4121</v>
      </c>
      <c r="B1345" s="3">
        <f ca="1">IFERROR(__xludf.DUMMYFUNCTION("""COMPUTED_VALUE"""),50657)</f>
        <v>50657</v>
      </c>
      <c r="C1345" s="3">
        <f ca="1">IFERROR(__xludf.DUMMYFUNCTION("""COMPUTED_VALUE"""),5902557387342)</f>
        <v>5902557387342</v>
      </c>
      <c r="D1345" s="4" t="str">
        <f ca="1">IFERROR(__xludf.DUMMYFUNCTION("""COMPUTED_VALUE"""),"UMYWALKA ANGIE - NABLATOWA")</f>
        <v>UMYWALKA ANGIE - NABLATOWA</v>
      </c>
      <c r="E1345" s="31">
        <v>57.756097560975611</v>
      </c>
      <c r="F1345" s="31">
        <f t="shared" si="20"/>
        <v>71.040000000000006</v>
      </c>
    </row>
    <row r="1346" spans="1:6" ht="18.75" customHeight="1" x14ac:dyDescent="0.25">
      <c r="A1346" s="2" t="str">
        <f ca="1">IFERROR(__xludf.DUMMYFUNCTION("""COMPUTED_VALUE"""),"REA-U0669")</f>
        <v>REA-U0669</v>
      </c>
      <c r="B1346" s="3">
        <f ca="1">IFERROR(__xludf.DUMMYFUNCTION("""COMPUTED_VALUE"""),1634)</f>
        <v>1634</v>
      </c>
      <c r="C1346" s="3">
        <f ca="1">IFERROR(__xludf.DUMMYFUNCTION("""COMPUTED_VALUE"""),5902557332489)</f>
        <v>5902557332489</v>
      </c>
      <c r="D1346" s="4" t="str">
        <f ca="1">IFERROR(__xludf.DUMMYFUNCTION("""COMPUTED_VALUE"""),"UMYWALKA ANITA - NABLATOWA")</f>
        <v>UMYWALKA ANITA - NABLATOWA</v>
      </c>
      <c r="E1346" s="31">
        <v>45.121951219512198</v>
      </c>
      <c r="F1346" s="31">
        <f t="shared" si="20"/>
        <v>55.5</v>
      </c>
    </row>
    <row r="1347" spans="1:6" ht="18.75" customHeight="1" x14ac:dyDescent="0.25">
      <c r="A1347" s="2" t="str">
        <f ca="1">IFERROR(__xludf.DUMMYFUNCTION("""COMPUTED_VALUE"""),"REA-U0952")</f>
        <v>REA-U0952</v>
      </c>
      <c r="B1347" s="3">
        <f ca="1">IFERROR(__xludf.DUMMYFUNCTION("""COMPUTED_VALUE"""),41725)</f>
        <v>41725</v>
      </c>
      <c r="C1347" s="3">
        <f ca="1">IFERROR(__xludf.DUMMYFUNCTION("""COMPUTED_VALUE"""),5902557358397)</f>
        <v>5902557358397</v>
      </c>
      <c r="D1347" s="4" t="str">
        <f ca="1">IFERROR(__xludf.DUMMYFUNCTION("""COMPUTED_VALUE"""),"UMYWALKA ANITA MINI - NABLATOWA")</f>
        <v>UMYWALKA ANITA MINI - NABLATOWA</v>
      </c>
      <c r="E1347" s="31">
        <v>46.024390243902438</v>
      </c>
      <c r="F1347" s="31">
        <f t="shared" ref="F1347:F1410" si="21">E1347*1.23</f>
        <v>56.61</v>
      </c>
    </row>
    <row r="1348" spans="1:6" ht="18.75" customHeight="1" x14ac:dyDescent="0.25">
      <c r="A1348" s="2" t="str">
        <f ca="1">IFERROR(__xludf.DUMMYFUNCTION("""COMPUTED_VALUE"""),"REA-U6503")</f>
        <v>REA-U6503</v>
      </c>
      <c r="B1348" s="3">
        <f ca="1">IFERROR(__xludf.DUMMYFUNCTION("""COMPUTED_VALUE"""),49861)</f>
        <v>49861</v>
      </c>
      <c r="C1348" s="3">
        <f ca="1">IFERROR(__xludf.DUMMYFUNCTION("""COMPUTED_VALUE"""),5902557382910)</f>
        <v>5902557382910</v>
      </c>
      <c r="D1348" s="4" t="str">
        <f ca="1">IFERROR(__xludf.DUMMYFUNCTION("""COMPUTED_VALUE"""),"UMYWALKA ANYA - WOLNOSTOJĄCA")</f>
        <v>UMYWALKA ANYA - WOLNOSTOJĄCA</v>
      </c>
      <c r="E1348" s="31">
        <v>249.97560975609761</v>
      </c>
      <c r="F1348" s="31">
        <f t="shared" si="21"/>
        <v>307.47000000000008</v>
      </c>
    </row>
    <row r="1349" spans="1:6" ht="18.75" customHeight="1" x14ac:dyDescent="0.25">
      <c r="A1349" s="2" t="str">
        <f ca="1">IFERROR(__xludf.DUMMYFUNCTION("""COMPUTED_VALUE"""),"REA-U5802")</f>
        <v>REA-U5802</v>
      </c>
      <c r="B1349" s="3">
        <f ca="1">IFERROR(__xludf.DUMMYFUNCTION("""COMPUTED_VALUE"""),50288)</f>
        <v>50288</v>
      </c>
      <c r="C1349" s="3">
        <f ca="1">IFERROR(__xludf.DUMMYFUNCTION("""COMPUTED_VALUE"""),5902557382903)</f>
        <v>5902557382903</v>
      </c>
      <c r="D1349" s="4" t="str">
        <f ca="1">IFERROR(__xludf.DUMMYFUNCTION("""COMPUTED_VALUE"""),"UMYWALKA ANYA GRANIT MATT - WOLNOSTOJĄCA")</f>
        <v>UMYWALKA ANYA GRANIT MATT - WOLNOSTOJĄCA</v>
      </c>
      <c r="E1349" s="31">
        <v>319.46341463414637</v>
      </c>
      <c r="F1349" s="31">
        <f t="shared" si="21"/>
        <v>392.94000000000005</v>
      </c>
    </row>
    <row r="1350" spans="1:6" ht="18.75" customHeight="1" x14ac:dyDescent="0.25">
      <c r="A1350" s="2" t="str">
        <f ca="1">IFERROR(__xludf.DUMMYFUNCTION("""COMPUTED_VALUE"""),"REA-U5803")</f>
        <v>REA-U5803</v>
      </c>
      <c r="B1350" s="3">
        <f ca="1">IFERROR(__xludf.DUMMYFUNCTION("""COMPUTED_VALUE"""),50291)</f>
        <v>50291</v>
      </c>
      <c r="C1350" s="3">
        <f ca="1">IFERROR(__xludf.DUMMYFUNCTION("""COMPUTED_VALUE"""),5902557382927)</f>
        <v>5902557382927</v>
      </c>
      <c r="D1350" s="4" t="str">
        <f ca="1">IFERROR(__xludf.DUMMYFUNCTION("""COMPUTED_VALUE"""),"UMYWALKA ANYA LAVA MATT - WOLNOSTOJĄCA")</f>
        <v>UMYWALKA ANYA LAVA MATT - WOLNOSTOJĄCA</v>
      </c>
      <c r="E1350" s="31">
        <v>309.53658536585368</v>
      </c>
      <c r="F1350" s="31">
        <f t="shared" si="21"/>
        <v>380.73</v>
      </c>
    </row>
    <row r="1351" spans="1:6" ht="18.75" customHeight="1" x14ac:dyDescent="0.25">
      <c r="A1351" s="2" t="str">
        <f ca="1">IFERROR(__xludf.DUMMYFUNCTION("""COMPUTED_VALUE"""),"REA-U4300")</f>
        <v>REA-U4300</v>
      </c>
      <c r="B1351" s="3">
        <f ca="1">IFERROR(__xludf.DUMMYFUNCTION("""COMPUTED_VALUE"""),53973)</f>
        <v>53973</v>
      </c>
      <c r="C1351" s="3">
        <f ca="1">IFERROR(__xludf.DUMMYFUNCTION("""COMPUTED_VALUE"""),5906366005800)</f>
        <v>5906366005800</v>
      </c>
      <c r="D1351" s="4" t="str">
        <f ca="1">IFERROR(__xludf.DUMMYFUNCTION("""COMPUTED_VALUE"""),"UMYWALKA ARCHI 75 - NABLATOWA")</f>
        <v>UMYWALKA ARCHI 75 - NABLATOWA</v>
      </c>
      <c r="E1351" s="31">
        <v>180.48780487804879</v>
      </c>
      <c r="F1351" s="31">
        <f t="shared" si="21"/>
        <v>222</v>
      </c>
    </row>
    <row r="1352" spans="1:6" ht="18.75" customHeight="1" x14ac:dyDescent="0.25">
      <c r="A1352" s="2" t="str">
        <f ca="1">IFERROR(__xludf.DUMMYFUNCTION("""COMPUTED_VALUE"""),"REA-U4303")</f>
        <v>REA-U4303</v>
      </c>
      <c r="B1352" s="3">
        <f ca="1">IFERROR(__xludf.DUMMYFUNCTION("""COMPUTED_VALUE"""),53985)</f>
        <v>53985</v>
      </c>
      <c r="C1352" s="3">
        <f ca="1">IFERROR(__xludf.DUMMYFUNCTION("""COMPUTED_VALUE"""),5906366005831)</f>
        <v>5906366005831</v>
      </c>
      <c r="D1352" s="4" t="str">
        <f ca="1">IFERROR(__xludf.DUMMYFUNCTION("""COMPUTED_VALUE"""),"UMYWALKA ARCHI 75 GREY MATT - NABLATOWA")</f>
        <v>UMYWALKA ARCHI 75 GREY MATT - NABLATOWA</v>
      </c>
      <c r="E1352" s="31">
        <v>220.19512195121953</v>
      </c>
      <c r="F1352" s="31">
        <f t="shared" si="21"/>
        <v>270.84000000000003</v>
      </c>
    </row>
    <row r="1353" spans="1:6" ht="18.75" customHeight="1" x14ac:dyDescent="0.25">
      <c r="A1353" s="2" t="str">
        <f ca="1">IFERROR(__xludf.DUMMYFUNCTION("""COMPUTED_VALUE"""),"REA-U4301")</f>
        <v>REA-U4301</v>
      </c>
      <c r="B1353" s="3">
        <f ca="1">IFERROR(__xludf.DUMMYFUNCTION("""COMPUTED_VALUE"""),53987)</f>
        <v>53987</v>
      </c>
      <c r="C1353" s="3">
        <f ca="1">IFERROR(__xludf.DUMMYFUNCTION("""COMPUTED_VALUE"""),5906366005817)</f>
        <v>5906366005817</v>
      </c>
      <c r="D1353" s="4" t="str">
        <f ca="1">IFERROR(__xludf.DUMMYFUNCTION("""COMPUTED_VALUE"""),"UMYWALKA ARCHI 90 - NABLATOWA")</f>
        <v>UMYWALKA ARCHI 90 - NABLATOWA</v>
      </c>
      <c r="E1353" s="31">
        <v>207.56097560975613</v>
      </c>
      <c r="F1353" s="31">
        <f t="shared" si="21"/>
        <v>255.30000000000004</v>
      </c>
    </row>
    <row r="1354" spans="1:6" ht="18.75" customHeight="1" x14ac:dyDescent="0.25">
      <c r="A1354" s="2" t="str">
        <f ca="1">IFERROR(__xludf.DUMMYFUNCTION("""COMPUTED_VALUE"""),"REA-U4304")</f>
        <v>REA-U4304</v>
      </c>
      <c r="B1354" s="3">
        <f ca="1">IFERROR(__xludf.DUMMYFUNCTION("""COMPUTED_VALUE"""),53986)</f>
        <v>53986</v>
      </c>
      <c r="C1354" s="3">
        <f ca="1">IFERROR(__xludf.DUMMYFUNCTION("""COMPUTED_VALUE"""),5906366005824)</f>
        <v>5906366005824</v>
      </c>
      <c r="D1354" s="4" t="str">
        <f ca="1">IFERROR(__xludf.DUMMYFUNCTION("""COMPUTED_VALUE"""),"UMYWALKA ARCHI 90 GREY MATT - NABLATOWA")</f>
        <v>UMYWALKA ARCHI 90 GREY MATT - NABLATOWA</v>
      </c>
      <c r="E1354" s="31">
        <v>260.80487804878049</v>
      </c>
      <c r="F1354" s="31">
        <f t="shared" si="21"/>
        <v>320.79000000000002</v>
      </c>
    </row>
    <row r="1355" spans="1:6" ht="18.75" customHeight="1" x14ac:dyDescent="0.25">
      <c r="A1355" s="2" t="str">
        <f ca="1">IFERROR(__xludf.DUMMYFUNCTION("""COMPUTED_VALUE"""),"REA-U5068")</f>
        <v>REA-U5068</v>
      </c>
      <c r="B1355" s="3">
        <f ca="1">IFERROR(__xludf.DUMMYFUNCTION("""COMPUTED_VALUE"""),50129)</f>
        <v>50129</v>
      </c>
      <c r="C1355" s="3">
        <f ca="1">IFERROR(__xludf.DUMMYFUNCTION("""COMPUTED_VALUE"""),5902557382989)</f>
        <v>5902557382989</v>
      </c>
      <c r="D1355" s="4" t="str">
        <f ca="1">IFERROR(__xludf.DUMMYFUNCTION("""COMPUTED_VALUE"""),"UMYWALKA ARCTIC BLACK - NABLATOWA")</f>
        <v>UMYWALKA ARCTIC BLACK - NABLATOWA</v>
      </c>
      <c r="E1355" s="31">
        <v>156.12195121951223</v>
      </c>
      <c r="F1355" s="31">
        <f t="shared" si="21"/>
        <v>192.03000000000003</v>
      </c>
    </row>
    <row r="1356" spans="1:6" ht="18.75" customHeight="1" x14ac:dyDescent="0.25">
      <c r="A1356" s="2" t="str">
        <f ca="1">IFERROR(__xludf.DUMMYFUNCTION("""COMPUTED_VALUE"""),"REA-U2360")</f>
        <v>REA-U2360</v>
      </c>
      <c r="B1356" s="3">
        <f ca="1">IFERROR(__xludf.DUMMYFUNCTION("""COMPUTED_VALUE"""),37967)</f>
        <v>37967</v>
      </c>
      <c r="C1356" s="3">
        <f ca="1">IFERROR(__xludf.DUMMYFUNCTION("""COMPUTED_VALUE"""),5902557351527)</f>
        <v>5902557351527</v>
      </c>
      <c r="D1356" s="4" t="str">
        <f ca="1">IFERROR(__xludf.DUMMYFUNCTION("""COMPUTED_VALUE"""),"UMYWALKA ARENA L.GREY - NABLATOWA")</f>
        <v>UMYWALKA ARENA L.GREY - NABLATOWA</v>
      </c>
      <c r="E1356" s="31">
        <v>79.41463414634147</v>
      </c>
      <c r="F1356" s="31">
        <f t="shared" si="21"/>
        <v>97.68</v>
      </c>
    </row>
    <row r="1357" spans="1:6" ht="18.75" customHeight="1" x14ac:dyDescent="0.25">
      <c r="A1357" s="2" t="str">
        <f ca="1">IFERROR(__xludf.DUMMYFUNCTION("""COMPUTED_VALUE"""),"REA-U5637")</f>
        <v>REA-U5637</v>
      </c>
      <c r="B1357" s="3">
        <f ca="1">IFERROR(__xludf.DUMMYFUNCTION("""COMPUTED_VALUE"""),37536)</f>
        <v>37536</v>
      </c>
      <c r="C1357" s="3">
        <f ca="1">IFERROR(__xludf.DUMMYFUNCTION("""COMPUTED_VALUE"""),5902557350001)</f>
        <v>5902557350001</v>
      </c>
      <c r="D1357" s="4" t="str">
        <f ca="1">IFERROR(__xludf.DUMMYFUNCTION("""COMPUTED_VALUE"""),"UMYWALKA ARIS - WOLNOSTOJĄCA")</f>
        <v>UMYWALKA ARIS - WOLNOSTOJĄCA</v>
      </c>
      <c r="E1357" s="31">
        <v>212.07317073170734</v>
      </c>
      <c r="F1357" s="31">
        <f t="shared" si="21"/>
        <v>260.85000000000002</v>
      </c>
    </row>
    <row r="1358" spans="1:6" ht="18.75" customHeight="1" x14ac:dyDescent="0.25">
      <c r="A1358" s="2" t="str">
        <f ca="1">IFERROR(__xludf.DUMMYFUNCTION("""COMPUTED_VALUE"""),"REA-U6906")</f>
        <v>REA-U6906</v>
      </c>
      <c r="B1358" s="3">
        <f ca="1">IFERROR(__xludf.DUMMYFUNCTION("""COMPUTED_VALUE"""),42276)</f>
        <v>42276</v>
      </c>
      <c r="C1358" s="3">
        <f ca="1">IFERROR(__xludf.DUMMYFUNCTION("""COMPUTED_VALUE"""),5902557365074)</f>
        <v>5902557365074</v>
      </c>
      <c r="D1358" s="4" t="str">
        <f ca="1">IFERROR(__xludf.DUMMYFUNCTION("""COMPUTED_VALUE"""),"UMYWALKA ARIS MARBLE - WOLNOSTOJĄCA")</f>
        <v>UMYWALKA ARIS MARBLE - WOLNOSTOJĄCA</v>
      </c>
      <c r="E1358" s="31">
        <v>318.56097560975616</v>
      </c>
      <c r="F1358" s="31">
        <f t="shared" si="21"/>
        <v>391.83000000000004</v>
      </c>
    </row>
    <row r="1359" spans="1:6" ht="18.75" customHeight="1" x14ac:dyDescent="0.25">
      <c r="A1359" s="2" t="str">
        <f ca="1">IFERROR(__xludf.DUMMYFUNCTION("""COMPUTED_VALUE"""),"REA-U8700")</f>
        <v>REA-U8700</v>
      </c>
      <c r="B1359" s="3">
        <f ca="1">IFERROR(__xludf.DUMMYFUNCTION("""COMPUTED_VALUE"""),29270)</f>
        <v>29270</v>
      </c>
      <c r="C1359" s="3">
        <f ca="1">IFERROR(__xludf.DUMMYFUNCTION("""COMPUTED_VALUE"""),5902557337439)</f>
        <v>5902557337439</v>
      </c>
      <c r="D1359" s="4" t="str">
        <f ca="1">IFERROR(__xludf.DUMMYFUNCTION("""COMPUTED_VALUE"""),"UMYWALKA ARLETA - WPUSZCZANA")</f>
        <v>UMYWALKA ARLETA - WPUSZCZANA</v>
      </c>
      <c r="E1359" s="31">
        <v>59.560975609756099</v>
      </c>
      <c r="F1359" s="31">
        <f t="shared" si="21"/>
        <v>73.260000000000005</v>
      </c>
    </row>
    <row r="1360" spans="1:6" ht="18.75" customHeight="1" x14ac:dyDescent="0.25">
      <c r="A1360" s="2" t="str">
        <f ca="1">IFERROR(__xludf.DUMMYFUNCTION("""COMPUTED_VALUE"""),"REA-U0267")</f>
        <v>REA-U0267</v>
      </c>
      <c r="B1360" s="3">
        <f ca="1">IFERROR(__xludf.DUMMYFUNCTION("""COMPUTED_VALUE"""),42481)</f>
        <v>42481</v>
      </c>
      <c r="C1360" s="3">
        <f ca="1">IFERROR(__xludf.DUMMYFUNCTION("""COMPUTED_VALUE"""),5902557365647)</f>
        <v>5902557365647</v>
      </c>
      <c r="D1360" s="4" t="str">
        <f ca="1">IFERROR(__xludf.DUMMYFUNCTION("""COMPUTED_VALUE"""),"UMYWALKA ARTE BLUE - NABLATOWA")</f>
        <v>UMYWALKA ARTE BLUE - NABLATOWA</v>
      </c>
      <c r="E1360" s="31">
        <v>93.853658536585371</v>
      </c>
      <c r="F1360" s="31">
        <f t="shared" si="21"/>
        <v>115.44</v>
      </c>
    </row>
    <row r="1361" spans="1:6" ht="18.75" customHeight="1" x14ac:dyDescent="0.25">
      <c r="A1361" s="2" t="str">
        <f ca="1">IFERROR(__xludf.DUMMYFUNCTION("""COMPUTED_VALUE"""),"REA-U8002")</f>
        <v>REA-U8002</v>
      </c>
      <c r="B1361" s="3">
        <f ca="1">IFERROR(__xludf.DUMMYFUNCTION("""COMPUTED_VALUE"""),47695)</f>
        <v>47695</v>
      </c>
      <c r="C1361" s="3">
        <f ca="1">IFERROR(__xludf.DUMMYFUNCTION("""COMPUTED_VALUE"""),5902557376223)</f>
        <v>5902557376223</v>
      </c>
      <c r="D1361" s="4" t="str">
        <f ca="1">IFERROR(__xludf.DUMMYFUNCTION("""COMPUTED_VALUE"""),"UMYWALKA ARTE D. GREY - NABLATOWA")</f>
        <v>UMYWALKA ARTE D. GREY - NABLATOWA</v>
      </c>
      <c r="E1361" s="31">
        <v>83.024390243902445</v>
      </c>
      <c r="F1361" s="31">
        <f t="shared" si="21"/>
        <v>102.12</v>
      </c>
    </row>
    <row r="1362" spans="1:6" ht="18.75" customHeight="1" x14ac:dyDescent="0.25">
      <c r="A1362" s="2" t="str">
        <f ca="1">IFERROR(__xludf.DUMMYFUNCTION("""COMPUTED_VALUE"""),"REA-U0266")</f>
        <v>REA-U0266</v>
      </c>
      <c r="B1362" s="3">
        <f ca="1">IFERROR(__xludf.DUMMYFUNCTION("""COMPUTED_VALUE"""),40260)</f>
        <v>40260</v>
      </c>
      <c r="C1362" s="3">
        <f ca="1">IFERROR(__xludf.DUMMYFUNCTION("""COMPUTED_VALUE"""),5902557356881)</f>
        <v>5902557356881</v>
      </c>
      <c r="D1362" s="4" t="str">
        <f ca="1">IFERROR(__xludf.DUMMYFUNCTION("""COMPUTED_VALUE"""),"UMYWALKA ARTE GREY - NABLATOWA")</f>
        <v>UMYWALKA ARTE GREY - NABLATOWA</v>
      </c>
      <c r="E1362" s="31">
        <v>108.29268292682929</v>
      </c>
      <c r="F1362" s="31">
        <f t="shared" si="21"/>
        <v>133.20000000000002</v>
      </c>
    </row>
    <row r="1363" spans="1:6" ht="18.75" customHeight="1" x14ac:dyDescent="0.25">
      <c r="A1363" s="2" t="str">
        <f ca="1">IFERROR(__xludf.DUMMYFUNCTION("""COMPUTED_VALUE"""),"REA-U7506")</f>
        <v>REA-U7506</v>
      </c>
      <c r="B1363" s="3">
        <f ca="1">IFERROR(__xludf.DUMMYFUNCTION("""COMPUTED_VALUE"""),52665)</f>
        <v>52665</v>
      </c>
      <c r="C1363" s="3">
        <f ca="1">IFERROR(__xludf.DUMMYFUNCTION("""COMPUTED_VALUE"""),5902557396191)</f>
        <v>5902557396191</v>
      </c>
      <c r="D1363" s="4" t="str">
        <f ca="1">IFERROR(__xludf.DUMMYFUNCTION("""COMPUTED_VALUE"""),"UMYWALKA ASANTI - NABLATOWA")</f>
        <v>UMYWALKA ASANTI - NABLATOWA</v>
      </c>
      <c r="E1363" s="31">
        <v>116.41463414634147</v>
      </c>
      <c r="F1363" s="31">
        <f t="shared" si="21"/>
        <v>143.19</v>
      </c>
    </row>
    <row r="1364" spans="1:6" ht="18.75" customHeight="1" x14ac:dyDescent="0.25">
      <c r="A1364" s="2" t="str">
        <f ca="1">IFERROR(__xludf.DUMMYFUNCTION("""COMPUTED_VALUE"""),"REA-U4663")</f>
        <v>REA-U4663</v>
      </c>
      <c r="B1364" s="3">
        <f ca="1">IFERROR(__xludf.DUMMYFUNCTION("""COMPUTED_VALUE"""),39720)</f>
        <v>39720</v>
      </c>
      <c r="C1364" s="3">
        <f ca="1">IFERROR(__xludf.DUMMYFUNCTION("""COMPUTED_VALUE"""),5902557355570)</f>
        <v>5902557355570</v>
      </c>
      <c r="D1364" s="4" t="str">
        <f ca="1">IFERROR(__xludf.DUMMYFUNCTION("""COMPUTED_VALUE"""),"UMYWALKA ASHLEY - NABLATOWA")</f>
        <v>UMYWALKA ASHLEY - NABLATOWA</v>
      </c>
      <c r="E1364" s="31">
        <v>97.463414634146361</v>
      </c>
      <c r="F1364" s="31">
        <f t="shared" si="21"/>
        <v>119.88000000000002</v>
      </c>
    </row>
    <row r="1365" spans="1:6" ht="18.75" customHeight="1" x14ac:dyDescent="0.25">
      <c r="A1365" s="2" t="str">
        <f ca="1">IFERROR(__xludf.DUMMYFUNCTION("""COMPUTED_VALUE"""),"REA-U6617")</f>
        <v>REA-U6617</v>
      </c>
      <c r="B1365" s="3">
        <f ca="1">IFERROR(__xludf.DUMMYFUNCTION("""COMPUTED_VALUE"""),54133)</f>
        <v>54133</v>
      </c>
      <c r="C1365" s="3">
        <f ca="1">IFERROR(__xludf.DUMMYFUNCTION("""COMPUTED_VALUE"""),5906366006340)</f>
        <v>5906366006340</v>
      </c>
      <c r="D1365" s="4" t="str">
        <f ca="1">IFERROR(__xludf.DUMMYFUNCTION("""COMPUTED_VALUE"""),"UMYWALKA AURA 42 - NABLATOWA")</f>
        <v>UMYWALKA AURA 42 - NABLATOWA</v>
      </c>
      <c r="E1365" s="31">
        <v>40.609756097560982</v>
      </c>
      <c r="F1365" s="31">
        <f t="shared" si="21"/>
        <v>49.95000000000001</v>
      </c>
    </row>
    <row r="1366" spans="1:6" ht="18.75" customHeight="1" x14ac:dyDescent="0.25">
      <c r="A1366" s="2" t="str">
        <f ca="1">IFERROR(__xludf.DUMMYFUNCTION("""COMPUTED_VALUE"""),"REA-U4620")</f>
        <v>REA-U4620</v>
      </c>
      <c r="B1366" s="3">
        <f ca="1">IFERROR(__xludf.DUMMYFUNCTION("""COMPUTED_VALUE"""),53647)</f>
        <v>53647</v>
      </c>
      <c r="C1366" s="3">
        <f ca="1">IFERROR(__xludf.DUMMYFUNCTION("""COMPUTED_VALUE"""),5906366002632)</f>
        <v>5906366002632</v>
      </c>
      <c r="D1366" s="4" t="str">
        <f ca="1">IFERROR(__xludf.DUMMYFUNCTION("""COMPUTED_VALUE"""),"UMYWALKA AURA 51 - NABLATOWA")</f>
        <v>UMYWALKA AURA 51 - NABLATOWA</v>
      </c>
      <c r="E1366" s="31">
        <v>56.853658536585371</v>
      </c>
      <c r="F1366" s="31">
        <f t="shared" si="21"/>
        <v>69.930000000000007</v>
      </c>
    </row>
    <row r="1367" spans="1:6" ht="18.75" customHeight="1" x14ac:dyDescent="0.25">
      <c r="A1367" s="2" t="str">
        <f ca="1">IFERROR(__xludf.DUMMYFUNCTION("""COMPUTED_VALUE"""),"REA-U7900")</f>
        <v>REA-U7900</v>
      </c>
      <c r="B1367" s="3">
        <f ca="1">IFERROR(__xludf.DUMMYFUNCTION("""COMPUTED_VALUE"""),31614)</f>
        <v>31614</v>
      </c>
      <c r="C1367" s="3">
        <f ca="1">IFERROR(__xludf.DUMMYFUNCTION("""COMPUTED_VALUE"""),5902557340415)</f>
        <v>5902557340415</v>
      </c>
      <c r="D1367" s="4" t="str">
        <f ca="1">IFERROR(__xludf.DUMMYFUNCTION("""COMPUTED_VALUE"""),"UMYWALKA AURA 61 - NABLATOWA")</f>
        <v>UMYWALKA AURA 61 - NABLATOWA</v>
      </c>
      <c r="E1367" s="31">
        <v>62.268292682926841</v>
      </c>
      <c r="F1367" s="31">
        <f t="shared" si="21"/>
        <v>76.590000000000018</v>
      </c>
    </row>
    <row r="1368" spans="1:6" ht="18.75" customHeight="1" x14ac:dyDescent="0.25">
      <c r="A1368" s="2" t="str">
        <f ca="1">IFERROR(__xludf.DUMMYFUNCTION("""COMPUTED_VALUE"""),"REA-U6381")</f>
        <v>REA-U6381</v>
      </c>
      <c r="B1368" s="3">
        <f ca="1">IFERROR(__xludf.DUMMYFUNCTION("""COMPUTED_VALUE"""),54290)</f>
        <v>54290</v>
      </c>
      <c r="C1368" s="3">
        <f ca="1">IFERROR(__xludf.DUMMYFUNCTION("""COMPUTED_VALUE"""),5906366006418)</f>
        <v>5906366006418</v>
      </c>
      <c r="D1368" s="4" t="str">
        <f ca="1">IFERROR(__xludf.DUMMYFUNCTION("""COMPUTED_VALUE"""),"UMYWALKA AURA 61 BEIGE SHINY - NABLATOWA")</f>
        <v>UMYWALKA AURA 61 BEIGE SHINY - NABLATOWA</v>
      </c>
      <c r="E1368" s="31">
        <v>84.82926829268294</v>
      </c>
      <c r="F1368" s="31">
        <f t="shared" si="21"/>
        <v>104.34000000000002</v>
      </c>
    </row>
    <row r="1369" spans="1:6" ht="18.75" customHeight="1" x14ac:dyDescent="0.25">
      <c r="A1369" s="2" t="str">
        <f ca="1">IFERROR(__xludf.DUMMYFUNCTION("""COMPUTED_VALUE"""),"REA-U6900")</f>
        <v>REA-U6900</v>
      </c>
      <c r="B1369" s="3">
        <f ca="1">IFERROR(__xludf.DUMMYFUNCTION("""COMPUTED_VALUE"""),54000)</f>
        <v>54000</v>
      </c>
      <c r="C1369" s="3">
        <f ca="1">IFERROR(__xludf.DUMMYFUNCTION("""COMPUTED_VALUE"""),5906366005190)</f>
        <v>5906366005190</v>
      </c>
      <c r="D1369" s="4" t="str">
        <f ca="1">IFERROR(__xludf.DUMMYFUNCTION("""COMPUTED_VALUE"""),"UMYWALKA AURA 61 BRUSH GOLD/WHITE - NABLATOWA")</f>
        <v>UMYWALKA AURA 61 BRUSH GOLD/WHITE - NABLATOWA</v>
      </c>
      <c r="E1369" s="31">
        <v>114.60975609756099</v>
      </c>
      <c r="F1369" s="31">
        <f t="shared" si="21"/>
        <v>140.97000000000003</v>
      </c>
    </row>
    <row r="1370" spans="1:6" ht="18.75" customHeight="1" x14ac:dyDescent="0.25">
      <c r="A1370" s="2" t="str">
        <f ca="1">IFERROR(__xludf.DUMMYFUNCTION("""COMPUTED_VALUE"""),"REA-U4589")</f>
        <v>REA-U4589</v>
      </c>
      <c r="B1370" s="3">
        <f ca="1">IFERROR(__xludf.DUMMYFUNCTION("""COMPUTED_VALUE"""),54343)</f>
        <v>54343</v>
      </c>
      <c r="C1370" s="3">
        <f ca="1">IFERROR(__xludf.DUMMYFUNCTION("""COMPUTED_VALUE"""),5906366006432)</f>
        <v>5906366006432</v>
      </c>
      <c r="D1370" s="4" t="str">
        <f ca="1">IFERROR(__xludf.DUMMYFUNCTION("""COMPUTED_VALUE"""),"UMYWALKA AURA 61 ECRU SHINY - NABLATOWA")</f>
        <v>UMYWALKA AURA 61 ECRU SHINY - NABLATOWA</v>
      </c>
      <c r="E1370" s="31">
        <v>84.82926829268294</v>
      </c>
      <c r="F1370" s="31">
        <f t="shared" si="21"/>
        <v>104.34000000000002</v>
      </c>
    </row>
    <row r="1371" spans="1:6" ht="18.75" customHeight="1" x14ac:dyDescent="0.25">
      <c r="A1371" s="2" t="str">
        <f ca="1">IFERROR(__xludf.DUMMYFUNCTION("""COMPUTED_VALUE"""),"REA-U6618")</f>
        <v>REA-U6618</v>
      </c>
      <c r="B1371" s="3">
        <f ca="1">IFERROR(__xludf.DUMMYFUNCTION("""COMPUTED_VALUE"""),54135)</f>
        <v>54135</v>
      </c>
      <c r="C1371" s="3">
        <f ca="1">IFERROR(__xludf.DUMMYFUNCTION("""COMPUTED_VALUE"""),5906366006425)</f>
        <v>5906366006425</v>
      </c>
      <c r="D1371" s="4" t="str">
        <f ca="1">IFERROR(__xludf.DUMMYFUNCTION("""COMPUTED_VALUE"""),"UMYWALKA AURA 61 L.BLUE SHINY - NABLATOWA")</f>
        <v>UMYWALKA AURA 61 L.BLUE SHINY - NABLATOWA</v>
      </c>
      <c r="E1371" s="31">
        <v>82.121951219512198</v>
      </c>
      <c r="F1371" s="31">
        <f t="shared" si="21"/>
        <v>101.01</v>
      </c>
    </row>
    <row r="1372" spans="1:6" ht="18.75" customHeight="1" x14ac:dyDescent="0.25">
      <c r="A1372" s="2" t="str">
        <f ca="1">IFERROR(__xludf.DUMMYFUNCTION("""COMPUTED_VALUE"""),"REA-U8003")</f>
        <v>REA-U8003</v>
      </c>
      <c r="B1372" s="3">
        <f ca="1">IFERROR(__xludf.DUMMYFUNCTION("""COMPUTED_VALUE"""),49132)</f>
        <v>49132</v>
      </c>
      <c r="C1372" s="3">
        <f ca="1">IFERROR(__xludf.DUMMYFUNCTION("""COMPUTED_VALUE"""),5902557377466)</f>
        <v>5902557377466</v>
      </c>
      <c r="D1372" s="4" t="str">
        <f ca="1">IFERROR(__xludf.DUMMYFUNCTION("""COMPUTED_VALUE"""),"UMYWALKA AURA 61 MARMO SHINY - NABLATOWA")</f>
        <v>UMYWALKA AURA 61 MARMO SHINY - NABLATOWA</v>
      </c>
      <c r="E1372" s="31">
        <v>87.536585365853668</v>
      </c>
      <c r="F1372" s="31">
        <f t="shared" si="21"/>
        <v>107.67000000000002</v>
      </c>
    </row>
    <row r="1373" spans="1:6" ht="18.75" customHeight="1" x14ac:dyDescent="0.25">
      <c r="A1373" s="2" t="str">
        <f ca="1">IFERROR(__xludf.DUMMYFUNCTION("""COMPUTED_VALUE"""),"REA-U6623")</f>
        <v>REA-U6623</v>
      </c>
      <c r="B1373" s="3">
        <f ca="1">IFERROR(__xludf.DUMMYFUNCTION("""COMPUTED_VALUE"""),54134)</f>
        <v>54134</v>
      </c>
      <c r="C1373" s="3">
        <f ca="1">IFERROR(__xludf.DUMMYFUNCTION("""COMPUTED_VALUE"""),5906366005183)</f>
        <v>5906366005183</v>
      </c>
      <c r="D1373" s="4" t="str">
        <f ca="1">IFERROR(__xludf.DUMMYFUNCTION("""COMPUTED_VALUE"""),"UMYWALKA AURA 61 SHINY AIAX - NABLATOWA")</f>
        <v>UMYWALKA AURA 61 SHINY AIAX - NABLATOWA</v>
      </c>
      <c r="E1373" s="31">
        <v>80.317073170731717</v>
      </c>
      <c r="F1373" s="31">
        <f t="shared" si="21"/>
        <v>98.79</v>
      </c>
    </row>
    <row r="1374" spans="1:6" ht="18.75" customHeight="1" x14ac:dyDescent="0.25">
      <c r="A1374" s="2" t="str">
        <f ca="1">IFERROR(__xludf.DUMMYFUNCTION("""COMPUTED_VALUE"""),"REA-U2541")</f>
        <v>REA-U2541</v>
      </c>
      <c r="B1374" s="3">
        <f ca="1">IFERROR(__xludf.DUMMYFUNCTION("""COMPUTED_VALUE"""),44673)</f>
        <v>44673</v>
      </c>
      <c r="C1374" s="3">
        <f ca="1">IFERROR(__xludf.DUMMYFUNCTION("""COMPUTED_VALUE"""),5902557370122)</f>
        <v>5902557370122</v>
      </c>
      <c r="D1374" s="4" t="str">
        <f ca="1">IFERROR(__xludf.DUMMYFUNCTION("""COMPUTED_VALUE"""),"UMYWALKA AURA 81 - NABLATOWA")</f>
        <v>UMYWALKA AURA 81 - NABLATOWA</v>
      </c>
      <c r="E1374" s="31">
        <v>95.658536585365866</v>
      </c>
      <c r="F1374" s="31">
        <f t="shared" si="21"/>
        <v>117.66000000000001</v>
      </c>
    </row>
    <row r="1375" spans="1:6" ht="18.75" customHeight="1" x14ac:dyDescent="0.25">
      <c r="A1375" s="2" t="str">
        <f ca="1">IFERROR(__xludf.DUMMYFUNCTION("""COMPUTED_VALUE"""),"REA-U7901")</f>
        <v>REA-U7901</v>
      </c>
      <c r="B1375" s="3"/>
      <c r="C1375" s="3">
        <f ca="1">IFERROR(__xludf.DUMMYFUNCTION("""COMPUTED_VALUE"""),5902557340422)</f>
        <v>5902557340422</v>
      </c>
      <c r="D1375" s="4" t="str">
        <f ca="1">IFERROR(__xludf.DUMMYFUNCTION("""COMPUTED_VALUE"""),"UMYWALKA AURA BLACK MATT - NABLATOWA")</f>
        <v>UMYWALKA AURA BLACK MATT - NABLATOWA</v>
      </c>
      <c r="E1375" s="31">
        <v>68.585365853658544</v>
      </c>
      <c r="F1375" s="31">
        <f t="shared" si="21"/>
        <v>84.360000000000014</v>
      </c>
    </row>
    <row r="1376" spans="1:6" ht="18.75" customHeight="1" x14ac:dyDescent="0.25">
      <c r="A1376" s="2" t="str">
        <f ca="1">IFERROR(__xludf.DUMMYFUNCTION("""COMPUTED_VALUE"""),"REA-U0840")</f>
        <v>REA-U0840</v>
      </c>
      <c r="B1376" s="3">
        <f ca="1">IFERROR(__xludf.DUMMYFUNCTION("""COMPUTED_VALUE"""),29273)</f>
        <v>29273</v>
      </c>
      <c r="C1376" s="3">
        <f ca="1">IFERROR(__xludf.DUMMYFUNCTION("""COMPUTED_VALUE"""),5902557336845)</f>
        <v>5902557336845</v>
      </c>
      <c r="D1376" s="4" t="str">
        <f ca="1">IFERROR(__xludf.DUMMYFUNCTION("""COMPUTED_VALUE"""),"UMYWALKA AVIA - NABLATOWA")</f>
        <v>UMYWALKA AVIA - NABLATOWA</v>
      </c>
      <c r="E1376" s="31">
        <v>68.585365853658544</v>
      </c>
      <c r="F1376" s="31">
        <f t="shared" si="21"/>
        <v>84.360000000000014</v>
      </c>
    </row>
    <row r="1377" spans="1:6" ht="18.75" customHeight="1" x14ac:dyDescent="0.25">
      <c r="A1377" s="2" t="str">
        <f ca="1">IFERROR(__xludf.DUMMYFUNCTION("""COMPUTED_VALUE"""),"REA-U0843")</f>
        <v>REA-U0843</v>
      </c>
      <c r="B1377" s="3">
        <f ca="1">IFERROR(__xludf.DUMMYFUNCTION("""COMPUTED_VALUE"""),31477)</f>
        <v>31477</v>
      </c>
      <c r="C1377" s="3">
        <f ca="1">IFERROR(__xludf.DUMMYFUNCTION("""COMPUTED_VALUE"""),5902557336852)</f>
        <v>5902557336852</v>
      </c>
      <c r="D1377" s="4" t="str">
        <f ca="1">IFERROR(__xludf.DUMMYFUNCTION("""COMPUTED_VALUE"""),"UMYWALKA AVIA BLACK MATT - NABLATOWA")</f>
        <v>UMYWALKA AVIA BLACK MATT - NABLATOWA</v>
      </c>
      <c r="E1377" s="31">
        <v>110.09756097560977</v>
      </c>
      <c r="F1377" s="31">
        <f t="shared" si="21"/>
        <v>135.42000000000002</v>
      </c>
    </row>
    <row r="1378" spans="1:6" ht="18.75" customHeight="1" x14ac:dyDescent="0.25">
      <c r="A1378" s="2" t="str">
        <f ca="1">IFERROR(__xludf.DUMMYFUNCTION("""COMPUTED_VALUE"""),"REA-U0841")</f>
        <v>REA-U0841</v>
      </c>
      <c r="B1378" s="3"/>
      <c r="C1378" s="3">
        <f ca="1">IFERROR(__xludf.DUMMYFUNCTION("""COMPUTED_VALUE"""),5902557336869)</f>
        <v>5902557336869</v>
      </c>
      <c r="D1378" s="4" t="str">
        <f ca="1">IFERROR(__xludf.DUMMYFUNCTION("""COMPUTED_VALUE"""),"UMYWALKA AVIA GREY MATT - NABLATOWA")</f>
        <v>UMYWALKA AVIA GREY MATT - NABLATOWA</v>
      </c>
      <c r="E1378" s="31">
        <v>86.634146341463421</v>
      </c>
      <c r="F1378" s="31">
        <f t="shared" si="21"/>
        <v>106.56</v>
      </c>
    </row>
    <row r="1379" spans="1:6" ht="18.75" customHeight="1" x14ac:dyDescent="0.25">
      <c r="A1379" s="2" t="str">
        <f ca="1">IFERROR(__xludf.DUMMYFUNCTION("""COMPUTED_VALUE"""),"REA-U0632")</f>
        <v>REA-U0632</v>
      </c>
      <c r="B1379" s="3"/>
      <c r="C1379" s="3">
        <f ca="1">IFERROR(__xludf.DUMMYFUNCTION("""COMPUTED_VALUE"""),5902557322541)</f>
        <v>5902557322541</v>
      </c>
      <c r="D1379" s="4" t="str">
        <f ca="1">IFERROR(__xludf.DUMMYFUNCTION("""COMPUTED_VALUE"""),"UMYWALKA AVILA - NABLATOWA")</f>
        <v>UMYWALKA AVILA - NABLATOWA</v>
      </c>
      <c r="E1379" s="31">
        <v>37.902439024390247</v>
      </c>
      <c r="F1379" s="31">
        <f t="shared" si="21"/>
        <v>46.620000000000005</v>
      </c>
    </row>
    <row r="1380" spans="1:6" ht="18.75" customHeight="1" x14ac:dyDescent="0.25">
      <c r="A1380" s="2" t="str">
        <f ca="1">IFERROR(__xludf.DUMMYFUNCTION("""COMPUTED_VALUE"""),"REA-U7501")</f>
        <v>REA-U7501</v>
      </c>
      <c r="B1380" s="3">
        <f ca="1">IFERROR(__xludf.DUMMYFUNCTION("""COMPUTED_VALUE"""),52666)</f>
        <v>52666</v>
      </c>
      <c r="C1380" s="3">
        <f ca="1">IFERROR(__xludf.DUMMYFUNCTION("""COMPUTED_VALUE"""),5902557396245)</f>
        <v>5902557396245</v>
      </c>
      <c r="D1380" s="4" t="str">
        <f ca="1">IFERROR(__xludf.DUMMYFUNCTION("""COMPUTED_VALUE"""),"UMYWALKA AZTEC - NABLATOWA")</f>
        <v>UMYWALKA AZTEC - NABLATOWA</v>
      </c>
      <c r="E1380" s="31">
        <v>83.024390243902445</v>
      </c>
      <c r="F1380" s="31">
        <f t="shared" si="21"/>
        <v>102.12</v>
      </c>
    </row>
    <row r="1381" spans="1:6" ht="18.75" customHeight="1" x14ac:dyDescent="0.25">
      <c r="A1381" s="2" t="str">
        <f ca="1">IFERROR(__xludf.DUMMYFUNCTION("""COMPUTED_VALUE"""),"REA-U6521")</f>
        <v>REA-U6521</v>
      </c>
      <c r="B1381" s="3">
        <f ca="1">IFERROR(__xludf.DUMMYFUNCTION("""COMPUTED_VALUE"""),7509)</f>
        <v>7509</v>
      </c>
      <c r="C1381" s="3">
        <f ca="1">IFERROR(__xludf.DUMMYFUNCTION("""COMPUTED_VALUE"""),5902557327706)</f>
        <v>5902557327706</v>
      </c>
      <c r="D1381" s="4" t="str">
        <f ca="1">IFERROR(__xludf.DUMMYFUNCTION("""COMPUTED_VALUE"""),"UMYWALKA BELINDA - NABLATOWA")</f>
        <v>UMYWALKA BELINDA - NABLATOWA</v>
      </c>
      <c r="E1381" s="31">
        <v>46.926829268292686</v>
      </c>
      <c r="F1381" s="31">
        <f t="shared" si="21"/>
        <v>57.72</v>
      </c>
    </row>
    <row r="1382" spans="1:6" ht="18.75" customHeight="1" x14ac:dyDescent="0.25">
      <c r="A1382" s="2" t="str">
        <f ca="1">IFERROR(__xludf.DUMMYFUNCTION("""COMPUTED_VALUE"""),"REA-U6596")</f>
        <v>REA-U6596</v>
      </c>
      <c r="B1382" s="3">
        <f ca="1">IFERROR(__xludf.DUMMYFUNCTION("""COMPUTED_VALUE"""),39774)</f>
        <v>39774</v>
      </c>
      <c r="C1382" s="3">
        <f ca="1">IFERROR(__xludf.DUMMYFUNCTION("""COMPUTED_VALUE"""),5902557355792)</f>
        <v>5902557355792</v>
      </c>
      <c r="D1382" s="4" t="str">
        <f ca="1">IFERROR(__xludf.DUMMYFUNCTION("""COMPUTED_VALUE"""),"UMYWALKA BELINDA AIAX SHINY - NABLATOWA")</f>
        <v>UMYWALKA BELINDA AIAX SHINY - NABLATOWA</v>
      </c>
      <c r="E1382" s="31">
        <v>74.000000000000014</v>
      </c>
      <c r="F1382" s="31">
        <f t="shared" si="21"/>
        <v>91.02000000000001</v>
      </c>
    </row>
    <row r="1383" spans="1:6" ht="18.75" customHeight="1" x14ac:dyDescent="0.25">
      <c r="A1383" s="2" t="str">
        <f ca="1">IFERROR(__xludf.DUMMYFUNCTION("""COMPUTED_VALUE"""),"REA-U3324")</f>
        <v>REA-U3324</v>
      </c>
      <c r="B1383" s="3">
        <f ca="1">IFERROR(__xludf.DUMMYFUNCTION("""COMPUTED_VALUE"""),52443)</f>
        <v>52443</v>
      </c>
      <c r="C1383" s="3">
        <f ca="1">IFERROR(__xludf.DUMMYFUNCTION("""COMPUTED_VALUE"""),5902557396672)</f>
        <v>5902557396672</v>
      </c>
      <c r="D1383" s="4" t="str">
        <f ca="1">IFERROR(__xludf.DUMMYFUNCTION("""COMPUTED_VALUE"""),"UMYWALKA BELINDA ASH - NABLATOWA")</f>
        <v>UMYWALKA BELINDA ASH - NABLATOWA</v>
      </c>
      <c r="E1383" s="31">
        <v>72.194999999999993</v>
      </c>
      <c r="F1383" s="31">
        <f t="shared" si="21"/>
        <v>88.799849999999992</v>
      </c>
    </row>
    <row r="1384" spans="1:6" ht="18.75" customHeight="1" x14ac:dyDescent="0.25">
      <c r="A1384" s="2" t="str">
        <f ca="1">IFERROR(__xludf.DUMMYFUNCTION("""COMPUTED_VALUE"""),"REA-U8490")</f>
        <v>REA-U8490</v>
      </c>
      <c r="B1384" s="3">
        <f ca="1">IFERROR(__xludf.DUMMYFUNCTION("""COMPUTED_VALUE"""),29936)</f>
        <v>29936</v>
      </c>
      <c r="C1384" s="3">
        <f ca="1">IFERROR(__xludf.DUMMYFUNCTION("""COMPUTED_VALUE"""),5902557336807)</f>
        <v>5902557336807</v>
      </c>
      <c r="D1384" s="4" t="str">
        <f ca="1">IFERROR(__xludf.DUMMYFUNCTION("""COMPUTED_VALUE"""),"UMYWALKA BELINDA BLACK - NABLATOWA")</f>
        <v>UMYWALKA BELINDA BLACK - NABLATOWA</v>
      </c>
      <c r="E1384" s="31">
        <v>93.853658536585371</v>
      </c>
      <c r="F1384" s="31">
        <f t="shared" si="21"/>
        <v>115.44</v>
      </c>
    </row>
    <row r="1385" spans="1:6" ht="18.75" customHeight="1" x14ac:dyDescent="0.25">
      <c r="A1385" s="2" t="str">
        <f ca="1">IFERROR(__xludf.DUMMYFUNCTION("""COMPUTED_VALUE"""),"REA-U8908")</f>
        <v>REA-U8908</v>
      </c>
      <c r="B1385" s="3">
        <f ca="1">IFERROR(__xludf.DUMMYFUNCTION("""COMPUTED_VALUE"""),42989)</f>
        <v>42989</v>
      </c>
      <c r="C1385" s="3">
        <f ca="1">IFERROR(__xludf.DUMMYFUNCTION("""COMPUTED_VALUE"""),5902557365807)</f>
        <v>5902557365807</v>
      </c>
      <c r="D1385" s="4" t="str">
        <f ca="1">IFERROR(__xludf.DUMMYFUNCTION("""COMPUTED_VALUE"""),"UMYWALKA BELINDA BLACK MARBLE MATT - NABLATOWA")</f>
        <v>UMYWALKA BELINDA BLACK MARBLE MATT - NABLATOWA</v>
      </c>
      <c r="E1385" s="31">
        <v>75.804878048780495</v>
      </c>
      <c r="F1385" s="31">
        <f t="shared" si="21"/>
        <v>93.240000000000009</v>
      </c>
    </row>
    <row r="1386" spans="1:6" ht="18.75" customHeight="1" x14ac:dyDescent="0.25">
      <c r="A1386" s="2" t="str">
        <f ca="1">IFERROR(__xludf.DUMMYFUNCTION("""COMPUTED_VALUE"""),"REA-U8907")</f>
        <v>REA-U8907</v>
      </c>
      <c r="B1386" s="3">
        <f ca="1">IFERROR(__xludf.DUMMYFUNCTION("""COMPUTED_VALUE"""),42988)</f>
        <v>42988</v>
      </c>
      <c r="C1386" s="3">
        <f ca="1">IFERROR(__xludf.DUMMYFUNCTION("""COMPUTED_VALUE"""),5902557365814)</f>
        <v>5902557365814</v>
      </c>
      <c r="D1386" s="4" t="str">
        <f ca="1">IFERROR(__xludf.DUMMYFUNCTION("""COMPUTED_VALUE"""),"UMYWALKA BELINDA BLACK MARBLE SHINY - NABLATOWA")</f>
        <v>UMYWALKA BELINDA BLACK MARBLE SHINY - NABLATOWA</v>
      </c>
      <c r="E1386" s="31">
        <v>75.804878048780495</v>
      </c>
      <c r="F1386" s="31">
        <f t="shared" si="21"/>
        <v>93.240000000000009</v>
      </c>
    </row>
    <row r="1387" spans="1:6" ht="18.75" customHeight="1" x14ac:dyDescent="0.25">
      <c r="A1387" s="2" t="str">
        <f ca="1">IFERROR(__xludf.DUMMYFUNCTION("""COMPUTED_VALUE"""),"REA-U8470")</f>
        <v>REA-U8470</v>
      </c>
      <c r="B1387" s="3">
        <f ca="1">IFERROR(__xludf.DUMMYFUNCTION("""COMPUTED_VALUE"""),30434)</f>
        <v>30434</v>
      </c>
      <c r="C1387" s="3">
        <f ca="1">IFERROR(__xludf.DUMMYFUNCTION("""COMPUTED_VALUE"""),5902557336814)</f>
        <v>5902557336814</v>
      </c>
      <c r="D1387" s="4" t="str">
        <f ca="1">IFERROR(__xludf.DUMMYFUNCTION("""COMPUTED_VALUE"""),"UMYWALKA BELINDA BLACK MATT - NABLATOWA")</f>
        <v>UMYWALKA BELINDA BLACK MATT - NABLATOWA</v>
      </c>
      <c r="E1387" s="31">
        <v>83.024390243902445</v>
      </c>
      <c r="F1387" s="31">
        <f t="shared" si="21"/>
        <v>102.12</v>
      </c>
    </row>
    <row r="1388" spans="1:6" ht="18.75" customHeight="1" x14ac:dyDescent="0.25">
      <c r="A1388" s="2" t="str">
        <f ca="1">IFERROR(__xludf.DUMMYFUNCTION("""COMPUTED_VALUE"""),"REA-U9659")</f>
        <v>REA-U9659</v>
      </c>
      <c r="B1388" s="3"/>
      <c r="C1388" s="3">
        <f ca="1">IFERROR(__xludf.DUMMYFUNCTION("""COMPUTED_VALUE"""),5902557356829)</f>
        <v>5902557356829</v>
      </c>
      <c r="D1388" s="4" t="str">
        <f ca="1">IFERROR(__xludf.DUMMYFUNCTION("""COMPUTED_VALUE"""),"UMYWALKA BELINDA BLACK MATT/GOLD EDGE - NABLATOWA")</f>
        <v>UMYWALKA BELINDA BLACK MATT/GOLD EDGE - NABLATOWA</v>
      </c>
      <c r="E1388" s="31">
        <v>116.41463414634147</v>
      </c>
      <c r="F1388" s="31">
        <f t="shared" si="21"/>
        <v>143.19</v>
      </c>
    </row>
    <row r="1389" spans="1:6" ht="18.75" customHeight="1" x14ac:dyDescent="0.25">
      <c r="A1389" s="2" t="str">
        <f ca="1">IFERROR(__xludf.DUMMYFUNCTION("""COMPUTED_VALUE"""),"REA-U6759")</f>
        <v>REA-U6759</v>
      </c>
      <c r="B1389" s="3">
        <f ca="1">IFERROR(__xludf.DUMMYFUNCTION("""COMPUTED_VALUE"""),50117)</f>
        <v>50117</v>
      </c>
      <c r="C1389" s="3">
        <f ca="1">IFERROR(__xludf.DUMMYFUNCTION("""COMPUTED_VALUE"""),5902557375172)</f>
        <v>5902557375172</v>
      </c>
      <c r="D1389" s="4" t="str">
        <f ca="1">IFERROR(__xludf.DUMMYFUNCTION("""COMPUTED_VALUE"""),"UMYWALKA BELINDA BLACK/CALALA MATT - NABLATOWA")</f>
        <v>UMYWALKA BELINDA BLACK/CALALA MATT - NABLATOWA</v>
      </c>
      <c r="E1389" s="31">
        <v>83.024390243902445</v>
      </c>
      <c r="F1389" s="31">
        <f t="shared" si="21"/>
        <v>102.12</v>
      </c>
    </row>
    <row r="1390" spans="1:6" ht="18.75" customHeight="1" x14ac:dyDescent="0.25">
      <c r="A1390" s="2" t="str">
        <f ca="1">IFERROR(__xludf.DUMMYFUNCTION("""COMPUTED_VALUE"""),"REA-U8796")</f>
        <v>REA-U8796</v>
      </c>
      <c r="B1390" s="3">
        <f ca="1">IFERROR(__xludf.DUMMYFUNCTION("""COMPUTED_VALUE"""),41601)</f>
        <v>41601</v>
      </c>
      <c r="C1390" s="3">
        <f ca="1">IFERROR(__xludf.DUMMYFUNCTION("""COMPUTED_VALUE"""),5902557356812)</f>
        <v>5902557356812</v>
      </c>
      <c r="D1390" s="4" t="str">
        <f ca="1">IFERROR(__xludf.DUMMYFUNCTION("""COMPUTED_VALUE"""),"UMYWALKA BELINDA BLACK/GOLD EDGE - NABLATOWA")</f>
        <v>UMYWALKA BELINDA BLACK/GOLD EDGE - NABLATOWA</v>
      </c>
      <c r="E1390" s="31">
        <v>82.121951219512198</v>
      </c>
      <c r="F1390" s="31">
        <f t="shared" si="21"/>
        <v>101.01</v>
      </c>
    </row>
    <row r="1391" spans="1:6" ht="18.75" customHeight="1" x14ac:dyDescent="0.25">
      <c r="A1391" s="2" t="str">
        <f ca="1">IFERROR(__xludf.DUMMYFUNCTION("""COMPUTED_VALUE"""),"REA-U6332")</f>
        <v>REA-U6332</v>
      </c>
      <c r="B1391" s="3">
        <f ca="1">IFERROR(__xludf.DUMMYFUNCTION("""COMPUTED_VALUE"""),37543)</f>
        <v>37543</v>
      </c>
      <c r="C1391" s="3">
        <f ca="1">IFERROR(__xludf.DUMMYFUNCTION("""COMPUTED_VALUE"""),5902557349838)</f>
        <v>5902557349838</v>
      </c>
      <c r="D1391" s="4" t="str">
        <f ca="1">IFERROR(__xludf.DUMMYFUNCTION("""COMPUTED_VALUE"""),"UMYWALKA BELINDA BLACK/WHITE - NABLATOWA")</f>
        <v>UMYWALKA BELINDA BLACK/WHITE - NABLATOWA</v>
      </c>
      <c r="E1391" s="31">
        <v>84.82926829268294</v>
      </c>
      <c r="F1391" s="31">
        <f t="shared" si="21"/>
        <v>104.34000000000002</v>
      </c>
    </row>
    <row r="1392" spans="1:6" ht="18.75" customHeight="1" x14ac:dyDescent="0.25">
      <c r="A1392" s="2" t="str">
        <f ca="1">IFERROR(__xludf.DUMMYFUNCTION("""COMPUTED_VALUE"""),"REA-U6599")</f>
        <v>REA-U6599</v>
      </c>
      <c r="B1392" s="3">
        <f ca="1">IFERROR(__xludf.DUMMYFUNCTION("""COMPUTED_VALUE"""),39775)</f>
        <v>39775</v>
      </c>
      <c r="C1392" s="3">
        <f ca="1">IFERROR(__xludf.DUMMYFUNCTION("""COMPUTED_VALUE"""),5902557355778)</f>
        <v>5902557355778</v>
      </c>
      <c r="D1392" s="4" t="str">
        <f ca="1">IFERROR(__xludf.DUMMYFUNCTION("""COMPUTED_VALUE"""),"UMYWALKA BELINDA CALALA SHINY - NABLATOWA")</f>
        <v>UMYWALKA BELINDA CALALA SHINY - NABLATOWA</v>
      </c>
      <c r="E1392" s="31">
        <v>74.000000000000014</v>
      </c>
      <c r="F1392" s="31">
        <f t="shared" si="21"/>
        <v>91.02000000000001</v>
      </c>
    </row>
    <row r="1393" spans="1:6" ht="18.75" customHeight="1" x14ac:dyDescent="0.25">
      <c r="A1393" s="2" t="str">
        <f ca="1">IFERROR(__xludf.DUMMYFUNCTION("""COMPUTED_VALUE"""),"REA-U6384")</f>
        <v>REA-U6384</v>
      </c>
      <c r="B1393" s="3">
        <f ca="1">IFERROR(__xludf.DUMMYFUNCTION("""COMPUTED_VALUE"""),54344)</f>
        <v>54344</v>
      </c>
      <c r="C1393" s="3">
        <f ca="1">IFERROR(__xludf.DUMMYFUNCTION("""COMPUTED_VALUE"""),5906366007132)</f>
        <v>5906366007132</v>
      </c>
      <c r="D1393" s="4" t="str">
        <f ca="1">IFERROR(__xludf.DUMMYFUNCTION("""COMPUTED_VALUE"""),"UMYWALKA BELINDA COPPER BRUSH - NABLATOWA")</f>
        <v>UMYWALKA BELINDA COPPER BRUSH - NABLATOWA</v>
      </c>
      <c r="E1393" s="31">
        <v>101.97560975609757</v>
      </c>
      <c r="F1393" s="31">
        <f t="shared" si="21"/>
        <v>125.43</v>
      </c>
    </row>
    <row r="1394" spans="1:6" ht="18.75" customHeight="1" x14ac:dyDescent="0.25">
      <c r="A1394" s="2" t="str">
        <f ca="1">IFERROR(__xludf.DUMMYFUNCTION("""COMPUTED_VALUE"""),"REA-U8471")</f>
        <v>REA-U8471</v>
      </c>
      <c r="B1394" s="3">
        <f ca="1">IFERROR(__xludf.DUMMYFUNCTION("""COMPUTED_VALUE"""),44366)</f>
        <v>44366</v>
      </c>
      <c r="C1394" s="3">
        <f ca="1">IFERROR(__xludf.DUMMYFUNCTION("""COMPUTED_VALUE"""),5902557367023)</f>
        <v>5902557367023</v>
      </c>
      <c r="D1394" s="4" t="str">
        <f ca="1">IFERROR(__xludf.DUMMYFUNCTION("""COMPUTED_VALUE"""),"UMYWALKA BELINDA DIAMOND WHITE/GOLD - NABLATOWA")</f>
        <v>UMYWALKA BELINDA DIAMOND WHITE/GOLD - NABLATOWA</v>
      </c>
      <c r="E1394" s="31">
        <v>86.634146341463421</v>
      </c>
      <c r="F1394" s="31">
        <f t="shared" si="21"/>
        <v>106.56</v>
      </c>
    </row>
    <row r="1395" spans="1:6" ht="18.75" customHeight="1" x14ac:dyDescent="0.25">
      <c r="A1395" s="2" t="str">
        <f ca="1">IFERROR(__xludf.DUMMYFUNCTION("""COMPUTED_VALUE"""),"REA-U8780")</f>
        <v>REA-U8780</v>
      </c>
      <c r="B1395" s="3">
        <f ca="1">IFERROR(__xludf.DUMMYFUNCTION("""COMPUTED_VALUE"""),51047)</f>
        <v>51047</v>
      </c>
      <c r="C1395" s="3">
        <f ca="1">IFERROR(__xludf.DUMMYFUNCTION("""COMPUTED_VALUE"""),5902557387519)</f>
        <v>5902557387519</v>
      </c>
      <c r="D1395" s="4" t="str">
        <f ca="1">IFERROR(__xludf.DUMMYFUNCTION("""COMPUTED_VALUE"""),"UMYWALKA BELINDA GOLD BRUSH/BLACK - NABLATOWA")</f>
        <v>UMYWALKA BELINDA GOLD BRUSH/BLACK - NABLATOWA</v>
      </c>
      <c r="E1395" s="31">
        <v>99.268292682926841</v>
      </c>
      <c r="F1395" s="31">
        <f t="shared" si="21"/>
        <v>122.10000000000001</v>
      </c>
    </row>
    <row r="1396" spans="1:6" ht="18.75" customHeight="1" x14ac:dyDescent="0.25">
      <c r="A1396" s="2" t="str">
        <f ca="1">IFERROR(__xludf.DUMMYFUNCTION("""COMPUTED_VALUE"""),"REA-U7422")</f>
        <v>REA-U7422</v>
      </c>
      <c r="B1396" s="3">
        <f ca="1">IFERROR(__xludf.DUMMYFUNCTION("""COMPUTED_VALUE"""),51368)</f>
        <v>51368</v>
      </c>
      <c r="C1396" s="3">
        <f ca="1">IFERROR(__xludf.DUMMYFUNCTION("""COMPUTED_VALUE"""),5902557394234)</f>
        <v>5902557394234</v>
      </c>
      <c r="D1396" s="4" t="str">
        <f ca="1">IFERROR(__xludf.DUMMYFUNCTION("""COMPUTED_VALUE"""),"UMYWALKA BELINDA GOLD BRUSH/WHITE- NABLATOWA")</f>
        <v>UMYWALKA BELINDA GOLD BRUSH/WHITE- NABLATOWA</v>
      </c>
      <c r="E1396" s="31">
        <v>95.658536585365866</v>
      </c>
      <c r="F1396" s="31">
        <f t="shared" si="21"/>
        <v>117.66000000000001</v>
      </c>
    </row>
    <row r="1397" spans="1:6" ht="18.75" customHeight="1" x14ac:dyDescent="0.25">
      <c r="A1397" s="2" t="str">
        <f ca="1">IFERROR(__xludf.DUMMYFUNCTION("""COMPUTED_VALUE"""),"REA-U8736")</f>
        <v>REA-U8736</v>
      </c>
      <c r="B1397" s="3">
        <f ca="1">IFERROR(__xludf.DUMMYFUNCTION("""COMPUTED_VALUE"""),37542)</f>
        <v>37542</v>
      </c>
      <c r="C1397" s="3">
        <f ca="1">IFERROR(__xludf.DUMMYFUNCTION("""COMPUTED_VALUE"""),5902557349821)</f>
        <v>5902557349821</v>
      </c>
      <c r="D1397" s="4" t="str">
        <f ca="1">IFERROR(__xludf.DUMMYFUNCTION("""COMPUTED_VALUE"""),"UMYWALKA BELINDA GOLD EDGE - NABLATOWA")</f>
        <v>UMYWALKA BELINDA GOLD EDGE - NABLATOWA</v>
      </c>
      <c r="E1397" s="31">
        <v>74.000000000000014</v>
      </c>
      <c r="F1397" s="31">
        <f t="shared" si="21"/>
        <v>91.02000000000001</v>
      </c>
    </row>
    <row r="1398" spans="1:6" ht="18.75" customHeight="1" x14ac:dyDescent="0.25">
      <c r="A1398" s="2" t="str">
        <f ca="1">IFERROR(__xludf.DUMMYFUNCTION("""COMPUTED_VALUE"""),"REA-U8492")</f>
        <v>REA-U8492</v>
      </c>
      <c r="B1398" s="3">
        <f ca="1">IFERROR(__xludf.DUMMYFUNCTION("""COMPUTED_VALUE"""),29947)</f>
        <v>29947</v>
      </c>
      <c r="C1398" s="3">
        <f ca="1">IFERROR(__xludf.DUMMYFUNCTION("""COMPUTED_VALUE"""),5902557336838)</f>
        <v>5902557336838</v>
      </c>
      <c r="D1398" s="4" t="str">
        <f ca="1">IFERROR(__xludf.DUMMYFUNCTION("""COMPUTED_VALUE"""),"UMYWALKA BELINDA GREY MATT - NABLATOWA")</f>
        <v>UMYWALKA BELINDA GREY MATT - NABLATOWA</v>
      </c>
      <c r="E1398" s="31">
        <v>74.000000000000014</v>
      </c>
      <c r="F1398" s="31">
        <f t="shared" si="21"/>
        <v>91.02000000000001</v>
      </c>
    </row>
    <row r="1399" spans="1:6" ht="18.75" customHeight="1" x14ac:dyDescent="0.25">
      <c r="A1399" s="2" t="str">
        <f ca="1">IFERROR(__xludf.DUMMYFUNCTION("""COMPUTED_VALUE"""),"REA-U8702")</f>
        <v>REA-U8702</v>
      </c>
      <c r="B1399" s="3">
        <f ca="1">IFERROR(__xludf.DUMMYFUNCTION("""COMPUTED_VALUE"""),39851)</f>
        <v>39851</v>
      </c>
      <c r="C1399" s="3">
        <f ca="1">IFERROR(__xludf.DUMMYFUNCTION("""COMPUTED_VALUE"""),5902557356614)</f>
        <v>5902557356614</v>
      </c>
      <c r="D1399" s="4" t="str">
        <f ca="1">IFERROR(__xludf.DUMMYFUNCTION("""COMPUTED_VALUE"""),"UMYWALKA BELINDA MARBLE MATT - NABLATOWA")</f>
        <v>UMYWALKA BELINDA MARBLE MATT - NABLATOWA</v>
      </c>
      <c r="E1399" s="31">
        <v>75.804878048780495</v>
      </c>
      <c r="F1399" s="31">
        <f t="shared" si="21"/>
        <v>93.240000000000009</v>
      </c>
    </row>
    <row r="1400" spans="1:6" ht="18.75" customHeight="1" x14ac:dyDescent="0.25">
      <c r="A1400" s="2" t="str">
        <f ca="1">IFERROR(__xludf.DUMMYFUNCTION("""COMPUTED_VALUE"""),"REA-U5667")</f>
        <v>REA-U5667</v>
      </c>
      <c r="B1400" s="3">
        <f ca="1">IFERROR(__xludf.DUMMYFUNCTION("""COMPUTED_VALUE"""),43183)</f>
        <v>43183</v>
      </c>
      <c r="C1400" s="3">
        <f ca="1">IFERROR(__xludf.DUMMYFUNCTION("""COMPUTED_VALUE"""),5902557366910)</f>
        <v>5902557366910</v>
      </c>
      <c r="D1400" s="4" t="str">
        <f ca="1">IFERROR(__xludf.DUMMYFUNCTION("""COMPUTED_VALUE"""),"UMYWALKA BELINDA MINI - NABLATOWA")</f>
        <v>UMYWALKA BELINDA MINI - NABLATOWA</v>
      </c>
      <c r="E1400" s="31">
        <v>42.41463414634147</v>
      </c>
      <c r="F1400" s="31">
        <f t="shared" si="21"/>
        <v>52.170000000000009</v>
      </c>
    </row>
    <row r="1401" spans="1:6" ht="18.75" customHeight="1" x14ac:dyDescent="0.25">
      <c r="A1401" s="2" t="str">
        <f ca="1">IFERROR(__xludf.DUMMYFUNCTION("""COMPUTED_VALUE"""),"REA-U6505")</f>
        <v>REA-U6505</v>
      </c>
      <c r="B1401" s="3">
        <f ca="1">IFERROR(__xludf.DUMMYFUNCTION("""COMPUTED_VALUE"""),49851)</f>
        <v>49851</v>
      </c>
      <c r="C1401" s="3">
        <f ca="1">IFERROR(__xludf.DUMMYFUNCTION("""COMPUTED_VALUE"""),5902557381265)</f>
        <v>5902557381265</v>
      </c>
      <c r="D1401" s="4" t="str">
        <f ca="1">IFERROR(__xludf.DUMMYFUNCTION("""COMPUTED_VALUE"""),"UMYWALKA BELINDA MINI AIAX SHINY - NABLATOWA")</f>
        <v>UMYWALKA BELINDA MINI AIAX SHINY - NABLATOWA</v>
      </c>
      <c r="E1401" s="31">
        <v>55.951219512195124</v>
      </c>
      <c r="F1401" s="31">
        <f t="shared" si="21"/>
        <v>68.820000000000007</v>
      </c>
    </row>
    <row r="1402" spans="1:6" ht="18.75" customHeight="1" x14ac:dyDescent="0.25">
      <c r="A1402" s="2" t="str">
        <f ca="1">IFERROR(__xludf.DUMMYFUNCTION("""COMPUTED_VALUE"""),"REA-U8004")</f>
        <v>REA-U8004</v>
      </c>
      <c r="B1402" s="3">
        <f ca="1">IFERROR(__xludf.DUMMYFUNCTION("""COMPUTED_VALUE"""),49376)</f>
        <v>49376</v>
      </c>
      <c r="C1402" s="3">
        <f ca="1">IFERROR(__xludf.DUMMYFUNCTION("""COMPUTED_VALUE"""),5902557376834)</f>
        <v>5902557376834</v>
      </c>
      <c r="D1402" s="4" t="str">
        <f ca="1">IFERROR(__xludf.DUMMYFUNCTION("""COMPUTED_VALUE"""),"UMYWALKA BELINDA MINI BLACK - NABLATOWA")</f>
        <v>UMYWALKA BELINDA MINI BLACK - NABLATOWA</v>
      </c>
      <c r="E1402" s="31">
        <v>50.536585365853668</v>
      </c>
      <c r="F1402" s="31">
        <f t="shared" si="21"/>
        <v>62.160000000000011</v>
      </c>
    </row>
    <row r="1403" spans="1:6" ht="18.75" customHeight="1" x14ac:dyDescent="0.25">
      <c r="A1403" s="2" t="str">
        <f ca="1">IFERROR(__xludf.DUMMYFUNCTION("""COMPUTED_VALUE"""),"REA-U3321")</f>
        <v>REA-U3321</v>
      </c>
      <c r="B1403" s="3">
        <f ca="1">IFERROR(__xludf.DUMMYFUNCTION("""COMPUTED_VALUE"""),52356)</f>
        <v>52356</v>
      </c>
      <c r="C1403" s="3">
        <f ca="1">IFERROR(__xludf.DUMMYFUNCTION("""COMPUTED_VALUE"""),5902557396474)</f>
        <v>5902557396474</v>
      </c>
      <c r="D1403" s="4" t="str">
        <f ca="1">IFERROR(__xludf.DUMMYFUNCTION("""COMPUTED_VALUE"""),"UMYWALKA BELINDA MINI STONE MATT - NABLATOWA")</f>
        <v>UMYWALKA BELINDA MINI STONE MATT - NABLATOWA</v>
      </c>
      <c r="E1403" s="31">
        <v>59.560975609756099</v>
      </c>
      <c r="F1403" s="31">
        <f t="shared" si="21"/>
        <v>73.260000000000005</v>
      </c>
    </row>
    <row r="1404" spans="1:6" ht="18.75" customHeight="1" x14ac:dyDescent="0.25">
      <c r="A1404" s="2" t="str">
        <f ca="1">IFERROR(__xludf.DUMMYFUNCTION("""COMPUTED_VALUE"""),"REA-U9252")</f>
        <v>REA-U9252</v>
      </c>
      <c r="B1404" s="3"/>
      <c r="C1404" s="3">
        <f ca="1">IFERROR(__xludf.DUMMYFUNCTION("""COMPUTED_VALUE"""),5902557363933)</f>
        <v>5902557363933</v>
      </c>
      <c r="D1404" s="4" t="str">
        <f ca="1">IFERROR(__xludf.DUMMYFUNCTION("""COMPUTED_VALUE"""),"UMYWALKA BELINDA SASH - NABLATOWA")</f>
        <v>UMYWALKA BELINDA SASH - NABLATOWA</v>
      </c>
      <c r="E1404" s="31">
        <v>81.219512195121965</v>
      </c>
      <c r="F1404" s="31">
        <f t="shared" si="21"/>
        <v>99.90000000000002</v>
      </c>
    </row>
    <row r="1405" spans="1:6" ht="18.75" customHeight="1" x14ac:dyDescent="0.25">
      <c r="A1405" s="2" t="str">
        <f ca="1">IFERROR(__xludf.DUMMYFUNCTION("""COMPUTED_VALUE"""),"REA-U3323")</f>
        <v>REA-U3323</v>
      </c>
      <c r="B1405" s="3">
        <f ca="1">IFERROR(__xludf.DUMMYFUNCTION("""COMPUTED_VALUE"""),52487)</f>
        <v>52487</v>
      </c>
      <c r="C1405" s="3">
        <f ca="1">IFERROR(__xludf.DUMMYFUNCTION("""COMPUTED_VALUE"""),5902557396689)</f>
        <v>5902557396689</v>
      </c>
      <c r="D1405" s="4" t="str">
        <f ca="1">IFERROR(__xludf.DUMMYFUNCTION("""COMPUTED_VALUE"""),"UMYWALKA BELINDA SAVANA - NABLATOWA")</f>
        <v>UMYWALKA BELINDA SAVANA - NABLATOWA</v>
      </c>
      <c r="E1405" s="31">
        <v>75.804878048780495</v>
      </c>
      <c r="F1405" s="31">
        <f t="shared" si="21"/>
        <v>93.240000000000009</v>
      </c>
    </row>
    <row r="1406" spans="1:6" ht="18.75" customHeight="1" x14ac:dyDescent="0.25">
      <c r="A1406" s="2" t="str">
        <f ca="1">IFERROR(__xludf.DUMMYFUNCTION("""COMPUTED_VALUE"""),"REA-U6933")</f>
        <v>REA-U6933</v>
      </c>
      <c r="B1406" s="3">
        <f ca="1">IFERROR(__xludf.DUMMYFUNCTION("""COMPUTED_VALUE"""),42873)</f>
        <v>42873</v>
      </c>
      <c r="C1406" s="3">
        <f ca="1">IFERROR(__xludf.DUMMYFUNCTION("""COMPUTED_VALUE"""),5902557365067)</f>
        <v>5902557365067</v>
      </c>
      <c r="D1406" s="4" t="str">
        <f ca="1">IFERROR(__xludf.DUMMYFUNCTION("""COMPUTED_VALUE"""),"UMYWALKA BELINDA TERAZZO - NABLATOWA")</f>
        <v>UMYWALKA BELINDA TERAZZO - NABLATOWA</v>
      </c>
      <c r="E1406" s="31">
        <v>83.024390243902445</v>
      </c>
      <c r="F1406" s="31">
        <f t="shared" si="21"/>
        <v>102.12</v>
      </c>
    </row>
    <row r="1407" spans="1:6" ht="18.75" customHeight="1" x14ac:dyDescent="0.25">
      <c r="A1407" s="2" t="str">
        <f ca="1">IFERROR(__xludf.DUMMYFUNCTION("""COMPUTED_VALUE"""),"REA-U8472")</f>
        <v>REA-U8472</v>
      </c>
      <c r="B1407" s="3">
        <f ca="1">IFERROR(__xludf.DUMMYFUNCTION("""COMPUTED_VALUE"""),44363)</f>
        <v>44363</v>
      </c>
      <c r="C1407" s="3">
        <f ca="1">IFERROR(__xludf.DUMMYFUNCTION("""COMPUTED_VALUE"""),5902557367047)</f>
        <v>5902557367047</v>
      </c>
      <c r="D1407" s="4" t="str">
        <f ca="1">IFERROR(__xludf.DUMMYFUNCTION("""COMPUTED_VALUE"""),"UMYWALKA BELINDA WAVE WHITE/GOLD - NABLATOWA")</f>
        <v>UMYWALKA BELINDA WAVE WHITE/GOLD - NABLATOWA</v>
      </c>
      <c r="E1407" s="31">
        <v>86.634146341463421</v>
      </c>
      <c r="F1407" s="31">
        <f t="shared" si="21"/>
        <v>106.56</v>
      </c>
    </row>
    <row r="1408" spans="1:6" ht="18.75" customHeight="1" x14ac:dyDescent="0.25">
      <c r="A1408" s="2" t="str">
        <f ca="1">IFERROR(__xludf.DUMMYFUNCTION("""COMPUTED_VALUE"""),"REA-U5051")</f>
        <v>REA-U5051</v>
      </c>
      <c r="B1408" s="3">
        <f ca="1">IFERROR(__xludf.DUMMYFUNCTION("""COMPUTED_VALUE"""),42995)</f>
        <v>42995</v>
      </c>
      <c r="C1408" s="3">
        <f ca="1">IFERROR(__xludf.DUMMYFUNCTION("""COMPUTED_VALUE"""),5902557366620)</f>
        <v>5902557366620</v>
      </c>
      <c r="D1408" s="4" t="str">
        <f ca="1">IFERROR(__xludf.DUMMYFUNCTION("""COMPUTED_VALUE"""),"UMYWALKA BELINDA WOOD MATT -  NABLATOWA")</f>
        <v>UMYWALKA BELINDA WOOD MATT -  NABLATOWA</v>
      </c>
      <c r="E1408" s="31">
        <v>76.707317073170742</v>
      </c>
      <c r="F1408" s="31">
        <f t="shared" si="21"/>
        <v>94.350000000000009</v>
      </c>
    </row>
    <row r="1409" spans="1:6" ht="18.75" customHeight="1" x14ac:dyDescent="0.25">
      <c r="A1409" s="2" t="str">
        <f ca="1">IFERROR(__xludf.DUMMYFUNCTION("""COMPUTED_VALUE"""),"REA-U7503")</f>
        <v>REA-U7503</v>
      </c>
      <c r="B1409" s="3">
        <f ca="1">IFERROR(__xludf.DUMMYFUNCTION("""COMPUTED_VALUE"""),52712)</f>
        <v>52712</v>
      </c>
      <c r="C1409" s="3">
        <f ca="1">IFERROR(__xludf.DUMMYFUNCTION("""COMPUTED_VALUE"""),5902557396221)</f>
        <v>5902557396221</v>
      </c>
      <c r="D1409" s="4" t="str">
        <f ca="1">IFERROR(__xludf.DUMMYFUNCTION("""COMPUTED_VALUE"""),"UMYWALKA BELLA - NABLATOWA")</f>
        <v>UMYWALKA BELLA - NABLATOWA</v>
      </c>
      <c r="E1409" s="31">
        <v>104.68292682926831</v>
      </c>
      <c r="F1409" s="31">
        <f t="shared" si="21"/>
        <v>128.76000000000002</v>
      </c>
    </row>
    <row r="1410" spans="1:6" ht="18.75" customHeight="1" x14ac:dyDescent="0.25">
      <c r="A1410" s="2" t="str">
        <f ca="1">IFERROR(__xludf.DUMMYFUNCTION("""COMPUTED_VALUE"""),"REA-U0031")</f>
        <v>REA-U0031</v>
      </c>
      <c r="B1410" s="3"/>
      <c r="C1410" s="3">
        <f ca="1">IFERROR(__xludf.DUMMYFUNCTION("""COMPUTED_VALUE"""),5902557340538)</f>
        <v>5902557340538</v>
      </c>
      <c r="D1410" s="4" t="str">
        <f ca="1">IFERROR(__xludf.DUMMYFUNCTION("""COMPUTED_VALUE"""),"UMYWALKA BELLA - NABLATOWA")</f>
        <v>UMYWALKA BELLA - NABLATOWA</v>
      </c>
      <c r="E1410" s="31">
        <v>50.536585365853668</v>
      </c>
      <c r="F1410" s="31">
        <f t="shared" si="21"/>
        <v>62.160000000000011</v>
      </c>
    </row>
    <row r="1411" spans="1:6" ht="18.75" customHeight="1" x14ac:dyDescent="0.25">
      <c r="A1411" s="2" t="str">
        <f ca="1">IFERROR(__xludf.DUMMYFUNCTION("""COMPUTED_VALUE"""),"REA-U7904")</f>
        <v>REA-U7904</v>
      </c>
      <c r="B1411" s="3"/>
      <c r="C1411" s="3">
        <f ca="1">IFERROR(__xludf.DUMMYFUNCTION("""COMPUTED_VALUE"""),5902557340545)</f>
        <v>5902557340545</v>
      </c>
      <c r="D1411" s="4" t="str">
        <f ca="1">IFERROR(__xludf.DUMMYFUNCTION("""COMPUTED_VALUE"""),"UMYWALKA BELLA BLACK MATT - NABLATOWA")</f>
        <v>UMYWALKA BELLA BLACK MATT - NABLATOWA</v>
      </c>
      <c r="E1411" s="31">
        <v>80.317073170731717</v>
      </c>
      <c r="F1411" s="31">
        <f t="shared" ref="F1411:F1474" si="22">E1411*1.23</f>
        <v>98.79</v>
      </c>
    </row>
    <row r="1412" spans="1:6" ht="18.75" customHeight="1" x14ac:dyDescent="0.25">
      <c r="A1412" s="2" t="str">
        <f ca="1">IFERROR(__xludf.DUMMYFUNCTION("""COMPUTED_VALUE"""),"REA-U5098")</f>
        <v>REA-U5098</v>
      </c>
      <c r="B1412" s="3">
        <f ca="1">IFERROR(__xludf.DUMMYFUNCTION("""COMPUTED_VALUE"""),44654)</f>
        <v>44654</v>
      </c>
      <c r="C1412" s="3">
        <f ca="1">IFERROR(__xludf.DUMMYFUNCTION("""COMPUTED_VALUE"""),5902557369713)</f>
        <v>5902557369713</v>
      </c>
      <c r="D1412" s="4" t="str">
        <f ca="1">IFERROR(__xludf.DUMMYFUNCTION("""COMPUTED_VALUE"""),"UMYWALKA BERTA 48 - NABLATOWA")</f>
        <v>UMYWALKA BERTA 48 - NABLATOWA</v>
      </c>
      <c r="E1412" s="31">
        <v>57.756097560975611</v>
      </c>
      <c r="F1412" s="31">
        <f t="shared" si="22"/>
        <v>71.040000000000006</v>
      </c>
    </row>
    <row r="1413" spans="1:6" ht="18.75" customHeight="1" x14ac:dyDescent="0.25">
      <c r="A1413" s="2" t="str">
        <f ca="1">IFERROR(__xludf.DUMMYFUNCTION("""COMPUTED_VALUE"""),"REA-U5055")</f>
        <v>REA-U5055</v>
      </c>
      <c r="B1413" s="3">
        <f ca="1">IFERROR(__xludf.DUMMYFUNCTION("""COMPUTED_VALUE"""),44371)</f>
        <v>44371</v>
      </c>
      <c r="C1413" s="3">
        <f ca="1">IFERROR(__xludf.DUMMYFUNCTION("""COMPUTED_VALUE"""),5902557369720)</f>
        <v>5902557369720</v>
      </c>
      <c r="D1413" s="4" t="str">
        <f ca="1">IFERROR(__xludf.DUMMYFUNCTION("""COMPUTED_VALUE"""),"UMYWALKA BERTA 55 - NABLATOWA")</f>
        <v>UMYWALKA BERTA 55 - NABLATOWA</v>
      </c>
      <c r="E1413" s="31">
        <v>78.512195121951223</v>
      </c>
      <c r="F1413" s="31">
        <f t="shared" si="22"/>
        <v>96.570000000000007</v>
      </c>
    </row>
    <row r="1414" spans="1:6" ht="18.75" customHeight="1" x14ac:dyDescent="0.25">
      <c r="A1414" s="2" t="str">
        <f ca="1">IFERROR(__xludf.DUMMYFUNCTION("""COMPUTED_VALUE"""),"REA-U1057")</f>
        <v>REA-U1057</v>
      </c>
      <c r="B1414" s="3">
        <f ca="1">IFERROR(__xludf.DUMMYFUNCTION("""COMPUTED_VALUE"""),53516)</f>
        <v>53516</v>
      </c>
      <c r="C1414" s="3">
        <f ca="1">IFERROR(__xludf.DUMMYFUNCTION("""COMPUTED_VALUE"""),5902557329731)</f>
        <v>5902557329731</v>
      </c>
      <c r="D1414" s="4" t="str">
        <f ca="1">IFERROR(__xludf.DUMMYFUNCTION("""COMPUTED_VALUE"""),"UMYWALKA BETTY - NABLATOWA")</f>
        <v>UMYWALKA BETTY - NABLATOWA</v>
      </c>
      <c r="E1414" s="31">
        <v>95.658536585365866</v>
      </c>
      <c r="F1414" s="31">
        <f t="shared" si="22"/>
        <v>117.66000000000001</v>
      </c>
    </row>
    <row r="1415" spans="1:6" ht="18.75" customHeight="1" x14ac:dyDescent="0.25">
      <c r="A1415" s="2" t="str">
        <f ca="1">IFERROR(__xludf.DUMMYFUNCTION("""COMPUTED_VALUE"""),"REA-U5635")</f>
        <v>REA-U5635</v>
      </c>
      <c r="B1415" s="3">
        <f ca="1">IFERROR(__xludf.DUMMYFUNCTION("""COMPUTED_VALUE"""),37477)</f>
        <v>37477</v>
      </c>
      <c r="C1415" s="3">
        <f ca="1">IFERROR(__xludf.DUMMYFUNCTION("""COMPUTED_VALUE"""),5902557349883)</f>
        <v>5902557349883</v>
      </c>
      <c r="D1415" s="4" t="str">
        <f ca="1">IFERROR(__xludf.DUMMYFUNCTION("""COMPUTED_VALUE"""),"UMYWALKA BLANKA - WOLNOSTOJĄCA")</f>
        <v>UMYWALKA BLANKA - WOLNOSTOJĄCA</v>
      </c>
      <c r="E1415" s="31">
        <v>208.46341463414637</v>
      </c>
      <c r="F1415" s="31">
        <f t="shared" si="22"/>
        <v>256.41000000000003</v>
      </c>
    </row>
    <row r="1416" spans="1:6" ht="18.75" customHeight="1" x14ac:dyDescent="0.25">
      <c r="A1416" s="2" t="str">
        <f ca="1">IFERROR(__xludf.DUMMYFUNCTION("""COMPUTED_VALUE"""),"REA-U6635")</f>
        <v>REA-U6635</v>
      </c>
      <c r="B1416" s="3">
        <f ca="1">IFERROR(__xludf.DUMMYFUNCTION("""COMPUTED_VALUE"""),37766)</f>
        <v>37766</v>
      </c>
      <c r="C1416" s="3">
        <f ca="1">IFERROR(__xludf.DUMMYFUNCTION("""COMPUTED_VALUE"""),5902557349890)</f>
        <v>5902557349890</v>
      </c>
      <c r="D1416" s="4" t="str">
        <f ca="1">IFERROR(__xludf.DUMMYFUNCTION("""COMPUTED_VALUE"""),"UMYWALKA BLANKA BLACK - WOLNOSTOJĄCA")</f>
        <v>UMYWALKA BLANKA BLACK - WOLNOSTOJĄCA</v>
      </c>
      <c r="E1416" s="31">
        <v>295.09756097560978</v>
      </c>
      <c r="F1416" s="31">
        <f t="shared" si="22"/>
        <v>362.97</v>
      </c>
    </row>
    <row r="1417" spans="1:6" ht="18.75" customHeight="1" x14ac:dyDescent="0.25">
      <c r="A1417" s="2" t="str">
        <f ca="1">IFERROR(__xludf.DUMMYFUNCTION("""COMPUTED_VALUE"""),"REA-U8704")</f>
        <v>REA-U8704</v>
      </c>
      <c r="B1417" s="3">
        <f ca="1">IFERROR(__xludf.DUMMYFUNCTION("""COMPUTED_VALUE"""),39849)</f>
        <v>39849</v>
      </c>
      <c r="C1417" s="3">
        <f ca="1">IFERROR(__xludf.DUMMYFUNCTION("""COMPUTED_VALUE"""),5902557356270)</f>
        <v>5902557356270</v>
      </c>
      <c r="D1417" s="4" t="str">
        <f ca="1">IFERROR(__xludf.DUMMYFUNCTION("""COMPUTED_VALUE"""),"UMYWALKA BLANKA MARBLE - WOLNOSTOJĄCA")</f>
        <v>UMYWALKA BLANKA MARBLE - WOLNOSTOJĄCA</v>
      </c>
      <c r="E1417" s="31">
        <v>339.31707317073176</v>
      </c>
      <c r="F1417" s="31">
        <f t="shared" si="22"/>
        <v>417.36000000000007</v>
      </c>
    </row>
    <row r="1418" spans="1:6" ht="18.75" customHeight="1" x14ac:dyDescent="0.25">
      <c r="A1418" s="2" t="str">
        <f ca="1">IFERROR(__xludf.DUMMYFUNCTION("""COMPUTED_VALUE"""),"REA-U4664")</f>
        <v>REA-U4664</v>
      </c>
      <c r="B1418" s="3">
        <f ca="1">IFERROR(__xludf.DUMMYFUNCTION("""COMPUTED_VALUE"""),39723)</f>
        <v>39723</v>
      </c>
      <c r="C1418" s="3">
        <f ca="1">IFERROR(__xludf.DUMMYFUNCTION("""COMPUTED_VALUE"""),5902557356287)</f>
        <v>5902557356287</v>
      </c>
      <c r="D1418" s="4" t="str">
        <f ca="1">IFERROR(__xludf.DUMMYFUNCTION("""COMPUTED_VALUE"""),"UMYWALKA BLANKA NATURAL MATT - WOLNOSTOJĄCA")</f>
        <v>UMYWALKA BLANKA NATURAL MATT - WOLNOSTOJĄCA</v>
      </c>
      <c r="E1418" s="31">
        <v>318.56097560975616</v>
      </c>
      <c r="F1418" s="31">
        <f t="shared" si="22"/>
        <v>391.83000000000004</v>
      </c>
    </row>
    <row r="1419" spans="1:6" ht="18.75" customHeight="1" x14ac:dyDescent="0.25">
      <c r="A1419" s="2" t="str">
        <f ca="1">IFERROR(__xludf.DUMMYFUNCTION("""COMPUTED_VALUE"""),"REA-U8701")</f>
        <v>REA-U8701</v>
      </c>
      <c r="B1419" s="3">
        <f ca="1">IFERROR(__xludf.DUMMYFUNCTION("""COMPUTED_VALUE"""),39850)</f>
        <v>39850</v>
      </c>
      <c r="C1419" s="3">
        <f ca="1">IFERROR(__xludf.DUMMYFUNCTION("""COMPUTED_VALUE"""),5902557355532)</f>
        <v>5902557355532</v>
      </c>
      <c r="D1419" s="4" t="str">
        <f ca="1">IFERROR(__xludf.DUMMYFUNCTION("""COMPUTED_VALUE"""),"UMYWALKA BONITA - NABLATOWA/ŚCIENNA")</f>
        <v>UMYWALKA BONITA - NABLATOWA/ŚCIENNA</v>
      </c>
      <c r="E1419" s="31">
        <v>64.073170731707322</v>
      </c>
      <c r="F1419" s="31">
        <f t="shared" si="22"/>
        <v>78.81</v>
      </c>
    </row>
    <row r="1420" spans="1:6" ht="18.75" customHeight="1" x14ac:dyDescent="0.25">
      <c r="A1420" s="2" t="str">
        <f ca="1">IFERROR(__xludf.DUMMYFUNCTION("""COMPUTED_VALUE"""),"REA-U5521")</f>
        <v>REA-U5521</v>
      </c>
      <c r="B1420" s="3">
        <f ca="1">IFERROR(__xludf.DUMMYFUNCTION("""COMPUTED_VALUE"""),45302)</f>
        <v>45302</v>
      </c>
      <c r="C1420" s="3">
        <f ca="1">IFERROR(__xludf.DUMMYFUNCTION("""COMPUTED_VALUE"""),5902557376520)</f>
        <v>5902557376520</v>
      </c>
      <c r="D1420" s="4" t="str">
        <f ca="1">IFERROR(__xludf.DUMMYFUNCTION("""COMPUTED_VALUE"""),"UMYWALKA BONITA GOLD - NABLATOWA/ŚCIENNA")</f>
        <v>UMYWALKA BONITA GOLD - NABLATOWA/ŚCIENNA</v>
      </c>
      <c r="E1420" s="31">
        <v>64.073170731707322</v>
      </c>
      <c r="F1420" s="31">
        <f t="shared" si="22"/>
        <v>78.81</v>
      </c>
    </row>
    <row r="1421" spans="1:6" ht="18.75" customHeight="1" x14ac:dyDescent="0.25">
      <c r="A1421" s="2" t="str">
        <f ca="1">IFERROR(__xludf.DUMMYFUNCTION("""COMPUTED_VALUE"""),"REA-U1897")</f>
        <v>REA-U1897</v>
      </c>
      <c r="B1421" s="3"/>
      <c r="C1421" s="3">
        <f ca="1">IFERROR(__xludf.DUMMYFUNCTION("""COMPUTED_VALUE"""),5902557337132)</f>
        <v>5902557337132</v>
      </c>
      <c r="D1421" s="4" t="str">
        <f ca="1">IFERROR(__xludf.DUMMYFUNCTION("""COMPUTED_VALUE"""),"UMYWALKA BRENDA GREY MATT - NABLATOWA")</f>
        <v>UMYWALKA BRENDA GREY MATT - NABLATOWA</v>
      </c>
      <c r="E1421" s="31">
        <v>64.073170731707322</v>
      </c>
      <c r="F1421" s="31">
        <f t="shared" si="22"/>
        <v>78.81</v>
      </c>
    </row>
    <row r="1422" spans="1:6" ht="18.75" customHeight="1" x14ac:dyDescent="0.25">
      <c r="A1422" s="2" t="str">
        <f ca="1">IFERROR(__xludf.DUMMYFUNCTION("""COMPUTED_VALUE"""),"REA-U0362")</f>
        <v>REA-U0362</v>
      </c>
      <c r="B1422" s="3"/>
      <c r="C1422" s="3">
        <f ca="1">IFERROR(__xludf.DUMMYFUNCTION("""COMPUTED_VALUE"""),5902557357703)</f>
        <v>5902557357703</v>
      </c>
      <c r="D1422" s="4" t="str">
        <f ca="1">IFERROR(__xludf.DUMMYFUNCTION("""COMPUTED_VALUE"""),"UMYWALKA CAMELIA LIGHT STONE - NABLATOWA")</f>
        <v>UMYWALKA CAMELIA LIGHT STONE - NABLATOWA</v>
      </c>
      <c r="E1422" s="31">
        <v>68.585365853658544</v>
      </c>
      <c r="F1422" s="31">
        <f t="shared" si="22"/>
        <v>84.360000000000014</v>
      </c>
    </row>
    <row r="1423" spans="1:6" ht="18.75" customHeight="1" x14ac:dyDescent="0.25">
      <c r="A1423" s="2" t="str">
        <f ca="1">IFERROR(__xludf.DUMMYFUNCTION("""COMPUTED_VALUE"""),"REA-U0568")</f>
        <v>REA-U0568</v>
      </c>
      <c r="B1423" s="3">
        <f ca="1">IFERROR(__xludf.DUMMYFUNCTION("""COMPUTED_VALUE"""),27435)</f>
        <v>27435</v>
      </c>
      <c r="C1423" s="3">
        <f ca="1">IFERROR(__xludf.DUMMYFUNCTION("""COMPUTED_VALUE"""),5902557335671)</f>
        <v>5902557335671</v>
      </c>
      <c r="D1423" s="4" t="str">
        <f ca="1">IFERROR(__xludf.DUMMYFUNCTION("""COMPUTED_VALUE"""),"UMYWALKA CARINA - NABLATOWA")</f>
        <v>UMYWALKA CARINA - NABLATOWA</v>
      </c>
      <c r="E1423" s="31">
        <v>67.682926829268297</v>
      </c>
      <c r="F1423" s="31">
        <f t="shared" si="22"/>
        <v>83.25</v>
      </c>
    </row>
    <row r="1424" spans="1:6" ht="18.75" customHeight="1" x14ac:dyDescent="0.25">
      <c r="A1424" s="2" t="str">
        <f ca="1">IFERROR(__xludf.DUMMYFUNCTION("""COMPUTED_VALUE"""),"REA-U8198")</f>
        <v>REA-U8198</v>
      </c>
      <c r="B1424" s="3">
        <f ca="1">IFERROR(__xludf.DUMMYFUNCTION("""COMPUTED_VALUE"""),1736)</f>
        <v>1736</v>
      </c>
      <c r="C1424" s="3">
        <f ca="1">IFERROR(__xludf.DUMMYFUNCTION("""COMPUTED_VALUE"""),5902557320516)</f>
        <v>5902557320516</v>
      </c>
      <c r="D1424" s="4" t="str">
        <f ca="1">IFERROR(__xludf.DUMMYFUNCTION("""COMPUTED_VALUE"""),"UMYWALKA CAROLA - NABLATOWA")</f>
        <v>UMYWALKA CAROLA - NABLATOWA</v>
      </c>
      <c r="E1424" s="31">
        <v>63.170731707317081</v>
      </c>
      <c r="F1424" s="31">
        <f t="shared" si="22"/>
        <v>77.7</v>
      </c>
    </row>
    <row r="1425" spans="1:6" ht="18.75" customHeight="1" x14ac:dyDescent="0.25">
      <c r="A1425" s="2" t="str">
        <f ca="1">IFERROR(__xludf.DUMMYFUNCTION("""COMPUTED_VALUE"""),"REA-U0421")</f>
        <v>REA-U0421</v>
      </c>
      <c r="B1425" s="3"/>
      <c r="C1425" s="3">
        <f ca="1">IFERROR(__xludf.DUMMYFUNCTION("""COMPUTED_VALUE"""),5902557334933)</f>
        <v>5902557334933</v>
      </c>
      <c r="D1425" s="4" t="str">
        <f ca="1">IFERROR(__xludf.DUMMYFUNCTION("""COMPUTED_VALUE"""),"UMYWALKA CAROLA SLIM BLACK MATT- NABLATOWA")</f>
        <v>UMYWALKA CAROLA SLIM BLACK MATT- NABLATOWA</v>
      </c>
      <c r="E1425" s="31">
        <v>72.195121951219519</v>
      </c>
      <c r="F1425" s="31">
        <f t="shared" si="22"/>
        <v>88.800000000000011</v>
      </c>
    </row>
    <row r="1426" spans="1:6" ht="18.75" customHeight="1" x14ac:dyDescent="0.25">
      <c r="A1426" s="2" t="str">
        <f ca="1">IFERROR(__xludf.DUMMYFUNCTION("""COMPUTED_VALUE"""),"REA-U4320")</f>
        <v>REA-U4320</v>
      </c>
      <c r="B1426" s="3">
        <f ca="1">IFERROR(__xludf.DUMMYFUNCTION("""COMPUTED_VALUE"""),28276)</f>
        <v>28276</v>
      </c>
      <c r="C1426" s="3">
        <f ca="1">IFERROR(__xludf.DUMMYFUNCTION("""COMPUTED_VALUE"""),5902557334957)</f>
        <v>5902557334957</v>
      </c>
      <c r="D1426" s="4" t="str">
        <f ca="1">IFERROR(__xludf.DUMMYFUNCTION("""COMPUTED_VALUE"""),"UMYWALKA CAROLA SLIM ROSE/GOLD - NABLATOWA")</f>
        <v>UMYWALKA CAROLA SLIM ROSE/GOLD - NABLATOWA</v>
      </c>
      <c r="E1426" s="31">
        <v>78.512195121951223</v>
      </c>
      <c r="F1426" s="31">
        <f t="shared" si="22"/>
        <v>96.570000000000007</v>
      </c>
    </row>
    <row r="1427" spans="1:6" ht="18.75" customHeight="1" x14ac:dyDescent="0.25">
      <c r="A1427" s="2" t="str">
        <f ca="1">IFERROR(__xludf.DUMMYFUNCTION("""COMPUTED_VALUE"""),"REA-U5400")</f>
        <v>REA-U5400</v>
      </c>
      <c r="B1427" s="3"/>
      <c r="C1427" s="3">
        <f ca="1">IFERROR(__xludf.DUMMYFUNCTION("""COMPUTED_VALUE"""),5902557334940)</f>
        <v>5902557334940</v>
      </c>
      <c r="D1427" s="4" t="str">
        <f ca="1">IFERROR(__xludf.DUMMYFUNCTION("""COMPUTED_VALUE"""),"UMYWALKA CAROLA SLIM SILVER - NABLATOWA")</f>
        <v>UMYWALKA CAROLA SLIM SILVER - NABLATOWA</v>
      </c>
      <c r="E1427" s="31">
        <v>77.609756097560989</v>
      </c>
      <c r="F1427" s="31">
        <f t="shared" si="22"/>
        <v>95.460000000000022</v>
      </c>
    </row>
    <row r="1428" spans="1:6" ht="18.75" customHeight="1" x14ac:dyDescent="0.25">
      <c r="A1428" s="2" t="str">
        <f ca="1">IFERROR(__xludf.DUMMYFUNCTION("""COMPUTED_VALUE"""),"REA-U1952")</f>
        <v>REA-U1952</v>
      </c>
      <c r="B1428" s="3">
        <f ca="1">IFERROR(__xludf.DUMMYFUNCTION("""COMPUTED_VALUE"""),1740)</f>
        <v>1740</v>
      </c>
      <c r="C1428" s="3">
        <f ca="1">IFERROR(__xludf.DUMMYFUNCTION("""COMPUTED_VALUE"""),5902557327331)</f>
        <v>5902557327331</v>
      </c>
      <c r="D1428" s="4" t="str">
        <f ca="1">IFERROR(__xludf.DUMMYFUNCTION("""COMPUTED_VALUE"""),"UMYWALKA CELIA - NABLATOWA")</f>
        <v>UMYWALKA CELIA - NABLATOWA</v>
      </c>
      <c r="E1428" s="31">
        <v>62.268292682926841</v>
      </c>
      <c r="F1428" s="31">
        <f t="shared" si="22"/>
        <v>76.590000000000018</v>
      </c>
    </row>
    <row r="1429" spans="1:6" ht="18.75" customHeight="1" x14ac:dyDescent="0.25">
      <c r="A1429" s="2" t="str">
        <f ca="1">IFERROR(__xludf.DUMMYFUNCTION("""COMPUTED_VALUE"""),"REA-U6960")</f>
        <v>REA-U6960</v>
      </c>
      <c r="B1429" s="3">
        <f ca="1">IFERROR(__xludf.DUMMYFUNCTION("""COMPUTED_VALUE"""),50748)</f>
        <v>50748</v>
      </c>
      <c r="C1429" s="3">
        <f ca="1">IFERROR(__xludf.DUMMYFUNCTION("""COMPUTED_VALUE"""),5902557387359)</f>
        <v>5902557387359</v>
      </c>
      <c r="D1429" s="4" t="str">
        <f ca="1">IFERROR(__xludf.DUMMYFUNCTION("""COMPUTED_VALUE"""),"UMYWALKA CHARLOTTE - NABLATOWA")</f>
        <v>UMYWALKA CHARLOTTE - NABLATOWA</v>
      </c>
      <c r="E1429" s="31">
        <v>63.170731707317081</v>
      </c>
      <c r="F1429" s="31">
        <f t="shared" si="22"/>
        <v>77.7</v>
      </c>
    </row>
    <row r="1430" spans="1:6" ht="18.75" customHeight="1" x14ac:dyDescent="0.25">
      <c r="A1430" s="2" t="str">
        <f ca="1">IFERROR(__xludf.DUMMYFUNCTION("""COMPUTED_VALUE"""),"REA-U8610")</f>
        <v>REA-U8610</v>
      </c>
      <c r="B1430" s="3"/>
      <c r="C1430" s="3">
        <f ca="1">IFERROR(__xludf.DUMMYFUNCTION("""COMPUTED_VALUE"""),5902557348787)</f>
        <v>5902557348787</v>
      </c>
      <c r="D1430" s="4" t="str">
        <f ca="1">IFERROR(__xludf.DUMMYFUNCTION("""COMPUTED_VALUE"""),"UMYWALKA CHIC  - NABLATOWA")</f>
        <v>UMYWALKA CHIC  - NABLATOWA</v>
      </c>
      <c r="E1430" s="31">
        <v>43.31707317073171</v>
      </c>
      <c r="F1430" s="31">
        <f t="shared" si="22"/>
        <v>53.28</v>
      </c>
    </row>
    <row r="1431" spans="1:6" ht="18.75" customHeight="1" x14ac:dyDescent="0.25">
      <c r="A1431" s="2" t="str">
        <f ca="1">IFERROR(__xludf.DUMMYFUNCTION("""COMPUTED_VALUE"""),"REA-U8600")</f>
        <v>REA-U8600</v>
      </c>
      <c r="B1431" s="3"/>
      <c r="C1431" s="3">
        <f ca="1">IFERROR(__xludf.DUMMYFUNCTION("""COMPUTED_VALUE"""),5902557336173)</f>
        <v>5902557336173</v>
      </c>
      <c r="D1431" s="4" t="str">
        <f ca="1">IFERROR(__xludf.DUMMYFUNCTION("""COMPUTED_VALUE"""),"UMYWALKA CHIC BLACK - NABLATOWA")</f>
        <v>UMYWALKA CHIC BLACK - NABLATOWA</v>
      </c>
      <c r="E1431" s="31">
        <v>60.463414634146346</v>
      </c>
      <c r="F1431" s="31">
        <f t="shared" si="22"/>
        <v>74.37</v>
      </c>
    </row>
    <row r="1432" spans="1:6" ht="18.75" customHeight="1" x14ac:dyDescent="0.25">
      <c r="A1432" s="2" t="str">
        <f ca="1">IFERROR(__xludf.DUMMYFUNCTION("""COMPUTED_VALUE"""),"REA-U0155")</f>
        <v>REA-U0155</v>
      </c>
      <c r="B1432" s="3">
        <f ca="1">IFERROR(__xludf.DUMMYFUNCTION("""COMPUTED_VALUE"""),1642)</f>
        <v>1642</v>
      </c>
      <c r="C1432" s="3">
        <f ca="1">IFERROR(__xludf.DUMMYFUNCTION("""COMPUTED_VALUE"""),5902557322701)</f>
        <v>5902557322701</v>
      </c>
      <c r="D1432" s="4" t="str">
        <f ca="1">IFERROR(__xludf.DUMMYFUNCTION("""COMPUTED_VALUE"""),"UMYWALKA CINDY - NABLATOWA")</f>
        <v>UMYWALKA CINDY - NABLATOWA</v>
      </c>
      <c r="E1432" s="31">
        <v>61.365853658536594</v>
      </c>
      <c r="F1432" s="31">
        <f t="shared" si="22"/>
        <v>75.48</v>
      </c>
    </row>
    <row r="1433" spans="1:6" ht="18.75" customHeight="1" x14ac:dyDescent="0.25">
      <c r="A1433" s="2" t="str">
        <f ca="1">IFERROR(__xludf.DUMMYFUNCTION("""COMPUTED_VALUE"""),"REA-U0631")</f>
        <v>REA-U0631</v>
      </c>
      <c r="B1433" s="3">
        <f ca="1">IFERROR(__xludf.DUMMYFUNCTION("""COMPUTED_VALUE"""),52757)</f>
        <v>52757</v>
      </c>
      <c r="C1433" s="3">
        <f ca="1">IFERROR(__xludf.DUMMYFUNCTION("""COMPUTED_VALUE"""),5902557396665)</f>
        <v>5902557396665</v>
      </c>
      <c r="D1433" s="4" t="str">
        <f ca="1">IFERROR(__xludf.DUMMYFUNCTION("""COMPUTED_VALUE"""),"UMYWALKA CLARA")</f>
        <v>UMYWALKA CLARA</v>
      </c>
      <c r="E1433" s="31">
        <v>57.756097560975611</v>
      </c>
      <c r="F1433" s="31">
        <f t="shared" si="22"/>
        <v>71.040000000000006</v>
      </c>
    </row>
    <row r="1434" spans="1:6" ht="18.75" customHeight="1" x14ac:dyDescent="0.25">
      <c r="A1434" s="2" t="str">
        <f ca="1">IFERROR(__xludf.DUMMYFUNCTION("""COMPUTED_VALUE"""),"REA-U6644")</f>
        <v>REA-U6644</v>
      </c>
      <c r="B1434" s="3">
        <f ca="1">IFERROR(__xludf.DUMMYFUNCTION("""COMPUTED_VALUE"""),26974)</f>
        <v>26974</v>
      </c>
      <c r="C1434" s="3">
        <f ca="1">IFERROR(__xludf.DUMMYFUNCTION("""COMPUTED_VALUE"""),5902557335497)</f>
        <v>5902557335497</v>
      </c>
      <c r="D1434" s="4" t="str">
        <f ca="1">IFERROR(__xludf.DUMMYFUNCTION("""COMPUTED_VALUE"""),"UMYWALKA CLAUDIA - NABLATOWA")</f>
        <v>UMYWALKA CLAUDIA - NABLATOWA</v>
      </c>
      <c r="E1434" s="31">
        <v>57.756097560975611</v>
      </c>
      <c r="F1434" s="31">
        <f t="shared" si="22"/>
        <v>71.040000000000006</v>
      </c>
    </row>
    <row r="1435" spans="1:6" ht="18.75" customHeight="1" x14ac:dyDescent="0.25">
      <c r="A1435" s="2" t="str">
        <f ca="1">IFERROR(__xludf.DUMMYFUNCTION("""COMPUTED_VALUE"""),"REA-U0024")</f>
        <v>REA-U0024</v>
      </c>
      <c r="B1435" s="3">
        <f ca="1">IFERROR(__xludf.DUMMYFUNCTION("""COMPUTED_VALUE"""),31618)</f>
        <v>31618</v>
      </c>
      <c r="C1435" s="3">
        <f ca="1">IFERROR(__xludf.DUMMYFUNCTION("""COMPUTED_VALUE"""),5902557340446)</f>
        <v>5902557340446</v>
      </c>
      <c r="D1435" s="4" t="str">
        <f ca="1">IFERROR(__xludf.DUMMYFUNCTION("""COMPUTED_VALUE"""),"UMYWALKA CLEO 61 - NABLATOWA")</f>
        <v>UMYWALKA CLEO 61 - NABLATOWA</v>
      </c>
      <c r="E1435" s="31">
        <v>72.195121951219519</v>
      </c>
      <c r="F1435" s="31">
        <f t="shared" si="22"/>
        <v>88.800000000000011</v>
      </c>
    </row>
    <row r="1436" spans="1:6" ht="18.75" customHeight="1" x14ac:dyDescent="0.25">
      <c r="A1436" s="2" t="str">
        <f ca="1">IFERROR(__xludf.DUMMYFUNCTION("""COMPUTED_VALUE"""),"REA-U9656")</f>
        <v>REA-U9656</v>
      </c>
      <c r="B1436" s="3">
        <f ca="1">IFERROR(__xludf.DUMMYFUNCTION("""COMPUTED_VALUE"""),51440)</f>
        <v>51440</v>
      </c>
      <c r="C1436" s="3">
        <f ca="1">IFERROR(__xludf.DUMMYFUNCTION("""COMPUTED_VALUE"""),5902557395712)</f>
        <v>5902557395712</v>
      </c>
      <c r="D1436" s="4" t="str">
        <f ca="1">IFERROR(__xludf.DUMMYFUNCTION("""COMPUTED_VALUE"""),"UMYWALKA CLEO 61 AIAX SHINY - NABLATOWA")</f>
        <v>UMYWALKA CLEO 61 AIAX SHINY - NABLATOWA</v>
      </c>
      <c r="E1436" s="31">
        <v>75.804878048780495</v>
      </c>
      <c r="F1436" s="31">
        <f t="shared" si="22"/>
        <v>93.240000000000009</v>
      </c>
    </row>
    <row r="1437" spans="1:6" ht="18.75" customHeight="1" x14ac:dyDescent="0.25">
      <c r="A1437" s="2" t="str">
        <f ca="1">IFERROR(__xludf.DUMMYFUNCTION("""COMPUTED_VALUE"""),"REA-U9655")</f>
        <v>REA-U9655</v>
      </c>
      <c r="B1437" s="3">
        <f ca="1">IFERROR(__xludf.DUMMYFUNCTION("""COMPUTED_VALUE"""),52147)</f>
        <v>52147</v>
      </c>
      <c r="C1437" s="3">
        <f ca="1">IFERROR(__xludf.DUMMYFUNCTION("""COMPUTED_VALUE"""),5902557395507)</f>
        <v>5902557395507</v>
      </c>
      <c r="D1437" s="4" t="str">
        <f ca="1">IFERROR(__xludf.DUMMYFUNCTION("""COMPUTED_VALUE"""),"UMYWALKA CLEO 61 BEIGE MATT - NABLATOWA")</f>
        <v>UMYWALKA CLEO 61 BEIGE MATT - NABLATOWA</v>
      </c>
      <c r="E1437" s="31">
        <v>102.87804878048782</v>
      </c>
      <c r="F1437" s="31">
        <f t="shared" si="22"/>
        <v>126.54</v>
      </c>
    </row>
    <row r="1438" spans="1:6" ht="18.75" customHeight="1" x14ac:dyDescent="0.25">
      <c r="A1438" s="2" t="str">
        <f ca="1">IFERROR(__xludf.DUMMYFUNCTION("""COMPUTED_VALUE"""),"REA-U6757")</f>
        <v>REA-U6757</v>
      </c>
      <c r="B1438" s="3">
        <f ca="1">IFERROR(__xludf.DUMMYFUNCTION("""COMPUTED_VALUE"""),45324)</f>
        <v>45324</v>
      </c>
      <c r="C1438" s="3">
        <f ca="1">IFERROR(__xludf.DUMMYFUNCTION("""COMPUTED_VALUE"""),5902557375363)</f>
        <v>5902557375363</v>
      </c>
      <c r="D1438" s="4" t="str">
        <f ca="1">IFERROR(__xludf.DUMMYFUNCTION("""COMPUTED_VALUE"""),"UMYWALKA CLEO 61 BLACK - NABLATOWA")</f>
        <v>UMYWALKA CLEO 61 BLACK - NABLATOWA</v>
      </c>
      <c r="E1438" s="31">
        <v>84.82926829268294</v>
      </c>
      <c r="F1438" s="31">
        <f t="shared" si="22"/>
        <v>104.34000000000002</v>
      </c>
    </row>
    <row r="1439" spans="1:6" ht="18.75" customHeight="1" x14ac:dyDescent="0.25">
      <c r="A1439" s="2" t="str">
        <f ca="1">IFERROR(__xludf.DUMMYFUNCTION("""COMPUTED_VALUE"""),"REA-U6210")</f>
        <v>REA-U6210</v>
      </c>
      <c r="B1439" s="3">
        <f ca="1">IFERROR(__xludf.DUMMYFUNCTION("""COMPUTED_VALUE"""),45306)</f>
        <v>45306</v>
      </c>
      <c r="C1439" s="3">
        <f ca="1">IFERROR(__xludf.DUMMYFUNCTION("""COMPUTED_VALUE"""),5902557375318)</f>
        <v>5902557375318</v>
      </c>
      <c r="D1439" s="4" t="str">
        <f ca="1">IFERROR(__xludf.DUMMYFUNCTION("""COMPUTED_VALUE"""),"UMYWALKA CLEO 61 BLACK EDGE - NABLATOWA")</f>
        <v>UMYWALKA CLEO 61 BLACK EDGE - NABLATOWA</v>
      </c>
      <c r="E1439" s="31">
        <v>80.316999999999993</v>
      </c>
      <c r="F1439" s="31">
        <f t="shared" si="22"/>
        <v>98.789909999999992</v>
      </c>
    </row>
    <row r="1440" spans="1:6" ht="18.75" customHeight="1" x14ac:dyDescent="0.25">
      <c r="A1440" s="2" t="str">
        <f ca="1">IFERROR(__xludf.DUMMYFUNCTION("""COMPUTED_VALUE"""),"REA-U0035")</f>
        <v>REA-U0035</v>
      </c>
      <c r="B1440" s="3">
        <f ca="1">IFERROR(__xludf.DUMMYFUNCTION("""COMPUTED_VALUE"""),31620)</f>
        <v>31620</v>
      </c>
      <c r="C1440" s="3">
        <f ca="1">IFERROR(__xludf.DUMMYFUNCTION("""COMPUTED_VALUE"""),5902557340453)</f>
        <v>5902557340453</v>
      </c>
      <c r="D1440" s="4" t="str">
        <f ca="1">IFERROR(__xludf.DUMMYFUNCTION("""COMPUTED_VALUE"""),"UMYWALKA CLEO 61 BLACK MATT - NABLATOWA")</f>
        <v>UMYWALKA CLEO 61 BLACK MATT - NABLATOWA</v>
      </c>
      <c r="E1440" s="31">
        <v>102.87804878048782</v>
      </c>
      <c r="F1440" s="31">
        <f t="shared" si="22"/>
        <v>126.54</v>
      </c>
    </row>
    <row r="1441" spans="1:6" ht="18.75" customHeight="1" x14ac:dyDescent="0.25">
      <c r="A1441" s="2" t="str">
        <f ca="1">IFERROR(__xludf.DUMMYFUNCTION("""COMPUTED_VALUE"""),"REA-U6625")</f>
        <v>REA-U6625</v>
      </c>
      <c r="B1441" s="3">
        <f ca="1">IFERROR(__xludf.DUMMYFUNCTION("""COMPUTED_VALUE"""),46329)</f>
        <v>46329</v>
      </c>
      <c r="C1441" s="3">
        <f ca="1">IFERROR(__xludf.DUMMYFUNCTION("""COMPUTED_VALUE"""),5902557375295)</f>
        <v>5902557375295</v>
      </c>
      <c r="D1441" s="4" t="str">
        <f ca="1">IFERROR(__xludf.DUMMYFUNCTION("""COMPUTED_VALUE"""),"UMYWALKA CLEO 61 BLACK/AIAX MATT - NABLATOWA")</f>
        <v>UMYWALKA CLEO 61 BLACK/AIAX MATT - NABLATOWA</v>
      </c>
      <c r="E1441" s="31">
        <v>95.658536585365866</v>
      </c>
      <c r="F1441" s="31">
        <f t="shared" si="22"/>
        <v>117.66000000000001</v>
      </c>
    </row>
    <row r="1442" spans="1:6" ht="18.75" customHeight="1" x14ac:dyDescent="0.25">
      <c r="A1442" s="2" t="str">
        <f ca="1">IFERROR(__xludf.DUMMYFUNCTION("""COMPUTED_VALUE"""),"REA-U6383")</f>
        <v>REA-U6383</v>
      </c>
      <c r="B1442" s="3">
        <f ca="1">IFERROR(__xludf.DUMMYFUNCTION("""COMPUTED_VALUE"""),54323)</f>
        <v>54323</v>
      </c>
      <c r="C1442" s="3">
        <f ca="1">IFERROR(__xludf.DUMMYFUNCTION("""COMPUTED_VALUE"""),5906366007149)</f>
        <v>5906366007149</v>
      </c>
      <c r="D1442" s="4" t="str">
        <f ca="1">IFERROR(__xludf.DUMMYFUNCTION("""COMPUTED_VALUE"""),"UMYWALKA CLEO 61 COPPER BRUSH/BLACK - NABLATOWA")</f>
        <v>UMYWALKA CLEO 61 COPPER BRUSH/BLACK - NABLATOWA</v>
      </c>
      <c r="E1442" s="31">
        <v>92.951219512195124</v>
      </c>
      <c r="F1442" s="31">
        <f t="shared" si="22"/>
        <v>114.33</v>
      </c>
    </row>
    <row r="1443" spans="1:6" ht="18.75" customHeight="1" x14ac:dyDescent="0.25">
      <c r="A1443" s="2" t="str">
        <f ca="1">IFERROR(__xludf.DUMMYFUNCTION("""COMPUTED_VALUE"""),"REA-U6211")</f>
        <v>REA-U6211</v>
      </c>
      <c r="B1443" s="3">
        <f ca="1">IFERROR(__xludf.DUMMYFUNCTION("""COMPUTED_VALUE"""),45431)</f>
        <v>45431</v>
      </c>
      <c r="C1443" s="3">
        <f ca="1">IFERROR(__xludf.DUMMYFUNCTION("""COMPUTED_VALUE"""),5902557375301)</f>
        <v>5902557375301</v>
      </c>
      <c r="D1443" s="4" t="str">
        <f ca="1">IFERROR(__xludf.DUMMYFUNCTION("""COMPUTED_VALUE"""),"UMYWALKA CLEO 61 GOLD EDGE - NABLATOWA")</f>
        <v>UMYWALKA CLEO 61 GOLD EDGE - NABLATOWA</v>
      </c>
      <c r="E1443" s="31">
        <v>93.853658536585371</v>
      </c>
      <c r="F1443" s="31">
        <f t="shared" si="22"/>
        <v>115.44</v>
      </c>
    </row>
    <row r="1444" spans="1:6" ht="18.75" customHeight="1" x14ac:dyDescent="0.25">
      <c r="A1444" s="2" t="str">
        <f ca="1">IFERROR(__xludf.DUMMYFUNCTION("""COMPUTED_VALUE"""),"REA-U9653")</f>
        <v>REA-U9653</v>
      </c>
      <c r="B1444" s="3">
        <f ca="1">IFERROR(__xludf.DUMMYFUNCTION("""COMPUTED_VALUE"""),52148)</f>
        <v>52148</v>
      </c>
      <c r="C1444" s="3">
        <f ca="1">IFERROR(__xludf.DUMMYFUNCTION("""COMPUTED_VALUE"""),5902557395491)</f>
        <v>5902557395491</v>
      </c>
      <c r="D1444" s="4" t="str">
        <f ca="1">IFERROR(__xludf.DUMMYFUNCTION("""COMPUTED_VALUE"""),"UMYWALKA CLEO 61 WHITE MATT - NABLATOWA")</f>
        <v>UMYWALKA CLEO 61 WHITE MATT - NABLATOWA</v>
      </c>
      <c r="E1444" s="31">
        <v>92.951219512195124</v>
      </c>
      <c r="F1444" s="31">
        <f t="shared" si="22"/>
        <v>114.33</v>
      </c>
    </row>
    <row r="1445" spans="1:6" ht="18.75" customHeight="1" x14ac:dyDescent="0.25">
      <c r="A1445" s="2" t="str">
        <f ca="1">IFERROR(__xludf.DUMMYFUNCTION("""COMPUTED_VALUE"""),"REA-U6215")</f>
        <v>REA-U6215</v>
      </c>
      <c r="B1445" s="3">
        <f ca="1">IFERROR(__xludf.DUMMYFUNCTION("""COMPUTED_VALUE"""),54130)</f>
        <v>54130</v>
      </c>
      <c r="C1445" s="3">
        <f ca="1">IFERROR(__xludf.DUMMYFUNCTION("""COMPUTED_VALUE"""),5906366006333)</f>
        <v>5906366006333</v>
      </c>
      <c r="D1445" s="4" t="str">
        <f ca="1">IFERROR(__xludf.DUMMYFUNCTION("""COMPUTED_VALUE"""),"UMYWALKA CLEO 71 - NABLATOWA")</f>
        <v>UMYWALKA CLEO 71 - NABLATOWA</v>
      </c>
      <c r="E1445" s="31">
        <v>75.804878048780495</v>
      </c>
      <c r="F1445" s="31">
        <f t="shared" si="22"/>
        <v>93.240000000000009</v>
      </c>
    </row>
    <row r="1446" spans="1:6" ht="18.75" customHeight="1" x14ac:dyDescent="0.25">
      <c r="A1446" s="2" t="str">
        <f ca="1">IFERROR(__xludf.DUMMYFUNCTION("""COMPUTED_VALUE"""),"REA-U0563")</f>
        <v>REA-U0563</v>
      </c>
      <c r="B1446" s="3">
        <f ca="1">IFERROR(__xludf.DUMMYFUNCTION("""COMPUTED_VALUE"""),41595)</f>
        <v>41595</v>
      </c>
      <c r="C1446" s="3">
        <f ca="1">IFERROR(__xludf.DUMMYFUNCTION("""COMPUTED_VALUE"""),5902557356805)</f>
        <v>5902557356805</v>
      </c>
      <c r="D1446" s="4" t="str">
        <f ca="1">IFERROR(__xludf.DUMMYFUNCTION("""COMPUTED_VALUE"""),"UMYWALKA CLEO 81 - NABLATOWA")</f>
        <v>UMYWALKA CLEO 81 - NABLATOWA</v>
      </c>
      <c r="E1446" s="31">
        <v>91.146341463414643</v>
      </c>
      <c r="F1446" s="31">
        <f t="shared" si="22"/>
        <v>112.11000000000001</v>
      </c>
    </row>
    <row r="1447" spans="1:6" ht="18.75" customHeight="1" x14ac:dyDescent="0.25">
      <c r="A1447" s="2" t="str">
        <f ca="1">IFERROR(__xludf.DUMMYFUNCTION("""COMPUTED_VALUE"""),"REA-U8404")</f>
        <v>REA-U8404</v>
      </c>
      <c r="B1447" s="3">
        <f ca="1">IFERROR(__xludf.DUMMYFUNCTION("""COMPUTED_VALUE"""),43540)</f>
        <v>43540</v>
      </c>
      <c r="C1447" s="3">
        <f ca="1">IFERROR(__xludf.DUMMYFUNCTION("""COMPUTED_VALUE"""),5902557366941)</f>
        <v>5902557366941</v>
      </c>
      <c r="D1447" s="4" t="str">
        <f ca="1">IFERROR(__xludf.DUMMYFUNCTION("""COMPUTED_VALUE"""),"UMYWALKA CLEO 81 AIAX SHINY - NABLATOWA")</f>
        <v>UMYWALKA CLEO 81 AIAX SHINY - NABLATOWA</v>
      </c>
      <c r="E1447" s="31">
        <v>114.60975609756099</v>
      </c>
      <c r="F1447" s="31">
        <f t="shared" si="22"/>
        <v>140.97000000000003</v>
      </c>
    </row>
    <row r="1448" spans="1:6" ht="18.75" customHeight="1" x14ac:dyDescent="0.25">
      <c r="A1448" s="2" t="str">
        <f ca="1">IFERROR(__xludf.DUMMYFUNCTION("""COMPUTED_VALUE"""),"REA-U8403")</f>
        <v>REA-U8403</v>
      </c>
      <c r="B1448" s="3">
        <f ca="1">IFERROR(__xludf.DUMMYFUNCTION("""COMPUTED_VALUE"""),43538)</f>
        <v>43538</v>
      </c>
      <c r="C1448" s="3">
        <f ca="1">IFERROR(__xludf.DUMMYFUNCTION("""COMPUTED_VALUE"""),5902557366958)</f>
        <v>5902557366958</v>
      </c>
      <c r="D1448" s="4" t="str">
        <f ca="1">IFERROR(__xludf.DUMMYFUNCTION("""COMPUTED_VALUE"""),"UMYWALKA CLEO 81 MARMO SHINY - NABLATOWA")</f>
        <v>UMYWALKA CLEO 81 MARMO SHINY - NABLATOWA</v>
      </c>
      <c r="E1448" s="31">
        <v>105.58536585365854</v>
      </c>
      <c r="F1448" s="31">
        <f t="shared" si="22"/>
        <v>129.87</v>
      </c>
    </row>
    <row r="1449" spans="1:6" ht="18.75" customHeight="1" x14ac:dyDescent="0.25">
      <c r="A1449" s="2" t="str">
        <f ca="1">IFERROR(__xludf.DUMMYFUNCTION("""COMPUTED_VALUE"""),"REA-U0443")</f>
        <v>REA-U0443</v>
      </c>
      <c r="B1449" s="3"/>
      <c r="C1449" s="3">
        <f ca="1">IFERROR(__xludf.DUMMYFUNCTION("""COMPUTED_VALUE"""),5902557334971)</f>
        <v>5902557334971</v>
      </c>
      <c r="D1449" s="4" t="str">
        <f ca="1">IFERROR(__xludf.DUMMYFUNCTION("""COMPUTED_VALUE"""),"UMYWALKA CORAL - NABLATOWA")</f>
        <v>UMYWALKA CORAL - NABLATOWA</v>
      </c>
      <c r="E1449" s="31">
        <v>47.829268292682933</v>
      </c>
      <c r="F1449" s="31">
        <f t="shared" si="22"/>
        <v>58.830000000000005</v>
      </c>
    </row>
    <row r="1450" spans="1:6" ht="18.75" customHeight="1" x14ac:dyDescent="0.25">
      <c r="A1450" s="2" t="str">
        <f ca="1">IFERROR(__xludf.DUMMYFUNCTION("""COMPUTED_VALUE"""),"REA-U9615")</f>
        <v>REA-U9615</v>
      </c>
      <c r="B1450" s="3">
        <f ca="1">IFERROR(__xludf.DUMMYFUNCTION("""COMPUTED_VALUE"""),53518)</f>
        <v>53518</v>
      </c>
      <c r="C1450" s="3">
        <f ca="1">IFERROR(__xludf.DUMMYFUNCTION("""COMPUTED_VALUE"""),5902557398584)</f>
        <v>5902557398584</v>
      </c>
      <c r="D1450" s="4" t="str">
        <f ca="1">IFERROR(__xludf.DUMMYFUNCTION("""COMPUTED_VALUE"""),"UMYWALKA CRISTAL 35 GREY - NABLATOWA")</f>
        <v>UMYWALKA CRISTAL 35 GREY - NABLATOWA</v>
      </c>
      <c r="E1450" s="31">
        <v>138.07317073170734</v>
      </c>
      <c r="F1450" s="31">
        <f t="shared" si="22"/>
        <v>169.83</v>
      </c>
    </row>
    <row r="1451" spans="1:6" ht="18.75" customHeight="1" x14ac:dyDescent="0.25">
      <c r="A1451" s="2" t="str">
        <f ca="1">IFERROR(__xludf.DUMMYFUNCTION("""COMPUTED_VALUE"""),"REA-U8880")</f>
        <v>REA-U8880</v>
      </c>
      <c r="B1451" s="3">
        <f ca="1">IFERROR(__xludf.DUMMYFUNCTION("""COMPUTED_VALUE"""),50272)</f>
        <v>50272</v>
      </c>
      <c r="C1451" s="3">
        <f ca="1">IFERROR(__xludf.DUMMYFUNCTION("""COMPUTED_VALUE"""),5902557386277)</f>
        <v>5902557386277</v>
      </c>
      <c r="D1451" s="4" t="str">
        <f ca="1">IFERROR(__xludf.DUMMYFUNCTION("""COMPUTED_VALUE"""),"UMYWALKA CRISTAL 39 GREY - NABLATOWA")</f>
        <v>UMYWALKA CRISTAL 39 GREY - NABLATOWA</v>
      </c>
      <c r="E1451" s="31">
        <v>138.07317073170734</v>
      </c>
      <c r="F1451" s="31">
        <f t="shared" si="22"/>
        <v>169.83</v>
      </c>
    </row>
    <row r="1452" spans="1:6" ht="18.75" customHeight="1" x14ac:dyDescent="0.25">
      <c r="A1452" s="2" t="str">
        <f ca="1">IFERROR(__xludf.DUMMYFUNCTION("""COMPUTED_VALUE"""),"REA-U0277")</f>
        <v>REA-U0277</v>
      </c>
      <c r="B1452" s="3"/>
      <c r="C1452" s="3">
        <f ca="1">IFERROR(__xludf.DUMMYFUNCTION("""COMPUTED_VALUE"""),5902557386277)</f>
        <v>5902557386277</v>
      </c>
      <c r="D1452" s="4" t="str">
        <f ca="1">IFERROR(__xludf.DUMMYFUNCTION("""COMPUTED_VALUE"""),"UMYWALKA CRISTAL 39 GREY - NABLATOWA")</f>
        <v>UMYWALKA CRISTAL 39 GREY - NABLATOWA</v>
      </c>
      <c r="E1452" s="31">
        <v>110.09756097560977</v>
      </c>
      <c r="F1452" s="31">
        <f t="shared" si="22"/>
        <v>135.42000000000002</v>
      </c>
    </row>
    <row r="1453" spans="1:6" ht="18.75" customHeight="1" x14ac:dyDescent="0.25">
      <c r="A1453" s="2" t="str">
        <f ca="1">IFERROR(__xludf.DUMMYFUNCTION("""COMPUTED_VALUE"""),"REA-U8881")</f>
        <v>REA-U8881</v>
      </c>
      <c r="B1453" s="3">
        <f ca="1">IFERROR(__xludf.DUMMYFUNCTION("""COMPUTED_VALUE"""),50274)</f>
        <v>50274</v>
      </c>
      <c r="C1453" s="3">
        <f ca="1">IFERROR(__xludf.DUMMYFUNCTION("""COMPUTED_VALUE"""),5902557386284)</f>
        <v>5902557386284</v>
      </c>
      <c r="D1453" s="4" t="str">
        <f ca="1">IFERROR(__xludf.DUMMYFUNCTION("""COMPUTED_VALUE"""),"UMYWALKA CRISTAL 39 TRANS GOLD BRUSH RING - NABLAT")</f>
        <v>UMYWALKA CRISTAL 39 TRANS GOLD BRUSH RING - NABLAT</v>
      </c>
      <c r="E1453" s="31">
        <v>124.53658536585368</v>
      </c>
      <c r="F1453" s="31">
        <f t="shared" si="22"/>
        <v>153.18000000000004</v>
      </c>
    </row>
    <row r="1454" spans="1:6" ht="18.75" customHeight="1" x14ac:dyDescent="0.25">
      <c r="A1454" s="2" t="str">
        <f ca="1">IFERROR(__xludf.DUMMYFUNCTION("""COMPUTED_VALUE"""),"REA-U0284")</f>
        <v>REA-U0284</v>
      </c>
      <c r="B1454" s="3"/>
      <c r="C1454" s="3">
        <f ca="1">IFERROR(__xludf.DUMMYFUNCTION("""COMPUTED_VALUE"""),5902557386284)</f>
        <v>5902557386284</v>
      </c>
      <c r="D1454" s="4" t="str">
        <f ca="1">IFERROR(__xludf.DUMMYFUNCTION("""COMPUTED_VALUE"""),"UMYWALKA CRISTAL 39 TRANSPARENT - NABLATOWA")</f>
        <v>UMYWALKA CRISTAL 39 TRANSPARENT - NABLATOWA</v>
      </c>
      <c r="E1454" s="31">
        <v>110.09756097560977</v>
      </c>
      <c r="F1454" s="31">
        <f t="shared" si="22"/>
        <v>135.42000000000002</v>
      </c>
    </row>
    <row r="1455" spans="1:6" ht="18.75" customHeight="1" x14ac:dyDescent="0.25">
      <c r="A1455" s="2" t="str">
        <f ca="1">IFERROR(__xludf.DUMMYFUNCTION("""COMPUTED_VALUE"""),"REA-U9671")</f>
        <v>REA-U9671</v>
      </c>
      <c r="B1455" s="3">
        <f ca="1">IFERROR(__xludf.DUMMYFUNCTION("""COMPUTED_VALUE"""),46439)</f>
        <v>46439</v>
      </c>
      <c r="C1455" s="3">
        <f ca="1">IFERROR(__xludf.DUMMYFUNCTION("""COMPUTED_VALUE"""),5902557376216)</f>
        <v>5902557376216</v>
      </c>
      <c r="D1455" s="4" t="str">
        <f ca="1">IFERROR(__xludf.DUMMYFUNCTION("""COMPUTED_VALUE"""),"UMYWALKA CRISTAL BLACK - NABLATOWA")</f>
        <v>UMYWALKA CRISTAL BLACK - NABLATOWA</v>
      </c>
      <c r="E1455" s="31">
        <v>138.07317073170734</v>
      </c>
      <c r="F1455" s="31">
        <f t="shared" si="22"/>
        <v>169.83</v>
      </c>
    </row>
    <row r="1456" spans="1:6" ht="18.75" customHeight="1" x14ac:dyDescent="0.25">
      <c r="A1456" s="2" t="str">
        <f ca="1">IFERROR(__xludf.DUMMYFUNCTION("""COMPUTED_VALUE"""),"REA-U9670")</f>
        <v>REA-U9670</v>
      </c>
      <c r="B1456" s="3">
        <f ca="1">IFERROR(__xludf.DUMMYFUNCTION("""COMPUTED_VALUE"""),46436)</f>
        <v>46436</v>
      </c>
      <c r="C1456" s="3">
        <f ca="1">IFERROR(__xludf.DUMMYFUNCTION("""COMPUTED_VALUE"""),5902557376209)</f>
        <v>5902557376209</v>
      </c>
      <c r="D1456" s="4" t="str">
        <f ca="1">IFERROR(__xludf.DUMMYFUNCTION("""COMPUTED_VALUE"""),"UMYWALKA CRISTAL TRANSPARENT - NABLATOWA")</f>
        <v>UMYWALKA CRISTAL TRANSPARENT - NABLATOWA</v>
      </c>
      <c r="E1456" s="31">
        <v>127.24390243902441</v>
      </c>
      <c r="F1456" s="31">
        <f t="shared" si="22"/>
        <v>156.51000000000002</v>
      </c>
    </row>
    <row r="1457" spans="1:6" ht="18.75" customHeight="1" x14ac:dyDescent="0.25">
      <c r="A1457" s="2" t="str">
        <f ca="1">IFERROR(__xludf.DUMMYFUNCTION("""COMPUTED_VALUE"""),"REA-U0786")</f>
        <v>REA-U0786</v>
      </c>
      <c r="B1457" s="3">
        <f ca="1">IFERROR(__xludf.DUMMYFUNCTION("""COMPUTED_VALUE"""),1624)</f>
        <v>1624</v>
      </c>
      <c r="C1457" s="3">
        <f ca="1">IFERROR(__xludf.DUMMYFUNCTION("""COMPUTED_VALUE"""),5902557300600)</f>
        <v>5902557300600</v>
      </c>
      <c r="D1457" s="4" t="str">
        <f ca="1">IFERROR(__xludf.DUMMYFUNCTION("""COMPUTED_VALUE"""),"UMYWALKA DAFNE 60 - WPUSZCZANA")</f>
        <v>UMYWALKA DAFNE 60 - WPUSZCZANA</v>
      </c>
      <c r="E1457" s="31">
        <v>61.365853658536594</v>
      </c>
      <c r="F1457" s="31">
        <f t="shared" si="22"/>
        <v>75.48</v>
      </c>
    </row>
    <row r="1458" spans="1:6" ht="18.75" customHeight="1" x14ac:dyDescent="0.25">
      <c r="A1458" s="2" t="str">
        <f ca="1">IFERROR(__xludf.DUMMYFUNCTION("""COMPUTED_VALUE"""),"REA-U0190")</f>
        <v>REA-U0190</v>
      </c>
      <c r="B1458" s="3">
        <f ca="1">IFERROR(__xludf.DUMMYFUNCTION("""COMPUTED_VALUE"""),1626)</f>
        <v>1626</v>
      </c>
      <c r="C1458" s="3">
        <f ca="1">IFERROR(__xludf.DUMMYFUNCTION("""COMPUTED_VALUE"""),5902557300624)</f>
        <v>5902557300624</v>
      </c>
      <c r="D1458" s="4" t="str">
        <f ca="1">IFERROR(__xludf.DUMMYFUNCTION("""COMPUTED_VALUE"""),"UMYWALKA DAFNE 70 - WPUSZCZANA")</f>
        <v>UMYWALKA DAFNE 70 - WPUSZCZANA</v>
      </c>
      <c r="E1458" s="31">
        <v>74.000000000000014</v>
      </c>
      <c r="F1458" s="31">
        <f t="shared" si="22"/>
        <v>91.02000000000001</v>
      </c>
    </row>
    <row r="1459" spans="1:6" ht="18.75" customHeight="1" x14ac:dyDescent="0.25">
      <c r="A1459" s="2" t="str">
        <f ca="1">IFERROR(__xludf.DUMMYFUNCTION("""COMPUTED_VALUE"""),"REA-U0040")</f>
        <v>REA-U0040</v>
      </c>
      <c r="B1459" s="3">
        <f ca="1">IFERROR(__xludf.DUMMYFUNCTION("""COMPUTED_VALUE"""),1628)</f>
        <v>1628</v>
      </c>
      <c r="C1459" s="3">
        <f ca="1">IFERROR(__xludf.DUMMYFUNCTION("""COMPUTED_VALUE"""),5902557300648)</f>
        <v>5902557300648</v>
      </c>
      <c r="D1459" s="4" t="str">
        <f ca="1">IFERROR(__xludf.DUMMYFUNCTION("""COMPUTED_VALUE"""),"UMYWALKA DAFNE 75 - WPUSZCZANA")</f>
        <v>UMYWALKA DAFNE 75 - WPUSZCZANA</v>
      </c>
      <c r="E1459" s="31">
        <v>69.487804878048792</v>
      </c>
      <c r="F1459" s="31">
        <f t="shared" si="22"/>
        <v>85.470000000000013</v>
      </c>
    </row>
    <row r="1460" spans="1:6" ht="18.75" customHeight="1" x14ac:dyDescent="0.25">
      <c r="A1460" s="2" t="str">
        <f ca="1">IFERROR(__xludf.DUMMYFUNCTION("""COMPUTED_VALUE"""),"REA-U0875")</f>
        <v>REA-U0875</v>
      </c>
      <c r="B1460" s="3">
        <f ca="1">IFERROR(__xludf.DUMMYFUNCTION("""COMPUTED_VALUE"""),1651)</f>
        <v>1651</v>
      </c>
      <c r="C1460" s="3">
        <f ca="1">IFERROR(__xludf.DUMMYFUNCTION("""COMPUTED_VALUE"""),5902557322763)</f>
        <v>5902557322763</v>
      </c>
      <c r="D1460" s="4" t="str">
        <f ca="1">IFERROR(__xludf.DUMMYFUNCTION("""COMPUTED_VALUE"""),"UMYWALKA DAISY - NABLATOWA/WPUSZCZANA")</f>
        <v>UMYWALKA DAISY - NABLATOWA/WPUSZCZANA</v>
      </c>
      <c r="E1460" s="31">
        <v>108.29268292682929</v>
      </c>
      <c r="F1460" s="31">
        <f t="shared" si="22"/>
        <v>133.20000000000002</v>
      </c>
    </row>
    <row r="1461" spans="1:6" ht="18.75" customHeight="1" x14ac:dyDescent="0.25">
      <c r="A1461" s="2" t="str">
        <f ca="1">IFERROR(__xludf.DUMMYFUNCTION("""COMPUTED_VALUE"""),"REA-U4122")</f>
        <v>REA-U4122</v>
      </c>
      <c r="B1461" s="3">
        <f ca="1">IFERROR(__xludf.DUMMYFUNCTION("""COMPUTED_VALUE"""),50658)</f>
        <v>50658</v>
      </c>
      <c r="C1461" s="3">
        <f ca="1">IFERROR(__xludf.DUMMYFUNCTION("""COMPUTED_VALUE"""),5902557387373)</f>
        <v>5902557387373</v>
      </c>
      <c r="D1461" s="4" t="str">
        <f ca="1">IFERROR(__xludf.DUMMYFUNCTION("""COMPUTED_VALUE"""),"UMYWALKA DALIA - WPUSZCZANA")</f>
        <v>UMYWALKA DALIA - WPUSZCZANA</v>
      </c>
      <c r="E1461" s="31">
        <v>33.390243902439025</v>
      </c>
      <c r="F1461" s="31">
        <f t="shared" si="22"/>
        <v>41.07</v>
      </c>
    </row>
    <row r="1462" spans="1:6" ht="18.75" customHeight="1" x14ac:dyDescent="0.25">
      <c r="A1462" s="2" t="str">
        <f ca="1">IFERROR(__xludf.DUMMYFUNCTION("""COMPUTED_VALUE"""),"REA-U9900")</f>
        <v>REA-U9900</v>
      </c>
      <c r="B1462" s="3">
        <f ca="1">IFERROR(__xludf.DUMMYFUNCTION("""COMPUTED_VALUE"""),13374)</f>
        <v>13374</v>
      </c>
      <c r="C1462" s="3">
        <f ca="1">IFERROR(__xludf.DUMMYFUNCTION("""COMPUTED_VALUE"""),5902557329540)</f>
        <v>5902557329540</v>
      </c>
      <c r="D1462" s="4" t="str">
        <f ca="1">IFERROR(__xludf.DUMMYFUNCTION("""COMPUTED_VALUE"""),"UMYWALKA DARIA - WOLNOSTOJĄCA")</f>
        <v>UMYWALKA DARIA - WOLNOSTOJĄCA</v>
      </c>
      <c r="E1462" s="31">
        <v>212.07317073170734</v>
      </c>
      <c r="F1462" s="31">
        <f t="shared" si="22"/>
        <v>260.85000000000002</v>
      </c>
    </row>
    <row r="1463" spans="1:6" ht="18.75" customHeight="1" x14ac:dyDescent="0.25">
      <c r="A1463" s="2" t="str">
        <f ca="1">IFERROR(__xludf.DUMMYFUNCTION("""COMPUTED_VALUE"""),"REA-U6678")</f>
        <v>REA-U6678</v>
      </c>
      <c r="B1463" s="3">
        <f ca="1">IFERROR(__xludf.DUMMYFUNCTION("""COMPUTED_VALUE"""),43107)</f>
        <v>43107</v>
      </c>
      <c r="C1463" s="3">
        <f ca="1">IFERROR(__xludf.DUMMYFUNCTION("""COMPUTED_VALUE"""),5902557366392)</f>
        <v>5902557366392</v>
      </c>
      <c r="D1463" s="4" t="str">
        <f ca="1">IFERROR(__xludf.DUMMYFUNCTION("""COMPUTED_VALUE"""),"UMYWALKA DARIA MARBLE - WOLNOSTOJĄCA")</f>
        <v>UMYWALKA DARIA MARBLE - WOLNOSTOJĄCA</v>
      </c>
      <c r="E1463" s="31">
        <v>353.7560975609756</v>
      </c>
      <c r="F1463" s="31">
        <f t="shared" si="22"/>
        <v>435.12</v>
      </c>
    </row>
    <row r="1464" spans="1:6" ht="18.75" customHeight="1" x14ac:dyDescent="0.25">
      <c r="A1464" s="2" t="str">
        <f ca="1">IFERROR(__xludf.DUMMYFUNCTION("""COMPUTED_VALUE"""),"REA-U0601")</f>
        <v>REA-U0601</v>
      </c>
      <c r="B1464" s="3">
        <f ca="1">IFERROR(__xludf.DUMMYFUNCTION("""COMPUTED_VALUE"""),52408)</f>
        <v>52408</v>
      </c>
      <c r="C1464" s="3">
        <f ca="1">IFERROR(__xludf.DUMMYFUNCTION("""COMPUTED_VALUE"""),5902557398300)</f>
        <v>5902557398300</v>
      </c>
      <c r="D1464" s="4" t="str">
        <f ca="1">IFERROR(__xludf.DUMMYFUNCTION("""COMPUTED_VALUE"""),"UMYWALKA DELIA - NABLATOWA")</f>
        <v>UMYWALKA DELIA - NABLATOWA</v>
      </c>
      <c r="E1464" s="31">
        <v>55.048780487804883</v>
      </c>
      <c r="F1464" s="31">
        <f t="shared" si="22"/>
        <v>67.710000000000008</v>
      </c>
    </row>
    <row r="1465" spans="1:6" ht="18.75" customHeight="1" x14ac:dyDescent="0.25">
      <c r="A1465" s="2" t="str">
        <f ca="1">IFERROR(__xludf.DUMMYFUNCTION("""COMPUTED_VALUE"""),"REA-U0274")</f>
        <v>REA-U0274</v>
      </c>
      <c r="B1465" s="3">
        <f ca="1">IFERROR(__xludf.DUMMYFUNCTION("""COMPUTED_VALUE"""),50270)</f>
        <v>50270</v>
      </c>
      <c r="C1465" s="3">
        <f ca="1">IFERROR(__xludf.DUMMYFUNCTION("""COMPUTED_VALUE"""),5902557386420)</f>
        <v>5902557386420</v>
      </c>
      <c r="D1465" s="4" t="str">
        <f ca="1">IFERROR(__xludf.DUMMYFUNCTION("""COMPUTED_VALUE"""),"UMYWALKA DELLA - NABLATOWA")</f>
        <v>UMYWALKA DELLA - NABLATOWA</v>
      </c>
      <c r="E1465" s="31">
        <v>157.92682926829269</v>
      </c>
      <c r="F1465" s="31">
        <f t="shared" si="22"/>
        <v>194.25</v>
      </c>
    </row>
    <row r="1466" spans="1:6" ht="18.75" customHeight="1" x14ac:dyDescent="0.25">
      <c r="A1466" s="2" t="str">
        <f ca="1">IFERROR(__xludf.DUMMYFUNCTION("""COMPUTED_VALUE"""),"REA-U1953")</f>
        <v>REA-U1953</v>
      </c>
      <c r="B1466" s="3">
        <f ca="1">IFERROR(__xludf.DUMMYFUNCTION("""COMPUTED_VALUE"""),1743)</f>
        <v>1743</v>
      </c>
      <c r="C1466" s="3">
        <f ca="1">IFERROR(__xludf.DUMMYFUNCTION("""COMPUTED_VALUE"""),5902557327355)</f>
        <v>5902557327355</v>
      </c>
      <c r="D1466" s="4" t="str">
        <f ca="1">IFERROR(__xludf.DUMMYFUNCTION("""COMPUTED_VALUE"""),"UMYWALKA DEMI - NABLATOWA")</f>
        <v>UMYWALKA DEMI - NABLATOWA</v>
      </c>
      <c r="E1466" s="31">
        <v>61.365853658536594</v>
      </c>
      <c r="F1466" s="31">
        <f t="shared" si="22"/>
        <v>75.48</v>
      </c>
    </row>
    <row r="1467" spans="1:6" ht="18.75" customHeight="1" x14ac:dyDescent="0.25">
      <c r="A1467" s="2" t="str">
        <f ca="1">IFERROR(__xludf.DUMMYFUNCTION("""COMPUTED_VALUE"""),"REA-U4100")</f>
        <v>REA-U4100</v>
      </c>
      <c r="B1467" s="3">
        <f ca="1">IFERROR(__xludf.DUMMYFUNCTION("""COMPUTED_VALUE"""),49600)</f>
        <v>49600</v>
      </c>
      <c r="C1467" s="3">
        <f ca="1">IFERROR(__xludf.DUMMYFUNCTION("""COMPUTED_VALUE"""),5902557381258)</f>
        <v>5902557381258</v>
      </c>
      <c r="D1467" s="4" t="str">
        <f ca="1">IFERROR(__xludf.DUMMYFUNCTION("""COMPUTED_VALUE"""),"UMYWALKA DEMI AIAX SHINY - NABLATOWA")</f>
        <v>UMYWALKA DEMI AIAX SHINY - NABLATOWA</v>
      </c>
      <c r="E1467" s="31">
        <v>78.512195121951223</v>
      </c>
      <c r="F1467" s="31">
        <f t="shared" si="22"/>
        <v>96.570000000000007</v>
      </c>
    </row>
    <row r="1468" spans="1:6" ht="18.75" customHeight="1" x14ac:dyDescent="0.25">
      <c r="A1468" s="2" t="str">
        <f ca="1">IFERROR(__xludf.DUMMYFUNCTION("""COMPUTED_VALUE"""),"REA-U5064")</f>
        <v>REA-U5064</v>
      </c>
      <c r="B1468" s="3">
        <f ca="1">IFERROR(__xludf.DUMMYFUNCTION("""COMPUTED_VALUE"""),50036)</f>
        <v>50036</v>
      </c>
      <c r="C1468" s="3">
        <f ca="1">IFERROR(__xludf.DUMMYFUNCTION("""COMPUTED_VALUE"""),5902557382941)</f>
        <v>5902557382941</v>
      </c>
      <c r="D1468" s="4" t="str">
        <f ca="1">IFERROR(__xludf.DUMMYFUNCTION("""COMPUTED_VALUE"""),"UMYWALKA DEMI MINI - NABLATOWA")</f>
        <v>UMYWALKA DEMI MINI - NABLATOWA</v>
      </c>
      <c r="E1468" s="31">
        <v>42.41463414634147</v>
      </c>
      <c r="F1468" s="31">
        <f t="shared" si="22"/>
        <v>52.170000000000009</v>
      </c>
    </row>
    <row r="1469" spans="1:6" ht="18.75" customHeight="1" x14ac:dyDescent="0.25">
      <c r="A1469" s="2" t="str">
        <f ca="1">IFERROR(__xludf.DUMMYFUNCTION("""COMPUTED_VALUE"""),"REA-U5065")</f>
        <v>REA-U5065</v>
      </c>
      <c r="B1469" s="3">
        <f ca="1">IFERROR(__xludf.DUMMYFUNCTION("""COMPUTED_VALUE"""),50039)</f>
        <v>50039</v>
      </c>
      <c r="C1469" s="3">
        <f ca="1">IFERROR(__xludf.DUMMYFUNCTION("""COMPUTED_VALUE"""),5902557382934)</f>
        <v>5902557382934</v>
      </c>
      <c r="D1469" s="4" t="str">
        <f ca="1">IFERROR(__xludf.DUMMYFUNCTION("""COMPUTED_VALUE"""),"UMYWALKA DEMI MINI AIAX SHINY - NABLATOWA")</f>
        <v>UMYWALKA DEMI MINI AIAX SHINY - NABLATOWA</v>
      </c>
      <c r="E1469" s="31">
        <v>61.365853658536594</v>
      </c>
      <c r="F1469" s="31">
        <f t="shared" si="22"/>
        <v>75.48</v>
      </c>
    </row>
    <row r="1470" spans="1:6" ht="18.75" customHeight="1" x14ac:dyDescent="0.25">
      <c r="A1470" s="2" t="str">
        <f ca="1">IFERROR(__xludf.DUMMYFUNCTION("""COMPUTED_VALUE"""),"REA-U4800")</f>
        <v>REA-U4800</v>
      </c>
      <c r="B1470" s="3">
        <f ca="1">IFERROR(__xludf.DUMMYFUNCTION("""COMPUTED_VALUE"""),29619)</f>
        <v>29619</v>
      </c>
      <c r="C1470" s="3">
        <f ca="1">IFERROR(__xludf.DUMMYFUNCTION("""COMPUTED_VALUE"""),5902557340484)</f>
        <v>5902557340484</v>
      </c>
      <c r="D1470" s="4" t="str">
        <f ca="1">IFERROR(__xludf.DUMMYFUNCTION("""COMPUTED_VALUE"""),"UMYWALKA DENIS - NABLATOWA")</f>
        <v>UMYWALKA DENIS - NABLATOWA</v>
      </c>
      <c r="E1470" s="31">
        <v>67.682926829268297</v>
      </c>
      <c r="F1470" s="31">
        <f t="shared" si="22"/>
        <v>83.25</v>
      </c>
    </row>
    <row r="1471" spans="1:6" ht="18.75" customHeight="1" x14ac:dyDescent="0.25">
      <c r="A1471" s="2" t="str">
        <f ca="1">IFERROR(__xludf.DUMMYFUNCTION("""COMPUTED_VALUE"""),"REA-U6513")</f>
        <v>REA-U6513</v>
      </c>
      <c r="B1471" s="3">
        <f ca="1">IFERROR(__xludf.DUMMYFUNCTION("""COMPUTED_VALUE"""),45322)</f>
        <v>45322</v>
      </c>
      <c r="C1471" s="3">
        <f ca="1">IFERROR(__xludf.DUMMYFUNCTION("""COMPUTED_VALUE"""),5902557375189)</f>
        <v>5902557375189</v>
      </c>
      <c r="D1471" s="4" t="str">
        <f ca="1">IFERROR(__xludf.DUMMYFUNCTION("""COMPUTED_VALUE"""),"UMYWALKA DENIS BLACK EDGE - NABLATOWA")</f>
        <v>UMYWALKA DENIS BLACK EDGE - NABLATOWA</v>
      </c>
      <c r="E1471" s="31">
        <v>84.82926829268294</v>
      </c>
      <c r="F1471" s="31">
        <f t="shared" si="22"/>
        <v>104.34000000000002</v>
      </c>
    </row>
    <row r="1472" spans="1:6" ht="18.75" customHeight="1" x14ac:dyDescent="0.25">
      <c r="A1472" s="2" t="str">
        <f ca="1">IFERROR(__xludf.DUMMYFUNCTION("""COMPUTED_VALUE"""),"REA-U3690")</f>
        <v>REA-U3690</v>
      </c>
      <c r="B1472" s="3">
        <f ca="1">IFERROR(__xludf.DUMMYFUNCTION("""COMPUTED_VALUE"""),30374)</f>
        <v>30374</v>
      </c>
      <c r="C1472" s="3">
        <f ca="1">IFERROR(__xludf.DUMMYFUNCTION("""COMPUTED_VALUE"""),5902557337118)</f>
        <v>5902557337118</v>
      </c>
      <c r="D1472" s="4" t="str">
        <f ca="1">IFERROR(__xludf.DUMMYFUNCTION("""COMPUTED_VALUE"""),"UMYWALKA DENIS BLACK MATT - NABLATOWA")</f>
        <v>UMYWALKA DENIS BLACK MATT - NABLATOWA</v>
      </c>
      <c r="E1472" s="31">
        <v>118.21951219512195</v>
      </c>
      <c r="F1472" s="31">
        <f t="shared" si="22"/>
        <v>145.41</v>
      </c>
    </row>
    <row r="1473" spans="1:6" ht="18.75" customHeight="1" x14ac:dyDescent="0.25">
      <c r="A1473" s="2" t="str">
        <f ca="1">IFERROR(__xludf.DUMMYFUNCTION("""COMPUTED_VALUE"""),"REA-U6510")</f>
        <v>REA-U6510</v>
      </c>
      <c r="B1473" s="3">
        <f ca="1">IFERROR(__xludf.DUMMYFUNCTION("""COMPUTED_VALUE"""),44672)</f>
        <v>44672</v>
      </c>
      <c r="C1473" s="3">
        <f ca="1">IFERROR(__xludf.DUMMYFUNCTION("""COMPUTED_VALUE"""),5902557370115)</f>
        <v>5902557370115</v>
      </c>
      <c r="D1473" s="4" t="str">
        <f ca="1">IFERROR(__xludf.DUMMYFUNCTION("""COMPUTED_VALUE"""),"UMYWALKA DENIS BLACK STONE MATT - NABLATOWA")</f>
        <v>UMYWALKA DENIS BLACK STONE MATT - NABLATOWA</v>
      </c>
      <c r="E1473" s="31">
        <v>103.78048780487806</v>
      </c>
      <c r="F1473" s="31">
        <f t="shared" si="22"/>
        <v>127.65000000000002</v>
      </c>
    </row>
    <row r="1474" spans="1:6" ht="18.75" customHeight="1" x14ac:dyDescent="0.25">
      <c r="A1474" s="2" t="str">
        <f ca="1">IFERROR(__xludf.DUMMYFUNCTION("""COMPUTED_VALUE"""),"REA-U5896")</f>
        <v>REA-U5896</v>
      </c>
      <c r="B1474" s="3">
        <f ca="1">IFERROR(__xludf.DUMMYFUNCTION("""COMPUTED_VALUE"""),44670)</f>
        <v>44670</v>
      </c>
      <c r="C1474" s="3">
        <f ca="1">IFERROR(__xludf.DUMMYFUNCTION("""COMPUTED_VALUE"""),5902557370108)</f>
        <v>5902557370108</v>
      </c>
      <c r="D1474" s="4" t="str">
        <f ca="1">IFERROR(__xludf.DUMMYFUNCTION("""COMPUTED_VALUE"""),"UMYWALKA DENIS MARMO SHINY - NABLATOWA")</f>
        <v>UMYWALKA DENIS MARMO SHINY - NABLATOWA</v>
      </c>
      <c r="E1474" s="31">
        <v>97.463414634146361</v>
      </c>
      <c r="F1474" s="31">
        <f t="shared" si="22"/>
        <v>119.88000000000002</v>
      </c>
    </row>
    <row r="1475" spans="1:6" ht="18.75" customHeight="1" x14ac:dyDescent="0.25">
      <c r="A1475" s="2" t="str">
        <f ca="1">IFERROR(__xludf.DUMMYFUNCTION("""COMPUTED_VALUE"""),"REA-U6654")</f>
        <v>REA-U6654</v>
      </c>
      <c r="B1475" s="3"/>
      <c r="C1475" s="3">
        <f ca="1">IFERROR(__xludf.DUMMYFUNCTION("""COMPUTED_VALUE"""),5902557335763)</f>
        <v>5902557335763</v>
      </c>
      <c r="D1475" s="4" t="str">
        <f ca="1">IFERROR(__xludf.DUMMYFUNCTION("""COMPUTED_VALUE"""),"UMYWALKA DIANA - PODBLATOWA")</f>
        <v>UMYWALKA DIANA - PODBLATOWA</v>
      </c>
      <c r="E1475" s="31">
        <v>31.585365853658541</v>
      </c>
      <c r="F1475" s="31">
        <f t="shared" ref="F1475:F1537" si="23">E1475*1.23</f>
        <v>38.85</v>
      </c>
    </row>
    <row r="1476" spans="1:6" ht="18.75" customHeight="1" x14ac:dyDescent="0.25">
      <c r="A1476" s="2" t="str">
        <f ca="1">IFERROR(__xludf.DUMMYFUNCTION("""COMPUTED_VALUE"""),"REA-U4302")</f>
        <v>REA-U4302</v>
      </c>
      <c r="B1476" s="3">
        <f ca="1">IFERROR(__xludf.DUMMYFUNCTION("""COMPUTED_VALUE"""),53948)</f>
        <v>53948</v>
      </c>
      <c r="C1476" s="3">
        <f ca="1">IFERROR(__xludf.DUMMYFUNCTION("""COMPUTED_VALUE"""),5906366005848)</f>
        <v>5906366005848</v>
      </c>
      <c r="D1476" s="4" t="str">
        <f ca="1">IFERROR(__xludf.DUMMYFUNCTION("""COMPUTED_VALUE"""),"UMYWALKA DOLCE - WOLNOSTOJĄCA")</f>
        <v>UMYWALKA DOLCE - WOLNOSTOJĄCA</v>
      </c>
      <c r="E1476" s="31">
        <v>481.90243902439028</v>
      </c>
      <c r="F1476" s="31">
        <f t="shared" si="23"/>
        <v>592.74</v>
      </c>
    </row>
    <row r="1477" spans="1:6" ht="18.75" customHeight="1" x14ac:dyDescent="0.25">
      <c r="A1477" s="2" t="str">
        <f ca="1">IFERROR(__xludf.DUMMYFUNCTION("""COMPUTED_VALUE"""),"REA-U0060")</f>
        <v>REA-U0060</v>
      </c>
      <c r="B1477" s="3"/>
      <c r="C1477" s="3">
        <f ca="1">IFERROR(__xludf.DUMMYFUNCTION("""COMPUTED_VALUE"""),5902557300167)</f>
        <v>5902557300167</v>
      </c>
      <c r="D1477" s="4" t="str">
        <f ca="1">IFERROR(__xludf.DUMMYFUNCTION("""COMPUTED_VALUE"""),"UMYWALKA DONNA - WPUSZCZANA")</f>
        <v>UMYWALKA DONNA - WPUSZCZANA</v>
      </c>
      <c r="E1477" s="31">
        <v>28.878048780487806</v>
      </c>
      <c r="F1477" s="31">
        <f t="shared" si="23"/>
        <v>35.520000000000003</v>
      </c>
    </row>
    <row r="1478" spans="1:6" ht="18.75" customHeight="1" x14ac:dyDescent="0.25">
      <c r="A1478" s="2" t="str">
        <f ca="1">IFERROR(__xludf.DUMMYFUNCTION("""COMPUTED_VALUE"""),"REA-U5066")</f>
        <v>REA-U5066</v>
      </c>
      <c r="B1478" s="3">
        <f ca="1">IFERROR(__xludf.DUMMYFUNCTION("""COMPUTED_VALUE"""),50065)</f>
        <v>50065</v>
      </c>
      <c r="C1478" s="3">
        <f ca="1">IFERROR(__xludf.DUMMYFUNCTION("""COMPUTED_VALUE"""),5902557382880)</f>
        <v>5902557382880</v>
      </c>
      <c r="D1478" s="4" t="str">
        <f ca="1">IFERROR(__xludf.DUMMYFUNCTION("""COMPUTED_VALUE"""),"UMYWALKA DORA STONE - NABLATOWA")</f>
        <v>UMYWALKA DORA STONE - NABLATOWA</v>
      </c>
      <c r="E1478" s="31">
        <v>93.853658536585371</v>
      </c>
      <c r="F1478" s="31">
        <f t="shared" si="23"/>
        <v>115.44</v>
      </c>
    </row>
    <row r="1479" spans="1:6" ht="18.75" customHeight="1" x14ac:dyDescent="0.25">
      <c r="A1479" s="2" t="str">
        <f ca="1">IFERROR(__xludf.DUMMYFUNCTION("""COMPUTED_VALUE"""),"REA-U8602")</f>
        <v>REA-U8602</v>
      </c>
      <c r="B1479" s="3">
        <f ca="1">IFERROR(__xludf.DUMMYFUNCTION("""COMPUTED_VALUE"""),29039)</f>
        <v>29039</v>
      </c>
      <c r="C1479" s="3">
        <f ca="1">IFERROR(__xludf.DUMMYFUNCTION("""COMPUTED_VALUE"""),5902557345021)</f>
        <v>5902557345021</v>
      </c>
      <c r="D1479" s="4" t="str">
        <f ca="1">IFERROR(__xludf.DUMMYFUNCTION("""COMPUTED_VALUE"""),"UMYWALKA DORIS - NABLATOWA")</f>
        <v>UMYWALKA DORIS - NABLATOWA</v>
      </c>
      <c r="E1479" s="31">
        <v>60.463414634146346</v>
      </c>
      <c r="F1479" s="31">
        <f t="shared" si="23"/>
        <v>74.37</v>
      </c>
    </row>
    <row r="1480" spans="1:6" ht="18.75" customHeight="1" x14ac:dyDescent="0.25">
      <c r="A1480" s="2" t="str">
        <f ca="1">IFERROR(__xludf.DUMMYFUNCTION("""COMPUTED_VALUE"""),"REA-U7913")</f>
        <v>REA-U7913</v>
      </c>
      <c r="B1480" s="3"/>
      <c r="C1480" s="3">
        <f ca="1">IFERROR(__xludf.DUMMYFUNCTION("""COMPUTED_VALUE"""),5902557336135)</f>
        <v>5902557336135</v>
      </c>
      <c r="D1480" s="4" t="str">
        <f ca="1">IFERROR(__xludf.DUMMYFUNCTION("""COMPUTED_VALUE"""),"UMYWALKA DORISA BLACK - NABLATOWA")</f>
        <v>UMYWALKA DORISA BLACK - NABLATOWA</v>
      </c>
      <c r="E1480" s="31">
        <v>58.658536585365859</v>
      </c>
      <c r="F1480" s="31">
        <f t="shared" si="23"/>
        <v>72.150000000000006</v>
      </c>
    </row>
    <row r="1481" spans="1:6" ht="18.75" customHeight="1" x14ac:dyDescent="0.25">
      <c r="A1481" s="2" t="str">
        <f ca="1">IFERROR(__xludf.DUMMYFUNCTION("""COMPUTED_VALUE"""),"REA-U6523")</f>
        <v>REA-U6523</v>
      </c>
      <c r="B1481" s="3"/>
      <c r="C1481" s="3">
        <f ca="1">IFERROR(__xludf.DUMMYFUNCTION("""COMPUTED_VALUE"""),5902557322978)</f>
        <v>5902557322978</v>
      </c>
      <c r="D1481" s="4" t="str">
        <f ca="1">IFERROR(__xludf.DUMMYFUNCTION("""COMPUTED_VALUE"""),"UMYWALKA ECHO - NABLATOWA")</f>
        <v>UMYWALKA ECHO - NABLATOWA</v>
      </c>
      <c r="E1481" s="31">
        <v>50.536585365853668</v>
      </c>
      <c r="F1481" s="31">
        <f t="shared" si="23"/>
        <v>62.160000000000011</v>
      </c>
    </row>
    <row r="1482" spans="1:6" ht="18.75" customHeight="1" x14ac:dyDescent="0.25">
      <c r="A1482" s="2" t="str">
        <f ca="1">IFERROR(__xludf.DUMMYFUNCTION("""COMPUTED_VALUE"""),"REA-U0798")</f>
        <v>REA-U0798</v>
      </c>
      <c r="B1482" s="3">
        <f ca="1">IFERROR(__xludf.DUMMYFUNCTION("""COMPUTED_VALUE"""),30343)</f>
        <v>30343</v>
      </c>
      <c r="C1482" s="3">
        <f ca="1">IFERROR(__xludf.DUMMYFUNCTION("""COMPUTED_VALUE"""),5902557300570)</f>
        <v>5902557300570</v>
      </c>
      <c r="D1482" s="4" t="str">
        <f ca="1">IFERROR(__xludf.DUMMYFUNCTION("""COMPUTED_VALUE"""),"UMYWALKA ELENA - NABLATOWA")</f>
        <v>UMYWALKA ELENA - NABLATOWA</v>
      </c>
      <c r="E1482" s="31">
        <v>39.707317073170735</v>
      </c>
      <c r="F1482" s="31">
        <f t="shared" si="23"/>
        <v>48.84</v>
      </c>
    </row>
    <row r="1483" spans="1:6" ht="18.75" customHeight="1" x14ac:dyDescent="0.25">
      <c r="A1483" s="2" t="str">
        <f ca="1">IFERROR(__xludf.DUMMYFUNCTION("""COMPUTED_VALUE"""),"REA-U7910")</f>
        <v>REA-U7910</v>
      </c>
      <c r="B1483" s="3">
        <f ca="1">IFERROR(__xludf.DUMMYFUNCTION("""COMPUTED_VALUE"""),30332)</f>
        <v>30332</v>
      </c>
      <c r="C1483" s="3">
        <f ca="1">IFERROR(__xludf.DUMMYFUNCTION("""COMPUTED_VALUE"""),5902557340392)</f>
        <v>5902557340392</v>
      </c>
      <c r="D1483" s="4" t="str">
        <f ca="1">IFERROR(__xludf.DUMMYFUNCTION("""COMPUTED_VALUE"""),"UMYWALKA ELENA BLACK MATT - NABLATOWA")</f>
        <v>UMYWALKA ELENA BLACK MATT - NABLATOWA</v>
      </c>
      <c r="E1483" s="31">
        <v>65.878048780487816</v>
      </c>
      <c r="F1483" s="31">
        <f t="shared" si="23"/>
        <v>81.030000000000015</v>
      </c>
    </row>
    <row r="1484" spans="1:6" ht="18.75" customHeight="1" x14ac:dyDescent="0.25">
      <c r="A1484" s="2" t="str">
        <f ca="1">IFERROR(__xludf.DUMMYFUNCTION("""COMPUTED_VALUE"""),"REA-U7911")</f>
        <v>REA-U7911</v>
      </c>
      <c r="B1484" s="3"/>
      <c r="C1484" s="3">
        <f ca="1">IFERROR(__xludf.DUMMYFUNCTION("""COMPUTED_VALUE"""),5902557340408)</f>
        <v>5902557340408</v>
      </c>
      <c r="D1484" s="4" t="str">
        <f ca="1">IFERROR(__xludf.DUMMYFUNCTION("""COMPUTED_VALUE"""),"UMYWALKA ELENA WHITE MATT - NABLATOWA")</f>
        <v>UMYWALKA ELENA WHITE MATT - NABLATOWA</v>
      </c>
      <c r="E1484" s="31">
        <v>65.878048780487816</v>
      </c>
      <c r="F1484" s="31">
        <f t="shared" si="23"/>
        <v>81.030000000000015</v>
      </c>
    </row>
    <row r="1485" spans="1:6" ht="18.75" customHeight="1" x14ac:dyDescent="0.25">
      <c r="A1485" s="2" t="str">
        <f ca="1">IFERROR(__xludf.DUMMYFUNCTION("""COMPUTED_VALUE"""),"REA-U6658")</f>
        <v>REA-U6658</v>
      </c>
      <c r="B1485" s="3">
        <f ca="1">IFERROR(__xludf.DUMMYFUNCTION("""COMPUTED_VALUE"""),49056)</f>
        <v>49056</v>
      </c>
      <c r="C1485" s="3">
        <f ca="1">IFERROR(__xludf.DUMMYFUNCTION("""COMPUTED_VALUE"""),5902557355501)</f>
        <v>5902557355501</v>
      </c>
      <c r="D1485" s="4" t="str">
        <f ca="1">IFERROR(__xludf.DUMMYFUNCTION("""COMPUTED_VALUE"""),"UMYWALKA ELITA - NABLATOWA")</f>
        <v>UMYWALKA ELITA - NABLATOWA</v>
      </c>
      <c r="E1485" s="31">
        <v>93.853658536585371</v>
      </c>
      <c r="F1485" s="31">
        <f t="shared" si="23"/>
        <v>115.44</v>
      </c>
    </row>
    <row r="1486" spans="1:6" ht="18.75" customHeight="1" x14ac:dyDescent="0.25">
      <c r="A1486" s="2" t="str">
        <f ca="1">IFERROR(__xludf.DUMMYFUNCTION("""COMPUTED_VALUE"""),"REA-U8493")</f>
        <v>REA-U8493</v>
      </c>
      <c r="B1486" s="3">
        <f ca="1">IFERROR(__xludf.DUMMYFUNCTION("""COMPUTED_VALUE"""),29952)</f>
        <v>29952</v>
      </c>
      <c r="C1486" s="3">
        <f ca="1">IFERROR(__xludf.DUMMYFUNCTION("""COMPUTED_VALUE"""),5902557336876)</f>
        <v>5902557336876</v>
      </c>
      <c r="D1486" s="4" t="str">
        <f ca="1">IFERROR(__xludf.DUMMYFUNCTION("""COMPUTED_VALUE"""),"UMYWALKA ELMA - NABLATOWA")</f>
        <v>UMYWALKA ELMA - NABLATOWA</v>
      </c>
      <c r="E1486" s="31">
        <v>63.170731707317081</v>
      </c>
      <c r="F1486" s="31">
        <f t="shared" si="23"/>
        <v>77.7</v>
      </c>
    </row>
    <row r="1487" spans="1:6" ht="18.75" customHeight="1" x14ac:dyDescent="0.25">
      <c r="A1487" s="2" t="str">
        <f ca="1">IFERROR(__xludf.DUMMYFUNCTION("""COMPUTED_VALUE"""),"REA-U8494")</f>
        <v>REA-U8494</v>
      </c>
      <c r="B1487" s="3"/>
      <c r="C1487" s="3">
        <f ca="1">IFERROR(__xludf.DUMMYFUNCTION("""COMPUTED_VALUE"""),5902557336883)</f>
        <v>5902557336883</v>
      </c>
      <c r="D1487" s="4" t="str">
        <f ca="1">IFERROR(__xludf.DUMMYFUNCTION("""COMPUTED_VALUE"""),"UMYWALKA ELMA BLACK MATT - NABLATOWA")</f>
        <v>UMYWALKA ELMA BLACK MATT - NABLATOWA</v>
      </c>
      <c r="E1487" s="31">
        <v>75.804878048780495</v>
      </c>
      <c r="F1487" s="31">
        <f t="shared" si="23"/>
        <v>93.240000000000009</v>
      </c>
    </row>
    <row r="1488" spans="1:6" ht="18.75" customHeight="1" x14ac:dyDescent="0.25">
      <c r="A1488" s="2" t="str">
        <f ca="1">IFERROR(__xludf.DUMMYFUNCTION("""COMPUTED_VALUE"""),"REA-U8495")</f>
        <v>REA-U8495</v>
      </c>
      <c r="B1488" s="3">
        <f ca="1">IFERROR(__xludf.DUMMYFUNCTION("""COMPUTED_VALUE"""),30028)</f>
        <v>30028</v>
      </c>
      <c r="C1488" s="3">
        <f ca="1">IFERROR(__xludf.DUMMYFUNCTION("""COMPUTED_VALUE"""),5902557336890)</f>
        <v>5902557336890</v>
      </c>
      <c r="D1488" s="4" t="str">
        <f ca="1">IFERROR(__xludf.DUMMYFUNCTION("""COMPUTED_VALUE"""),"UMYWALKA ELMA GREY MATT - NABLATOWA")</f>
        <v>UMYWALKA ELMA GREY MATT - NABLATOWA</v>
      </c>
      <c r="E1488" s="31">
        <v>80.317073170731717</v>
      </c>
      <c r="F1488" s="31">
        <f t="shared" si="23"/>
        <v>98.79</v>
      </c>
    </row>
    <row r="1489" spans="1:6" ht="18.75" customHeight="1" x14ac:dyDescent="0.25">
      <c r="A1489" s="2" t="str">
        <f ca="1">IFERROR(__xludf.DUMMYFUNCTION("""COMPUTED_VALUE"""),"REA-U6642")</f>
        <v>REA-U6642</v>
      </c>
      <c r="B1489" s="3"/>
      <c r="C1489" s="3">
        <f ca="1">IFERROR(__xludf.DUMMYFUNCTION("""COMPUTED_VALUE"""),5902557335459)</f>
        <v>5902557335459</v>
      </c>
      <c r="D1489" s="4" t="str">
        <f ca="1">IFERROR(__xludf.DUMMYFUNCTION("""COMPUTED_VALUE"""),"UMYWALKA EMILIA 9167- NABLATOWA")</f>
        <v>UMYWALKA EMILIA 9167- NABLATOWA</v>
      </c>
      <c r="E1489" s="31">
        <v>35.195121951219512</v>
      </c>
      <c r="F1489" s="31">
        <f t="shared" si="23"/>
        <v>43.29</v>
      </c>
    </row>
    <row r="1490" spans="1:6" ht="18.75" customHeight="1" x14ac:dyDescent="0.25">
      <c r="A1490" s="2" t="str">
        <f ca="1">IFERROR(__xludf.DUMMYFUNCTION("""COMPUTED_VALUE"""),"REA-U0602")</f>
        <v>REA-U0602</v>
      </c>
      <c r="B1490" s="3">
        <f ca="1">IFERROR(__xludf.DUMMYFUNCTION("""COMPUTED_VALUE"""),52419)</f>
        <v>52419</v>
      </c>
      <c r="C1490" s="3">
        <f ca="1">IFERROR(__xludf.DUMMYFUNCTION("""COMPUTED_VALUE"""),5902557398287)</f>
        <v>5902557398287</v>
      </c>
      <c r="D1490" s="4" t="str">
        <f ca="1">IFERROR(__xludf.DUMMYFUNCTION("""COMPUTED_VALUE"""),"UMYWALKA ERICA - NABLATOWA")</f>
        <v>UMYWALKA ERICA - NABLATOWA</v>
      </c>
      <c r="E1490" s="31">
        <v>53.243902439024396</v>
      </c>
      <c r="F1490" s="31">
        <f t="shared" si="23"/>
        <v>65.490000000000009</v>
      </c>
    </row>
    <row r="1491" spans="1:6" ht="18.75" customHeight="1" x14ac:dyDescent="0.25">
      <c r="A1491" s="2" t="str">
        <f ca="1">IFERROR(__xludf.DUMMYFUNCTION("""COMPUTED_VALUE"""),"REA-U0756")</f>
        <v>REA-U0756</v>
      </c>
      <c r="B1491" s="3">
        <f ca="1">IFERROR(__xludf.DUMMYFUNCTION("""COMPUTED_VALUE"""),7468)</f>
        <v>7468</v>
      </c>
      <c r="C1491" s="3">
        <f ca="1">IFERROR(__xludf.DUMMYFUNCTION("""COMPUTED_VALUE"""),5902557318711)</f>
        <v>5902557318711</v>
      </c>
      <c r="D1491" s="4" t="str">
        <f ca="1">IFERROR(__xludf.DUMMYFUNCTION("""COMPUTED_VALUE"""),"UMYWALKA ESTERA - WOLNOSTOJĄCA")</f>
        <v>UMYWALKA ESTERA - WOLNOSTOJĄCA</v>
      </c>
      <c r="E1491" s="31">
        <v>286.07317073170736</v>
      </c>
      <c r="F1491" s="31">
        <f t="shared" si="23"/>
        <v>351.87000000000006</v>
      </c>
    </row>
    <row r="1492" spans="1:6" ht="18.75" customHeight="1" x14ac:dyDescent="0.25">
      <c r="A1492" s="2" t="str">
        <f ca="1">IFERROR(__xludf.DUMMYFUNCTION("""COMPUTED_VALUE"""),"REA-U7500")</f>
        <v>REA-U7500</v>
      </c>
      <c r="B1492" s="3">
        <f ca="1">IFERROR(__xludf.DUMMYFUNCTION("""COMPUTED_VALUE"""),52671)</f>
        <v>52671</v>
      </c>
      <c r="C1492" s="3">
        <f ca="1">IFERROR(__xludf.DUMMYFUNCTION("""COMPUTED_VALUE"""),5902557396252)</f>
        <v>5902557396252</v>
      </c>
      <c r="D1492" s="4" t="str">
        <f ca="1">IFERROR(__xludf.DUMMYFUNCTION("""COMPUTED_VALUE"""),"UMYWALKA ETNO - NABLATOWA")</f>
        <v>UMYWALKA ETNO - NABLATOWA</v>
      </c>
      <c r="E1492" s="31">
        <v>83.024390243902445</v>
      </c>
      <c r="F1492" s="31">
        <f t="shared" si="23"/>
        <v>102.12</v>
      </c>
    </row>
    <row r="1493" spans="1:6" ht="18.75" customHeight="1" x14ac:dyDescent="0.25">
      <c r="A1493" s="2" t="str">
        <f ca="1">IFERROR(__xludf.DUMMYFUNCTION("""COMPUTED_VALUE"""),"REA-U7504")</f>
        <v>REA-U7504</v>
      </c>
      <c r="B1493" s="3">
        <f ca="1">IFERROR(__xludf.DUMMYFUNCTION("""COMPUTED_VALUE"""),52663)</f>
        <v>52663</v>
      </c>
      <c r="C1493" s="3">
        <f ca="1">IFERROR(__xludf.DUMMYFUNCTION("""COMPUTED_VALUE"""),5902557396214)</f>
        <v>5902557396214</v>
      </c>
      <c r="D1493" s="4" t="str">
        <f ca="1">IFERROR(__xludf.DUMMYFUNCTION("""COMPUTED_VALUE"""),"UMYWALKA FELICIA - NABLATOWA")</f>
        <v>UMYWALKA FELICIA - NABLATOWA</v>
      </c>
      <c r="E1493" s="31">
        <v>116.41463414634147</v>
      </c>
      <c r="F1493" s="31">
        <f t="shared" si="23"/>
        <v>143.19</v>
      </c>
    </row>
    <row r="1494" spans="1:6" ht="18.75" customHeight="1" x14ac:dyDescent="0.25">
      <c r="A1494" s="2" t="str">
        <f ca="1">IFERROR(__xludf.DUMMYFUNCTION("""COMPUTED_VALUE"""),"REA-U3301")</f>
        <v>REA-U3301</v>
      </c>
      <c r="B1494" s="3">
        <f ca="1">IFERROR(__xludf.DUMMYFUNCTION("""COMPUTED_VALUE"""),50961)</f>
        <v>50961</v>
      </c>
      <c r="C1494" s="3">
        <f ca="1">IFERROR(__xludf.DUMMYFUNCTION("""COMPUTED_VALUE"""),5902557392278)</f>
        <v>5902557392278</v>
      </c>
      <c r="D1494" s="4" t="str">
        <f ca="1">IFERROR(__xludf.DUMMYFUNCTION("""COMPUTED_VALUE"""),"UMYWALKA FIBO BLACK MATT - NABLATOWA")</f>
        <v>UMYWALKA FIBO BLACK MATT - NABLATOWA</v>
      </c>
      <c r="E1494" s="31">
        <v>63.170731707317081</v>
      </c>
      <c r="F1494" s="31">
        <f t="shared" si="23"/>
        <v>77.7</v>
      </c>
    </row>
    <row r="1495" spans="1:6" ht="18.75" customHeight="1" x14ac:dyDescent="0.25">
      <c r="A1495" s="2" t="str">
        <f ca="1">IFERROR(__xludf.DUMMYFUNCTION("""COMPUTED_VALUE"""),"REA-U6621")</f>
        <v>REA-U6621</v>
      </c>
      <c r="B1495" s="3">
        <f ca="1">IFERROR(__xludf.DUMMYFUNCTION("""COMPUTED_VALUE"""),54132)</f>
        <v>54132</v>
      </c>
      <c r="C1495" s="3">
        <f ca="1">IFERROR(__xludf.DUMMYFUNCTION("""COMPUTED_VALUE"""),5906366006326)</f>
        <v>5906366006326</v>
      </c>
      <c r="D1495" s="4" t="str">
        <f ca="1">IFERROR(__xludf.DUMMYFUNCTION("""COMPUTED_VALUE"""),"UMYWALKA FIORELLA - NABLATOWA")</f>
        <v>UMYWALKA FIORELLA - NABLATOWA</v>
      </c>
      <c r="E1495" s="31">
        <v>61.365853658536594</v>
      </c>
      <c r="F1495" s="31">
        <f t="shared" si="23"/>
        <v>75.48</v>
      </c>
    </row>
    <row r="1496" spans="1:6" ht="18.75" customHeight="1" x14ac:dyDescent="0.25">
      <c r="A1496" s="2" t="str">
        <f ca="1">IFERROR(__xludf.DUMMYFUNCTION("""COMPUTED_VALUE"""),"REA-U6520")</f>
        <v>REA-U6520</v>
      </c>
      <c r="B1496" s="3">
        <f ca="1">IFERROR(__xludf.DUMMYFUNCTION("""COMPUTED_VALUE"""),46438)</f>
        <v>46438</v>
      </c>
      <c r="C1496" s="3">
        <f ca="1">IFERROR(__xludf.DUMMYFUNCTION("""COMPUTED_VALUE"""),5902557375356)</f>
        <v>5902557375356</v>
      </c>
      <c r="D1496" s="4" t="str">
        <f ca="1">IFERROR(__xludf.DUMMYFUNCTION("""COMPUTED_VALUE"""),"UMYWALKA FIORI - NABLATOWA")</f>
        <v>UMYWALKA FIORI - NABLATOWA</v>
      </c>
      <c r="E1496" s="31">
        <v>139.87804878048783</v>
      </c>
      <c r="F1496" s="31">
        <f t="shared" si="23"/>
        <v>172.05000000000004</v>
      </c>
    </row>
    <row r="1497" spans="1:6" ht="18.75" customHeight="1" x14ac:dyDescent="0.25">
      <c r="A1497" s="2" t="str">
        <f ca="1">IFERROR(__xludf.DUMMYFUNCTION("""COMPUTED_VALUE"""),"REA-U4662")</f>
        <v>REA-U4662</v>
      </c>
      <c r="B1497" s="3"/>
      <c r="C1497" s="3">
        <f ca="1">IFERROR(__xludf.DUMMYFUNCTION("""COMPUTED_VALUE"""),5902557355563)</f>
        <v>5902557355563</v>
      </c>
      <c r="D1497" s="4" t="str">
        <f ca="1">IFERROR(__xludf.DUMMYFUNCTION("""COMPUTED_VALUE"""),"UMYWALKA FLORA - NABLATOWA")</f>
        <v>UMYWALKA FLORA - NABLATOWA</v>
      </c>
      <c r="E1497" s="31">
        <v>55.951219512195124</v>
      </c>
      <c r="F1497" s="31">
        <f t="shared" si="23"/>
        <v>68.820000000000007</v>
      </c>
    </row>
    <row r="1498" spans="1:6" ht="18.75" customHeight="1" x14ac:dyDescent="0.25">
      <c r="A1498" s="2" t="str">
        <f ca="1">IFERROR(__xludf.DUMMYFUNCTION("""COMPUTED_VALUE"""),"REA-U0027")</f>
        <v>REA-U0027</v>
      </c>
      <c r="B1498" s="3">
        <f ca="1">IFERROR(__xludf.DUMMYFUNCTION("""COMPUTED_VALUE"""),30672)</f>
        <v>30672</v>
      </c>
      <c r="C1498" s="3">
        <f ca="1">IFERROR(__xludf.DUMMYFUNCTION("""COMPUTED_VALUE"""),5902557340460)</f>
        <v>5902557340460</v>
      </c>
      <c r="D1498" s="4" t="str">
        <f ca="1">IFERROR(__xludf.DUMMYFUNCTION("""COMPUTED_VALUE"""),"UMYWALKA FLORIA - NABLATOWA")</f>
        <v>UMYWALKA FLORIA - NABLATOWA</v>
      </c>
      <c r="E1498" s="31">
        <v>110.09756097560977</v>
      </c>
      <c r="F1498" s="31">
        <f t="shared" si="23"/>
        <v>135.42000000000002</v>
      </c>
    </row>
    <row r="1499" spans="1:6" ht="18.75" customHeight="1" x14ac:dyDescent="0.25">
      <c r="A1499" s="2" t="str">
        <f ca="1">IFERROR(__xludf.DUMMYFUNCTION("""COMPUTED_VALUE"""),"REA-U3308")</f>
        <v>REA-U3308</v>
      </c>
      <c r="B1499" s="3">
        <f ca="1">IFERROR(__xludf.DUMMYFUNCTION("""COMPUTED_VALUE"""),50965)</f>
        <v>50965</v>
      </c>
      <c r="C1499" s="3">
        <f ca="1">IFERROR(__xludf.DUMMYFUNCTION("""COMPUTED_VALUE"""),5902557392346)</f>
        <v>5902557392346</v>
      </c>
      <c r="D1499" s="4" t="str">
        <f ca="1">IFERROR(__xludf.DUMMYFUNCTION("""COMPUTED_VALUE"""),"UMYWALKA FLORISA - NABLATOWA")</f>
        <v>UMYWALKA FLORISA - NABLATOWA</v>
      </c>
      <c r="E1499" s="31">
        <v>97.463414634146361</v>
      </c>
      <c r="F1499" s="31">
        <f t="shared" si="23"/>
        <v>119.88000000000002</v>
      </c>
    </row>
    <row r="1500" spans="1:6" ht="18.75" customHeight="1" x14ac:dyDescent="0.25">
      <c r="A1500" s="2" t="str">
        <f ca="1">IFERROR(__xludf.DUMMYFUNCTION("""COMPUTED_VALUE"""),"REA-U3307")</f>
        <v>REA-U3307</v>
      </c>
      <c r="B1500" s="3">
        <f ca="1">IFERROR(__xludf.DUMMYFUNCTION("""COMPUTED_VALUE"""),50962)</f>
        <v>50962</v>
      </c>
      <c r="C1500" s="3">
        <f ca="1">IFERROR(__xludf.DUMMYFUNCTION("""COMPUTED_VALUE"""),5902557392339)</f>
        <v>5902557392339</v>
      </c>
      <c r="D1500" s="4" t="str">
        <f ca="1">IFERROR(__xludf.DUMMYFUNCTION("""COMPUTED_VALUE"""),"UMYWALKA FLORISA BLACK MATT - NABLATOWA")</f>
        <v>UMYWALKA FLORISA BLACK MATT - NABLATOWA</v>
      </c>
      <c r="E1500" s="31">
        <v>87.536585365853668</v>
      </c>
      <c r="F1500" s="31">
        <f t="shared" si="23"/>
        <v>107.67000000000002</v>
      </c>
    </row>
    <row r="1501" spans="1:6" ht="18.75" customHeight="1" x14ac:dyDescent="0.25">
      <c r="A1501" s="2" t="str">
        <f ca="1">IFERROR(__xludf.DUMMYFUNCTION("""COMPUTED_VALUE"""),"REA-U0604")</f>
        <v>REA-U0604</v>
      </c>
      <c r="B1501" s="3">
        <f ca="1">IFERROR(__xludf.DUMMYFUNCTION("""COMPUTED_VALUE"""),52420)</f>
        <v>52420</v>
      </c>
      <c r="C1501" s="3">
        <f ca="1">IFERROR(__xludf.DUMMYFUNCTION("""COMPUTED_VALUE"""),5902557398270)</f>
        <v>5902557398270</v>
      </c>
      <c r="D1501" s="4" t="str">
        <f ca="1">IFERROR(__xludf.DUMMYFUNCTION("""COMPUTED_VALUE"""),"UMYWALKA FONDA - NABLATOWA")</f>
        <v>UMYWALKA FONDA - NABLATOWA</v>
      </c>
      <c r="E1501" s="31">
        <v>47.829268292682933</v>
      </c>
      <c r="F1501" s="31">
        <f t="shared" si="23"/>
        <v>58.830000000000005</v>
      </c>
    </row>
    <row r="1502" spans="1:6" ht="18.75" customHeight="1" x14ac:dyDescent="0.25">
      <c r="A1502" s="2" t="str">
        <f ca="1">IFERROR(__xludf.DUMMYFUNCTION("""COMPUTED_VALUE"""),"REA-U6616")</f>
        <v>REA-U6616</v>
      </c>
      <c r="B1502" s="3">
        <f ca="1">IFERROR(__xludf.DUMMYFUNCTION("""COMPUTED_VALUE"""),54002)</f>
        <v>54002</v>
      </c>
      <c r="C1502" s="3">
        <f ca="1">IFERROR(__xludf.DUMMYFUNCTION("""COMPUTED_VALUE"""),5906366006357)</f>
        <v>5906366006357</v>
      </c>
      <c r="D1502" s="4" t="str">
        <f ca="1">IFERROR(__xludf.DUMMYFUNCTION("""COMPUTED_VALUE"""),"UMYWALKA FREJA - NABLATOWA")</f>
        <v>UMYWALKA FREJA - NABLATOWA</v>
      </c>
      <c r="E1502" s="31">
        <v>55.951219512195124</v>
      </c>
      <c r="F1502" s="31">
        <f t="shared" si="23"/>
        <v>68.820000000000007</v>
      </c>
    </row>
    <row r="1503" spans="1:6" ht="18.75" customHeight="1" x14ac:dyDescent="0.25">
      <c r="A1503" s="2" t="str">
        <f ca="1">IFERROR(__xludf.DUMMYFUNCTION("""COMPUTED_VALUE"""),"REA-U6647")</f>
        <v>REA-U6647</v>
      </c>
      <c r="B1503" s="3">
        <f ca="1">IFERROR(__xludf.DUMMYFUNCTION("""COMPUTED_VALUE"""),26978)</f>
        <v>26978</v>
      </c>
      <c r="C1503" s="3">
        <f ca="1">IFERROR(__xludf.DUMMYFUNCTION("""COMPUTED_VALUE"""),5902557335688)</f>
        <v>5902557335688</v>
      </c>
      <c r="D1503" s="4" t="str">
        <f ca="1">IFERROR(__xludf.DUMMYFUNCTION("""COMPUTED_VALUE"""),"UMYWALKA FREJA BEIGE - NABLATOWA")</f>
        <v>UMYWALKA FREJA BEIGE - NABLATOWA</v>
      </c>
      <c r="E1503" s="31">
        <v>92.048780487804876</v>
      </c>
      <c r="F1503" s="31">
        <f t="shared" si="23"/>
        <v>113.22</v>
      </c>
    </row>
    <row r="1504" spans="1:6" ht="18.75" customHeight="1" x14ac:dyDescent="0.25">
      <c r="A1504" s="2" t="str">
        <f ca="1">IFERROR(__xludf.DUMMYFUNCTION("""COMPUTED_VALUE"""),"REA-U5678")</f>
        <v>REA-U5678</v>
      </c>
      <c r="B1504" s="3">
        <f ca="1">IFERROR(__xludf.DUMMYFUNCTION("""COMPUTED_VALUE"""),42291)</f>
        <v>42291</v>
      </c>
      <c r="C1504" s="3">
        <f ca="1">IFERROR(__xludf.DUMMYFUNCTION("""COMPUTED_VALUE"""),5902557363957)</f>
        <v>5902557363957</v>
      </c>
      <c r="D1504" s="4" t="str">
        <f ca="1">IFERROR(__xludf.DUMMYFUNCTION("""COMPUTED_VALUE"""),"UMYWALKA FREJA BIANCO - NABLATOWA")</f>
        <v>UMYWALKA FREJA BIANCO - NABLATOWA</v>
      </c>
      <c r="E1504" s="31">
        <v>71.292682926829286</v>
      </c>
      <c r="F1504" s="31">
        <f t="shared" si="23"/>
        <v>87.690000000000026</v>
      </c>
    </row>
    <row r="1505" spans="1:6" ht="18.75" customHeight="1" x14ac:dyDescent="0.25">
      <c r="A1505" s="2" t="str">
        <f ca="1">IFERROR(__xludf.DUMMYFUNCTION("""COMPUTED_VALUE"""),"REA-U6648")</f>
        <v>REA-U6648</v>
      </c>
      <c r="B1505" s="3">
        <f ca="1">IFERROR(__xludf.DUMMYFUNCTION("""COMPUTED_VALUE"""),26976)</f>
        <v>26976</v>
      </c>
      <c r="C1505" s="3">
        <f ca="1">IFERROR(__xludf.DUMMYFUNCTION("""COMPUTED_VALUE"""),5902557335695)</f>
        <v>5902557335695</v>
      </c>
      <c r="D1505" s="4" t="str">
        <f ca="1">IFERROR(__xludf.DUMMYFUNCTION("""COMPUTED_VALUE"""),"UMYWALKA FREJA GREY - NABLATOWA")</f>
        <v>UMYWALKA FREJA GREY - NABLATOWA</v>
      </c>
      <c r="E1505" s="31">
        <v>94.756097560975633</v>
      </c>
      <c r="F1505" s="31">
        <f t="shared" si="23"/>
        <v>116.55000000000003</v>
      </c>
    </row>
    <row r="1506" spans="1:6" ht="18.75" customHeight="1" x14ac:dyDescent="0.25">
      <c r="A1506" s="2" t="str">
        <f ca="1">IFERROR(__xludf.DUMMYFUNCTION("""COMPUTED_VALUE"""),"Rea-u9154")</f>
        <v>Rea-u9154</v>
      </c>
      <c r="B1506" s="3">
        <f ca="1">IFERROR(__xludf.DUMMYFUNCTION("""COMPUTED_VALUE"""),42433)</f>
        <v>42433</v>
      </c>
      <c r="C1506" s="3">
        <f ca="1">IFERROR(__xludf.DUMMYFUNCTION("""COMPUTED_VALUE"""),5902557363940)</f>
        <v>5902557363940</v>
      </c>
      <c r="D1506" s="4" t="str">
        <f ca="1">IFERROR(__xludf.DUMMYFUNCTION("""COMPUTED_VALUE"""),"UMYWALKA FREJA IVORY - NABLATOWA")</f>
        <v>UMYWALKA FREJA IVORY - NABLATOWA</v>
      </c>
      <c r="E1506" s="31">
        <v>74.000000000000014</v>
      </c>
      <c r="F1506" s="31">
        <f t="shared" si="23"/>
        <v>91.02000000000001</v>
      </c>
    </row>
    <row r="1507" spans="1:6" ht="18.75" customHeight="1" x14ac:dyDescent="0.25">
      <c r="A1507" s="2" t="str">
        <f ca="1">IFERROR(__xludf.DUMMYFUNCTION("""COMPUTED_VALUE"""),"REA-U5071")</f>
        <v>REA-U5071</v>
      </c>
      <c r="B1507" s="3">
        <f ca="1">IFERROR(__xludf.DUMMYFUNCTION("""COMPUTED_VALUE"""),50133)</f>
        <v>50133</v>
      </c>
      <c r="C1507" s="3">
        <f ca="1">IFERROR(__xludf.DUMMYFUNCTION("""COMPUTED_VALUE"""),5902557383016)</f>
        <v>5902557383016</v>
      </c>
      <c r="D1507" s="4" t="str">
        <f ca="1">IFERROR(__xludf.DUMMYFUNCTION("""COMPUTED_VALUE"""),"UMYWALKA FROST BLACK - NABLATOWA")</f>
        <v>UMYWALKA FROST BLACK - NABLATOWA</v>
      </c>
      <c r="E1507" s="31">
        <v>156.12195121951223</v>
      </c>
      <c r="F1507" s="31">
        <f t="shared" si="23"/>
        <v>192.03000000000003</v>
      </c>
    </row>
    <row r="1508" spans="1:6" ht="18.75" customHeight="1" x14ac:dyDescent="0.25">
      <c r="A1508" s="2" t="str">
        <f ca="1">IFERROR(__xludf.DUMMYFUNCTION("""COMPUTED_VALUE"""),"REA-U0676")</f>
        <v>REA-U0676</v>
      </c>
      <c r="B1508" s="3"/>
      <c r="C1508" s="3">
        <f ca="1">IFERROR(__xludf.DUMMYFUNCTION("""COMPUTED_VALUE"""),5902557348701)</f>
        <v>5902557348701</v>
      </c>
      <c r="D1508" s="4" t="str">
        <f ca="1">IFERROR(__xludf.DUMMYFUNCTION("""COMPUTED_VALUE"""),"UMYWALKA GINA 50 - NABLATOWA")</f>
        <v>UMYWALKA GINA 50 - NABLATOWA</v>
      </c>
      <c r="E1508" s="31">
        <v>79.41463414634147</v>
      </c>
      <c r="F1508" s="31">
        <f t="shared" si="23"/>
        <v>97.68</v>
      </c>
    </row>
    <row r="1509" spans="1:6" ht="18.75" customHeight="1" x14ac:dyDescent="0.25">
      <c r="A1509" s="2" t="str">
        <f ca="1">IFERROR(__xludf.DUMMYFUNCTION("""COMPUTED_VALUE"""),"REA-U0677")</f>
        <v>REA-U0677</v>
      </c>
      <c r="B1509" s="3">
        <f ca="1">IFERROR(__xludf.DUMMYFUNCTION("""COMPUTED_VALUE"""),37759)</f>
        <v>37759</v>
      </c>
      <c r="C1509" s="3">
        <f ca="1">IFERROR(__xludf.DUMMYFUNCTION("""COMPUTED_VALUE"""),5902557348718)</f>
        <v>5902557348718</v>
      </c>
      <c r="D1509" s="4" t="str">
        <f ca="1">IFERROR(__xludf.DUMMYFUNCTION("""COMPUTED_VALUE"""),"UMYWALKA GINA 60 - NABLATOWA")</f>
        <v>UMYWALKA GINA 60 - NABLATOWA</v>
      </c>
      <c r="E1509" s="31">
        <v>89.341463414634148</v>
      </c>
      <c r="F1509" s="31">
        <f t="shared" si="23"/>
        <v>109.89</v>
      </c>
    </row>
    <row r="1510" spans="1:6" ht="18.75" customHeight="1" x14ac:dyDescent="0.25">
      <c r="A1510" s="2" t="str">
        <f ca="1">IFERROR(__xludf.DUMMYFUNCTION("""COMPUTED_VALUE"""),"REA-U9604")</f>
        <v>REA-U9604</v>
      </c>
      <c r="B1510" s="3"/>
      <c r="C1510" s="3">
        <f ca="1">IFERROR(__xludf.DUMMYFUNCTION("""COMPUTED_VALUE"""),5902557341894)</f>
        <v>5902557341894</v>
      </c>
      <c r="D1510" s="4" t="str">
        <f ca="1">IFERROR(__xludf.DUMMYFUNCTION("""COMPUTED_VALUE"""),"UMYWALKA GIZEL 50 - NABLATOWA")</f>
        <v>UMYWALKA GIZEL 50 - NABLATOWA</v>
      </c>
      <c r="E1510" s="31">
        <v>54.146341463414643</v>
      </c>
      <c r="F1510" s="31">
        <f t="shared" si="23"/>
        <v>66.600000000000009</v>
      </c>
    </row>
    <row r="1511" spans="1:6" ht="18.75" customHeight="1" x14ac:dyDescent="0.25">
      <c r="A1511" s="2" t="str">
        <f ca="1">IFERROR(__xludf.DUMMYFUNCTION("""COMPUTED_VALUE"""),"REA-U9612")</f>
        <v>REA-U9612</v>
      </c>
      <c r="B1511" s="3"/>
      <c r="C1511" s="3">
        <f ca="1">IFERROR(__xludf.DUMMYFUNCTION("""COMPUTED_VALUE"""),5902557341900)</f>
        <v>5902557341900</v>
      </c>
      <c r="D1511" s="4" t="str">
        <f ca="1">IFERROR(__xludf.DUMMYFUNCTION("""COMPUTED_VALUE"""),"UMYWALKA GIZEL 50 D.GREY MAT - NABLATOWA")</f>
        <v>UMYWALKA GIZEL 50 D.GREY MAT - NABLATOWA</v>
      </c>
      <c r="E1511" s="31">
        <v>106.48780487804879</v>
      </c>
      <c r="F1511" s="31">
        <f t="shared" si="23"/>
        <v>130.98000000000002</v>
      </c>
    </row>
    <row r="1512" spans="1:6" ht="18.75" customHeight="1" x14ac:dyDescent="0.25">
      <c r="A1512" s="2" t="str">
        <f ca="1">IFERROR(__xludf.DUMMYFUNCTION("""COMPUTED_VALUE"""),"REA-U9605")</f>
        <v>REA-U9605</v>
      </c>
      <c r="B1512" s="3">
        <f ca="1">IFERROR(__xludf.DUMMYFUNCTION("""COMPUTED_VALUE"""),30739)</f>
        <v>30739</v>
      </c>
      <c r="C1512" s="3">
        <f ca="1">IFERROR(__xludf.DUMMYFUNCTION("""COMPUTED_VALUE"""),5902557341917)</f>
        <v>5902557341917</v>
      </c>
      <c r="D1512" s="4" t="str">
        <f ca="1">IFERROR(__xludf.DUMMYFUNCTION("""COMPUTED_VALUE"""),"UMYWALKA GIZEL 60 - NABLATOWA")</f>
        <v>UMYWALKA GIZEL 60 - NABLATOWA</v>
      </c>
      <c r="E1512" s="31">
        <v>66.780487804878049</v>
      </c>
      <c r="F1512" s="31">
        <f t="shared" si="23"/>
        <v>82.14</v>
      </c>
    </row>
    <row r="1513" spans="1:6" ht="18.75" customHeight="1" x14ac:dyDescent="0.25">
      <c r="A1513" s="2" t="str">
        <f ca="1">IFERROR(__xludf.DUMMYFUNCTION("""COMPUTED_VALUE"""),"REA-U8536")</f>
        <v>REA-U8536</v>
      </c>
      <c r="B1513" s="3">
        <f ca="1">IFERROR(__xludf.DUMMYFUNCTION("""COMPUTED_VALUE"""),36865)</f>
        <v>36865</v>
      </c>
      <c r="C1513" s="3">
        <f ca="1">IFERROR(__xludf.DUMMYFUNCTION("""COMPUTED_VALUE"""),5902557348725)</f>
        <v>5902557348725</v>
      </c>
      <c r="D1513" s="4" t="str">
        <f ca="1">IFERROR(__xludf.DUMMYFUNCTION("""COMPUTED_VALUE"""),"UMYWALKA GRETA 55 - NABLATOWA")</f>
        <v>UMYWALKA GRETA 55 - NABLATOWA</v>
      </c>
      <c r="E1513" s="31">
        <v>74</v>
      </c>
      <c r="F1513" s="31">
        <f t="shared" si="23"/>
        <v>91.02</v>
      </c>
    </row>
    <row r="1514" spans="1:6" ht="18.75" customHeight="1" x14ac:dyDescent="0.25">
      <c r="A1514" s="2" t="str">
        <f ca="1">IFERROR(__xludf.DUMMYFUNCTION("""COMPUTED_VALUE"""),"REA-U8537")</f>
        <v>REA-U8537</v>
      </c>
      <c r="B1514" s="3">
        <f ca="1">IFERROR(__xludf.DUMMYFUNCTION("""COMPUTED_VALUE"""),36862)</f>
        <v>36862</v>
      </c>
      <c r="C1514" s="3">
        <f ca="1">IFERROR(__xludf.DUMMYFUNCTION("""COMPUTED_VALUE"""),5902557348732)</f>
        <v>5902557348732</v>
      </c>
      <c r="D1514" s="4" t="str">
        <f ca="1">IFERROR(__xludf.DUMMYFUNCTION("""COMPUTED_VALUE"""),"UMYWALKA GRETA 65 - NABLATOWA")</f>
        <v>UMYWALKA GRETA 65 - NABLATOWA</v>
      </c>
      <c r="E1514" s="31">
        <v>80.317073170731717</v>
      </c>
      <c r="F1514" s="31">
        <f t="shared" si="23"/>
        <v>98.79</v>
      </c>
    </row>
    <row r="1515" spans="1:6" ht="18.75" customHeight="1" x14ac:dyDescent="0.25">
      <c r="A1515" s="2" t="str">
        <f ca="1">IFERROR(__xludf.DUMMYFUNCTION("""COMPUTED_VALUE"""),"REA-U6501")</f>
        <v>REA-U6501</v>
      </c>
      <c r="B1515" s="3">
        <f ca="1">IFERROR(__xludf.DUMMYFUNCTION("""COMPUTED_VALUE"""),49860)</f>
        <v>49860</v>
      </c>
      <c r="C1515" s="3">
        <f ca="1">IFERROR(__xludf.DUMMYFUNCTION("""COMPUTED_VALUE"""),5902557381425)</f>
        <v>5902557381425</v>
      </c>
      <c r="D1515" s="4" t="str">
        <f ca="1">IFERROR(__xludf.DUMMYFUNCTION("""COMPUTED_VALUE"""),"UMYWALKA GRETA 65 BIANCO SHINY - NABLATOWA")</f>
        <v>UMYWALKA GRETA 65 BIANCO SHINY - NABLATOWA</v>
      </c>
      <c r="E1515" s="31">
        <v>97.463414634146361</v>
      </c>
      <c r="F1515" s="31">
        <f t="shared" si="23"/>
        <v>119.88000000000002</v>
      </c>
    </row>
    <row r="1516" spans="1:6" ht="18.75" customHeight="1" x14ac:dyDescent="0.25">
      <c r="A1516" s="2" t="str">
        <f ca="1">IFERROR(__xludf.DUMMYFUNCTION("""COMPUTED_VALUE"""),"REA-U6500")</f>
        <v>REA-U6500</v>
      </c>
      <c r="B1516" s="3">
        <f ca="1">IFERROR(__xludf.DUMMYFUNCTION("""COMPUTED_VALUE"""),49857)</f>
        <v>49857</v>
      </c>
      <c r="C1516" s="3">
        <f ca="1">IFERROR(__xludf.DUMMYFUNCTION("""COMPUTED_VALUE"""),5902557381418)</f>
        <v>5902557381418</v>
      </c>
      <c r="D1516" s="4" t="str">
        <f ca="1">IFERROR(__xludf.DUMMYFUNCTION("""COMPUTED_VALUE"""),"UMYWALKA GRETA 65 THUNDER SHINY - NABLATOWA")</f>
        <v>UMYWALKA GRETA 65 THUNDER SHINY - NABLATOWA</v>
      </c>
      <c r="E1516" s="31">
        <v>97.463414634146361</v>
      </c>
      <c r="F1516" s="31">
        <f t="shared" si="23"/>
        <v>119.88000000000002</v>
      </c>
    </row>
    <row r="1517" spans="1:6" ht="18.75" customHeight="1" x14ac:dyDescent="0.25">
      <c r="A1517" s="2" t="str">
        <f ca="1">IFERROR(__xludf.DUMMYFUNCTION("""COMPUTED_VALUE"""),"REA-U1500")</f>
        <v>REA-U1500</v>
      </c>
      <c r="B1517" s="3">
        <f ca="1">IFERROR(__xludf.DUMMYFUNCTION("""COMPUTED_VALUE"""),1702)</f>
        <v>1702</v>
      </c>
      <c r="C1517" s="3">
        <f ca="1">IFERROR(__xludf.DUMMYFUNCTION("""COMPUTED_VALUE"""),5902557322879)</f>
        <v>5902557322879</v>
      </c>
      <c r="D1517" s="4" t="str">
        <f ca="1">IFERROR(__xludf.DUMMYFUNCTION("""COMPUTED_VALUE"""),"UMYWALKA GRETA 75 - NABLATOWA")</f>
        <v>UMYWALKA GRETA 75 - NABLATOWA</v>
      </c>
      <c r="E1517" s="31">
        <v>109.19512195121952</v>
      </c>
      <c r="F1517" s="31">
        <f t="shared" si="23"/>
        <v>134.31</v>
      </c>
    </row>
    <row r="1518" spans="1:6" ht="18.75" customHeight="1" x14ac:dyDescent="0.25">
      <c r="A1518" s="2" t="str">
        <f ca="1">IFERROR(__xludf.DUMMYFUNCTION("""COMPUTED_VALUE"""),"REA-U1951")</f>
        <v>REA-U1951</v>
      </c>
      <c r="B1518" s="3"/>
      <c r="C1518" s="3">
        <f ca="1">IFERROR(__xludf.DUMMYFUNCTION("""COMPUTED_VALUE"""),5902557327324)</f>
        <v>5902557327324</v>
      </c>
      <c r="D1518" s="4" t="str">
        <f ca="1">IFERROR(__xludf.DUMMYFUNCTION("""COMPUTED_VALUE"""),"UMYWALKA HANA SLIM - NABLATOWA")</f>
        <v>UMYWALKA HANA SLIM - NABLATOWA</v>
      </c>
      <c r="E1518" s="31">
        <v>81.219512195121965</v>
      </c>
      <c r="F1518" s="31">
        <f t="shared" si="23"/>
        <v>99.90000000000002</v>
      </c>
    </row>
    <row r="1519" spans="1:6" ht="18.75" customHeight="1" x14ac:dyDescent="0.25">
      <c r="A1519" s="2" t="str">
        <f ca="1">IFERROR(__xludf.DUMMYFUNCTION("""COMPUTED_VALUE"""),"REA-U6978")</f>
        <v>REA-U6978</v>
      </c>
      <c r="B1519" s="3">
        <f ca="1">IFERROR(__xludf.DUMMYFUNCTION("""COMPUTED_VALUE"""),41912)</f>
        <v>41912</v>
      </c>
      <c r="C1519" s="3">
        <f ca="1">IFERROR(__xludf.DUMMYFUNCTION("""COMPUTED_VALUE"""),5902557358472)</f>
        <v>5902557358472</v>
      </c>
      <c r="D1519" s="4" t="str">
        <f ca="1">IFERROR(__xludf.DUMMYFUNCTION("""COMPUTED_VALUE"""),"UMYWALKA HELEN - NABLATOWA")</f>
        <v>UMYWALKA HELEN - NABLATOWA</v>
      </c>
      <c r="E1519" s="31">
        <v>103.78048780487806</v>
      </c>
      <c r="F1519" s="31">
        <f t="shared" si="23"/>
        <v>127.65000000000002</v>
      </c>
    </row>
    <row r="1520" spans="1:6" ht="18.75" customHeight="1" x14ac:dyDescent="0.25">
      <c r="A1520" s="2" t="str">
        <f ca="1">IFERROR(__xludf.DUMMYFUNCTION("""COMPUTED_VALUE"""),"REA-U8005")</f>
        <v>REA-U8005</v>
      </c>
      <c r="B1520" s="3">
        <f ca="1">IFERROR(__xludf.DUMMYFUNCTION("""COMPUTED_VALUE"""),49022)</f>
        <v>49022</v>
      </c>
      <c r="C1520" s="3">
        <f ca="1">IFERROR(__xludf.DUMMYFUNCTION("""COMPUTED_VALUE"""),5902557376766)</f>
        <v>5902557376766</v>
      </c>
      <c r="D1520" s="4" t="str">
        <f ca="1">IFERROR(__xludf.DUMMYFUNCTION("""COMPUTED_VALUE"""),"UMYWALKA HOLLY - WOLNOSTOJĄCA")</f>
        <v>UMYWALKA HOLLY - WOLNOSTOJĄCA</v>
      </c>
      <c r="E1520" s="31">
        <v>291.48780487804885</v>
      </c>
      <c r="F1520" s="31">
        <f t="shared" si="23"/>
        <v>358.53000000000009</v>
      </c>
    </row>
    <row r="1521" spans="1:6" ht="18.75" customHeight="1" x14ac:dyDescent="0.25">
      <c r="A1521" s="2" t="str">
        <f ca="1">IFERROR(__xludf.DUMMYFUNCTION("""COMPUTED_VALUE"""),"REA-U4120")</f>
        <v>REA-U4120</v>
      </c>
      <c r="B1521" s="3">
        <f ca="1">IFERROR(__xludf.DUMMYFUNCTION("""COMPUTED_VALUE"""),50659)</f>
        <v>50659</v>
      </c>
      <c r="C1521" s="3">
        <f ca="1">IFERROR(__xludf.DUMMYFUNCTION("""COMPUTED_VALUE"""),5902557387328)</f>
        <v>5902557387328</v>
      </c>
      <c r="D1521" s="4" t="str">
        <f ca="1">IFERROR(__xludf.DUMMYFUNCTION("""COMPUTED_VALUE"""),"UMYWALKA HOPE - WOLNOSTOJĄCA")</f>
        <v>UMYWALKA HOPE - WOLNOSTOJĄCA</v>
      </c>
      <c r="E1521" s="31">
        <v>249.97560975609761</v>
      </c>
      <c r="F1521" s="31">
        <f t="shared" si="23"/>
        <v>307.47000000000008</v>
      </c>
    </row>
    <row r="1522" spans="1:6" ht="18.75" customHeight="1" x14ac:dyDescent="0.25">
      <c r="A1522" s="2" t="str">
        <f ca="1">IFERROR(__xludf.DUMMYFUNCTION("""COMPUTED_VALUE"""),"REA-U6660")</f>
        <v>REA-U6660</v>
      </c>
      <c r="B1522" s="3">
        <f ca="1">IFERROR(__xludf.DUMMYFUNCTION("""COMPUTED_VALUE"""),49766)</f>
        <v>49766</v>
      </c>
      <c r="C1522" s="3">
        <f ca="1">IFERROR(__xludf.DUMMYFUNCTION("""COMPUTED_VALUE"""),5902557383009)</f>
        <v>5902557383009</v>
      </c>
      <c r="D1522" s="4" t="str">
        <f ca="1">IFERROR(__xludf.DUMMYFUNCTION("""COMPUTED_VALUE"""),"UMYWALKA ICE BLACK - NABLATOWA")</f>
        <v>UMYWALKA ICE BLACK - NABLATOWA</v>
      </c>
      <c r="E1522" s="31">
        <v>151.60975609756099</v>
      </c>
      <c r="F1522" s="31">
        <f t="shared" si="23"/>
        <v>186.48000000000002</v>
      </c>
    </row>
    <row r="1523" spans="1:6" ht="18.75" customHeight="1" x14ac:dyDescent="0.25">
      <c r="A1523" s="2" t="str">
        <f ca="1">IFERROR(__xludf.DUMMYFUNCTION("""COMPUTED_VALUE"""),"REA-U5070")</f>
        <v>REA-U5070</v>
      </c>
      <c r="B1523" s="3">
        <f ca="1">IFERROR(__xludf.DUMMYFUNCTION("""COMPUTED_VALUE"""),50132)</f>
        <v>50132</v>
      </c>
      <c r="C1523" s="3">
        <f ca="1">IFERROR(__xludf.DUMMYFUNCTION("""COMPUTED_VALUE"""),5902557382996)</f>
        <v>5902557382996</v>
      </c>
      <c r="D1523" s="4" t="str">
        <f ca="1">IFERROR(__xludf.DUMMYFUNCTION("""COMPUTED_VALUE"""),"UMYWALKA ICE TRANSPARENT - NABLATOWA")</f>
        <v>UMYWALKA ICE TRANSPARENT - NABLATOWA</v>
      </c>
      <c r="E1523" s="31">
        <v>141.6829268292683</v>
      </c>
      <c r="F1523" s="31">
        <f t="shared" si="23"/>
        <v>174.27</v>
      </c>
    </row>
    <row r="1524" spans="1:6" ht="18.75" customHeight="1" x14ac:dyDescent="0.25">
      <c r="A1524" s="2" t="str">
        <f ca="1">IFERROR(__xludf.DUMMYFUNCTION("""COMPUTED_VALUE"""),"REA-U7400")</f>
        <v>REA-U7400</v>
      </c>
      <c r="B1524" s="3">
        <f ca="1">IFERROR(__xludf.DUMMYFUNCTION("""COMPUTED_VALUE"""),23825)</f>
        <v>23825</v>
      </c>
      <c r="C1524" s="3">
        <f ca="1">IFERROR(__xludf.DUMMYFUNCTION("""COMPUTED_VALUE"""),5902557332595)</f>
        <v>5902557332595</v>
      </c>
      <c r="D1524" s="4" t="str">
        <f ca="1">IFERROR(__xludf.DUMMYFUNCTION("""COMPUTED_VALUE"""),"UMYWALKA IDA - NABLATOWA")</f>
        <v>UMYWALKA IDA - NABLATOWA</v>
      </c>
      <c r="E1524" s="31">
        <v>47.829268292682933</v>
      </c>
      <c r="F1524" s="31">
        <f t="shared" si="23"/>
        <v>58.830000000000005</v>
      </c>
    </row>
    <row r="1525" spans="1:6" ht="18.75" customHeight="1" x14ac:dyDescent="0.25">
      <c r="A1525" s="2" t="str">
        <f ca="1">IFERROR(__xludf.DUMMYFUNCTION("""COMPUTED_VALUE"""),"REA-U7401")</f>
        <v>REA-U7401</v>
      </c>
      <c r="B1525" s="3">
        <f ca="1">IFERROR(__xludf.DUMMYFUNCTION("""COMPUTED_VALUE"""),23928)</f>
        <v>23928</v>
      </c>
      <c r="C1525" s="3">
        <f ca="1">IFERROR(__xludf.DUMMYFUNCTION("""COMPUTED_VALUE"""),5902557332588)</f>
        <v>5902557332588</v>
      </c>
      <c r="D1525" s="4" t="str">
        <f ca="1">IFERROR(__xludf.DUMMYFUNCTION("""COMPUTED_VALUE"""),"UMYWALKA IDA ROSE GOLD - NABLATOWA")</f>
        <v>UMYWALKA IDA ROSE GOLD - NABLATOWA</v>
      </c>
      <c r="E1525" s="31">
        <v>111.90243902439025</v>
      </c>
      <c r="F1525" s="31">
        <f t="shared" si="23"/>
        <v>137.64000000000001</v>
      </c>
    </row>
    <row r="1526" spans="1:6" ht="18.75" customHeight="1" x14ac:dyDescent="0.25">
      <c r="A1526" s="2" t="str">
        <f ca="1">IFERROR(__xludf.DUMMYFUNCTION("""COMPUTED_VALUE"""),"REA-U1003")</f>
        <v>REA-U1003</v>
      </c>
      <c r="B1526" s="3">
        <f ca="1">IFERROR(__xludf.DUMMYFUNCTION("""COMPUTED_VALUE"""),1682)</f>
        <v>1682</v>
      </c>
      <c r="C1526" s="3">
        <f ca="1">IFERROR(__xludf.DUMMYFUNCTION("""COMPUTED_VALUE"""),5902557315888)</f>
        <v>5902557315888</v>
      </c>
      <c r="D1526" s="4" t="str">
        <f ca="1">IFERROR(__xludf.DUMMYFUNCTION("""COMPUTED_VALUE"""),"UMYWALKA IMPERO 2N - NABLATOWA")</f>
        <v>UMYWALKA IMPERO 2N - NABLATOWA</v>
      </c>
      <c r="E1526" s="31">
        <v>26.170731707317078</v>
      </c>
      <c r="F1526" s="31">
        <f t="shared" si="23"/>
        <v>32.190000000000005</v>
      </c>
    </row>
    <row r="1527" spans="1:6" ht="18.75" customHeight="1" x14ac:dyDescent="0.25">
      <c r="A1527" s="2" t="str">
        <f ca="1">IFERROR(__xludf.DUMMYFUNCTION("""COMPUTED_VALUE"""),"REA-U3401")</f>
        <v>REA-U3401</v>
      </c>
      <c r="B1527" s="3">
        <f ca="1">IFERROR(__xludf.DUMMYFUNCTION("""COMPUTED_VALUE"""),42863)</f>
        <v>42863</v>
      </c>
      <c r="C1527" s="3">
        <f ca="1">IFERROR(__xludf.DUMMYFUNCTION("""COMPUTED_VALUE"""),5902557367313)</f>
        <v>5902557367313</v>
      </c>
      <c r="D1527" s="4" t="str">
        <f ca="1">IFERROR(__xludf.DUMMYFUNCTION("""COMPUTED_VALUE"""),"UMYWALKA INFINITY BLACK - NABLATOWA")</f>
        <v>UMYWALKA INFINITY BLACK - NABLATOWA</v>
      </c>
      <c r="E1527" s="31">
        <v>148.90243902439028</v>
      </c>
      <c r="F1527" s="31">
        <f t="shared" si="23"/>
        <v>183.15000000000003</v>
      </c>
    </row>
    <row r="1528" spans="1:6" ht="18.75" customHeight="1" x14ac:dyDescent="0.25">
      <c r="A1528" s="2" t="str">
        <f ca="1">IFERROR(__xludf.DUMMYFUNCTION("""COMPUTED_VALUE"""),"REA-U3402")</f>
        <v>REA-U3402</v>
      </c>
      <c r="B1528" s="3">
        <f ca="1">IFERROR(__xludf.DUMMYFUNCTION("""COMPUTED_VALUE"""),44335)</f>
        <v>44335</v>
      </c>
      <c r="C1528" s="3">
        <f ca="1">IFERROR(__xludf.DUMMYFUNCTION("""COMPUTED_VALUE"""),5902557367320)</f>
        <v>5902557367320</v>
      </c>
      <c r="D1528" s="4" t="str">
        <f ca="1">IFERROR(__xludf.DUMMYFUNCTION("""COMPUTED_VALUE"""),"UMYWALKA INFINITY GOLD/BLACK - NABLATOWA")</f>
        <v>UMYWALKA INFINITY GOLD/BLACK - NABLATOWA</v>
      </c>
      <c r="E1528" s="31">
        <v>148.90243902439028</v>
      </c>
      <c r="F1528" s="31">
        <f t="shared" si="23"/>
        <v>183.15000000000003</v>
      </c>
    </row>
    <row r="1529" spans="1:6" ht="18.75" customHeight="1" x14ac:dyDescent="0.25">
      <c r="A1529" s="2" t="str">
        <f ca="1">IFERROR(__xludf.DUMMYFUNCTION("""COMPUTED_VALUE"""),"REA-U3400")</f>
        <v>REA-U3400</v>
      </c>
      <c r="B1529" s="3">
        <f ca="1">IFERROR(__xludf.DUMMYFUNCTION("""COMPUTED_VALUE"""),42862)</f>
        <v>42862</v>
      </c>
      <c r="C1529" s="3">
        <f ca="1">IFERROR(__xludf.DUMMYFUNCTION("""COMPUTED_VALUE"""),5902557367306)</f>
        <v>5902557367306</v>
      </c>
      <c r="D1529" s="4" t="str">
        <f ca="1">IFERROR(__xludf.DUMMYFUNCTION("""COMPUTED_VALUE"""),"UMYWALKA INFINITY GOLD/WHITE - NABLATOWA")</f>
        <v>UMYWALKA INFINITY GOLD/WHITE - NABLATOWA</v>
      </c>
      <c r="E1529" s="31">
        <v>152.51219512195124</v>
      </c>
      <c r="F1529" s="31">
        <f t="shared" si="23"/>
        <v>187.59000000000003</v>
      </c>
    </row>
    <row r="1530" spans="1:6" ht="18.75" customHeight="1" x14ac:dyDescent="0.25">
      <c r="A1530" s="2" t="str">
        <f ca="1">IFERROR(__xludf.DUMMYFUNCTION("""COMPUTED_VALUE"""),"REA-U1022")</f>
        <v>REA-U1022</v>
      </c>
      <c r="B1530" s="3">
        <f ca="1">IFERROR(__xludf.DUMMYFUNCTION("""COMPUTED_VALUE"""),41605)</f>
        <v>41605</v>
      </c>
      <c r="C1530" s="3">
        <f ca="1">IFERROR(__xludf.DUMMYFUNCTION("""COMPUTED_VALUE"""),5902557355471)</f>
        <v>5902557355471</v>
      </c>
      <c r="D1530" s="4" t="str">
        <f ca="1">IFERROR(__xludf.DUMMYFUNCTION("""COMPUTED_VALUE"""),"UMYWALKA INGA - NABLATOWA")</f>
        <v>UMYWALKA INGA - NABLATOWA</v>
      </c>
      <c r="E1530" s="31">
        <v>72.195121951219519</v>
      </c>
      <c r="F1530" s="31">
        <f t="shared" si="23"/>
        <v>88.800000000000011</v>
      </c>
    </row>
    <row r="1531" spans="1:6" ht="18.75" customHeight="1" x14ac:dyDescent="0.25">
      <c r="A1531" s="2" t="str">
        <f ca="1">IFERROR(__xludf.DUMMYFUNCTION("""COMPUTED_VALUE"""),"REA-U8006")</f>
        <v>REA-U8006</v>
      </c>
      <c r="B1531" s="3">
        <f ca="1">IFERROR(__xludf.DUMMYFUNCTION("""COMPUTED_VALUE"""),48055)</f>
        <v>48055</v>
      </c>
      <c r="C1531" s="3">
        <f ca="1">IFERROR(__xludf.DUMMYFUNCTION("""COMPUTED_VALUE"""),5902557376551)</f>
        <v>5902557376551</v>
      </c>
      <c r="D1531" s="4" t="str">
        <f ca="1">IFERROR(__xludf.DUMMYFUNCTION("""COMPUTED_VALUE"""),"UMYWALKA INGA BLACK MARBLE MATT- NABLATOWA")</f>
        <v>UMYWALKA INGA BLACK MARBLE MATT- NABLATOWA</v>
      </c>
      <c r="E1531" s="31">
        <v>96.560975609756113</v>
      </c>
      <c r="F1531" s="31">
        <f t="shared" si="23"/>
        <v>118.77000000000002</v>
      </c>
    </row>
    <row r="1532" spans="1:6" ht="18.75" customHeight="1" x14ac:dyDescent="0.25">
      <c r="A1532" s="2" t="str">
        <f ca="1">IFERROR(__xludf.DUMMYFUNCTION("""COMPUTED_VALUE"""),"REA-U6800")</f>
        <v>REA-U6800</v>
      </c>
      <c r="B1532" s="3">
        <f ca="1">IFERROR(__xludf.DUMMYFUNCTION("""COMPUTED_VALUE"""),53517)</f>
        <v>53517</v>
      </c>
      <c r="C1532" s="3">
        <f ca="1">IFERROR(__xludf.DUMMYFUNCTION("""COMPUTED_VALUE"""),5902557398591)</f>
        <v>5902557398591</v>
      </c>
      <c r="D1532" s="4" t="str">
        <f ca="1">IFERROR(__xludf.DUMMYFUNCTION("""COMPUTED_VALUE"""),"UMYWALKA INGRID BLACK - NABLATOWA")</f>
        <v>UMYWALKA INGRID BLACK - NABLATOWA</v>
      </c>
      <c r="E1532" s="31">
        <v>138.07317073170734</v>
      </c>
      <c r="F1532" s="31">
        <f t="shared" si="23"/>
        <v>169.83</v>
      </c>
    </row>
    <row r="1533" spans="1:6" ht="18.75" customHeight="1" x14ac:dyDescent="0.25">
      <c r="A1533" s="2" t="str">
        <f ca="1">IFERROR(__xludf.DUMMYFUNCTION("""COMPUTED_VALUE"""),"REA-U0279")</f>
        <v>REA-U0279</v>
      </c>
      <c r="B1533" s="3">
        <f ca="1">IFERROR(__xludf.DUMMYFUNCTION("""COMPUTED_VALUE"""),50279)</f>
        <v>50279</v>
      </c>
      <c r="C1533" s="3">
        <f ca="1">IFERROR(__xludf.DUMMYFUNCTION("""COMPUTED_VALUE"""),5902557386307)</f>
        <v>5902557386307</v>
      </c>
      <c r="D1533" s="4" t="str">
        <f ca="1">IFERROR(__xludf.DUMMYFUNCTION("""COMPUTED_VALUE"""),"UMYWALKA INGRID GREY - NABLATOWA")</f>
        <v>UMYWALKA INGRID GREY - NABLATOWA</v>
      </c>
      <c r="E1533" s="31">
        <v>127.24390243902441</v>
      </c>
      <c r="F1533" s="31">
        <f t="shared" si="23"/>
        <v>156.51000000000002</v>
      </c>
    </row>
    <row r="1534" spans="1:6" ht="18.75" customHeight="1" x14ac:dyDescent="0.25">
      <c r="A1534" s="2" t="str">
        <f ca="1">IFERROR(__xludf.DUMMYFUNCTION("""COMPUTED_VALUE"""),"REA-U0278")</f>
        <v>REA-U0278</v>
      </c>
      <c r="B1534" s="3">
        <f ca="1">IFERROR(__xludf.DUMMYFUNCTION("""COMPUTED_VALUE"""),50277)</f>
        <v>50277</v>
      </c>
      <c r="C1534" s="3">
        <f ca="1">IFERROR(__xludf.DUMMYFUNCTION("""COMPUTED_VALUE"""),5902557386291)</f>
        <v>5902557386291</v>
      </c>
      <c r="D1534" s="4" t="str">
        <f ca="1">IFERROR(__xludf.DUMMYFUNCTION("""COMPUTED_VALUE"""),"UMYWALKA INGRID TRANSPARENT - NABLATOWA")</f>
        <v>UMYWALKA INGRID TRANSPARENT - NABLATOWA</v>
      </c>
      <c r="E1534" s="31">
        <v>127.24390243902441</v>
      </c>
      <c r="F1534" s="31">
        <f t="shared" si="23"/>
        <v>156.51000000000002</v>
      </c>
    </row>
    <row r="1535" spans="1:6" ht="18.75" customHeight="1" x14ac:dyDescent="0.25">
      <c r="A1535" s="2" t="str">
        <f ca="1">IFERROR(__xludf.DUMMYFUNCTION("""COMPUTED_VALUE"""),"REA-U4305")</f>
        <v>REA-U4305</v>
      </c>
      <c r="B1535" s="3">
        <f ca="1">IFERROR(__xludf.DUMMYFUNCTION("""COMPUTED_VALUE"""),53971)</f>
        <v>53971</v>
      </c>
      <c r="C1535" s="3">
        <f ca="1">IFERROR(__xludf.DUMMYFUNCTION("""COMPUTED_VALUE"""),5906366005855)</f>
        <v>5906366005855</v>
      </c>
      <c r="D1535" s="4" t="str">
        <f ca="1">IFERROR(__xludf.DUMMYFUNCTION("""COMPUTED_VALUE"""),"UMYWALKA IRIS 71 - NABLATOWA")</f>
        <v>UMYWALKA IRIS 71 - NABLATOWA</v>
      </c>
      <c r="E1535" s="31">
        <v>131.75609756097563</v>
      </c>
      <c r="F1535" s="31">
        <f t="shared" si="23"/>
        <v>162.06000000000003</v>
      </c>
    </row>
    <row r="1536" spans="1:6" ht="18.75" customHeight="1" x14ac:dyDescent="0.25">
      <c r="A1536" s="2" t="str">
        <f ca="1">IFERROR(__xludf.DUMMYFUNCTION("""COMPUTED_VALUE"""),"REA-U4306")</f>
        <v>REA-U4306</v>
      </c>
      <c r="B1536" s="3">
        <f ca="1">IFERROR(__xludf.DUMMYFUNCTION("""COMPUTED_VALUE"""),53969)</f>
        <v>53969</v>
      </c>
      <c r="C1536" s="3">
        <f ca="1">IFERROR(__xludf.DUMMYFUNCTION("""COMPUTED_VALUE"""),5906366005862)</f>
        <v>5906366005862</v>
      </c>
      <c r="D1536" s="4" t="str">
        <f ca="1">IFERROR(__xludf.DUMMYFUNCTION("""COMPUTED_VALUE"""),"UMYWALKA IRIS 71 GREY MATT - NABLATOWA")</f>
        <v>UMYWALKA IRIS 71 GREY MATT - NABLATOWA</v>
      </c>
      <c r="E1536" s="31">
        <v>157.02439024390245</v>
      </c>
      <c r="F1536" s="31">
        <f t="shared" si="23"/>
        <v>193.14000000000001</v>
      </c>
    </row>
    <row r="1537" spans="1:6" ht="18.75" customHeight="1" x14ac:dyDescent="0.25">
      <c r="A1537" s="2" t="str">
        <f ca="1">IFERROR(__xludf.DUMMYFUNCTION("""COMPUTED_VALUE"""),"REA-U3624")</f>
        <v>REA-U3624</v>
      </c>
      <c r="B1537" s="3"/>
      <c r="C1537" s="3">
        <f ca="1">IFERROR(__xludf.DUMMYFUNCTION("""COMPUTED_VALUE"""),5902557360130)</f>
        <v>5902557360130</v>
      </c>
      <c r="D1537" s="4" t="str">
        <f ca="1">IFERROR(__xludf.DUMMYFUNCTION("""COMPUTED_VALUE"""),"UMYWALKA JASPER - NABLATOWA ŚCIENNA")</f>
        <v>UMYWALKA JASPER - NABLATOWA ŚCIENNA</v>
      </c>
      <c r="E1537" s="31">
        <v>53.243902439024396</v>
      </c>
      <c r="F1537" s="31">
        <f t="shared" si="23"/>
        <v>65.490000000000009</v>
      </c>
    </row>
    <row r="1538" spans="1:6" ht="18.75" customHeight="1" x14ac:dyDescent="0.25">
      <c r="A1538" s="2" t="str">
        <f ca="1">IFERROR(__xludf.DUMMYFUNCTION("""COMPUTED_VALUE"""),"REA-U9652")</f>
        <v>REA-U9652</v>
      </c>
      <c r="B1538" s="3">
        <f ca="1">IFERROR(__xludf.DUMMYFUNCTION("""COMPUTED_VALUE"""),28195)</f>
        <v>28195</v>
      </c>
      <c r="C1538" s="3">
        <f ca="1">IFERROR(__xludf.DUMMYFUNCTION("""COMPUTED_VALUE"""),5902557336104)</f>
        <v>5902557336104</v>
      </c>
      <c r="D1538" s="4" t="str">
        <f ca="1">IFERROR(__xludf.DUMMYFUNCTION("""COMPUTED_VALUE"""),"UMYWALKA JENNY - NABLATOWA")</f>
        <v>UMYWALKA JENNY - NABLATOWA</v>
      </c>
      <c r="E1538" s="31">
        <v>121.82926829268295</v>
      </c>
      <c r="F1538" s="31">
        <f t="shared" ref="F1538:F1601" si="24">E1538*1.23</f>
        <v>149.85000000000002</v>
      </c>
    </row>
    <row r="1539" spans="1:6" ht="18.75" customHeight="1" x14ac:dyDescent="0.25">
      <c r="A1539" s="2" t="str">
        <f ca="1">IFERROR(__xludf.DUMMYFUNCTION("""COMPUTED_VALUE"""),"REA-U0273")</f>
        <v>REA-U0273</v>
      </c>
      <c r="B1539" s="3">
        <f ca="1">IFERROR(__xludf.DUMMYFUNCTION("""COMPUTED_VALUE"""),50273)</f>
        <v>50273</v>
      </c>
      <c r="C1539" s="3">
        <f ca="1">IFERROR(__xludf.DUMMYFUNCTION("""COMPUTED_VALUE"""),5902557386437)</f>
        <v>5902557386437</v>
      </c>
      <c r="D1539" s="4" t="str">
        <f ca="1">IFERROR(__xludf.DUMMYFUNCTION("""COMPUTED_VALUE"""),"UMYWALKA JODI - NABLATOWA")</f>
        <v>UMYWALKA JODI - NABLATOWA</v>
      </c>
      <c r="E1539" s="31">
        <v>156.12195121951223</v>
      </c>
      <c r="F1539" s="31">
        <f t="shared" si="24"/>
        <v>192.03000000000003</v>
      </c>
    </row>
    <row r="1540" spans="1:6" ht="18.75" customHeight="1" x14ac:dyDescent="0.25">
      <c r="A1540" s="2" t="str">
        <f ca="1">IFERROR(__xludf.DUMMYFUNCTION("""COMPUTED_VALUE"""),"REA-U8606")</f>
        <v>REA-U8606</v>
      </c>
      <c r="B1540" s="3">
        <f ca="1">IFERROR(__xludf.DUMMYFUNCTION("""COMPUTED_VALUE"""),29033)</f>
        <v>29033</v>
      </c>
      <c r="C1540" s="3">
        <f ca="1">IFERROR(__xludf.DUMMYFUNCTION("""COMPUTED_VALUE"""),5902557336159)</f>
        <v>5902557336159</v>
      </c>
      <c r="D1540" s="4" t="str">
        <f ca="1">IFERROR(__xludf.DUMMYFUNCTION("""COMPUTED_VALUE"""),"UMYWALKA JOVITA - NABLATOWA")</f>
        <v>UMYWALKA JOVITA - NABLATOWA</v>
      </c>
      <c r="E1540" s="31">
        <v>114.60975609756099</v>
      </c>
      <c r="F1540" s="31">
        <f t="shared" si="24"/>
        <v>140.97000000000003</v>
      </c>
    </row>
    <row r="1541" spans="1:6" ht="18.75" customHeight="1" x14ac:dyDescent="0.25">
      <c r="A1541" s="2" t="str">
        <f ca="1">IFERROR(__xludf.DUMMYFUNCTION("""COMPUTED_VALUE"""),"REA-U6984")</f>
        <v>REA-U6984</v>
      </c>
      <c r="B1541" s="3"/>
      <c r="C1541" s="3">
        <f ca="1">IFERROR(__xludf.DUMMYFUNCTION("""COMPUTED_VALUE"""),5902557358212)</f>
        <v>5902557358212</v>
      </c>
      <c r="D1541" s="4" t="str">
        <f ca="1">IFERROR(__xludf.DUMMYFUNCTION("""COMPUTED_VALUE"""),"UMYWALKA KAMA - NABLATOWA")</f>
        <v>UMYWALKA KAMA - NABLATOWA</v>
      </c>
      <c r="E1541" s="31">
        <v>34.292682926829272</v>
      </c>
      <c r="F1541" s="31">
        <f t="shared" si="24"/>
        <v>42.180000000000007</v>
      </c>
    </row>
    <row r="1542" spans="1:6" ht="18.75" customHeight="1" x14ac:dyDescent="0.25">
      <c r="A1542" s="2" t="str">
        <f ca="1">IFERROR(__xludf.DUMMYFUNCTION("""COMPUTED_VALUE"""),"REA-U5633")</f>
        <v>REA-U5633</v>
      </c>
      <c r="B1542" s="3">
        <f ca="1">IFERROR(__xludf.DUMMYFUNCTION("""COMPUTED_VALUE"""),37473)</f>
        <v>37473</v>
      </c>
      <c r="C1542" s="3">
        <f ca="1">IFERROR(__xludf.DUMMYFUNCTION("""COMPUTED_VALUE"""),5902557349852)</f>
        <v>5902557349852</v>
      </c>
      <c r="D1542" s="4" t="str">
        <f ca="1">IFERROR(__xludf.DUMMYFUNCTION("""COMPUTED_VALUE"""),"UMYWALKA KAMILA - WOLNOSTOJĄCA")</f>
        <v>UMYWALKA KAMILA - WOLNOSTOJĄCA</v>
      </c>
      <c r="E1542" s="31">
        <v>212.07317073170734</v>
      </c>
      <c r="F1542" s="31">
        <f t="shared" si="24"/>
        <v>260.85000000000002</v>
      </c>
    </row>
    <row r="1543" spans="1:6" ht="18.75" customHeight="1" x14ac:dyDescent="0.25">
      <c r="A1543" s="2" t="str">
        <f ca="1">IFERROR(__xludf.DUMMYFUNCTION("""COMPUTED_VALUE"""),"REA-U5644")</f>
        <v>REA-U5644</v>
      </c>
      <c r="B1543" s="3">
        <f ca="1">IFERROR(__xludf.DUMMYFUNCTION("""COMPUTED_VALUE"""),40257)</f>
        <v>40257</v>
      </c>
      <c r="C1543" s="3">
        <f ca="1">IFERROR(__xludf.DUMMYFUNCTION("""COMPUTED_VALUE"""),5902557356638)</f>
        <v>5902557356638</v>
      </c>
      <c r="D1543" s="4" t="str">
        <f ca="1">IFERROR(__xludf.DUMMYFUNCTION("""COMPUTED_VALUE"""),"UMYWALKA KAMILA BLACK - WOLNOSTOJĄCA")</f>
        <v>UMYWALKA KAMILA BLACK - WOLNOSTOJĄCA</v>
      </c>
      <c r="E1543" s="31">
        <v>224.70731707317074</v>
      </c>
      <c r="F1543" s="31">
        <f t="shared" si="24"/>
        <v>276.39</v>
      </c>
    </row>
    <row r="1544" spans="1:6" ht="18.75" customHeight="1" x14ac:dyDescent="0.25">
      <c r="A1544" s="2" t="str">
        <f ca="1">IFERROR(__xludf.DUMMYFUNCTION("""COMPUTED_VALUE"""),"REA-U6803")</f>
        <v>REA-U6803</v>
      </c>
      <c r="B1544" s="3">
        <f ca="1">IFERROR(__xludf.DUMMYFUNCTION("""COMPUTED_VALUE"""),53545)</f>
        <v>53545</v>
      </c>
      <c r="C1544" s="3">
        <f ca="1">IFERROR(__xludf.DUMMYFUNCTION("""COMPUTED_VALUE"""),5906366002601)</f>
        <v>5906366002601</v>
      </c>
      <c r="D1544" s="4" t="str">
        <f ca="1">IFERROR(__xludf.DUMMYFUNCTION("""COMPUTED_VALUE"""),"UMYWALKA KATE 36 - NABLATOWA")</f>
        <v>UMYWALKA KATE 36 - NABLATOWA</v>
      </c>
      <c r="E1544" s="31">
        <v>43.31707317073171</v>
      </c>
      <c r="F1544" s="31">
        <f t="shared" si="24"/>
        <v>53.28</v>
      </c>
    </row>
    <row r="1545" spans="1:6" ht="18.75" customHeight="1" x14ac:dyDescent="0.25">
      <c r="A1545" s="2" t="str">
        <f ca="1">IFERROR(__xludf.DUMMYFUNCTION("""COMPUTED_VALUE"""),"REA-U6802")</f>
        <v>REA-U6802</v>
      </c>
      <c r="B1545" s="3">
        <f ca="1">IFERROR(__xludf.DUMMYFUNCTION("""COMPUTED_VALUE"""),53549)</f>
        <v>53549</v>
      </c>
      <c r="C1545" s="3">
        <f ca="1">IFERROR(__xludf.DUMMYFUNCTION("""COMPUTED_VALUE"""),5906366002618)</f>
        <v>5906366002618</v>
      </c>
      <c r="D1545" s="4" t="str">
        <f ca="1">IFERROR(__xludf.DUMMYFUNCTION("""COMPUTED_VALUE"""),"UMYWALKA KATE 45 - NABLATOWA")</f>
        <v>UMYWALKA KATE 45 - NABLATOWA</v>
      </c>
      <c r="E1545" s="31">
        <v>52.341463414634156</v>
      </c>
      <c r="F1545" s="31">
        <f t="shared" si="24"/>
        <v>64.38000000000001</v>
      </c>
    </row>
    <row r="1546" spans="1:6" ht="18.75" customHeight="1" x14ac:dyDescent="0.25">
      <c r="A1546" s="2" t="str">
        <f ca="1">IFERROR(__xludf.DUMMYFUNCTION("""COMPUTED_VALUE"""),"REA-U6801")</f>
        <v>REA-U6801</v>
      </c>
      <c r="B1546" s="3">
        <f ca="1">IFERROR(__xludf.DUMMYFUNCTION("""COMPUTED_VALUE"""),53504)</f>
        <v>53504</v>
      </c>
      <c r="C1546" s="3">
        <f ca="1">IFERROR(__xludf.DUMMYFUNCTION("""COMPUTED_VALUE"""),5906366002625)</f>
        <v>5906366002625</v>
      </c>
      <c r="D1546" s="4" t="str">
        <f ca="1">IFERROR(__xludf.DUMMYFUNCTION("""COMPUTED_VALUE"""),"UMYWALKA KATE 56 - NABLATOWA")</f>
        <v>UMYWALKA KATE 56 - NABLATOWA</v>
      </c>
      <c r="E1546" s="31">
        <v>61.365853658536594</v>
      </c>
      <c r="F1546" s="31">
        <f t="shared" si="24"/>
        <v>75.48</v>
      </c>
    </row>
    <row r="1547" spans="1:6" ht="18.75" customHeight="1" x14ac:dyDescent="0.25">
      <c r="A1547" s="2" t="str">
        <f ca="1">IFERROR(__xludf.DUMMYFUNCTION("""COMPUTED_VALUE"""),"REA-U0732")</f>
        <v>REA-U0732</v>
      </c>
      <c r="B1547" s="3">
        <f ca="1">IFERROR(__xludf.DUMMYFUNCTION("""COMPUTED_VALUE"""),41746)</f>
        <v>41746</v>
      </c>
      <c r="C1547" s="3">
        <f ca="1">IFERROR(__xludf.DUMMYFUNCTION("""COMPUTED_VALUE"""),5902557357079)</f>
        <v>5902557357079</v>
      </c>
      <c r="D1547" s="4" t="str">
        <f ca="1">IFERROR(__xludf.DUMMYFUNCTION("""COMPUTED_VALUE"""),"UMYWALKA KAYA - NABLATOWA")</f>
        <v>UMYWALKA KAYA - NABLATOWA</v>
      </c>
      <c r="E1547" s="31">
        <v>43.31707317073171</v>
      </c>
      <c r="F1547" s="31">
        <f t="shared" si="24"/>
        <v>53.28</v>
      </c>
    </row>
    <row r="1548" spans="1:6" ht="18.75" customHeight="1" x14ac:dyDescent="0.25">
      <c r="A1548" s="2" t="str">
        <f ca="1">IFERROR(__xludf.DUMMYFUNCTION("""COMPUTED_VALUE"""),"REA-U9619")</f>
        <v>REA-U9619</v>
      </c>
      <c r="B1548" s="3">
        <f ca="1">IFERROR(__xludf.DUMMYFUNCTION("""COMPUTED_VALUE"""),41898)</f>
        <v>41898</v>
      </c>
      <c r="C1548" s="3">
        <f ca="1">IFERROR(__xludf.DUMMYFUNCTION("""COMPUTED_VALUE"""),5902557357093)</f>
        <v>5902557357093</v>
      </c>
      <c r="D1548" s="4" t="str">
        <f ca="1">IFERROR(__xludf.DUMMYFUNCTION("""COMPUTED_VALUE"""),"UMYWALKA KAYA BLACK MATT - NABLATOWA")</f>
        <v>UMYWALKA KAYA BLACK MATT - NABLATOWA</v>
      </c>
      <c r="E1548" s="31">
        <v>83.024390243902445</v>
      </c>
      <c r="F1548" s="31">
        <f t="shared" si="24"/>
        <v>102.12</v>
      </c>
    </row>
    <row r="1549" spans="1:6" ht="18.75" customHeight="1" x14ac:dyDescent="0.25">
      <c r="A1549" s="2" t="str">
        <f ca="1">IFERROR(__xludf.DUMMYFUNCTION("""COMPUTED_VALUE"""),"REA-U5656")</f>
        <v>REA-U5656</v>
      </c>
      <c r="B1549" s="3">
        <f ca="1">IFERROR(__xludf.DUMMYFUNCTION("""COMPUTED_VALUE"""),42245)</f>
        <v>42245</v>
      </c>
      <c r="C1549" s="3">
        <f ca="1">IFERROR(__xludf.DUMMYFUNCTION("""COMPUTED_VALUE"""),5902557357086)</f>
        <v>5902557357086</v>
      </c>
      <c r="D1549" s="4" t="str">
        <f ca="1">IFERROR(__xludf.DUMMYFUNCTION("""COMPUTED_VALUE"""),"UMYWALKA KAYA NAVY BLUE MATT - NABLATOWA")</f>
        <v>UMYWALKA KAYA NAVY BLUE MATT - NABLATOWA</v>
      </c>
      <c r="E1549" s="31">
        <v>83.024390243902445</v>
      </c>
      <c r="F1549" s="31">
        <f t="shared" si="24"/>
        <v>102.12</v>
      </c>
    </row>
    <row r="1550" spans="1:6" ht="18.75" customHeight="1" x14ac:dyDescent="0.25">
      <c r="A1550" s="2" t="str">
        <f ca="1">IFERROR(__xludf.DUMMYFUNCTION("""COMPUTED_VALUE"""),"REA-U6524")</f>
        <v>REA-U6524</v>
      </c>
      <c r="B1550" s="3">
        <f ca="1">IFERROR(__xludf.DUMMYFUNCTION("""COMPUTED_VALUE"""),17842)</f>
        <v>17842</v>
      </c>
      <c r="C1550" s="3">
        <f ca="1">IFERROR(__xludf.DUMMYFUNCTION("""COMPUTED_VALUE"""),5902557332076)</f>
        <v>5902557332076</v>
      </c>
      <c r="D1550" s="4" t="str">
        <f ca="1">IFERROR(__xludf.DUMMYFUNCTION("""COMPUTED_VALUE"""),"UMYWALKA KELLY - NABLATOWA")</f>
        <v>UMYWALKA KELLY - NABLATOWA</v>
      </c>
      <c r="E1550" s="31">
        <v>42.41463414634147</v>
      </c>
      <c r="F1550" s="31">
        <f t="shared" si="24"/>
        <v>52.170000000000009</v>
      </c>
    </row>
    <row r="1551" spans="1:6" ht="18.75" customHeight="1" x14ac:dyDescent="0.25">
      <c r="A1551" s="2" t="str">
        <f ca="1">IFERROR(__xludf.DUMMYFUNCTION("""COMPUTED_VALUE"""),"REA-U5052")</f>
        <v>REA-U5052</v>
      </c>
      <c r="B1551" s="3">
        <f ca="1">IFERROR(__xludf.DUMMYFUNCTION("""COMPUTED_VALUE"""),43002)</f>
        <v>43002</v>
      </c>
      <c r="C1551" s="3">
        <f ca="1">IFERROR(__xludf.DUMMYFUNCTION("""COMPUTED_VALUE"""),5902557366644)</f>
        <v>5902557366644</v>
      </c>
      <c r="D1551" s="4" t="str">
        <f ca="1">IFERROR(__xludf.DUMMYFUNCTION("""COMPUTED_VALUE"""),"UMYWALKA KELLY MARMO - NABLATOWA")</f>
        <v>UMYWALKA KELLY MARMO - NABLATOWA</v>
      </c>
      <c r="E1551" s="31">
        <v>71.292682926829286</v>
      </c>
      <c r="F1551" s="31">
        <f t="shared" si="24"/>
        <v>87.690000000000026</v>
      </c>
    </row>
    <row r="1552" spans="1:6" ht="18.75" customHeight="1" x14ac:dyDescent="0.25">
      <c r="A1552" s="2" t="str">
        <f ca="1">IFERROR(__xludf.DUMMYFUNCTION("""COMPUTED_VALUE"""),"REA-U8196")</f>
        <v>REA-U8196</v>
      </c>
      <c r="B1552" s="3">
        <f ca="1">IFERROR(__xludf.DUMMYFUNCTION("""COMPUTED_VALUE"""),41702)</f>
        <v>41702</v>
      </c>
      <c r="C1552" s="3">
        <f ca="1">IFERROR(__xludf.DUMMYFUNCTION("""COMPUTED_VALUE"""),5902557357116)</f>
        <v>5902557357116</v>
      </c>
      <c r="D1552" s="4" t="str">
        <f ca="1">IFERROR(__xludf.DUMMYFUNCTION("""COMPUTED_VALUE"""),"UMYWALKA KELLY MINI - NABLATOWA")</f>
        <v>UMYWALKA KELLY MINI - NABLATOWA</v>
      </c>
      <c r="E1552" s="31">
        <v>42.41463414634147</v>
      </c>
      <c r="F1552" s="31">
        <f t="shared" si="24"/>
        <v>52.170000000000009</v>
      </c>
    </row>
    <row r="1553" spans="1:6" ht="18.75" customHeight="1" x14ac:dyDescent="0.25">
      <c r="A1553" s="2" t="str">
        <f ca="1">IFERROR(__xludf.DUMMYFUNCTION("""COMPUTED_VALUE"""),"REA-U6504")</f>
        <v>REA-U6504</v>
      </c>
      <c r="B1553" s="3">
        <f ca="1">IFERROR(__xludf.DUMMYFUNCTION("""COMPUTED_VALUE"""),49848)</f>
        <v>49848</v>
      </c>
      <c r="C1553" s="3">
        <f ca="1">IFERROR(__xludf.DUMMYFUNCTION("""COMPUTED_VALUE"""),5902557381296)</f>
        <v>5902557381296</v>
      </c>
      <c r="D1553" s="4" t="str">
        <f ca="1">IFERROR(__xludf.DUMMYFUNCTION("""COMPUTED_VALUE"""),"UMYWALKA KELLY MINI AIAX SHINY - NABLATOWA")</f>
        <v>UMYWALKA KELLY MINI AIAX SHINY - NABLATOWA</v>
      </c>
      <c r="E1553" s="31">
        <v>57.756097560975611</v>
      </c>
      <c r="F1553" s="31">
        <f t="shared" si="24"/>
        <v>71.040000000000006</v>
      </c>
    </row>
    <row r="1554" spans="1:6" ht="18.75" customHeight="1" x14ac:dyDescent="0.25">
      <c r="A1554" s="2" t="str">
        <f ca="1">IFERROR(__xludf.DUMMYFUNCTION("""COMPUTED_VALUE"""),"REA-U6680")</f>
        <v>REA-U6680</v>
      </c>
      <c r="B1554" s="3"/>
      <c r="C1554" s="3">
        <f ca="1">IFERROR(__xludf.DUMMYFUNCTION("""COMPUTED_VALUE"""),5902557335701)</f>
        <v>5902557335701</v>
      </c>
      <c r="D1554" s="4" t="str">
        <f ca="1">IFERROR(__xludf.DUMMYFUNCTION("""COMPUTED_VALUE"""),"UMYWALKA KIM 1316 - NABLATOWA")</f>
        <v>UMYWALKA KIM 1316 - NABLATOWA</v>
      </c>
      <c r="E1554" s="31">
        <v>60.463414634146346</v>
      </c>
      <c r="F1554" s="31">
        <f t="shared" si="24"/>
        <v>74.37</v>
      </c>
    </row>
    <row r="1555" spans="1:6" ht="18.75" customHeight="1" x14ac:dyDescent="0.25">
      <c r="A1555" s="2" t="str">
        <f ca="1">IFERROR(__xludf.DUMMYFUNCTION("""COMPUTED_VALUE"""),"REA-U6032")</f>
        <v>REA-U6032</v>
      </c>
      <c r="B1555" s="3">
        <f ca="1">IFERROR(__xludf.DUMMYFUNCTION("""COMPUTED_VALUE"""),51375)</f>
        <v>51375</v>
      </c>
      <c r="C1555" s="3">
        <f ca="1">IFERROR(__xludf.DUMMYFUNCTION("""COMPUTED_VALUE"""),5902557393589)</f>
        <v>5902557393589</v>
      </c>
      <c r="D1555" s="4" t="str">
        <f ca="1">IFERROR(__xludf.DUMMYFUNCTION("""COMPUTED_VALUE"""),"UMYWALKA KIOTO - NABLATOWA")</f>
        <v>UMYWALKA KIOTO - NABLATOWA</v>
      </c>
      <c r="E1555" s="31">
        <v>89.341463414634148</v>
      </c>
      <c r="F1555" s="31">
        <f t="shared" si="24"/>
        <v>109.89</v>
      </c>
    </row>
    <row r="1556" spans="1:6" ht="18.75" customHeight="1" x14ac:dyDescent="0.25">
      <c r="A1556" s="2" t="str">
        <f ca="1">IFERROR(__xludf.DUMMYFUNCTION("""COMPUTED_VALUE"""),"REA-U8903")</f>
        <v>REA-U8903</v>
      </c>
      <c r="B1556" s="3">
        <f ca="1">IFERROR(__xludf.DUMMYFUNCTION("""COMPUTED_VALUE"""),31447)</f>
        <v>31447</v>
      </c>
      <c r="C1556" s="3">
        <f ca="1">IFERROR(__xludf.DUMMYFUNCTION("""COMPUTED_VALUE"""),5902557342280)</f>
        <v>5902557342280</v>
      </c>
      <c r="D1556" s="4" t="str">
        <f ca="1">IFERROR(__xludf.DUMMYFUNCTION("""COMPUTED_VALUE"""),"UMYWALKA KONGLOMERATOWA GOYA 100")</f>
        <v>UMYWALKA KONGLOMERATOWA GOYA 100</v>
      </c>
      <c r="E1556" s="31">
        <v>186.80487804878049</v>
      </c>
      <c r="F1556" s="31">
        <f t="shared" si="24"/>
        <v>229.77</v>
      </c>
    </row>
    <row r="1557" spans="1:6" ht="18.75" customHeight="1" x14ac:dyDescent="0.25">
      <c r="A1557" s="2" t="str">
        <f ca="1">IFERROR(__xludf.DUMMYFUNCTION("""COMPUTED_VALUE"""),"REA-U8666")</f>
        <v>REA-U8666</v>
      </c>
      <c r="B1557" s="3">
        <f ca="1">IFERROR(__xludf.DUMMYFUNCTION("""COMPUTED_VALUE"""),43037)</f>
        <v>43037</v>
      </c>
      <c r="C1557" s="3">
        <f ca="1">IFERROR(__xludf.DUMMYFUNCTION("""COMPUTED_VALUE"""),5902557363605)</f>
        <v>5902557363605</v>
      </c>
      <c r="D1557" s="4" t="str">
        <f ca="1">IFERROR(__xludf.DUMMYFUNCTION("""COMPUTED_VALUE"""),"UMYWALKA KONGLOMERATOWA GOYA 100 BLACK")</f>
        <v>UMYWALKA KONGLOMERATOWA GOYA 100 BLACK</v>
      </c>
      <c r="E1557" s="31">
        <v>208.46341463414637</v>
      </c>
      <c r="F1557" s="31">
        <f t="shared" si="24"/>
        <v>256.41000000000003</v>
      </c>
    </row>
    <row r="1558" spans="1:6" ht="18.75" customHeight="1" x14ac:dyDescent="0.25">
      <c r="A1558" s="2" t="str">
        <f ca="1">IFERROR(__xludf.DUMMYFUNCTION("""COMPUTED_VALUE"""),"REA-U8900")</f>
        <v>REA-U8900</v>
      </c>
      <c r="B1558" s="3">
        <f ca="1">IFERROR(__xludf.DUMMYFUNCTION("""COMPUTED_VALUE"""),31443)</f>
        <v>31443</v>
      </c>
      <c r="C1558" s="3">
        <f ca="1">IFERROR(__xludf.DUMMYFUNCTION("""COMPUTED_VALUE"""),5902557342259)</f>
        <v>5902557342259</v>
      </c>
      <c r="D1558" s="4" t="str">
        <f ca="1">IFERROR(__xludf.DUMMYFUNCTION("""COMPUTED_VALUE"""),"UMYWALKA KONGLOMERATOWA GOYA 50")</f>
        <v>UMYWALKA KONGLOMERATOWA GOYA 50</v>
      </c>
      <c r="E1558" s="31">
        <v>103.78048780487806</v>
      </c>
      <c r="F1558" s="31">
        <f t="shared" si="24"/>
        <v>127.65000000000002</v>
      </c>
    </row>
    <row r="1559" spans="1:6" ht="18.75" customHeight="1" x14ac:dyDescent="0.25">
      <c r="A1559" s="2" t="str">
        <f ca="1">IFERROR(__xludf.DUMMYFUNCTION("""COMPUTED_VALUE"""),"REA-U8778")</f>
        <v>REA-U8778</v>
      </c>
      <c r="B1559" s="3">
        <f ca="1">IFERROR(__xludf.DUMMYFUNCTION("""COMPUTED_VALUE"""),41938)</f>
        <v>41938</v>
      </c>
      <c r="C1559" s="3">
        <f ca="1">IFERROR(__xludf.DUMMYFUNCTION("""COMPUTED_VALUE"""),5902557357130)</f>
        <v>5902557357130</v>
      </c>
      <c r="D1559" s="4" t="str">
        <f ca="1">IFERROR(__xludf.DUMMYFUNCTION("""COMPUTED_VALUE"""),"UMYWALKA KONGLOMERATOWA GOYA 50 BLACK")</f>
        <v>UMYWALKA KONGLOMERATOWA GOYA 50 BLACK</v>
      </c>
      <c r="E1559" s="31">
        <v>135.36585365853659</v>
      </c>
      <c r="F1559" s="31">
        <f t="shared" si="24"/>
        <v>166.5</v>
      </c>
    </row>
    <row r="1560" spans="1:6" ht="18.75" customHeight="1" x14ac:dyDescent="0.25">
      <c r="A1560" s="2" t="str">
        <f ca="1">IFERROR(__xludf.DUMMYFUNCTION("""COMPUTED_VALUE"""),"REA-U8901")</f>
        <v>REA-U8901</v>
      </c>
      <c r="B1560" s="3">
        <f ca="1">IFERROR(__xludf.DUMMYFUNCTION("""COMPUTED_VALUE"""),31444)</f>
        <v>31444</v>
      </c>
      <c r="C1560" s="3">
        <f ca="1">IFERROR(__xludf.DUMMYFUNCTION("""COMPUTED_VALUE"""),5902557342266)</f>
        <v>5902557342266</v>
      </c>
      <c r="D1560" s="4" t="str">
        <f ca="1">IFERROR(__xludf.DUMMYFUNCTION("""COMPUTED_VALUE"""),"UMYWALKA KONGLOMERATOWA GOYA 60")</f>
        <v>UMYWALKA KONGLOMERATOWA GOYA 60</v>
      </c>
      <c r="E1560" s="31">
        <v>124.53658536585368</v>
      </c>
      <c r="F1560" s="31">
        <f t="shared" si="24"/>
        <v>153.18000000000004</v>
      </c>
    </row>
    <row r="1561" spans="1:6" ht="18.75" customHeight="1" x14ac:dyDescent="0.25">
      <c r="A1561" s="2" t="str">
        <f ca="1">IFERROR(__xludf.DUMMYFUNCTION("""COMPUTED_VALUE"""),"REA-U8779")</f>
        <v>REA-U8779</v>
      </c>
      <c r="B1561" s="3">
        <f ca="1">IFERROR(__xludf.DUMMYFUNCTION("""COMPUTED_VALUE"""),41937)</f>
        <v>41937</v>
      </c>
      <c r="C1561" s="3">
        <f ca="1">IFERROR(__xludf.DUMMYFUNCTION("""COMPUTED_VALUE"""),5902557357147)</f>
        <v>5902557357147</v>
      </c>
      <c r="D1561" s="4" t="str">
        <f ca="1">IFERROR(__xludf.DUMMYFUNCTION("""COMPUTED_VALUE"""),"UMYWALKA KONGLOMERATOWA GOYA 60 BLACK")</f>
        <v>UMYWALKA KONGLOMERATOWA GOYA 60 BLACK</v>
      </c>
      <c r="E1561" s="31">
        <v>156.12195121951223</v>
      </c>
      <c r="F1561" s="31">
        <f t="shared" si="24"/>
        <v>192.03000000000003</v>
      </c>
    </row>
    <row r="1562" spans="1:6" ht="18.75" customHeight="1" x14ac:dyDescent="0.25">
      <c r="A1562" s="2" t="str">
        <f ca="1">IFERROR(__xludf.DUMMYFUNCTION("""COMPUTED_VALUE"""),"REA-U8902")</f>
        <v>REA-U8902</v>
      </c>
      <c r="B1562" s="3">
        <f ca="1">IFERROR(__xludf.DUMMYFUNCTION("""COMPUTED_VALUE"""),31446)</f>
        <v>31446</v>
      </c>
      <c r="C1562" s="3">
        <f ca="1">IFERROR(__xludf.DUMMYFUNCTION("""COMPUTED_VALUE"""),5902557342273)</f>
        <v>5902557342273</v>
      </c>
      <c r="D1562" s="4" t="str">
        <f ca="1">IFERROR(__xludf.DUMMYFUNCTION("""COMPUTED_VALUE"""),"UMYWALKA KONGLOMERATOWA GOYA 70")</f>
        <v>UMYWALKA KONGLOMERATOWA GOYA 70</v>
      </c>
      <c r="E1562" s="31">
        <v>138.97560975609758</v>
      </c>
      <c r="F1562" s="31">
        <f t="shared" si="24"/>
        <v>170.94000000000003</v>
      </c>
    </row>
    <row r="1563" spans="1:6" ht="18.75" customHeight="1" x14ac:dyDescent="0.25">
      <c r="A1563" s="2" t="str">
        <f ca="1">IFERROR(__xludf.DUMMYFUNCTION("""COMPUTED_VALUE"""),"REA-U8802")</f>
        <v>REA-U8802</v>
      </c>
      <c r="B1563" s="3">
        <f ca="1">IFERROR(__xludf.DUMMYFUNCTION("""COMPUTED_VALUE"""),41936)</f>
        <v>41936</v>
      </c>
      <c r="C1563" s="3">
        <f ca="1">IFERROR(__xludf.DUMMYFUNCTION("""COMPUTED_VALUE"""),5902557357154)</f>
        <v>5902557357154</v>
      </c>
      <c r="D1563" s="4" t="str">
        <f ca="1">IFERROR(__xludf.DUMMYFUNCTION("""COMPUTED_VALUE"""),"UMYWALKA KONGLOMERATOWA GOYA 70 BLACK")</f>
        <v>UMYWALKA KONGLOMERATOWA GOYA 70 BLACK</v>
      </c>
      <c r="E1563" s="31">
        <v>175.07317073170734</v>
      </c>
      <c r="F1563" s="31">
        <f t="shared" si="24"/>
        <v>215.34000000000003</v>
      </c>
    </row>
    <row r="1564" spans="1:6" ht="18.75" customHeight="1" x14ac:dyDescent="0.25">
      <c r="A1564" s="2" t="str">
        <f ca="1">IFERROR(__xludf.DUMMYFUNCTION("""COMPUTED_VALUE"""),"REA-U9887")</f>
        <v>REA-U9887</v>
      </c>
      <c r="B1564" s="3">
        <f ca="1">IFERROR(__xludf.DUMMYFUNCTION("""COMPUTED_VALUE"""),37769)</f>
        <v>37769</v>
      </c>
      <c r="C1564" s="3">
        <f ca="1">IFERROR(__xludf.DUMMYFUNCTION("""COMPUTED_VALUE"""),5902557350254)</f>
        <v>5902557350254</v>
      </c>
      <c r="D1564" s="4" t="str">
        <f ca="1">IFERROR(__xludf.DUMMYFUNCTION("""COMPUTED_VALUE"""),"UMYWALKA LARA BEIGE MATT- NABLATOWA")</f>
        <v>UMYWALKA LARA BEIGE MATT- NABLATOWA</v>
      </c>
      <c r="E1564" s="31">
        <v>73.097560975609767</v>
      </c>
      <c r="F1564" s="31">
        <f t="shared" si="24"/>
        <v>89.910000000000011</v>
      </c>
    </row>
    <row r="1565" spans="1:6" ht="18.75" customHeight="1" x14ac:dyDescent="0.25">
      <c r="A1565" s="2" t="str">
        <f ca="1">IFERROR(__xludf.DUMMYFUNCTION("""COMPUTED_VALUE"""),"REA-U9889")</f>
        <v>REA-U9889</v>
      </c>
      <c r="B1565" s="3">
        <f ca="1">IFERROR(__xludf.DUMMYFUNCTION("""COMPUTED_VALUE"""),37768)</f>
        <v>37768</v>
      </c>
      <c r="C1565" s="3">
        <f ca="1">IFERROR(__xludf.DUMMYFUNCTION("""COMPUTED_VALUE"""),5902557350247)</f>
        <v>5902557350247</v>
      </c>
      <c r="D1565" s="4" t="str">
        <f ca="1">IFERROR(__xludf.DUMMYFUNCTION("""COMPUTED_VALUE"""),"UMYWALKA LARA GREY MATT - NABLATOWA")</f>
        <v>UMYWALKA LARA GREY MATT - NABLATOWA</v>
      </c>
      <c r="E1565" s="31">
        <v>74</v>
      </c>
      <c r="F1565" s="31">
        <f t="shared" si="24"/>
        <v>91.02</v>
      </c>
    </row>
    <row r="1566" spans="1:6" ht="18.75" customHeight="1" x14ac:dyDescent="0.25">
      <c r="A1566" s="2" t="str">
        <f ca="1">IFERROR(__xludf.DUMMYFUNCTION("""COMPUTED_VALUE"""),"REA-U9888")</f>
        <v>REA-U9888</v>
      </c>
      <c r="B1566" s="3">
        <f ca="1">IFERROR(__xludf.DUMMYFUNCTION("""COMPUTED_VALUE"""),37767)</f>
        <v>37767</v>
      </c>
      <c r="C1566" s="3">
        <f ca="1">IFERROR(__xludf.DUMMYFUNCTION("""COMPUTED_VALUE"""),5902557350230)</f>
        <v>5902557350230</v>
      </c>
      <c r="D1566" s="4" t="str">
        <f ca="1">IFERROR(__xludf.DUMMYFUNCTION("""COMPUTED_VALUE"""),"UMYWALKA LARA STONE MATT - NABLATOWA")</f>
        <v>UMYWALKA LARA STONE MATT - NABLATOWA</v>
      </c>
      <c r="E1566" s="31">
        <v>76.707317073170742</v>
      </c>
      <c r="F1566" s="31">
        <f t="shared" si="24"/>
        <v>94.350000000000009</v>
      </c>
    </row>
    <row r="1567" spans="1:6" ht="18.75" customHeight="1" x14ac:dyDescent="0.25">
      <c r="A1567" s="2" t="str">
        <f ca="1">IFERROR(__xludf.DUMMYFUNCTION("""COMPUTED_VALUE"""),"REA-U8197")</f>
        <v>REA-U8197</v>
      </c>
      <c r="B1567" s="3">
        <f ca="1">IFERROR(__xludf.DUMMYFUNCTION("""COMPUTED_VALUE"""),1679)</f>
        <v>1679</v>
      </c>
      <c r="C1567" s="3">
        <f ca="1">IFERROR(__xludf.DUMMYFUNCTION("""COMPUTED_VALUE"""),5902557320530)</f>
        <v>5902557320530</v>
      </c>
      <c r="D1567" s="4" t="str">
        <f ca="1">IFERROR(__xludf.DUMMYFUNCTION("""COMPUTED_VALUE"""),"UMYWALKA LAURA SLIM - NABLATOWA")</f>
        <v>UMYWALKA LAURA SLIM - NABLATOWA</v>
      </c>
      <c r="E1567" s="31">
        <v>43.31707317073171</v>
      </c>
      <c r="F1567" s="31">
        <f t="shared" si="24"/>
        <v>53.28</v>
      </c>
    </row>
    <row r="1568" spans="1:6" ht="18.75" customHeight="1" x14ac:dyDescent="0.25">
      <c r="A1568" s="2" t="str">
        <f ca="1">IFERROR(__xludf.DUMMYFUNCTION("""COMPUTED_VALUE"""),"REA-U6584")</f>
        <v>REA-U6584</v>
      </c>
      <c r="B1568" s="3"/>
      <c r="C1568" s="3">
        <f ca="1">IFERROR(__xludf.DUMMYFUNCTION("""COMPUTED_VALUE"""),5902557357468)</f>
        <v>5902557357468</v>
      </c>
      <c r="D1568" s="4" t="str">
        <f ca="1">IFERROR(__xludf.DUMMYFUNCTION("""COMPUTED_VALUE"""),"UMYWALKA LAVI - NABLATOWA")</f>
        <v>UMYWALKA LAVI - NABLATOWA</v>
      </c>
      <c r="E1568" s="31">
        <v>28.878048780487806</v>
      </c>
      <c r="F1568" s="31">
        <f t="shared" si="24"/>
        <v>35.520000000000003</v>
      </c>
    </row>
    <row r="1569" spans="1:6" ht="18.75" customHeight="1" x14ac:dyDescent="0.25">
      <c r="A1569" s="2" t="str">
        <f ca="1">IFERROR(__xludf.DUMMYFUNCTION("""COMPUTED_VALUE"""),"REA-U9108")</f>
        <v>REA-U9108</v>
      </c>
      <c r="B1569" s="3">
        <f ca="1">IFERROR(__xludf.DUMMYFUNCTION("""COMPUTED_VALUE"""),52345)</f>
        <v>52345</v>
      </c>
      <c r="C1569" s="3">
        <f ca="1">IFERROR(__xludf.DUMMYFUNCTION("""COMPUTED_VALUE"""),5902557396306)</f>
        <v>5902557396306</v>
      </c>
      <c r="D1569" s="4" t="str">
        <f ca="1">IFERROR(__xludf.DUMMYFUNCTION("""COMPUTED_VALUE"""),"UMYWALKA LAYLA 50 - NABLATOWA")</f>
        <v>UMYWALKA LAYLA 50 - NABLATOWA</v>
      </c>
      <c r="E1569" s="31">
        <v>62.268292682926841</v>
      </c>
      <c r="F1569" s="31">
        <f t="shared" si="24"/>
        <v>76.590000000000018</v>
      </c>
    </row>
    <row r="1570" spans="1:6" ht="18.75" customHeight="1" x14ac:dyDescent="0.25">
      <c r="A1570" s="2" t="str">
        <f ca="1">IFERROR(__xludf.DUMMYFUNCTION("""COMPUTED_VALUE"""),"REA-U0842")</f>
        <v>REA-U0842</v>
      </c>
      <c r="B1570" s="3">
        <f ca="1">IFERROR(__xludf.DUMMYFUNCTION("""COMPUTED_VALUE"""),30747)</f>
        <v>30747</v>
      </c>
      <c r="C1570" s="3">
        <f ca="1">IFERROR(__xludf.DUMMYFUNCTION("""COMPUTED_VALUE"""),5902557341764)</f>
        <v>5902557341764</v>
      </c>
      <c r="D1570" s="4" t="str">
        <f ca="1">IFERROR(__xludf.DUMMYFUNCTION("""COMPUTED_VALUE"""),"UMYWALKA LEA - NABLATOWA")</f>
        <v>UMYWALKA LEA - NABLATOWA</v>
      </c>
      <c r="E1570" s="31">
        <v>55.048780487804883</v>
      </c>
      <c r="F1570" s="31">
        <f t="shared" si="24"/>
        <v>67.710000000000008</v>
      </c>
    </row>
    <row r="1571" spans="1:6" ht="18.75" customHeight="1" x14ac:dyDescent="0.25">
      <c r="A1571" s="2" t="str">
        <f ca="1">IFERROR(__xludf.DUMMYFUNCTION("""COMPUTED_VALUE"""),"REA-U0457")</f>
        <v>REA-U0457</v>
      </c>
      <c r="B1571" s="3"/>
      <c r="C1571" s="3">
        <f ca="1">IFERROR(__xludf.DUMMYFUNCTION("""COMPUTED_VALUE"""),5902557319091)</f>
        <v>5902557319091</v>
      </c>
      <c r="D1571" s="4" t="str">
        <f ca="1">IFERROR(__xludf.DUMMYFUNCTION("""COMPUTED_VALUE"""),"UMYWALKA LILY - PODBLATOWA")</f>
        <v>UMYWALKA LILY - PODBLATOWA</v>
      </c>
      <c r="E1571" s="31">
        <v>33.390243902439025</v>
      </c>
      <c r="F1571" s="31">
        <f t="shared" si="24"/>
        <v>41.07</v>
      </c>
    </row>
    <row r="1572" spans="1:6" ht="18.75" customHeight="1" x14ac:dyDescent="0.25">
      <c r="A1572" s="2" t="str">
        <f ca="1">IFERROR(__xludf.DUMMYFUNCTION("""COMPUTED_VALUE"""),"REA-U0462")</f>
        <v>REA-U0462</v>
      </c>
      <c r="B1572" s="3">
        <f ca="1">IFERROR(__xludf.DUMMYFUNCTION("""COMPUTED_VALUE"""),30399)</f>
        <v>30399</v>
      </c>
      <c r="C1572" s="3">
        <f ca="1">IFERROR(__xludf.DUMMYFUNCTION("""COMPUTED_VALUE"""),5902557332502)</f>
        <v>5902557332502</v>
      </c>
      <c r="D1572" s="4" t="str">
        <f ca="1">IFERROR(__xludf.DUMMYFUNCTION("""COMPUTED_VALUE"""),"UMYWALKA LINDA - NABLATOWA")</f>
        <v>UMYWALKA LINDA - NABLATOWA</v>
      </c>
      <c r="E1572" s="31">
        <v>55.048000000000002</v>
      </c>
      <c r="F1572" s="31">
        <f t="shared" si="24"/>
        <v>67.709040000000002</v>
      </c>
    </row>
    <row r="1573" spans="1:6" ht="18.75" customHeight="1" x14ac:dyDescent="0.25">
      <c r="A1573" s="2" t="str">
        <f ca="1">IFERROR(__xludf.DUMMYFUNCTION("""COMPUTED_VALUE"""),"REA-U8523")</f>
        <v>REA-U8523</v>
      </c>
      <c r="B1573" s="3">
        <f ca="1">IFERROR(__xludf.DUMMYFUNCTION("""COMPUTED_VALUE"""),43149)</f>
        <v>43149</v>
      </c>
      <c r="C1573" s="3">
        <f ca="1">IFERROR(__xludf.DUMMYFUNCTION("""COMPUTED_VALUE"""),5902557366583)</f>
        <v>5902557366583</v>
      </c>
      <c r="D1573" s="4" t="str">
        <f ca="1">IFERROR(__xludf.DUMMYFUNCTION("""COMPUTED_VALUE"""),"UMYWALKA LINDA BLACK - NABLATOWA")</f>
        <v>UMYWALKA LINDA BLACK - NABLATOWA</v>
      </c>
      <c r="E1573" s="31">
        <v>69.487804878048792</v>
      </c>
      <c r="F1573" s="31">
        <f t="shared" si="24"/>
        <v>85.470000000000013</v>
      </c>
    </row>
    <row r="1574" spans="1:6" ht="18.75" customHeight="1" x14ac:dyDescent="0.25">
      <c r="A1574" s="2" t="str">
        <f ca="1">IFERROR(__xludf.DUMMYFUNCTION("""COMPUTED_VALUE"""),"REA-U1021")</f>
        <v>REA-U1021</v>
      </c>
      <c r="B1574" s="3">
        <f ca="1">IFERROR(__xludf.DUMMYFUNCTION("""COMPUTED_VALUE"""),41607)</f>
        <v>41607</v>
      </c>
      <c r="C1574" s="3">
        <f ca="1">IFERROR(__xludf.DUMMYFUNCTION("""COMPUTED_VALUE"""),5902557357062)</f>
        <v>5902557357062</v>
      </c>
      <c r="D1574" s="4" t="str">
        <f ca="1">IFERROR(__xludf.DUMMYFUNCTION("""COMPUTED_VALUE"""),"UMYWALKA LINDA GOLD/WHITE - NABLATOWA")</f>
        <v>UMYWALKA LINDA GOLD/WHITE - NABLATOWA</v>
      </c>
      <c r="E1574" s="31">
        <v>73.097560975609767</v>
      </c>
      <c r="F1574" s="31">
        <f t="shared" si="24"/>
        <v>89.910000000000011</v>
      </c>
    </row>
    <row r="1575" spans="1:6" ht="18.75" customHeight="1" x14ac:dyDescent="0.25">
      <c r="A1575" s="2" t="str">
        <f ca="1">IFERROR(__xludf.DUMMYFUNCTION("""COMPUTED_VALUE"""),"REA-U2514")</f>
        <v>REA-U2514</v>
      </c>
      <c r="B1575" s="3">
        <f ca="1">IFERROR(__xludf.DUMMYFUNCTION("""COMPUTED_VALUE"""),42278)</f>
        <v>42278</v>
      </c>
      <c r="C1575" s="3">
        <f ca="1">IFERROR(__xludf.DUMMYFUNCTION("""COMPUTED_VALUE"""),5902557362660)</f>
        <v>5902557362660</v>
      </c>
      <c r="D1575" s="4" t="str">
        <f ca="1">IFERROR(__xludf.DUMMYFUNCTION("""COMPUTED_VALUE"""),"UMYWALKA LINDA GRANIT - NABLATOWA")</f>
        <v>UMYWALKA LINDA GRANIT - NABLATOWA</v>
      </c>
      <c r="E1575" s="31">
        <v>74.000000000000014</v>
      </c>
      <c r="F1575" s="31">
        <f t="shared" si="24"/>
        <v>91.02000000000001</v>
      </c>
    </row>
    <row r="1576" spans="1:6" ht="18.75" customHeight="1" x14ac:dyDescent="0.25">
      <c r="A1576" s="2" t="str">
        <f ca="1">IFERROR(__xludf.DUMMYFUNCTION("""COMPUTED_VALUE"""),"REA-U8567")</f>
        <v>REA-U8567</v>
      </c>
      <c r="B1576" s="3">
        <f ca="1">IFERROR(__xludf.DUMMYFUNCTION("""COMPUTED_VALUE"""),41969)</f>
        <v>41969</v>
      </c>
      <c r="C1576" s="3">
        <f ca="1">IFERROR(__xludf.DUMMYFUNCTION("""COMPUTED_VALUE"""),5902557362677)</f>
        <v>5902557362677</v>
      </c>
      <c r="D1576" s="4" t="str">
        <f ca="1">IFERROR(__xludf.DUMMYFUNCTION("""COMPUTED_VALUE"""),"UMYWALKA LINDA GRANIT MATT - NABLATOWA")</f>
        <v>UMYWALKA LINDA GRANIT MATT - NABLATOWA</v>
      </c>
      <c r="E1576" s="31">
        <v>74.000000000000014</v>
      </c>
      <c r="F1576" s="31">
        <f t="shared" si="24"/>
        <v>91.02000000000001</v>
      </c>
    </row>
    <row r="1577" spans="1:6" ht="18.75" customHeight="1" x14ac:dyDescent="0.25">
      <c r="A1577" s="2" t="str">
        <f ca="1">IFERROR(__xludf.DUMMYFUNCTION("""COMPUTED_VALUE"""),"REA-U8695")</f>
        <v>REA-U8695</v>
      </c>
      <c r="B1577" s="3">
        <f ca="1">IFERROR(__xludf.DUMMYFUNCTION("""COMPUTED_VALUE"""),42282)</f>
        <v>42282</v>
      </c>
      <c r="C1577" s="3">
        <f ca="1">IFERROR(__xludf.DUMMYFUNCTION("""COMPUTED_VALUE"""),5902557362691)</f>
        <v>5902557362691</v>
      </c>
      <c r="D1577" s="4" t="str">
        <f ca="1">IFERROR(__xludf.DUMMYFUNCTION("""COMPUTED_VALUE"""),"UMYWALKA LINDA LAVA - NABLATOWA")</f>
        <v>UMYWALKA LINDA LAVA - NABLATOWA</v>
      </c>
      <c r="E1577" s="31">
        <v>76.707317073170742</v>
      </c>
      <c r="F1577" s="31">
        <f t="shared" si="24"/>
        <v>94.350000000000009</v>
      </c>
    </row>
    <row r="1578" spans="1:6" ht="18.75" customHeight="1" x14ac:dyDescent="0.25">
      <c r="A1578" s="2" t="str">
        <f ca="1">IFERROR(__xludf.DUMMYFUNCTION("""COMPUTED_VALUE"""),"REA-U8568")</f>
        <v>REA-U8568</v>
      </c>
      <c r="B1578" s="3">
        <f ca="1">IFERROR(__xludf.DUMMYFUNCTION("""COMPUTED_VALUE"""),41970)</f>
        <v>41970</v>
      </c>
      <c r="C1578" s="3">
        <f ca="1">IFERROR(__xludf.DUMMYFUNCTION("""COMPUTED_VALUE"""),5902557362684)</f>
        <v>5902557362684</v>
      </c>
      <c r="D1578" s="4" t="str">
        <f ca="1">IFERROR(__xludf.DUMMYFUNCTION("""COMPUTED_VALUE"""),"UMYWALKA LINDA LAVA MATT - NABLATOWA")</f>
        <v>UMYWALKA LINDA LAVA MATT - NABLATOWA</v>
      </c>
      <c r="E1578" s="31">
        <v>78.512195121951223</v>
      </c>
      <c r="F1578" s="31">
        <f t="shared" si="24"/>
        <v>96.570000000000007</v>
      </c>
    </row>
    <row r="1579" spans="1:6" ht="18.75" customHeight="1" x14ac:dyDescent="0.25">
      <c r="A1579" s="2" t="str">
        <f ca="1">IFERROR(__xludf.DUMMYFUNCTION("""COMPUTED_VALUE"""),"REA-U8856")</f>
        <v>REA-U8856</v>
      </c>
      <c r="B1579" s="3">
        <f ca="1">IFERROR(__xludf.DUMMYFUNCTION("""COMPUTED_VALUE"""),42974)</f>
        <v>42974</v>
      </c>
      <c r="C1579" s="3">
        <f ca="1">IFERROR(__xludf.DUMMYFUNCTION("""COMPUTED_VALUE"""),5902557366101)</f>
        <v>5902557366101</v>
      </c>
      <c r="D1579" s="4" t="str">
        <f ca="1">IFERROR(__xludf.DUMMYFUNCTION("""COMPUTED_VALUE"""),"UMYWALKA LINDA MINI - NABLATOWA")</f>
        <v>UMYWALKA LINDA MINI - NABLATOWA</v>
      </c>
      <c r="E1579" s="31">
        <v>33.390243902439025</v>
      </c>
      <c r="F1579" s="31">
        <f t="shared" si="24"/>
        <v>41.07</v>
      </c>
    </row>
    <row r="1580" spans="1:6" ht="18.75" customHeight="1" x14ac:dyDescent="0.25">
      <c r="A1580" s="2" t="str">
        <f ca="1">IFERROR(__xludf.DUMMYFUNCTION("""COMPUTED_VALUE"""),"REA-U1135")</f>
        <v>REA-U1135</v>
      </c>
      <c r="B1580" s="3">
        <f ca="1">IFERROR(__xludf.DUMMYFUNCTION("""COMPUTED_VALUE"""),1717)</f>
        <v>1717</v>
      </c>
      <c r="C1580" s="3">
        <f ca="1">IFERROR(__xludf.DUMMYFUNCTION("""COMPUTED_VALUE"""),5902557319640)</f>
        <v>5902557319640</v>
      </c>
      <c r="D1580" s="4" t="str">
        <f ca="1">IFERROR(__xludf.DUMMYFUNCTION("""COMPUTED_VALUE"""),"UMYWALKA LINDA SILVER/WHITE - NABLATOWA")</f>
        <v>UMYWALKA LINDA SILVER/WHITE - NABLATOWA</v>
      </c>
      <c r="E1580" s="31">
        <v>87.536585365853668</v>
      </c>
      <c r="F1580" s="31">
        <f t="shared" si="24"/>
        <v>107.67000000000002</v>
      </c>
    </row>
    <row r="1581" spans="1:6" ht="18.75" customHeight="1" x14ac:dyDescent="0.25">
      <c r="A1581" s="2" t="str">
        <f ca="1">IFERROR(__xludf.DUMMYFUNCTION("""COMPUTED_VALUE"""),"REA-U1020")</f>
        <v>REA-U1020</v>
      </c>
      <c r="B1581" s="3">
        <f ca="1">IFERROR(__xludf.DUMMYFUNCTION("""COMPUTED_VALUE"""),41606)</f>
        <v>41606</v>
      </c>
      <c r="C1581" s="3">
        <f ca="1">IFERROR(__xludf.DUMMYFUNCTION("""COMPUTED_VALUE"""),5902557357055)</f>
        <v>5902557357055</v>
      </c>
      <c r="D1581" s="4" t="str">
        <f ca="1">IFERROR(__xludf.DUMMYFUNCTION("""COMPUTED_VALUE"""),"UMYWALKA LINDA STONE - NABLATOWA")</f>
        <v>UMYWALKA LINDA STONE - NABLATOWA</v>
      </c>
      <c r="E1581" s="31">
        <v>74.000000000000014</v>
      </c>
      <c r="F1581" s="31">
        <f t="shared" si="24"/>
        <v>91.02000000000001</v>
      </c>
    </row>
    <row r="1582" spans="1:6" ht="18.75" customHeight="1" x14ac:dyDescent="0.25">
      <c r="A1582" s="2" t="str">
        <f ca="1">IFERROR(__xludf.DUMMYFUNCTION("""COMPUTED_VALUE"""),"REA-U6022")</f>
        <v>REA-U6022</v>
      </c>
      <c r="B1582" s="3">
        <f ca="1">IFERROR(__xludf.DUMMYFUNCTION("""COMPUTED_VALUE"""),52112)</f>
        <v>52112</v>
      </c>
      <c r="C1582" s="3">
        <f ca="1">IFERROR(__xludf.DUMMYFUNCTION("""COMPUTED_VALUE"""),5902557395279)</f>
        <v>5902557395279</v>
      </c>
      <c r="D1582" s="4" t="str">
        <f ca="1">IFERROR(__xludf.DUMMYFUNCTION("""COMPUTED_VALUE"""),"UMYWALKA LISA - NABLATOWA")</f>
        <v>UMYWALKA LISA - NABLATOWA</v>
      </c>
      <c r="E1582" s="31">
        <v>46.926829268292686</v>
      </c>
      <c r="F1582" s="31">
        <f t="shared" si="24"/>
        <v>57.72</v>
      </c>
    </row>
    <row r="1583" spans="1:6" ht="18.75" customHeight="1" x14ac:dyDescent="0.25">
      <c r="A1583" s="2" t="str">
        <f ca="1">IFERROR(__xludf.DUMMYFUNCTION("""COMPUTED_VALUE"""),"REA-U6380")</f>
        <v>REA-U6380</v>
      </c>
      <c r="B1583" s="3">
        <f ca="1">IFERROR(__xludf.DUMMYFUNCTION("""COMPUTED_VALUE"""),54289)</f>
        <v>54289</v>
      </c>
      <c r="C1583" s="3">
        <f ca="1">IFERROR(__xludf.DUMMYFUNCTION("""COMPUTED_VALUE"""),5906366006401)</f>
        <v>5906366006401</v>
      </c>
      <c r="D1583" s="4" t="str">
        <f ca="1">IFERROR(__xludf.DUMMYFUNCTION("""COMPUTED_VALUE"""),"UMYWALKA LISA BEIGE SHINY - NABLATOWA")</f>
        <v>UMYWALKA LISA BEIGE SHINY - NABLATOWA</v>
      </c>
      <c r="E1583" s="31">
        <v>69.487804878048792</v>
      </c>
      <c r="F1583" s="31">
        <f t="shared" si="24"/>
        <v>85.470000000000013</v>
      </c>
    </row>
    <row r="1584" spans="1:6" ht="18.75" customHeight="1" x14ac:dyDescent="0.25">
      <c r="A1584" s="2" t="str">
        <f ca="1">IFERROR(__xludf.DUMMYFUNCTION("""COMPUTED_VALUE"""),"REA-U4591")</f>
        <v>REA-U4591</v>
      </c>
      <c r="B1584" s="3">
        <f ca="1">IFERROR(__xludf.DUMMYFUNCTION("""COMPUTED_VALUE"""),54341)</f>
        <v>54341</v>
      </c>
      <c r="C1584" s="3">
        <f ca="1">IFERROR(__xludf.DUMMYFUNCTION("""COMPUTED_VALUE"""),5906366006388)</f>
        <v>5906366006388</v>
      </c>
      <c r="D1584" s="4" t="str">
        <f ca="1">IFERROR(__xludf.DUMMYFUNCTION("""COMPUTED_VALUE"""),"UMYWALKA LISA ECRU SHINY - NABLATOWA")</f>
        <v>UMYWALKA LISA ECRU SHINY - NABLATOWA</v>
      </c>
      <c r="E1584" s="31">
        <v>69.487804878048792</v>
      </c>
      <c r="F1584" s="31">
        <f t="shared" si="24"/>
        <v>85.470000000000013</v>
      </c>
    </row>
    <row r="1585" spans="1:6" ht="18.75" customHeight="1" x14ac:dyDescent="0.25">
      <c r="A1585" s="2" t="str">
        <f ca="1">IFERROR(__xludf.DUMMYFUNCTION("""COMPUTED_VALUE"""),"REA-U6620")</f>
        <v>REA-U6620</v>
      </c>
      <c r="B1585" s="3">
        <f ca="1">IFERROR(__xludf.DUMMYFUNCTION("""COMPUTED_VALUE"""),54139)</f>
        <v>54139</v>
      </c>
      <c r="C1585" s="3">
        <f ca="1">IFERROR(__xludf.DUMMYFUNCTION("""COMPUTED_VALUE"""),5906366006395)</f>
        <v>5906366006395</v>
      </c>
      <c r="D1585" s="4" t="str">
        <f ca="1">IFERROR(__xludf.DUMMYFUNCTION("""COMPUTED_VALUE"""),"UMYWALKA LISA L.BLUE SHINY - NABLATOWA")</f>
        <v>UMYWALKA LISA L.BLUE SHINY - NABLATOWA</v>
      </c>
      <c r="E1585" s="31">
        <v>69.487804878048792</v>
      </c>
      <c r="F1585" s="31">
        <f t="shared" si="24"/>
        <v>85.470000000000013</v>
      </c>
    </row>
    <row r="1586" spans="1:6" ht="18.75" customHeight="1" x14ac:dyDescent="0.25">
      <c r="A1586" s="2" t="str">
        <f ca="1">IFERROR(__xludf.DUMMYFUNCTION("""COMPUTED_VALUE"""),"REA-U3802")</f>
        <v>REA-U3802</v>
      </c>
      <c r="B1586" s="3">
        <f ca="1">IFERROR(__xludf.DUMMYFUNCTION("""COMPUTED_VALUE"""),38034)</f>
        <v>38034</v>
      </c>
      <c r="C1586" s="3">
        <f ca="1">IFERROR(__xludf.DUMMYFUNCTION("""COMPUTED_VALUE"""),5902557350223)</f>
        <v>5902557350223</v>
      </c>
      <c r="D1586" s="4" t="str">
        <f ca="1">IFERROR(__xludf.DUMMYFUNCTION("""COMPUTED_VALUE"""),"UMYWALKA LIVIA BEIGE MATT - NABLATOWA")</f>
        <v>UMYWALKA LIVIA BEIGE MATT - NABLATOWA</v>
      </c>
      <c r="E1586" s="31">
        <v>73.097560975609767</v>
      </c>
      <c r="F1586" s="31">
        <f t="shared" si="24"/>
        <v>89.910000000000011</v>
      </c>
    </row>
    <row r="1587" spans="1:6" ht="18.75" customHeight="1" x14ac:dyDescent="0.25">
      <c r="A1587" s="2" t="str">
        <f ca="1">IFERROR(__xludf.DUMMYFUNCTION("""COMPUTED_VALUE"""),"REA-U3801")</f>
        <v>REA-U3801</v>
      </c>
      <c r="B1587" s="3">
        <f ca="1">IFERROR(__xludf.DUMMYFUNCTION("""COMPUTED_VALUE"""),38033)</f>
        <v>38033</v>
      </c>
      <c r="C1587" s="3">
        <f ca="1">IFERROR(__xludf.DUMMYFUNCTION("""COMPUTED_VALUE"""),5902557350216)</f>
        <v>5902557350216</v>
      </c>
      <c r="D1587" s="4" t="str">
        <f ca="1">IFERROR(__xludf.DUMMYFUNCTION("""COMPUTED_VALUE"""),"UMYWALKA LIVIA GREY MATT - NABLATOWA")</f>
        <v>UMYWALKA LIVIA GREY MATT - NABLATOWA</v>
      </c>
      <c r="E1587" s="31">
        <v>73.097560975609767</v>
      </c>
      <c r="F1587" s="31">
        <f t="shared" si="24"/>
        <v>89.910000000000011</v>
      </c>
    </row>
    <row r="1588" spans="1:6" ht="18.75" customHeight="1" x14ac:dyDescent="0.25">
      <c r="A1588" s="2" t="str">
        <f ca="1">IFERROR(__xludf.DUMMYFUNCTION("""COMPUTED_VALUE"""),"REA-U3800")</f>
        <v>REA-U3800</v>
      </c>
      <c r="B1588" s="3">
        <f ca="1">IFERROR(__xludf.DUMMYFUNCTION("""COMPUTED_VALUE"""),38035)</f>
        <v>38035</v>
      </c>
      <c r="C1588" s="3">
        <f ca="1">IFERROR(__xludf.DUMMYFUNCTION("""COMPUTED_VALUE"""),5902557350209)</f>
        <v>5902557350209</v>
      </c>
      <c r="D1588" s="4" t="str">
        <f ca="1">IFERROR(__xludf.DUMMYFUNCTION("""COMPUTED_VALUE"""),"UMYWALKA LIVIA STONE MATT - NABLATOWA")</f>
        <v>UMYWALKA LIVIA STONE MATT - NABLATOWA</v>
      </c>
      <c r="E1588" s="31">
        <v>74.902439024390262</v>
      </c>
      <c r="F1588" s="31">
        <f t="shared" si="24"/>
        <v>92.130000000000024</v>
      </c>
    </row>
    <row r="1589" spans="1:6" ht="18.75" customHeight="1" x14ac:dyDescent="0.25">
      <c r="A1589" s="2" t="str">
        <f ca="1">IFERROR(__xludf.DUMMYFUNCTION("""COMPUTED_VALUE"""),"REA-U6645")</f>
        <v>REA-U6645</v>
      </c>
      <c r="B1589" s="3">
        <f ca="1">IFERROR(__xludf.DUMMYFUNCTION("""COMPUTED_VALUE"""),26992)</f>
        <v>26992</v>
      </c>
      <c r="C1589" s="3">
        <f ca="1">IFERROR(__xludf.DUMMYFUNCTION("""COMPUTED_VALUE"""),5902557335657)</f>
        <v>5902557335657</v>
      </c>
      <c r="D1589" s="4" t="str">
        <f ca="1">IFERROR(__xludf.DUMMYFUNCTION("""COMPUTED_VALUE"""),"UMYWALKA LUCIA - NABLATOWA")</f>
        <v>UMYWALKA LUCIA - NABLATOWA</v>
      </c>
      <c r="E1589" s="31">
        <v>81.219512195121965</v>
      </c>
      <c r="F1589" s="31">
        <f t="shared" si="24"/>
        <v>99.90000000000002</v>
      </c>
    </row>
    <row r="1590" spans="1:6" ht="18.75" customHeight="1" x14ac:dyDescent="0.25">
      <c r="A1590" s="2" t="str">
        <f ca="1">IFERROR(__xludf.DUMMYFUNCTION("""COMPUTED_VALUE"""),"REA-U0159")</f>
        <v>REA-U0159</v>
      </c>
      <c r="B1590" s="3"/>
      <c r="C1590" s="3">
        <f ca="1">IFERROR(__xludf.DUMMYFUNCTION("""COMPUTED_VALUE"""),5902557300303)</f>
        <v>5902557300303</v>
      </c>
      <c r="D1590" s="4" t="str">
        <f ca="1">IFERROR(__xludf.DUMMYFUNCTION("""COMPUTED_VALUE"""),"UMYWALKA LUCY - NABLATOWA")</f>
        <v>UMYWALKA LUCY - NABLATOWA</v>
      </c>
      <c r="E1590" s="31">
        <v>55.048780487804883</v>
      </c>
      <c r="F1590" s="31">
        <f t="shared" si="24"/>
        <v>67.710000000000008</v>
      </c>
    </row>
    <row r="1591" spans="1:6" ht="18.75" customHeight="1" x14ac:dyDescent="0.25">
      <c r="A1591" s="2" t="str">
        <f ca="1">IFERROR(__xludf.DUMMYFUNCTION("""COMPUTED_VALUE"""),"REA-U9602")</f>
        <v>REA-U9602</v>
      </c>
      <c r="B1591" s="3"/>
      <c r="C1591" s="3">
        <f ca="1">IFERROR(__xludf.DUMMYFUNCTION("""COMPUTED_VALUE"""),5902557341788)</f>
        <v>5902557341788</v>
      </c>
      <c r="D1591" s="4" t="str">
        <f ca="1">IFERROR(__xludf.DUMMYFUNCTION("""COMPUTED_VALUE"""),"UMYWALKA LUIZA 42 - NABLATOWA")</f>
        <v>UMYWALKA LUIZA 42 - NABLATOWA</v>
      </c>
      <c r="E1591" s="31">
        <v>46.024390243902438</v>
      </c>
      <c r="F1591" s="31">
        <f t="shared" si="24"/>
        <v>56.61</v>
      </c>
    </row>
    <row r="1592" spans="1:6" ht="18.75" customHeight="1" x14ac:dyDescent="0.25">
      <c r="A1592" s="2" t="str">
        <f ca="1">IFERROR(__xludf.DUMMYFUNCTION("""COMPUTED_VALUE"""),"REA-U9607")</f>
        <v>REA-U9607</v>
      </c>
      <c r="B1592" s="3">
        <f ca="1">IFERROR(__xludf.DUMMYFUNCTION("""COMPUTED_VALUE"""),31219)</f>
        <v>31219</v>
      </c>
      <c r="C1592" s="3">
        <f ca="1">IFERROR(__xludf.DUMMYFUNCTION("""COMPUTED_VALUE"""),5902557341818)</f>
        <v>5902557341818</v>
      </c>
      <c r="D1592" s="4" t="str">
        <f ca="1">IFERROR(__xludf.DUMMYFUNCTION("""COMPUTED_VALUE"""),"UMYWALKA LUIZA 42 BEIGE MATT - NABLATOWA")</f>
        <v>UMYWALKA LUIZA 42 BEIGE MATT - NABLATOWA</v>
      </c>
      <c r="E1592" s="31">
        <v>65.878048780487816</v>
      </c>
      <c r="F1592" s="31">
        <f t="shared" si="24"/>
        <v>81.030000000000015</v>
      </c>
    </row>
    <row r="1593" spans="1:6" ht="18.75" customHeight="1" x14ac:dyDescent="0.25">
      <c r="A1593" s="2" t="str">
        <f ca="1">IFERROR(__xludf.DUMMYFUNCTION("""COMPUTED_VALUE"""),"REA-U9606")</f>
        <v>REA-U9606</v>
      </c>
      <c r="B1593" s="3"/>
      <c r="C1593" s="3">
        <f ca="1">IFERROR(__xludf.DUMMYFUNCTION("""COMPUTED_VALUE"""),5902557341801)</f>
        <v>5902557341801</v>
      </c>
      <c r="D1593" s="4" t="str">
        <f ca="1">IFERROR(__xludf.DUMMYFUNCTION("""COMPUTED_VALUE"""),"UMYWALKA LUIZA 42 BLACK MATT - NABLATOWA")</f>
        <v>UMYWALKA LUIZA 42 BLACK MATT - NABLATOWA</v>
      </c>
      <c r="E1593" s="31">
        <v>85.731707317073173</v>
      </c>
      <c r="F1593" s="31">
        <f t="shared" si="24"/>
        <v>105.45</v>
      </c>
    </row>
    <row r="1594" spans="1:6" ht="18.75" customHeight="1" x14ac:dyDescent="0.25">
      <c r="A1594" s="2" t="str">
        <f ca="1">IFERROR(__xludf.DUMMYFUNCTION("""COMPUTED_VALUE"""),"REA-U4561")</f>
        <v>REA-U4561</v>
      </c>
      <c r="B1594" s="3">
        <f ca="1">IFERROR(__xludf.DUMMYFUNCTION("""COMPUTED_VALUE"""),31519)</f>
        <v>31519</v>
      </c>
      <c r="C1594" s="3">
        <f ca="1">IFERROR(__xludf.DUMMYFUNCTION("""COMPUTED_VALUE"""),5902557341825)</f>
        <v>5902557341825</v>
      </c>
      <c r="D1594" s="4" t="str">
        <f ca="1">IFERROR(__xludf.DUMMYFUNCTION("""COMPUTED_VALUE"""),"UMYWALKA LUIZA 42 GREEN MATT - NABLATOWA")</f>
        <v>UMYWALKA LUIZA 42 GREEN MATT - NABLATOWA</v>
      </c>
      <c r="E1594" s="31">
        <v>65.878048780487816</v>
      </c>
      <c r="F1594" s="31">
        <f t="shared" si="24"/>
        <v>81.030000000000015</v>
      </c>
    </row>
    <row r="1595" spans="1:6" ht="18.75" customHeight="1" x14ac:dyDescent="0.25">
      <c r="A1595" s="2" t="str">
        <f ca="1">IFERROR(__xludf.DUMMYFUNCTION("""COMPUTED_VALUE"""),"REA-U9610")</f>
        <v>REA-U9610</v>
      </c>
      <c r="B1595" s="3">
        <f ca="1">IFERROR(__xludf.DUMMYFUNCTION("""COMPUTED_VALUE"""),30769)</f>
        <v>30769</v>
      </c>
      <c r="C1595" s="3">
        <f ca="1">IFERROR(__xludf.DUMMYFUNCTION("""COMPUTED_VALUE"""),5902557341795)</f>
        <v>5902557341795</v>
      </c>
      <c r="D1595" s="4" t="str">
        <f ca="1">IFERROR(__xludf.DUMMYFUNCTION("""COMPUTED_VALUE"""),"UMYWALKA LUIZA 42 GREY MATT - NABLATOWA")</f>
        <v>UMYWALKA LUIZA 42 GREY MATT - NABLATOWA</v>
      </c>
      <c r="E1595" s="31">
        <v>65.878048780487816</v>
      </c>
      <c r="F1595" s="31">
        <f t="shared" si="24"/>
        <v>81.030000000000015</v>
      </c>
    </row>
    <row r="1596" spans="1:6" ht="18.75" customHeight="1" x14ac:dyDescent="0.25">
      <c r="A1596" s="2" t="str">
        <f ca="1">IFERROR(__xludf.DUMMYFUNCTION("""COMPUTED_VALUE"""),"REA-U9603")</f>
        <v>REA-U9603</v>
      </c>
      <c r="B1596" s="3">
        <f ca="1">IFERROR(__xludf.DUMMYFUNCTION("""COMPUTED_VALUE"""),30743)</f>
        <v>30743</v>
      </c>
      <c r="C1596" s="3">
        <f ca="1">IFERROR(__xludf.DUMMYFUNCTION("""COMPUTED_VALUE"""),5902557341832)</f>
        <v>5902557341832</v>
      </c>
      <c r="D1596" s="4" t="str">
        <f ca="1">IFERROR(__xludf.DUMMYFUNCTION("""COMPUTED_VALUE"""),"UMYWALKA LUIZA 50 - NABLATOWA")</f>
        <v>UMYWALKA LUIZA 50 - NABLATOWA</v>
      </c>
      <c r="E1596" s="31">
        <v>63.170731707317081</v>
      </c>
      <c r="F1596" s="31">
        <f t="shared" si="24"/>
        <v>77.7</v>
      </c>
    </row>
    <row r="1597" spans="1:6" ht="18.75" customHeight="1" x14ac:dyDescent="0.25">
      <c r="A1597" s="2" t="str">
        <f ca="1">IFERROR(__xludf.DUMMYFUNCTION("""COMPUTED_VALUE"""),"REA-U9609")</f>
        <v>REA-U9609</v>
      </c>
      <c r="B1597" s="3">
        <f ca="1">IFERROR(__xludf.DUMMYFUNCTION("""COMPUTED_VALUE"""),30745)</f>
        <v>30745</v>
      </c>
      <c r="C1597" s="3">
        <f ca="1">IFERROR(__xludf.DUMMYFUNCTION("""COMPUTED_VALUE"""),5902557341863)</f>
        <v>5902557341863</v>
      </c>
      <c r="D1597" s="4" t="str">
        <f ca="1">IFERROR(__xludf.DUMMYFUNCTION("""COMPUTED_VALUE"""),"UMYWALKA LUIZA 50 BEIGE MATT - NABLATOWA")</f>
        <v>UMYWALKA LUIZA 50 BEIGE MATT - NABLATOWA</v>
      </c>
      <c r="E1597" s="31">
        <v>82.121951219512198</v>
      </c>
      <c r="F1597" s="31">
        <f t="shared" si="24"/>
        <v>101.01</v>
      </c>
    </row>
    <row r="1598" spans="1:6" ht="18.75" customHeight="1" x14ac:dyDescent="0.25">
      <c r="A1598" s="2" t="str">
        <f ca="1">IFERROR(__xludf.DUMMYFUNCTION("""COMPUTED_VALUE"""),"REA-U9608")</f>
        <v>REA-U9608</v>
      </c>
      <c r="B1598" s="3"/>
      <c r="C1598" s="3">
        <f ca="1">IFERROR(__xludf.DUMMYFUNCTION("""COMPUTED_VALUE"""),5902557341856)</f>
        <v>5902557341856</v>
      </c>
      <c r="D1598" s="4" t="str">
        <f ca="1">IFERROR(__xludf.DUMMYFUNCTION("""COMPUTED_VALUE"""),"UMYWALKA LUIZA 50 BLACK MATT - NABLATOWA")</f>
        <v>UMYWALKA LUIZA 50 BLACK MATT - NABLATOWA</v>
      </c>
      <c r="E1598" s="31">
        <v>96.560975609756113</v>
      </c>
      <c r="F1598" s="31">
        <f t="shared" si="24"/>
        <v>118.77000000000002</v>
      </c>
    </row>
    <row r="1599" spans="1:6" ht="18.75" customHeight="1" x14ac:dyDescent="0.25">
      <c r="A1599" s="2" t="str">
        <f ca="1">IFERROR(__xludf.DUMMYFUNCTION("""COMPUTED_VALUE"""),"REA-U4560")</f>
        <v>REA-U4560</v>
      </c>
      <c r="B1599" s="3">
        <f ca="1">IFERROR(__xludf.DUMMYFUNCTION("""COMPUTED_VALUE"""),33250)</f>
        <v>33250</v>
      </c>
      <c r="C1599" s="3">
        <f ca="1">IFERROR(__xludf.DUMMYFUNCTION("""COMPUTED_VALUE"""),5902557341870)</f>
        <v>5902557341870</v>
      </c>
      <c r="D1599" s="4" t="str">
        <f ca="1">IFERROR(__xludf.DUMMYFUNCTION("""COMPUTED_VALUE"""),"UMYWALKA LUIZA 50 GREEN MATT - NABLATOWA")</f>
        <v>UMYWALKA LUIZA 50 GREEN MATT - NABLATOWA</v>
      </c>
      <c r="E1599" s="31">
        <v>82.121951219512198</v>
      </c>
      <c r="F1599" s="31">
        <f t="shared" si="24"/>
        <v>101.01</v>
      </c>
    </row>
    <row r="1600" spans="1:6" ht="18.75" customHeight="1" x14ac:dyDescent="0.25">
      <c r="A1600" s="2" t="str">
        <f ca="1">IFERROR(__xludf.DUMMYFUNCTION("""COMPUTED_VALUE"""),"REA-U5601")</f>
        <v>REA-U5601</v>
      </c>
      <c r="B1600" s="3">
        <f ca="1">IFERROR(__xludf.DUMMYFUNCTION("""COMPUTED_VALUE"""),33236)</f>
        <v>33236</v>
      </c>
      <c r="C1600" s="3">
        <f ca="1">IFERROR(__xludf.DUMMYFUNCTION("""COMPUTED_VALUE"""),5902557341849)</f>
        <v>5902557341849</v>
      </c>
      <c r="D1600" s="4" t="str">
        <f ca="1">IFERROR(__xludf.DUMMYFUNCTION("""COMPUTED_VALUE"""),"UMYWALKA LUIZA 50 GREY MATT - NABLATOWA")</f>
        <v>UMYWALKA LUIZA 50 GREY MATT - NABLATOWA</v>
      </c>
      <c r="E1600" s="31">
        <v>82.121951219512198</v>
      </c>
      <c r="F1600" s="31">
        <f t="shared" si="24"/>
        <v>101.01</v>
      </c>
    </row>
    <row r="1601" spans="1:6" ht="18.75" customHeight="1" x14ac:dyDescent="0.25">
      <c r="A1601" s="2" t="str">
        <f ca="1">IFERROR(__xludf.DUMMYFUNCTION("""COMPUTED_VALUE"""),"REA-U3306")</f>
        <v>REA-U3306</v>
      </c>
      <c r="B1601" s="3">
        <f ca="1">IFERROR(__xludf.DUMMYFUNCTION("""COMPUTED_VALUE"""),50966)</f>
        <v>50966</v>
      </c>
      <c r="C1601" s="3">
        <f ca="1">IFERROR(__xludf.DUMMYFUNCTION("""COMPUTED_VALUE"""),5902557392322)</f>
        <v>5902557392322</v>
      </c>
      <c r="D1601" s="4" t="str">
        <f ca="1">IFERROR(__xludf.DUMMYFUNCTION("""COMPUTED_VALUE"""),"UMYWALKA LUNA BLACK/GOLD - NABLATOWA")</f>
        <v>UMYWALKA LUNA BLACK/GOLD - NABLATOWA</v>
      </c>
      <c r="E1601" s="31">
        <v>91.146341463414643</v>
      </c>
      <c r="F1601" s="31">
        <f t="shared" si="24"/>
        <v>112.11000000000001</v>
      </c>
    </row>
    <row r="1602" spans="1:6" ht="18.75" customHeight="1" x14ac:dyDescent="0.25">
      <c r="A1602" s="2" t="str">
        <f ca="1">IFERROR(__xludf.DUMMYFUNCTION("""COMPUTED_VALUE"""),"BEL-00001")</f>
        <v>BEL-00001</v>
      </c>
      <c r="B1602" s="3">
        <f ca="1">IFERROR(__xludf.DUMMYFUNCTION("""COMPUTED_VALUE"""),43508)</f>
        <v>43508</v>
      </c>
      <c r="C1602" s="3">
        <f ca="1">IFERROR(__xludf.DUMMYFUNCTION("""COMPUTED_VALUE"""),5902557363650)</f>
        <v>5902557363650</v>
      </c>
      <c r="D1602" s="4" t="str">
        <f ca="1">IFERROR(__xludf.DUMMYFUNCTION("""COMPUTED_VALUE"""),"UMYWALKA LUXURY 60 - WPUSZCZANA")</f>
        <v>UMYWALKA LUXURY 60 - WPUSZCZANA</v>
      </c>
      <c r="E1602" s="31">
        <v>72.195121951219519</v>
      </c>
      <c r="F1602" s="31">
        <f t="shared" ref="F1602:F1664" si="25">E1602*1.23</f>
        <v>88.800000000000011</v>
      </c>
    </row>
    <row r="1603" spans="1:6" ht="18.75" customHeight="1" x14ac:dyDescent="0.25">
      <c r="A1603" s="2" t="str">
        <f ca="1">IFERROR(__xludf.DUMMYFUNCTION("""COMPUTED_VALUE"""),"REA-U0064")</f>
        <v>REA-U0064</v>
      </c>
      <c r="B1603" s="3">
        <f ca="1">IFERROR(__xludf.DUMMYFUNCTION("""COMPUTED_VALUE"""),1660)</f>
        <v>1660</v>
      </c>
      <c r="C1603" s="3">
        <f ca="1">IFERROR(__xludf.DUMMYFUNCTION("""COMPUTED_VALUE"""),5902557300020)</f>
        <v>5902557300020</v>
      </c>
      <c r="D1603" s="4" t="str">
        <f ca="1">IFERROR(__xludf.DUMMYFUNCTION("""COMPUTED_VALUE"""),"UMYWALKA MAGARI - WPUSZCZANA")</f>
        <v>UMYWALKA MAGARI - WPUSZCZANA</v>
      </c>
      <c r="E1603" s="31">
        <v>41.512195121951223</v>
      </c>
      <c r="F1603" s="31">
        <f t="shared" si="25"/>
        <v>51.06</v>
      </c>
    </row>
    <row r="1604" spans="1:6" ht="18.75" customHeight="1" x14ac:dyDescent="0.25">
      <c r="A1604" s="2" t="str">
        <f ca="1">IFERROR(__xludf.DUMMYFUNCTION("""COMPUTED_VALUE"""),"REA-U3302")</f>
        <v>REA-U3302</v>
      </c>
      <c r="B1604" s="3">
        <f ca="1">IFERROR(__xludf.DUMMYFUNCTION("""COMPUTED_VALUE"""),50959)</f>
        <v>50959</v>
      </c>
      <c r="C1604" s="3">
        <f ca="1">IFERROR(__xludf.DUMMYFUNCTION("""COMPUTED_VALUE"""),5902557392285)</f>
        <v>5902557392285</v>
      </c>
      <c r="D1604" s="4" t="str">
        <f ca="1">IFERROR(__xludf.DUMMYFUNCTION("""COMPUTED_VALUE"""),"UMYWALKA MALENA - NABLATOWA")</f>
        <v>UMYWALKA MALENA - NABLATOWA</v>
      </c>
      <c r="E1604" s="31">
        <v>91.146341463414643</v>
      </c>
      <c r="F1604" s="31">
        <f t="shared" si="25"/>
        <v>112.11000000000001</v>
      </c>
    </row>
    <row r="1605" spans="1:6" ht="18.75" customHeight="1" x14ac:dyDescent="0.25">
      <c r="A1605" s="2" t="str">
        <f ca="1">IFERROR(__xludf.DUMMYFUNCTION("""COMPUTED_VALUE"""),"REA-U7502")</f>
        <v>REA-U7502</v>
      </c>
      <c r="B1605" s="3">
        <f ca="1">IFERROR(__xludf.DUMMYFUNCTION("""COMPUTED_VALUE"""),52664)</f>
        <v>52664</v>
      </c>
      <c r="C1605" s="3">
        <f ca="1">IFERROR(__xludf.DUMMYFUNCTION("""COMPUTED_VALUE"""),5902557396238)</f>
        <v>5902557396238</v>
      </c>
      <c r="D1605" s="4" t="str">
        <f ca="1">IFERROR(__xludf.DUMMYFUNCTION("""COMPUTED_VALUE"""),"UMYWALKA MANDALA - NABLATOWA")</f>
        <v>UMYWALKA MANDALA - NABLATOWA</v>
      </c>
      <c r="E1605" s="31">
        <v>83.024390243902445</v>
      </c>
      <c r="F1605" s="31">
        <f t="shared" si="25"/>
        <v>102.12</v>
      </c>
    </row>
    <row r="1606" spans="1:6" ht="18.75" customHeight="1" x14ac:dyDescent="0.25">
      <c r="A1606" s="2" t="str">
        <f ca="1">IFERROR(__xludf.DUMMYFUNCTION("""COMPUTED_VALUE"""),"REA-U3326")</f>
        <v>REA-U3326</v>
      </c>
      <c r="B1606" s="3">
        <f ca="1">IFERROR(__xludf.DUMMYFUNCTION("""COMPUTED_VALUE"""),52447)</f>
        <v>52447</v>
      </c>
      <c r="C1606" s="3">
        <f ca="1">IFERROR(__xludf.DUMMYFUNCTION("""COMPUTED_VALUE"""),5902557396702)</f>
        <v>5902557396702</v>
      </c>
      <c r="D1606" s="4" t="str">
        <f ca="1">IFERROR(__xludf.DUMMYFUNCTION("""COMPUTED_VALUE"""),"UMYWALKA MANDY")</f>
        <v>UMYWALKA MANDY</v>
      </c>
      <c r="E1606" s="31">
        <v>75.804878048780495</v>
      </c>
      <c r="F1606" s="31">
        <f t="shared" si="25"/>
        <v>93.240000000000009</v>
      </c>
    </row>
    <row r="1607" spans="1:6" ht="18.75" customHeight="1" x14ac:dyDescent="0.25">
      <c r="A1607" s="2" t="str">
        <f ca="1">IFERROR(__xludf.DUMMYFUNCTION("""COMPUTED_VALUE"""),"REA-U8603")</f>
        <v>REA-U8603</v>
      </c>
      <c r="B1607" s="3">
        <f ca="1">IFERROR(__xludf.DUMMYFUNCTION("""COMPUTED_VALUE"""),29035)</f>
        <v>29035</v>
      </c>
      <c r="C1607" s="3">
        <f ca="1">IFERROR(__xludf.DUMMYFUNCTION("""COMPUTED_VALUE"""),5902557336142)</f>
        <v>5902557336142</v>
      </c>
      <c r="D1607" s="4" t="str">
        <f ca="1">IFERROR(__xludf.DUMMYFUNCTION("""COMPUTED_VALUE"""),"UMYWALKA MARBEL - NABLATOWA")</f>
        <v>UMYWALKA MARBEL - NABLATOWA</v>
      </c>
      <c r="E1607" s="31">
        <v>75.804878048780495</v>
      </c>
      <c r="F1607" s="31">
        <f t="shared" si="25"/>
        <v>93.240000000000009</v>
      </c>
    </row>
    <row r="1608" spans="1:6" ht="18.75" customHeight="1" x14ac:dyDescent="0.25">
      <c r="A1608" s="2" t="str">
        <f ca="1">IFERROR(__xludf.DUMMYFUNCTION("""COMPUTED_VALUE"""),"REA-U8978")</f>
        <v>REA-U8978</v>
      </c>
      <c r="B1608" s="3">
        <f ca="1">IFERROR(__xludf.DUMMYFUNCTION("""COMPUTED_VALUE"""),42041)</f>
        <v>42041</v>
      </c>
      <c r="C1608" s="3">
        <f ca="1">IFERROR(__xludf.DUMMYFUNCTION("""COMPUTED_VALUE"""),5902557358632)</f>
        <v>5902557358632</v>
      </c>
      <c r="D1608" s="4" t="str">
        <f ca="1">IFERROR(__xludf.DUMMYFUNCTION("""COMPUTED_VALUE"""),"UMYWALKA MARGOT BLACK/GOLD - NABLATOWA")</f>
        <v>UMYWALKA MARGOT BLACK/GOLD - NABLATOWA</v>
      </c>
      <c r="E1608" s="31">
        <v>127.24299999999999</v>
      </c>
      <c r="F1608" s="31">
        <f t="shared" si="25"/>
        <v>156.50888999999998</v>
      </c>
    </row>
    <row r="1609" spans="1:6" ht="18.75" customHeight="1" x14ac:dyDescent="0.25">
      <c r="A1609" s="2" t="str">
        <f ca="1">IFERROR(__xludf.DUMMYFUNCTION("""COMPUTED_VALUE"""),"REA-U8709")</f>
        <v>REA-U8709</v>
      </c>
      <c r="B1609" s="3">
        <f ca="1">IFERROR(__xludf.DUMMYFUNCTION("""COMPUTED_VALUE"""),33731)</f>
        <v>33731</v>
      </c>
      <c r="C1609" s="3">
        <f ca="1">IFERROR(__xludf.DUMMYFUNCTION("""COMPUTED_VALUE"""),5902557345120)</f>
        <v>5902557345120</v>
      </c>
      <c r="D1609" s="4" t="str">
        <f ca="1">IFERROR(__xludf.DUMMYFUNCTION("""COMPUTED_VALUE"""),"UMYWALKA MARGOT BLUE/GOLD - NABLATOWA")</f>
        <v>UMYWALKA MARGOT BLUE/GOLD - NABLATOWA</v>
      </c>
      <c r="E1609" s="31">
        <v>123.63414634146343</v>
      </c>
      <c r="F1609" s="31">
        <f t="shared" si="25"/>
        <v>152.07000000000002</v>
      </c>
    </row>
    <row r="1610" spans="1:6" ht="18.75" customHeight="1" x14ac:dyDescent="0.25">
      <c r="A1610" s="2" t="str">
        <f ca="1">IFERROR(__xludf.DUMMYFUNCTION("""COMPUTED_VALUE"""),"REA-U8462")</f>
        <v>REA-U8462</v>
      </c>
      <c r="B1610" s="3">
        <f ca="1">IFERROR(__xludf.DUMMYFUNCTION("""COMPUTED_VALUE"""),42289)</f>
        <v>42289</v>
      </c>
      <c r="C1610" s="3">
        <f ca="1">IFERROR(__xludf.DUMMYFUNCTION("""COMPUTED_VALUE"""),5902557358915)</f>
        <v>5902557358915</v>
      </c>
      <c r="D1610" s="4" t="str">
        <f ca="1">IFERROR(__xludf.DUMMYFUNCTION("""COMPUTED_VALUE"""),"UMYWALKA MARGOT GREEN GOLD  - NABLATOWA")</f>
        <v>UMYWALKA MARGOT GREEN GOLD  - NABLATOWA</v>
      </c>
      <c r="E1610" s="31">
        <v>131.75609756097563</v>
      </c>
      <c r="F1610" s="31">
        <f t="shared" si="25"/>
        <v>162.06000000000003</v>
      </c>
    </row>
    <row r="1611" spans="1:6" ht="18.75" customHeight="1" x14ac:dyDescent="0.25">
      <c r="A1611" s="2" t="str">
        <f ca="1">IFERROR(__xludf.DUMMYFUNCTION("""COMPUTED_VALUE"""),"REA-U9650")</f>
        <v>REA-U9650</v>
      </c>
      <c r="B1611" s="3">
        <f ca="1">IFERROR(__xludf.DUMMYFUNCTION("""COMPUTED_VALUE"""),51171)</f>
        <v>51171</v>
      </c>
      <c r="C1611" s="3">
        <f ca="1">IFERROR(__xludf.DUMMYFUNCTION("""COMPUTED_VALUE"""),5902557393411)</f>
        <v>5902557393411</v>
      </c>
      <c r="D1611" s="4" t="str">
        <f ca="1">IFERROR(__xludf.DUMMYFUNCTION("""COMPUTED_VALUE"""),"UMYWALKA MARGOT WHITE/GOLD - NABLATOWA")</f>
        <v>UMYWALKA MARGOT WHITE/GOLD - NABLATOWA</v>
      </c>
      <c r="E1611" s="31">
        <v>123.63414634146343</v>
      </c>
      <c r="F1611" s="31">
        <f t="shared" si="25"/>
        <v>152.07000000000002</v>
      </c>
    </row>
    <row r="1612" spans="1:6" ht="18.75" customHeight="1" x14ac:dyDescent="0.25">
      <c r="A1612" s="2" t="str">
        <f ca="1">IFERROR(__xludf.DUMMYFUNCTION("""COMPUTED_VALUE"""),"REA-U9611")</f>
        <v>REA-U9611</v>
      </c>
      <c r="B1612" s="3">
        <f ca="1">IFERROR(__xludf.DUMMYFUNCTION("""COMPUTED_VALUE"""),30749)</f>
        <v>30749</v>
      </c>
      <c r="C1612" s="3">
        <f ca="1">IFERROR(__xludf.DUMMYFUNCTION("""COMPUTED_VALUE"""),5902557341887)</f>
        <v>5902557341887</v>
      </c>
      <c r="D1612" s="4" t="str">
        <f ca="1">IFERROR(__xludf.DUMMYFUNCTION("""COMPUTED_VALUE"""),"UMYWALKA MARIKA - NABLATOWA")</f>
        <v>UMYWALKA MARIKA - NABLATOWA</v>
      </c>
      <c r="E1612" s="31">
        <v>59.560975609756099</v>
      </c>
      <c r="F1612" s="31">
        <f t="shared" si="25"/>
        <v>73.260000000000005</v>
      </c>
    </row>
    <row r="1613" spans="1:6" ht="18.75" customHeight="1" x14ac:dyDescent="0.25">
      <c r="A1613" s="2" t="str">
        <f ca="1">IFERROR(__xludf.DUMMYFUNCTION("""COMPUTED_VALUE"""),"REA-U3300")</f>
        <v>REA-U3300</v>
      </c>
      <c r="B1613" s="3">
        <f ca="1">IFERROR(__xludf.DUMMYFUNCTION("""COMPUTED_VALUE"""),50960)</f>
        <v>50960</v>
      </c>
      <c r="C1613" s="3">
        <f ca="1">IFERROR(__xludf.DUMMYFUNCTION("""COMPUTED_VALUE"""),5902557328871)</f>
        <v>5902557328871</v>
      </c>
      <c r="D1613" s="4" t="str">
        <f ca="1">IFERROR(__xludf.DUMMYFUNCTION("""COMPUTED_VALUE"""),"UMYWALKA MARINA BLUE - NABLATOWA")</f>
        <v>UMYWALKA MARINA BLUE - NABLATOWA</v>
      </c>
      <c r="E1613" s="31">
        <v>126.34146341463416</v>
      </c>
      <c r="F1613" s="31">
        <f t="shared" si="25"/>
        <v>155.4</v>
      </c>
    </row>
    <row r="1614" spans="1:6" ht="18.75" customHeight="1" x14ac:dyDescent="0.25">
      <c r="A1614" s="2" t="str">
        <f ca="1">IFERROR(__xludf.DUMMYFUNCTION("""COMPUTED_VALUE"""),"REA-U6646")</f>
        <v>REA-U6646</v>
      </c>
      <c r="B1614" s="3">
        <f ca="1">IFERROR(__xludf.DUMMYFUNCTION("""COMPUTED_VALUE"""),26972)</f>
        <v>26972</v>
      </c>
      <c r="C1614" s="3">
        <f ca="1">IFERROR(__xludf.DUMMYFUNCTION("""COMPUTED_VALUE"""),5902557335664)</f>
        <v>5902557335664</v>
      </c>
      <c r="D1614" s="4" t="str">
        <f ca="1">IFERROR(__xludf.DUMMYFUNCTION("""COMPUTED_VALUE"""),"UMYWALKA MARTINA - NABLATOWA")</f>
        <v>UMYWALKA MARTINA - NABLATOWA</v>
      </c>
      <c r="E1614" s="31">
        <v>74.000000000000014</v>
      </c>
      <c r="F1614" s="31">
        <f t="shared" si="25"/>
        <v>91.02000000000001</v>
      </c>
    </row>
    <row r="1615" spans="1:6" ht="18.75" customHeight="1" x14ac:dyDescent="0.25">
      <c r="A1615" s="2" t="str">
        <f ca="1">IFERROR(__xludf.DUMMYFUNCTION("""COMPUTED_VALUE"""),"REA-U8496")</f>
        <v>REA-U8496</v>
      </c>
      <c r="B1615" s="3">
        <f ca="1">IFERROR(__xludf.DUMMYFUNCTION("""COMPUTED_VALUE"""),29948)</f>
        <v>29948</v>
      </c>
      <c r="C1615" s="3">
        <f ca="1">IFERROR(__xludf.DUMMYFUNCTION("""COMPUTED_VALUE"""),5902557336906)</f>
        <v>5902557336906</v>
      </c>
      <c r="D1615" s="4" t="str">
        <f ca="1">IFERROR(__xludf.DUMMYFUNCTION("""COMPUTED_VALUE"""),"UMYWALKA MARTINA BLACK MATT - NABLATOWA")</f>
        <v>UMYWALKA MARTINA BLACK MATT - NABLATOWA</v>
      </c>
      <c r="E1615" s="31">
        <v>83.024390243902445</v>
      </c>
      <c r="F1615" s="31">
        <f t="shared" si="25"/>
        <v>102.12</v>
      </c>
    </row>
    <row r="1616" spans="1:6" ht="18.75" customHeight="1" x14ac:dyDescent="0.25">
      <c r="A1616" s="2" t="str">
        <f ca="1">IFERROR(__xludf.DUMMYFUNCTION("""COMPUTED_VALUE"""),"REA-U8497")</f>
        <v>REA-U8497</v>
      </c>
      <c r="B1616" s="3">
        <f ca="1">IFERROR(__xludf.DUMMYFUNCTION("""COMPUTED_VALUE"""),49060)</f>
        <v>49060</v>
      </c>
      <c r="C1616" s="3">
        <f ca="1">IFERROR(__xludf.DUMMYFUNCTION("""COMPUTED_VALUE"""),5902557336913)</f>
        <v>5902557336913</v>
      </c>
      <c r="D1616" s="4" t="str">
        <f ca="1">IFERROR(__xludf.DUMMYFUNCTION("""COMPUTED_VALUE"""),"UMYWALKA MARTINA GREY MATT - NABLATOWA")</f>
        <v>UMYWALKA MARTINA GREY MATT - NABLATOWA</v>
      </c>
      <c r="E1616" s="31">
        <v>84.82926829268294</v>
      </c>
      <c r="F1616" s="31">
        <f t="shared" si="25"/>
        <v>104.34000000000002</v>
      </c>
    </row>
    <row r="1617" spans="1:6" ht="18.75" customHeight="1" x14ac:dyDescent="0.25">
      <c r="A1617" s="2" t="str">
        <f ca="1">IFERROR(__xludf.DUMMYFUNCTION("""COMPUTED_VALUE"""),"REA-U0656")</f>
        <v>REA-U0656</v>
      </c>
      <c r="B1617" s="3">
        <f ca="1">IFERROR(__xludf.DUMMYFUNCTION("""COMPUTED_VALUE"""),7503)</f>
        <v>7503</v>
      </c>
      <c r="C1617" s="3">
        <f ca="1">IFERROR(__xludf.DUMMYFUNCTION("""COMPUTED_VALUE"""),5902557322817)</f>
        <v>5902557322817</v>
      </c>
      <c r="D1617" s="4" t="str">
        <f ca="1">IFERROR(__xludf.DUMMYFUNCTION("""COMPUTED_VALUE"""),"UMYWALKA MELANIA - NABLATOWA")</f>
        <v>UMYWALKA MELANIA - NABLATOWA</v>
      </c>
      <c r="E1617" s="31">
        <v>56.853658536585371</v>
      </c>
      <c r="F1617" s="31">
        <f t="shared" si="25"/>
        <v>69.930000000000007</v>
      </c>
    </row>
    <row r="1618" spans="1:6" ht="18.75" customHeight="1" x14ac:dyDescent="0.25">
      <c r="A1618" s="2" t="str">
        <f ca="1">IFERROR(__xludf.DUMMYFUNCTION("""COMPUTED_VALUE"""),"REA-U0470")</f>
        <v>REA-U0470</v>
      </c>
      <c r="B1618" s="3">
        <f ca="1">IFERROR(__xludf.DUMMYFUNCTION("""COMPUTED_VALUE"""),40071)</f>
        <v>40071</v>
      </c>
      <c r="C1618" s="3">
        <f ca="1">IFERROR(__xludf.DUMMYFUNCTION("""COMPUTED_VALUE"""),5902557356645)</f>
        <v>5902557356645</v>
      </c>
      <c r="D1618" s="4" t="str">
        <f ca="1">IFERROR(__xludf.DUMMYFUNCTION("""COMPUTED_VALUE"""),"UMYWALKA MELANIA BLACK - NABLATOWA")</f>
        <v>UMYWALKA MELANIA BLACK - NABLATOWA</v>
      </c>
      <c r="E1618" s="31">
        <v>62.268292682926841</v>
      </c>
      <c r="F1618" s="31">
        <f t="shared" si="25"/>
        <v>76.590000000000018</v>
      </c>
    </row>
    <row r="1619" spans="1:6" ht="18.75" customHeight="1" x14ac:dyDescent="0.25">
      <c r="A1619" s="2" t="str">
        <f ca="1">IFERROR(__xludf.DUMMYFUNCTION("""COMPUTED_VALUE"""),"REA-U0469")</f>
        <v>REA-U0469</v>
      </c>
      <c r="B1619" s="3">
        <f ca="1">IFERROR(__xludf.DUMMYFUNCTION("""COMPUTED_VALUE"""),37760)</f>
        <v>37760</v>
      </c>
      <c r="C1619" s="3">
        <f ca="1">IFERROR(__xludf.DUMMYFUNCTION("""COMPUTED_VALUE"""),5902557350261)</f>
        <v>5902557350261</v>
      </c>
      <c r="D1619" s="4" t="str">
        <f ca="1">IFERROR(__xludf.DUMMYFUNCTION("""COMPUTED_VALUE"""),"UMYWALKA MELANIA BLACK/GOLD - NABLATOWA")</f>
        <v>UMYWALKA MELANIA BLACK/GOLD - NABLATOWA</v>
      </c>
      <c r="E1619" s="31">
        <v>149.80487804878052</v>
      </c>
      <c r="F1619" s="31">
        <f t="shared" si="25"/>
        <v>184.26000000000005</v>
      </c>
    </row>
    <row r="1620" spans="1:6" ht="18.75" customHeight="1" x14ac:dyDescent="0.25">
      <c r="A1620" s="2" t="str">
        <f ca="1">IFERROR(__xludf.DUMMYFUNCTION("""COMPUTED_VALUE"""),"REA-U9001")</f>
        <v>REA-U9001</v>
      </c>
      <c r="B1620" s="3">
        <f ca="1">IFERROR(__xludf.DUMMYFUNCTION("""COMPUTED_VALUE"""),7493)</f>
        <v>7493</v>
      </c>
      <c r="C1620" s="3">
        <f ca="1">IFERROR(__xludf.DUMMYFUNCTION("""COMPUTED_VALUE"""),5902557332069)</f>
        <v>5902557332069</v>
      </c>
      <c r="D1620" s="4" t="str">
        <f ca="1">IFERROR(__xludf.DUMMYFUNCTION("""COMPUTED_VALUE"""),"UMYWALKA MELANIA GOLD - NABLATOWA")</f>
        <v>UMYWALKA MELANIA GOLD - NABLATOWA</v>
      </c>
      <c r="E1620" s="31">
        <v>84.82926829268294</v>
      </c>
      <c r="F1620" s="31">
        <f t="shared" si="25"/>
        <v>104.34000000000002</v>
      </c>
    </row>
    <row r="1621" spans="1:6" ht="18.75" customHeight="1" x14ac:dyDescent="0.25">
      <c r="A1621" s="2" t="str">
        <f ca="1">IFERROR(__xludf.DUMMYFUNCTION("""COMPUTED_VALUE"""),"REA-U1050")</f>
        <v>REA-U1050</v>
      </c>
      <c r="B1621" s="3">
        <f ca="1">IFERROR(__xludf.DUMMYFUNCTION("""COMPUTED_VALUE"""),7491)</f>
        <v>7491</v>
      </c>
      <c r="C1621" s="3">
        <f ca="1">IFERROR(__xludf.DUMMYFUNCTION("""COMPUTED_VALUE"""),5902557318681)</f>
        <v>5902557318681</v>
      </c>
      <c r="D1621" s="4" t="str">
        <f ca="1">IFERROR(__xludf.DUMMYFUNCTION("""COMPUTED_VALUE"""),"UMYWALKA MELANIA GOLD/WHITE - NABLATOWA")</f>
        <v>UMYWALKA MELANIA GOLD/WHITE - NABLATOWA</v>
      </c>
      <c r="E1621" s="31">
        <v>68.585365853658544</v>
      </c>
      <c r="F1621" s="31">
        <f t="shared" si="25"/>
        <v>84.360000000000014</v>
      </c>
    </row>
    <row r="1622" spans="1:6" ht="18.75" customHeight="1" x14ac:dyDescent="0.25">
      <c r="A1622" s="2" t="str">
        <f ca="1">IFERROR(__xludf.DUMMYFUNCTION("""COMPUTED_VALUE"""),"REA-U0467")</f>
        <v>REA-U0467</v>
      </c>
      <c r="B1622" s="3"/>
      <c r="C1622" s="3">
        <f ca="1">IFERROR(__xludf.DUMMYFUNCTION("""COMPUTED_VALUE"""),5902557350285)</f>
        <v>5902557350285</v>
      </c>
      <c r="D1622" s="4" t="str">
        <f ca="1">IFERROR(__xludf.DUMMYFUNCTION("""COMPUTED_VALUE"""),"UMYWALKA MELANIA GREEN/GOLD - NABLATOWA")</f>
        <v>UMYWALKA MELANIA GREEN/GOLD - NABLATOWA</v>
      </c>
      <c r="E1622" s="31">
        <v>113.70731707317074</v>
      </c>
      <c r="F1622" s="31">
        <f t="shared" si="25"/>
        <v>139.86000000000001</v>
      </c>
    </row>
    <row r="1623" spans="1:6" ht="18.75" customHeight="1" x14ac:dyDescent="0.25">
      <c r="A1623" s="2" t="str">
        <f ca="1">IFERROR(__xludf.DUMMYFUNCTION("""COMPUTED_VALUE"""),"REA-U0423")</f>
        <v>REA-U0423</v>
      </c>
      <c r="B1623" s="3">
        <f ca="1">IFERROR(__xludf.DUMMYFUNCTION("""COMPUTED_VALUE"""),26232)</f>
        <v>26232</v>
      </c>
      <c r="C1623" s="3">
        <f ca="1">IFERROR(__xludf.DUMMYFUNCTION("""COMPUTED_VALUE"""),5902557314270)</f>
        <v>5902557314270</v>
      </c>
      <c r="D1623" s="4" t="str">
        <f ca="1">IFERROR(__xludf.DUMMYFUNCTION("""COMPUTED_VALUE"""),"UMYWALKA MELANIA SILVER/SILVER - NABLATOWA")</f>
        <v>UMYWALKA MELANIA SILVER/SILVER - NABLATOWA</v>
      </c>
      <c r="E1623" s="31">
        <v>76.707317073170742</v>
      </c>
      <c r="F1623" s="31">
        <f t="shared" si="25"/>
        <v>94.350000000000009</v>
      </c>
    </row>
    <row r="1624" spans="1:6" ht="18.75" customHeight="1" x14ac:dyDescent="0.25">
      <c r="A1624" s="2" t="str">
        <f ca="1">IFERROR(__xludf.DUMMYFUNCTION("""COMPUTED_VALUE"""),"REA-U4660")</f>
        <v>REA-U4660</v>
      </c>
      <c r="B1624" s="3"/>
      <c r="C1624" s="3">
        <f ca="1">IFERROR(__xludf.DUMMYFUNCTION("""COMPUTED_VALUE"""),5902557355808)</f>
        <v>5902557355808</v>
      </c>
      <c r="D1624" s="4" t="str">
        <f ca="1">IFERROR(__xludf.DUMMYFUNCTION("""COMPUTED_VALUE"""),"UMYWALKA MELISA - NABLATOWA")</f>
        <v>UMYWALKA MELISA - NABLATOWA</v>
      </c>
      <c r="E1624" s="31">
        <v>35.195121951219512</v>
      </c>
      <c r="F1624" s="31">
        <f t="shared" si="25"/>
        <v>43.29</v>
      </c>
    </row>
    <row r="1625" spans="1:6" ht="18.75" customHeight="1" x14ac:dyDescent="0.25">
      <c r="A1625" s="2" t="str">
        <f ca="1">IFERROR(__xludf.DUMMYFUNCTION("""COMPUTED_VALUE"""),"REA-U0699")</f>
        <v>REA-U0699</v>
      </c>
      <c r="B1625" s="3">
        <f ca="1">IFERROR(__xludf.DUMMYFUNCTION("""COMPUTED_VALUE"""),39202)</f>
        <v>39202</v>
      </c>
      <c r="C1625" s="3">
        <f ca="1">IFERROR(__xludf.DUMMYFUNCTION("""COMPUTED_VALUE"""),5902557352371)</f>
        <v>5902557352371</v>
      </c>
      <c r="D1625" s="4" t="str">
        <f ca="1">IFERROR(__xludf.DUMMYFUNCTION("""COMPUTED_VALUE"""),"UMYWALKA MERY - NABLATOWA")</f>
        <v>UMYWALKA MERY - NABLATOWA</v>
      </c>
      <c r="E1625" s="31">
        <v>56.853658536585371</v>
      </c>
      <c r="F1625" s="31">
        <f t="shared" si="25"/>
        <v>69.930000000000007</v>
      </c>
    </row>
    <row r="1626" spans="1:6" ht="18.75" customHeight="1" x14ac:dyDescent="0.25">
      <c r="A1626" s="2" t="str">
        <f ca="1">IFERROR(__xludf.DUMMYFUNCTION("""COMPUTED_VALUE"""),"REA-U5054")</f>
        <v>REA-U5054</v>
      </c>
      <c r="B1626" s="3">
        <f ca="1">IFERROR(__xludf.DUMMYFUNCTION("""COMPUTED_VALUE"""),42749)</f>
        <v>42749</v>
      </c>
      <c r="C1626" s="3">
        <f ca="1">IFERROR(__xludf.DUMMYFUNCTION("""COMPUTED_VALUE"""),5902557365678)</f>
        <v>5902557365678</v>
      </c>
      <c r="D1626" s="4" t="str">
        <f ca="1">IFERROR(__xludf.DUMMYFUNCTION("""COMPUTED_VALUE"""),"UMYWALKA MERYL - NABLATOWA")</f>
        <v>UMYWALKA MERYL - NABLATOWA</v>
      </c>
      <c r="E1626" s="31">
        <v>103.78048780487806</v>
      </c>
      <c r="F1626" s="31">
        <f t="shared" si="25"/>
        <v>127.65000000000002</v>
      </c>
    </row>
    <row r="1627" spans="1:6" ht="18.75" customHeight="1" x14ac:dyDescent="0.25">
      <c r="A1627" s="2" t="str">
        <f ca="1">IFERROR(__xludf.DUMMYFUNCTION("""COMPUTED_VALUE"""),"REA-U8811")</f>
        <v>REA-U8811</v>
      </c>
      <c r="B1627" s="3">
        <f ca="1">IFERROR(__xludf.DUMMYFUNCTION("""COMPUTED_VALUE"""),42763)</f>
        <v>42763</v>
      </c>
      <c r="C1627" s="3">
        <f ca="1">IFERROR(__xludf.DUMMYFUNCTION("""COMPUTED_VALUE"""),5902557365685)</f>
        <v>5902557365685</v>
      </c>
      <c r="D1627" s="4" t="str">
        <f ca="1">IFERROR(__xludf.DUMMYFUNCTION("""COMPUTED_VALUE"""),"UMYWALKA MERYL BLACK - NABLATOWA")</f>
        <v>UMYWALKA MERYL BLACK - NABLATOWA</v>
      </c>
      <c r="E1627" s="31">
        <v>133.5609756097561</v>
      </c>
      <c r="F1627" s="31">
        <f t="shared" si="25"/>
        <v>164.28</v>
      </c>
    </row>
    <row r="1628" spans="1:6" ht="18.75" customHeight="1" x14ac:dyDescent="0.25">
      <c r="A1628" s="2" t="str">
        <f ca="1">IFERROR(__xludf.DUMMYFUNCTION("""COMPUTED_VALUE"""),"REA-U6030")</f>
        <v>REA-U6030</v>
      </c>
      <c r="B1628" s="3">
        <f ca="1">IFERROR(__xludf.DUMMYFUNCTION("""COMPUTED_VALUE"""),50719)</f>
        <v>50719</v>
      </c>
      <c r="C1628" s="3">
        <f ca="1">IFERROR(__xludf.DUMMYFUNCTION("""COMPUTED_VALUE"""),5902557393565)</f>
        <v>5902557393565</v>
      </c>
      <c r="D1628" s="4" t="str">
        <f ca="1">IFERROR(__xludf.DUMMYFUNCTION("""COMPUTED_VALUE"""),"UMYWALKA MEXICO - NABLATOWA")</f>
        <v>UMYWALKA MEXICO - NABLATOWA</v>
      </c>
      <c r="E1628" s="31">
        <v>87.536585365853668</v>
      </c>
      <c r="F1628" s="31">
        <f t="shared" si="25"/>
        <v>107.67000000000002</v>
      </c>
    </row>
    <row r="1629" spans="1:6" ht="18.75" customHeight="1" x14ac:dyDescent="0.25">
      <c r="A1629" s="2" t="str">
        <f ca="1">IFERROR(__xludf.DUMMYFUNCTION("""COMPUTED_VALUE"""),"REA-U7902")</f>
        <v>REA-U7902</v>
      </c>
      <c r="B1629" s="3"/>
      <c r="C1629" s="3">
        <f ca="1">IFERROR(__xludf.DUMMYFUNCTION("""COMPUTED_VALUE"""),5902557341313)</f>
        <v>5902557341313</v>
      </c>
      <c r="D1629" s="4" t="str">
        <f ca="1">IFERROR(__xludf.DUMMYFUNCTION("""COMPUTED_VALUE"""),"UMYWALKA MEZO - NABLATOWA")</f>
        <v>UMYWALKA MEZO - NABLATOWA</v>
      </c>
      <c r="E1629" s="31">
        <v>79.41463414634147</v>
      </c>
      <c r="F1629" s="31">
        <f t="shared" si="25"/>
        <v>97.68</v>
      </c>
    </row>
    <row r="1630" spans="1:6" ht="18.75" customHeight="1" x14ac:dyDescent="0.25">
      <c r="A1630" s="2" t="str">
        <f ca="1">IFERROR(__xludf.DUMMYFUNCTION("""COMPUTED_VALUE"""),"REA-U7915")</f>
        <v>REA-U7915</v>
      </c>
      <c r="B1630" s="3"/>
      <c r="C1630" s="3">
        <f ca="1">IFERROR(__xludf.DUMMYFUNCTION("""COMPUTED_VALUE"""),5902557340514)</f>
        <v>5902557340514</v>
      </c>
      <c r="D1630" s="4" t="str">
        <f ca="1">IFERROR(__xludf.DUMMYFUNCTION("""COMPUTED_VALUE"""),"UMYWALKA MEZO BLACK - NABLATOWA")</f>
        <v>UMYWALKA MEZO BLACK - NABLATOWA</v>
      </c>
      <c r="E1630" s="31">
        <v>84.82926829268294</v>
      </c>
      <c r="F1630" s="31">
        <f t="shared" si="25"/>
        <v>104.34000000000002</v>
      </c>
    </row>
    <row r="1631" spans="1:6" ht="18.75" customHeight="1" x14ac:dyDescent="0.25">
      <c r="A1631" s="2" t="str">
        <f ca="1">IFERROR(__xludf.DUMMYFUNCTION("""COMPUTED_VALUE"""),"REA-U7903")</f>
        <v>REA-U7903</v>
      </c>
      <c r="B1631" s="3"/>
      <c r="C1631" s="3">
        <f ca="1">IFERROR(__xludf.DUMMYFUNCTION("""COMPUTED_VALUE"""),5902557340507)</f>
        <v>5902557340507</v>
      </c>
      <c r="D1631" s="4" t="str">
        <f ca="1">IFERROR(__xludf.DUMMYFUNCTION("""COMPUTED_VALUE"""),"UMYWALKA MEZO BLACK MATT - NABLATOWA")</f>
        <v>UMYWALKA MEZO BLACK MATT - NABLATOWA</v>
      </c>
      <c r="E1631" s="31">
        <v>110.09756097560977</v>
      </c>
      <c r="F1631" s="31">
        <f t="shared" si="25"/>
        <v>135.42000000000002</v>
      </c>
    </row>
    <row r="1632" spans="1:6" ht="18.75" customHeight="1" x14ac:dyDescent="0.25">
      <c r="A1632" s="2" t="str">
        <f ca="1">IFERROR(__xludf.DUMMYFUNCTION("""COMPUTED_VALUE"""),"REA-U5634")</f>
        <v>REA-U5634</v>
      </c>
      <c r="B1632" s="3">
        <f ca="1">IFERROR(__xludf.DUMMYFUNCTION("""COMPUTED_VALUE"""),37478)</f>
        <v>37478</v>
      </c>
      <c r="C1632" s="3">
        <f ca="1">IFERROR(__xludf.DUMMYFUNCTION("""COMPUTED_VALUE"""),5902557349869)</f>
        <v>5902557349869</v>
      </c>
      <c r="D1632" s="4" t="str">
        <f ca="1">IFERROR(__xludf.DUMMYFUNCTION("""COMPUTED_VALUE"""),"UMYWALKA MIA - WOLNOSTOJĄCA")</f>
        <v>UMYWALKA MIA - WOLNOSTOJĄCA</v>
      </c>
      <c r="E1632" s="31">
        <v>249.97560975609761</v>
      </c>
      <c r="F1632" s="31">
        <f t="shared" si="25"/>
        <v>307.47000000000008</v>
      </c>
    </row>
    <row r="1633" spans="1:6" ht="18.75" customHeight="1" x14ac:dyDescent="0.25">
      <c r="A1633" s="2" t="str">
        <f ca="1">IFERROR(__xludf.DUMMYFUNCTION("""COMPUTED_VALUE"""),"REA-U6656")</f>
        <v>REA-U6656</v>
      </c>
      <c r="B1633" s="3">
        <f ca="1">IFERROR(__xludf.DUMMYFUNCTION("""COMPUTED_VALUE"""),37762)</f>
        <v>37762</v>
      </c>
      <c r="C1633" s="3">
        <f ca="1">IFERROR(__xludf.DUMMYFUNCTION("""COMPUTED_VALUE"""),5902557349876)</f>
        <v>5902557349876</v>
      </c>
      <c r="D1633" s="4" t="str">
        <f ca="1">IFERROR(__xludf.DUMMYFUNCTION("""COMPUTED_VALUE"""),"UMYWALKA MIA BLACK - WOLNOSTOJĄCA")</f>
        <v>UMYWALKA MIA BLACK - WOLNOSTOJĄCA</v>
      </c>
      <c r="E1633" s="31">
        <v>399.78048780487813</v>
      </c>
      <c r="F1633" s="31">
        <f t="shared" si="25"/>
        <v>491.73000000000008</v>
      </c>
    </row>
    <row r="1634" spans="1:6" ht="18.75" customHeight="1" x14ac:dyDescent="0.25">
      <c r="A1634" s="2" t="str">
        <f ca="1">IFERROR(__xludf.DUMMYFUNCTION("""COMPUTED_VALUE"""),"REA-U1052")</f>
        <v>REA-U1052</v>
      </c>
      <c r="B1634" s="3">
        <f ca="1">IFERROR(__xludf.DUMMYFUNCTION("""COMPUTED_VALUE"""),1655)</f>
        <v>1655</v>
      </c>
      <c r="C1634" s="3">
        <f ca="1">IFERROR(__xludf.DUMMYFUNCTION("""COMPUTED_VALUE"""),5902557315055)</f>
        <v>5902557315055</v>
      </c>
      <c r="D1634" s="4" t="str">
        <f ca="1">IFERROR(__xludf.DUMMYFUNCTION("""COMPUTED_VALUE"""),"UMYWALKA MILA 46 - PODBLATOWA")</f>
        <v>UMYWALKA MILA 46 - PODBLATOWA</v>
      </c>
      <c r="E1634" s="31">
        <v>26.170731707317078</v>
      </c>
      <c r="F1634" s="31">
        <f t="shared" si="25"/>
        <v>32.190000000000005</v>
      </c>
    </row>
    <row r="1635" spans="1:6" ht="18.75" customHeight="1" x14ac:dyDescent="0.25">
      <c r="A1635" s="2" t="str">
        <f ca="1">IFERROR(__xludf.DUMMYFUNCTION("""COMPUTED_VALUE"""),"REA-U0638")</f>
        <v>REA-U0638</v>
      </c>
      <c r="B1635" s="3">
        <f ca="1">IFERROR(__xludf.DUMMYFUNCTION("""COMPUTED_VALUE"""),1685)</f>
        <v>1685</v>
      </c>
      <c r="C1635" s="3">
        <f ca="1">IFERROR(__xludf.DUMMYFUNCTION("""COMPUTED_VALUE"""),5902557300976)</f>
        <v>5902557300976</v>
      </c>
      <c r="D1635" s="4" t="str">
        <f ca="1">IFERROR(__xludf.DUMMYFUNCTION("""COMPUTED_VALUE"""),"UMYWALKA MOLLY - WOLNOSTOJĄCA")</f>
        <v>UMYWALKA MOLLY - WOLNOSTOJĄCA</v>
      </c>
      <c r="E1635" s="31">
        <v>289.68292682926835</v>
      </c>
      <c r="F1635" s="31">
        <f t="shared" si="25"/>
        <v>356.31000000000006</v>
      </c>
    </row>
    <row r="1636" spans="1:6" ht="18.75" customHeight="1" x14ac:dyDescent="0.25">
      <c r="A1636" s="2" t="str">
        <f ca="1">IFERROR(__xludf.DUMMYFUNCTION("""COMPUTED_VALUE"""),"REA-U6300")</f>
        <v>REA-U6300</v>
      </c>
      <c r="B1636" s="3">
        <f ca="1">IFERROR(__xludf.DUMMYFUNCTION("""COMPUTED_VALUE"""),13201)</f>
        <v>13201</v>
      </c>
      <c r="C1636" s="3">
        <f ca="1">IFERROR(__xludf.DUMMYFUNCTION("""COMPUTED_VALUE"""),5902557331109)</f>
        <v>5902557331109</v>
      </c>
      <c r="D1636" s="4" t="str">
        <f ca="1">IFERROR(__xludf.DUMMYFUNCTION("""COMPUTED_VALUE"""),"UMYWALKA MONA - NABLATOWA")</f>
        <v>UMYWALKA MONA - NABLATOWA</v>
      </c>
      <c r="E1636" s="31">
        <v>49.634146341463421</v>
      </c>
      <c r="F1636" s="31">
        <f t="shared" si="25"/>
        <v>61.050000000000004</v>
      </c>
    </row>
    <row r="1637" spans="1:6" ht="18.75" customHeight="1" x14ac:dyDescent="0.25">
      <c r="A1637" s="2" t="str">
        <f ca="1">IFERROR(__xludf.DUMMYFUNCTION("""COMPUTED_VALUE"""),"REA-U6305")</f>
        <v>REA-U6305</v>
      </c>
      <c r="B1637" s="3"/>
      <c r="C1637" s="3"/>
      <c r="D1637" s="4" t="str">
        <f ca="1">IFERROR(__xludf.DUMMYFUNCTION("""COMPUTED_VALUE"""),"UMYWALKA MONA - NABLATOWA")</f>
        <v>UMYWALKA MONA - NABLATOWA</v>
      </c>
      <c r="E1637" s="31">
        <v>48.73170731707318</v>
      </c>
      <c r="F1637" s="31">
        <f t="shared" si="25"/>
        <v>59.940000000000012</v>
      </c>
    </row>
    <row r="1638" spans="1:6" ht="18.75" customHeight="1" x14ac:dyDescent="0.25">
      <c r="A1638" s="2" t="str">
        <f ca="1">IFERROR(__xludf.DUMMYFUNCTION("""COMPUTED_VALUE"""),"REA-U0791")</f>
        <v>REA-U0791</v>
      </c>
      <c r="B1638" s="3"/>
      <c r="C1638" s="3">
        <f ca="1">IFERROR(__xludf.DUMMYFUNCTION("""COMPUTED_VALUE"""),5902557300952)</f>
        <v>5902557300952</v>
      </c>
      <c r="D1638" s="4" t="str">
        <f ca="1">IFERROR(__xludf.DUMMYFUNCTION("""COMPUTED_VALUE"""),"UMYWALKA MONTE - WOLNOSTOJĄCA")</f>
        <v>UMYWALKA MONTE - WOLNOSTOJĄCA</v>
      </c>
      <c r="E1638" s="31">
        <v>294.19512195121956</v>
      </c>
      <c r="F1638" s="31">
        <f t="shared" si="25"/>
        <v>361.86000000000007</v>
      </c>
    </row>
    <row r="1639" spans="1:6" ht="18.75" customHeight="1" x14ac:dyDescent="0.25">
      <c r="A1639" s="2" t="str">
        <f ca="1">IFERROR(__xludf.DUMMYFUNCTION("""COMPUTED_VALUE"""),"REA-U6563")</f>
        <v>REA-U6563</v>
      </c>
      <c r="B1639" s="3">
        <f ca="1">IFERROR(__xludf.DUMMYFUNCTION("""COMPUTED_VALUE"""),49854)</f>
        <v>49854</v>
      </c>
      <c r="C1639" s="3">
        <f ca="1">IFERROR(__xludf.DUMMYFUNCTION("""COMPUTED_VALUE"""),5902557381869)</f>
        <v>5902557381869</v>
      </c>
      <c r="D1639" s="4" t="str">
        <f ca="1">IFERROR(__xludf.DUMMYFUNCTION("""COMPUTED_VALUE"""),"UMYWALKA NADIA 50 - NABLATOWA")</f>
        <v>UMYWALKA NADIA 50 - NABLATOWA</v>
      </c>
      <c r="E1639" s="31">
        <v>63.170731707317081</v>
      </c>
      <c r="F1639" s="31">
        <f t="shared" si="25"/>
        <v>77.7</v>
      </c>
    </row>
    <row r="1640" spans="1:6" ht="18.75" customHeight="1" x14ac:dyDescent="0.25">
      <c r="A1640" s="2" t="str">
        <f ca="1">IFERROR(__xludf.DUMMYFUNCTION("""COMPUTED_VALUE"""),"REA-U9240")</f>
        <v>REA-U9240</v>
      </c>
      <c r="B1640" s="3">
        <f ca="1">IFERROR(__xludf.DUMMYFUNCTION("""COMPUTED_VALUE"""),54366)</f>
        <v>54366</v>
      </c>
      <c r="C1640" s="3">
        <f ca="1">IFERROR(__xludf.DUMMYFUNCTION("""COMPUTED_VALUE"""),5906366007989)</f>
        <v>5906366007989</v>
      </c>
      <c r="D1640" s="4" t="str">
        <f ca="1">IFERROR(__xludf.DUMMYFUNCTION("""COMPUTED_VALUE"""),"UMYWALKA NADIA 50 BLACK STONE - NABLATOWA")</f>
        <v>UMYWALKA NADIA 50 BLACK STONE - NABLATOWA</v>
      </c>
      <c r="E1640" s="31">
        <v>75.804878048780495</v>
      </c>
      <c r="F1640" s="31">
        <f t="shared" si="25"/>
        <v>93.240000000000009</v>
      </c>
    </row>
    <row r="1641" spans="1:6" ht="18.75" customHeight="1" x14ac:dyDescent="0.25">
      <c r="A1641" s="2" t="str">
        <f ca="1">IFERROR(__xludf.DUMMYFUNCTION("""COMPUTED_VALUE"""),"REA-U9241")</f>
        <v>REA-U9241</v>
      </c>
      <c r="B1641" s="3">
        <f ca="1">IFERROR(__xludf.DUMMYFUNCTION("""COMPUTED_VALUE"""),54360)</f>
        <v>54360</v>
      </c>
      <c r="C1641" s="3">
        <f ca="1">IFERROR(__xludf.DUMMYFUNCTION("""COMPUTED_VALUE"""),5906366007972)</f>
        <v>5906366007972</v>
      </c>
      <c r="D1641" s="4" t="str">
        <f ca="1">IFERROR(__xludf.DUMMYFUNCTION("""COMPUTED_VALUE"""),"UMYWALKA NADIA 50 KASHMIR - NABLATOWA")</f>
        <v>UMYWALKA NADIA 50 KASHMIR - NABLATOWA</v>
      </c>
      <c r="E1641" s="31">
        <v>75.804878048780495</v>
      </c>
      <c r="F1641" s="31">
        <f t="shared" si="25"/>
        <v>93.240000000000009</v>
      </c>
    </row>
    <row r="1642" spans="1:6" ht="18.75" customHeight="1" x14ac:dyDescent="0.25">
      <c r="A1642" s="2" t="str">
        <f ca="1">IFERROR(__xludf.DUMMYFUNCTION("""COMPUTED_VALUE"""),"REA-U1055")</f>
        <v>REA-U1055</v>
      </c>
      <c r="B1642" s="3">
        <f ca="1">IFERROR(__xludf.DUMMYFUNCTION("""COMPUTED_VALUE"""),47988)</f>
        <v>47988</v>
      </c>
      <c r="C1642" s="3">
        <f ca="1">IFERROR(__xludf.DUMMYFUNCTION("""COMPUTED_VALUE"""),5902557376858)</f>
        <v>5902557376858</v>
      </c>
      <c r="D1642" s="4" t="str">
        <f ca="1">IFERROR(__xludf.DUMMYFUNCTION("""COMPUTED_VALUE"""),"UMYWALKA NADIA 60 - NABLATOWA")</f>
        <v>UMYWALKA NADIA 60 - NABLATOWA</v>
      </c>
      <c r="E1642" s="31">
        <v>78.512195121951223</v>
      </c>
      <c r="F1642" s="31">
        <f t="shared" si="25"/>
        <v>96.570000000000007</v>
      </c>
    </row>
    <row r="1643" spans="1:6" ht="18.75" customHeight="1" x14ac:dyDescent="0.25">
      <c r="A1643" s="2" t="str">
        <f ca="1">IFERROR(__xludf.DUMMYFUNCTION("""COMPUTED_VALUE"""),"REA-U6506")</f>
        <v>REA-U6506</v>
      </c>
      <c r="B1643" s="3">
        <f ca="1">IFERROR(__xludf.DUMMYFUNCTION("""COMPUTED_VALUE"""),49859)</f>
        <v>49859</v>
      </c>
      <c r="C1643" s="3">
        <f ca="1">IFERROR(__xludf.DUMMYFUNCTION("""COMPUTED_VALUE"""),5902557381272)</f>
        <v>5902557381272</v>
      </c>
      <c r="D1643" s="4" t="str">
        <f ca="1">IFERROR(__xludf.DUMMYFUNCTION("""COMPUTED_VALUE"""),"UMYWALKA NADIA 60 AIAX SHINY - NABLATOWA")</f>
        <v>UMYWALKA NADIA 60 AIAX SHINY - NABLATOWA</v>
      </c>
      <c r="E1643" s="31">
        <v>83.024390243902445</v>
      </c>
      <c r="F1643" s="31">
        <f t="shared" si="25"/>
        <v>102.12</v>
      </c>
    </row>
    <row r="1644" spans="1:6" ht="18.75" customHeight="1" x14ac:dyDescent="0.25">
      <c r="A1644" s="2" t="str">
        <f ca="1">IFERROR(__xludf.DUMMYFUNCTION("""COMPUTED_VALUE"""),"REA-U9661")</f>
        <v>REA-U9661</v>
      </c>
      <c r="B1644" s="3">
        <f ca="1">IFERROR(__xludf.DUMMYFUNCTION("""COMPUTED_VALUE"""),52127)</f>
        <v>52127</v>
      </c>
      <c r="C1644" s="3">
        <f ca="1">IFERROR(__xludf.DUMMYFUNCTION("""COMPUTED_VALUE"""),5902557395521)</f>
        <v>5902557395521</v>
      </c>
      <c r="D1644" s="4" t="str">
        <f ca="1">IFERROR(__xludf.DUMMYFUNCTION("""COMPUTED_VALUE"""),"UMYWALKA NADIA 60 BEIGE MATT - NABLATOWA")</f>
        <v>UMYWALKA NADIA 60 BEIGE MATT - NABLATOWA</v>
      </c>
      <c r="E1644" s="31">
        <v>123.63414634146343</v>
      </c>
      <c r="F1644" s="31">
        <f t="shared" si="25"/>
        <v>152.07000000000002</v>
      </c>
    </row>
    <row r="1645" spans="1:6" ht="18.75" customHeight="1" x14ac:dyDescent="0.25">
      <c r="A1645" s="2" t="str">
        <f ca="1">IFERROR(__xludf.DUMMYFUNCTION("""COMPUTED_VALUE"""),"REA-U0539")</f>
        <v>REA-U0539</v>
      </c>
      <c r="B1645" s="3">
        <f ca="1">IFERROR(__xludf.DUMMYFUNCTION("""COMPUTED_VALUE"""),50898)</f>
        <v>50898</v>
      </c>
      <c r="C1645" s="3">
        <f ca="1">IFERROR(__xludf.DUMMYFUNCTION("""COMPUTED_VALUE"""),5902557390540)</f>
        <v>5902557390540</v>
      </c>
      <c r="D1645" s="4" t="str">
        <f ca="1">IFERROR(__xludf.DUMMYFUNCTION("""COMPUTED_VALUE"""),"UMYWALKA NADIA 60 BLACK MARBLE SHINY - NABLATOWA")</f>
        <v>UMYWALKA NADIA 60 BLACK MARBLE SHINY - NABLATOWA</v>
      </c>
      <c r="E1645" s="31">
        <v>76.707317073170742</v>
      </c>
      <c r="F1645" s="31">
        <f t="shared" si="25"/>
        <v>94.350000000000009</v>
      </c>
    </row>
    <row r="1646" spans="1:6" ht="18.75" customHeight="1" x14ac:dyDescent="0.25">
      <c r="A1646" s="2" t="str">
        <f ca="1">IFERROR(__xludf.DUMMYFUNCTION("""COMPUTED_VALUE"""),"REA-U1062")</f>
        <v>REA-U1062</v>
      </c>
      <c r="B1646" s="3">
        <f ca="1">IFERROR(__xludf.DUMMYFUNCTION("""COMPUTED_VALUE"""),49362)</f>
        <v>49362</v>
      </c>
      <c r="C1646" s="3">
        <f ca="1">IFERROR(__xludf.DUMMYFUNCTION("""COMPUTED_VALUE"""),5902557376865)</f>
        <v>5902557376865</v>
      </c>
      <c r="D1646" s="4" t="str">
        <f ca="1">IFERROR(__xludf.DUMMYFUNCTION("""COMPUTED_VALUE"""),"UMYWALKA NADIA 60 BLACK MATT - NABLATOWA")</f>
        <v>UMYWALKA NADIA 60 BLACK MATT - NABLATOWA</v>
      </c>
      <c r="E1646" s="31">
        <v>105.58536585365854</v>
      </c>
      <c r="F1646" s="31">
        <f t="shared" si="25"/>
        <v>129.87</v>
      </c>
    </row>
    <row r="1647" spans="1:6" ht="18.75" customHeight="1" x14ac:dyDescent="0.25">
      <c r="A1647" s="2" t="str">
        <f ca="1">IFERROR(__xludf.DUMMYFUNCTION("""COMPUTED_VALUE"""),"REA-U8781")</f>
        <v>REA-U8781</v>
      </c>
      <c r="B1647" s="3">
        <f ca="1">IFERROR(__xludf.DUMMYFUNCTION("""COMPUTED_VALUE"""),51046)</f>
        <v>51046</v>
      </c>
      <c r="C1647" s="3">
        <f ca="1">IFERROR(__xludf.DUMMYFUNCTION("""COMPUTED_VALUE"""),5902557387564)</f>
        <v>5902557387564</v>
      </c>
      <c r="D1647" s="4" t="str">
        <f ca="1">IFERROR(__xludf.DUMMYFUNCTION("""COMPUTED_VALUE"""),"UMYWALKA NADIA 60 BLACK MATT/WHITE - NABLATOWA")</f>
        <v>UMYWALKA NADIA 60 BLACK MATT/WHITE - NABLATOWA</v>
      </c>
      <c r="E1647" s="31">
        <v>91.146341463414643</v>
      </c>
      <c r="F1647" s="31">
        <f t="shared" si="25"/>
        <v>112.11000000000001</v>
      </c>
    </row>
    <row r="1648" spans="1:6" ht="18.75" customHeight="1" x14ac:dyDescent="0.25">
      <c r="A1648" s="2" t="str">
        <f ca="1">IFERROR(__xludf.DUMMYFUNCTION("""COMPUTED_VALUE"""),"REA-U8565")</f>
        <v>REA-U8565</v>
      </c>
      <c r="B1648" s="3">
        <f ca="1">IFERROR(__xludf.DUMMYFUNCTION("""COMPUTED_VALUE"""),50269)</f>
        <v>50269</v>
      </c>
      <c r="C1648" s="3">
        <f ca="1">IFERROR(__xludf.DUMMYFUNCTION("""COMPUTED_VALUE"""),5902557381289)</f>
        <v>5902557381289</v>
      </c>
      <c r="D1648" s="4" t="str">
        <f ca="1">IFERROR(__xludf.DUMMYFUNCTION("""COMPUTED_VALUE"""),"UMYWALKA NADIA 60 BLACK STONE MATT - NABLATOWA")</f>
        <v>UMYWALKA NADIA 60 BLACK STONE MATT - NABLATOWA</v>
      </c>
      <c r="E1648" s="31">
        <v>91.146341463414643</v>
      </c>
      <c r="F1648" s="31">
        <f t="shared" si="25"/>
        <v>112.11000000000001</v>
      </c>
    </row>
    <row r="1649" spans="1:6" ht="18.75" customHeight="1" x14ac:dyDescent="0.25">
      <c r="A1649" s="2" t="str">
        <f ca="1">IFERROR(__xludf.DUMMYFUNCTION("""COMPUTED_VALUE"""),"REA-U1063")</f>
        <v>REA-U1063</v>
      </c>
      <c r="B1649" s="3">
        <f ca="1">IFERROR(__xludf.DUMMYFUNCTION("""COMPUTED_VALUE"""),47986)</f>
        <v>47986</v>
      </c>
      <c r="C1649" s="3">
        <f ca="1">IFERROR(__xludf.DUMMYFUNCTION("""COMPUTED_VALUE"""),5902557376872)</f>
        <v>5902557376872</v>
      </c>
      <c r="D1649" s="4" t="str">
        <f ca="1">IFERROR(__xludf.DUMMYFUNCTION("""COMPUTED_VALUE"""),"UMYWALKA NADIA 60 GOLD EDGE - NABLATOWA")</f>
        <v>UMYWALKA NADIA 60 GOLD EDGE - NABLATOWA</v>
      </c>
      <c r="E1649" s="31">
        <v>105.58536585365854</v>
      </c>
      <c r="F1649" s="31">
        <f t="shared" si="25"/>
        <v>129.87</v>
      </c>
    </row>
    <row r="1650" spans="1:6" ht="18.75" customHeight="1" x14ac:dyDescent="0.25">
      <c r="A1650" s="2" t="str">
        <f ca="1">IFERROR(__xludf.DUMMYFUNCTION("""COMPUTED_VALUE"""),"REA-U5800")</f>
        <v>REA-U5800</v>
      </c>
      <c r="B1650" s="3">
        <f ca="1">IFERROR(__xludf.DUMMYFUNCTION("""COMPUTED_VALUE"""),50125)</f>
        <v>50125</v>
      </c>
      <c r="C1650" s="3">
        <f ca="1">IFERROR(__xludf.DUMMYFUNCTION("""COMPUTED_VALUE"""),5902557382873)</f>
        <v>5902557382873</v>
      </c>
      <c r="D1650" s="4" t="str">
        <f ca="1">IFERROR(__xludf.DUMMYFUNCTION("""COMPUTED_VALUE"""),"UMYWALKA NADIA 60 SAND - NABLATOWA")</f>
        <v>UMYWALKA NADIA 60 SAND - NABLATOWA</v>
      </c>
      <c r="E1650" s="31">
        <v>66.780487804878049</v>
      </c>
      <c r="F1650" s="31">
        <f t="shared" si="25"/>
        <v>82.14</v>
      </c>
    </row>
    <row r="1651" spans="1:6" ht="18.75" customHeight="1" x14ac:dyDescent="0.25">
      <c r="A1651" s="2" t="str">
        <f ca="1">IFERROR(__xludf.DUMMYFUNCTION("""COMPUTED_VALUE"""),"REA-U9657")</f>
        <v>REA-U9657</v>
      </c>
      <c r="B1651" s="3">
        <f ca="1">IFERROR(__xludf.DUMMYFUNCTION("""COMPUTED_VALUE"""),52146)</f>
        <v>52146</v>
      </c>
      <c r="C1651" s="3">
        <f ca="1">IFERROR(__xludf.DUMMYFUNCTION("""COMPUTED_VALUE"""),5902557395514)</f>
        <v>5902557395514</v>
      </c>
      <c r="D1651" s="4" t="str">
        <f ca="1">IFERROR(__xludf.DUMMYFUNCTION("""COMPUTED_VALUE"""),"UMYWALKA NADIA 60 WHITE MATT - NABLATOWA")</f>
        <v>UMYWALKA NADIA 60 WHITE MATT - NABLATOWA</v>
      </c>
      <c r="E1651" s="31">
        <v>101.07317073170734</v>
      </c>
      <c r="F1651" s="31">
        <f t="shared" si="25"/>
        <v>124.32000000000002</v>
      </c>
    </row>
    <row r="1652" spans="1:6" ht="18.75" customHeight="1" x14ac:dyDescent="0.25">
      <c r="A1652" s="2" t="str">
        <f ca="1">IFERROR(__xludf.DUMMYFUNCTION("""COMPUTED_VALUE"""),"REA-U5801")</f>
        <v>REA-U5801</v>
      </c>
      <c r="B1652" s="3">
        <f ca="1">IFERROR(__xludf.DUMMYFUNCTION("""COMPUTED_VALUE"""),50294)</f>
        <v>50294</v>
      </c>
      <c r="C1652" s="3">
        <f ca="1">IFERROR(__xludf.DUMMYFUNCTION("""COMPUTED_VALUE"""),5902557381876)</f>
        <v>5902557381876</v>
      </c>
      <c r="D1652" s="4" t="str">
        <f ca="1">IFERROR(__xludf.DUMMYFUNCTION("""COMPUTED_VALUE"""),"UMYWALKA NADIA 70 - NABLATOWA")</f>
        <v>UMYWALKA NADIA 70 - NABLATOWA</v>
      </c>
      <c r="E1652" s="31">
        <v>99.268292682926841</v>
      </c>
      <c r="F1652" s="31">
        <f t="shared" si="25"/>
        <v>122.10000000000001</v>
      </c>
    </row>
    <row r="1653" spans="1:6" ht="18.75" customHeight="1" x14ac:dyDescent="0.25">
      <c r="A1653" s="2" t="str">
        <f ca="1">IFERROR(__xludf.DUMMYFUNCTION("""COMPUTED_VALUE"""),"REA-U0630")</f>
        <v>REA-U0630</v>
      </c>
      <c r="B1653" s="3">
        <f ca="1">IFERROR(__xludf.DUMMYFUNCTION("""COMPUTED_VALUE"""),52800)</f>
        <v>52800</v>
      </c>
      <c r="C1653" s="3">
        <f ca="1">IFERROR(__xludf.DUMMYFUNCTION("""COMPUTED_VALUE"""),5902557396290)</f>
        <v>5902557396290</v>
      </c>
      <c r="D1653" s="4" t="str">
        <f ca="1">IFERROR(__xludf.DUMMYFUNCTION("""COMPUTED_VALUE"""),"UMYWALKA NAOMI - NABLATOWA")</f>
        <v>UMYWALKA NAOMI - NABLATOWA</v>
      </c>
      <c r="E1653" s="31">
        <v>52.341463414634156</v>
      </c>
      <c r="F1653" s="31">
        <f t="shared" si="25"/>
        <v>64.38000000000001</v>
      </c>
    </row>
    <row r="1654" spans="1:6" ht="18.75" customHeight="1" x14ac:dyDescent="0.25">
      <c r="A1654" s="2" t="str">
        <f ca="1">IFERROR(__xludf.DUMMYFUNCTION("""COMPUTED_VALUE"""),"REA-U6330")</f>
        <v>REA-U6330</v>
      </c>
      <c r="B1654" s="3">
        <f ca="1">IFERROR(__xludf.DUMMYFUNCTION("""COMPUTED_VALUE"""),41602)</f>
        <v>41602</v>
      </c>
      <c r="C1654" s="3">
        <f ca="1">IFERROR(__xludf.DUMMYFUNCTION("""COMPUTED_VALUE"""),5902557356683)</f>
        <v>5902557356683</v>
      </c>
      <c r="D1654" s="4" t="str">
        <f ca="1">IFERROR(__xludf.DUMMYFUNCTION("""COMPUTED_VALUE"""),"UMYWALKA NEL - PODBLATOWA")</f>
        <v>UMYWALKA NEL - PODBLATOWA</v>
      </c>
      <c r="E1654" s="31">
        <v>37.000000000000007</v>
      </c>
      <c r="F1654" s="31">
        <f t="shared" si="25"/>
        <v>45.510000000000005</v>
      </c>
    </row>
    <row r="1655" spans="1:6" ht="18.75" customHeight="1" x14ac:dyDescent="0.25">
      <c r="A1655" s="2" t="str">
        <f ca="1">IFERROR(__xludf.DUMMYFUNCTION("""COMPUTED_VALUE"""),"REA-U1023")</f>
        <v>REA-U1023</v>
      </c>
      <c r="B1655" s="3">
        <f ca="1">IFERROR(__xludf.DUMMYFUNCTION("""COMPUTED_VALUE"""),41603)</f>
        <v>41603</v>
      </c>
      <c r="C1655" s="3">
        <f ca="1">IFERROR(__xludf.DUMMYFUNCTION("""COMPUTED_VALUE"""),5902557356706)</f>
        <v>5902557356706</v>
      </c>
      <c r="D1655" s="4" t="str">
        <f ca="1">IFERROR(__xludf.DUMMYFUNCTION("""COMPUTED_VALUE"""),"UMYWALKA NEL BLACK - PODBLATOWA")</f>
        <v>UMYWALKA NEL BLACK - PODBLATOWA</v>
      </c>
      <c r="E1655" s="31">
        <v>54.146341463414643</v>
      </c>
      <c r="F1655" s="31">
        <f t="shared" si="25"/>
        <v>66.600000000000009</v>
      </c>
    </row>
    <row r="1656" spans="1:6" ht="18.75" customHeight="1" x14ac:dyDescent="0.25">
      <c r="A1656" s="2" t="str">
        <f ca="1">IFERROR(__xludf.DUMMYFUNCTION("""COMPUTED_VALUE"""),"REA-U6331")</f>
        <v>REA-U6331</v>
      </c>
      <c r="B1656" s="3">
        <f ca="1">IFERROR(__xludf.DUMMYFUNCTION("""COMPUTED_VALUE"""),41600)</f>
        <v>41600</v>
      </c>
      <c r="C1656" s="3">
        <f ca="1">IFERROR(__xludf.DUMMYFUNCTION("""COMPUTED_VALUE"""),5902557356690)</f>
        <v>5902557356690</v>
      </c>
      <c r="D1656" s="4" t="str">
        <f ca="1">IFERROR(__xludf.DUMMYFUNCTION("""COMPUTED_VALUE"""),"UMYWALKA NEL GOLD - PODBLATOWA")</f>
        <v>UMYWALKA NEL GOLD - PODBLATOWA</v>
      </c>
      <c r="E1656" s="31">
        <v>77.609756097560989</v>
      </c>
      <c r="F1656" s="31">
        <f t="shared" si="25"/>
        <v>95.460000000000022</v>
      </c>
    </row>
    <row r="1657" spans="1:6" ht="18.75" customHeight="1" x14ac:dyDescent="0.25">
      <c r="A1657" s="2" t="str">
        <f ca="1">IFERROR(__xludf.DUMMYFUNCTION("""COMPUTED_VALUE"""),"REA-U0819")</f>
        <v>REA-U0819</v>
      </c>
      <c r="B1657" s="3"/>
      <c r="C1657" s="3">
        <f ca="1">IFERROR(__xludf.DUMMYFUNCTION("""COMPUTED_VALUE"""),5902557318049)</f>
        <v>5902557318049</v>
      </c>
      <c r="D1657" s="4" t="str">
        <f ca="1">IFERROR(__xludf.DUMMYFUNCTION("""COMPUTED_VALUE"""),"UMYWALKA NICOLA - NABLATOWA")</f>
        <v>UMYWALKA NICOLA - NABLATOWA</v>
      </c>
      <c r="E1657" s="31">
        <v>167.85365853658539</v>
      </c>
      <c r="F1657" s="31">
        <f t="shared" si="25"/>
        <v>206.46</v>
      </c>
    </row>
    <row r="1658" spans="1:6" ht="18.75" customHeight="1" x14ac:dyDescent="0.25">
      <c r="A1658" s="2" t="str">
        <f ca="1">IFERROR(__xludf.DUMMYFUNCTION("""COMPUTED_VALUE"""),"REA-U1060")</f>
        <v>REA-U1060</v>
      </c>
      <c r="B1658" s="3">
        <f ca="1">IFERROR(__xludf.DUMMYFUNCTION("""COMPUTED_VALUE"""),14649)</f>
        <v>14649</v>
      </c>
      <c r="C1658" s="3">
        <f ca="1">IFERROR(__xludf.DUMMYFUNCTION("""COMPUTED_VALUE"""),5902557330508)</f>
        <v>5902557330508</v>
      </c>
      <c r="D1658" s="4" t="str">
        <f ca="1">IFERROR(__xludf.DUMMYFUNCTION("""COMPUTED_VALUE"""),"UMYWALKA OLGA - NABLATOWA")</f>
        <v>UMYWALKA OLGA - NABLATOWA</v>
      </c>
      <c r="E1658" s="31">
        <v>68.585365853658544</v>
      </c>
      <c r="F1658" s="31">
        <f t="shared" si="25"/>
        <v>84.360000000000014</v>
      </c>
    </row>
    <row r="1659" spans="1:6" ht="18.75" customHeight="1" x14ac:dyDescent="0.25">
      <c r="A1659" s="2" t="str">
        <f ca="1">IFERROR(__xludf.DUMMYFUNCTION("""COMPUTED_VALUE"""),"REA-U5692")</f>
        <v>REA-U5692</v>
      </c>
      <c r="B1659" s="3">
        <f ca="1">IFERROR(__xludf.DUMMYFUNCTION("""COMPUTED_VALUE"""),42898)</f>
        <v>42898</v>
      </c>
      <c r="C1659" s="3">
        <f ca="1">IFERROR(__xludf.DUMMYFUNCTION("""COMPUTED_VALUE"""),5902557365838)</f>
        <v>5902557365838</v>
      </c>
      <c r="D1659" s="4" t="str">
        <f ca="1">IFERROR(__xludf.DUMMYFUNCTION("""COMPUTED_VALUE"""),"UMYWALKA OLGA TERAZZO - NABLATOWA")</f>
        <v>UMYWALKA OLGA TERAZZO - NABLATOWA</v>
      </c>
      <c r="E1659" s="31">
        <v>83.024390243902445</v>
      </c>
      <c r="F1659" s="31">
        <f t="shared" si="25"/>
        <v>102.12</v>
      </c>
    </row>
    <row r="1660" spans="1:6" ht="18.75" customHeight="1" x14ac:dyDescent="0.25">
      <c r="A1660" s="2" t="str">
        <f ca="1">IFERROR(__xludf.DUMMYFUNCTION("""COMPUTED_VALUE"""),"REA-U4603")</f>
        <v>REA-U4603</v>
      </c>
      <c r="B1660" s="3">
        <f ca="1">IFERROR(__xludf.DUMMYFUNCTION("""COMPUTED_VALUE"""),33254)</f>
        <v>33254</v>
      </c>
      <c r="C1660" s="3">
        <f ca="1">IFERROR(__xludf.DUMMYFUNCTION("""COMPUTED_VALUE"""),5902557345106)</f>
        <v>5902557345106</v>
      </c>
      <c r="D1660" s="4" t="str">
        <f ca="1">IFERROR(__xludf.DUMMYFUNCTION("""COMPUTED_VALUE"""),"UMYWALKA PAMELA - NABLATOWA")</f>
        <v>UMYWALKA PAMELA - NABLATOWA</v>
      </c>
      <c r="E1660" s="31">
        <v>51.439024390243908</v>
      </c>
      <c r="F1660" s="31">
        <f t="shared" si="25"/>
        <v>63.27</v>
      </c>
    </row>
    <row r="1661" spans="1:6" ht="18.75" customHeight="1" x14ac:dyDescent="0.25">
      <c r="A1661" s="2" t="str">
        <f ca="1">IFERROR(__xludf.DUMMYFUNCTION("""COMPUTED_VALUE"""),"REA-U9685")</f>
        <v>REA-U9685</v>
      </c>
      <c r="B1661" s="3">
        <f ca="1">IFERROR(__xludf.DUMMYFUNCTION("""COMPUTED_VALUE"""),43096)</f>
        <v>43096</v>
      </c>
      <c r="C1661" s="3">
        <f ca="1">IFERROR(__xludf.DUMMYFUNCTION("""COMPUTED_VALUE"""),5902557366095)</f>
        <v>5902557366095</v>
      </c>
      <c r="D1661" s="4" t="str">
        <f ca="1">IFERROR(__xludf.DUMMYFUNCTION("""COMPUTED_VALUE"""),"UMYWALKA PAMELA AIAX SHINY - NABLATOWA")</f>
        <v>UMYWALKA PAMELA AIAX SHINY - NABLATOWA</v>
      </c>
      <c r="E1661" s="31">
        <v>74.000000000000014</v>
      </c>
      <c r="F1661" s="31">
        <f t="shared" si="25"/>
        <v>91.02000000000001</v>
      </c>
    </row>
    <row r="1662" spans="1:6" ht="18.75" customHeight="1" x14ac:dyDescent="0.25">
      <c r="A1662" s="2" t="str">
        <f ca="1">IFERROR(__xludf.DUMMYFUNCTION("""COMPUTED_VALUE"""),"REA-U5067")</f>
        <v>REA-U5067</v>
      </c>
      <c r="B1662" s="3">
        <f ca="1">IFERROR(__xludf.DUMMYFUNCTION("""COMPUTED_VALUE"""),50054)</f>
        <v>50054</v>
      </c>
      <c r="C1662" s="3">
        <f ca="1">IFERROR(__xludf.DUMMYFUNCTION("""COMPUTED_VALUE"""),5902557385973)</f>
        <v>5902557385973</v>
      </c>
      <c r="D1662" s="4" t="str">
        <f ca="1">IFERROR(__xludf.DUMMYFUNCTION("""COMPUTED_VALUE"""),"UMYWALKA PAMELA BLACK MARBLE SHINY - NABLATOWA")</f>
        <v>UMYWALKA PAMELA BLACK MARBLE SHINY - NABLATOWA</v>
      </c>
      <c r="E1662" s="31">
        <v>76.707317073170742</v>
      </c>
      <c r="F1662" s="31">
        <f t="shared" si="25"/>
        <v>94.350000000000009</v>
      </c>
    </row>
    <row r="1663" spans="1:6" ht="18.75" customHeight="1" x14ac:dyDescent="0.25">
      <c r="A1663" s="2" t="str">
        <f ca="1">IFERROR(__xludf.DUMMYFUNCTION("""COMPUTED_VALUE"""),"REA-U6345")</f>
        <v>REA-U6345</v>
      </c>
      <c r="B1663" s="3">
        <f ca="1">IFERROR(__xludf.DUMMYFUNCTION("""COMPUTED_VALUE"""),41604)</f>
        <v>41604</v>
      </c>
      <c r="C1663" s="3">
        <f ca="1">IFERROR(__xludf.DUMMYFUNCTION("""COMPUTED_VALUE"""),5902557356652)</f>
        <v>5902557356652</v>
      </c>
      <c r="D1663" s="4" t="str">
        <f ca="1">IFERROR(__xludf.DUMMYFUNCTION("""COMPUTED_VALUE"""),"UMYWALKA PAMELA GOLD/WHITE - NABLATOWA")</f>
        <v>UMYWALKA PAMELA GOLD/WHITE - NABLATOWA</v>
      </c>
      <c r="E1663" s="31">
        <v>81.219512195121965</v>
      </c>
      <c r="F1663" s="31">
        <f t="shared" si="25"/>
        <v>99.90000000000002</v>
      </c>
    </row>
    <row r="1664" spans="1:6" ht="18.75" customHeight="1" x14ac:dyDescent="0.25">
      <c r="A1664" s="2" t="str">
        <f ca="1">IFERROR(__xludf.DUMMYFUNCTION("""COMPUTED_VALUE"""),"REA-U5804")</f>
        <v>REA-U5804</v>
      </c>
      <c r="B1664" s="3">
        <f ca="1">IFERROR(__xludf.DUMMYFUNCTION("""COMPUTED_VALUE"""),50146)</f>
        <v>50146</v>
      </c>
      <c r="C1664" s="3">
        <f ca="1">IFERROR(__xludf.DUMMYFUNCTION("""COMPUTED_VALUE"""),5902557381890)</f>
        <v>5902557381890</v>
      </c>
      <c r="D1664" s="4" t="str">
        <f ca="1">IFERROR(__xludf.DUMMYFUNCTION("""COMPUTED_VALUE"""),"UMYWALKA PAMELA MINI - NABLATOWA")</f>
        <v>UMYWALKA PAMELA MINI - NABLATOWA</v>
      </c>
      <c r="E1664" s="31">
        <v>53.243000000000002</v>
      </c>
      <c r="F1664" s="31">
        <f t="shared" si="25"/>
        <v>65.488889999999998</v>
      </c>
    </row>
    <row r="1665" spans="1:6" ht="18.75" customHeight="1" x14ac:dyDescent="0.25">
      <c r="A1665" s="2" t="str">
        <f ca="1">IFERROR(__xludf.DUMMYFUNCTION("""COMPUTED_VALUE"""),"REA-U8501")</f>
        <v>REA-U8501</v>
      </c>
      <c r="B1665" s="3">
        <f ca="1">IFERROR(__xludf.DUMMYFUNCTION("""COMPUTED_VALUE"""),49089)</f>
        <v>49089</v>
      </c>
      <c r="C1665" s="3">
        <f ca="1">IFERROR(__xludf.DUMMYFUNCTION("""COMPUTED_VALUE"""),5902557337651)</f>
        <v>5902557337651</v>
      </c>
      <c r="D1665" s="4" t="str">
        <f ca="1">IFERROR(__xludf.DUMMYFUNCTION("""COMPUTED_VALUE"""),"UMYWALKA PARIS BLACK MATT - NABLATOWA")</f>
        <v>UMYWALKA PARIS BLACK MATT - NABLATOWA</v>
      </c>
      <c r="E1665" s="31">
        <v>77.609756097560989</v>
      </c>
      <c r="F1665" s="31">
        <f t="shared" ref="F1665:F1728" si="26">E1665*1.23</f>
        <v>95.460000000000022</v>
      </c>
    </row>
    <row r="1666" spans="1:6" ht="18.75" customHeight="1" x14ac:dyDescent="0.25">
      <c r="A1666" s="2" t="str">
        <f ca="1">IFERROR(__xludf.DUMMYFUNCTION("""COMPUTED_VALUE"""),"REA-U8500")</f>
        <v>REA-U8500</v>
      </c>
      <c r="B1666" s="3"/>
      <c r="C1666" s="3">
        <f ca="1">IFERROR(__xludf.DUMMYFUNCTION("""COMPUTED_VALUE"""),5902557337637)</f>
        <v>5902557337637</v>
      </c>
      <c r="D1666" s="4" t="str">
        <f ca="1">IFERROR(__xludf.DUMMYFUNCTION("""COMPUTED_VALUE"""),"UMYWALKA PARIS GOLD - NABLATOWA")</f>
        <v>UMYWALKA PARIS GOLD - NABLATOWA</v>
      </c>
      <c r="E1666" s="31">
        <v>67.682926829268297</v>
      </c>
      <c r="F1666" s="31">
        <f t="shared" si="26"/>
        <v>83.25</v>
      </c>
    </row>
    <row r="1667" spans="1:6" ht="18.75" customHeight="1" x14ac:dyDescent="0.25">
      <c r="A1667" s="2" t="str">
        <f ca="1">IFERROR(__xludf.DUMMYFUNCTION("""COMPUTED_VALUE"""),"REA-U8499")</f>
        <v>REA-U8499</v>
      </c>
      <c r="B1667" s="3"/>
      <c r="C1667" s="3">
        <f ca="1">IFERROR(__xludf.DUMMYFUNCTION("""COMPUTED_VALUE"""),5902557337644)</f>
        <v>5902557337644</v>
      </c>
      <c r="D1667" s="4" t="str">
        <f ca="1">IFERROR(__xludf.DUMMYFUNCTION("""COMPUTED_VALUE"""),"UMYWALKA PARIS SILVER - NABLATOWA")</f>
        <v>UMYWALKA PARIS SILVER - NABLATOWA</v>
      </c>
      <c r="E1667" s="31">
        <v>67.682926829268297</v>
      </c>
      <c r="F1667" s="31">
        <f t="shared" si="26"/>
        <v>83.25</v>
      </c>
    </row>
    <row r="1668" spans="1:6" ht="18.75" customHeight="1" x14ac:dyDescent="0.25">
      <c r="A1668" s="2" t="str">
        <f ca="1">IFERROR(__xludf.DUMMYFUNCTION("""COMPUTED_VALUE"""),"REA-U8544")</f>
        <v>REA-U8544</v>
      </c>
      <c r="B1668" s="3">
        <f ca="1">IFERROR(__xludf.DUMMYFUNCTION("""COMPUTED_VALUE"""),36882)</f>
        <v>36882</v>
      </c>
      <c r="C1668" s="3">
        <f ca="1">IFERROR(__xludf.DUMMYFUNCTION("""COMPUTED_VALUE"""),5902557348695)</f>
        <v>5902557348695</v>
      </c>
      <c r="D1668" s="4" t="str">
        <f ca="1">IFERROR(__xludf.DUMMYFUNCTION("""COMPUTED_VALUE"""),"UMYWALKA PARIS WHITE - NABLATOWA")</f>
        <v>UMYWALKA PARIS WHITE - NABLATOWA</v>
      </c>
      <c r="E1668" s="31">
        <v>42.41463414634147</v>
      </c>
      <c r="F1668" s="31">
        <f t="shared" si="26"/>
        <v>52.170000000000009</v>
      </c>
    </row>
    <row r="1669" spans="1:6" ht="18.75" customHeight="1" x14ac:dyDescent="0.25">
      <c r="A1669" s="2" t="str">
        <f ca="1">IFERROR(__xludf.DUMMYFUNCTION("""COMPUTED_VALUE"""),"REA-U0265")</f>
        <v>REA-U0265</v>
      </c>
      <c r="B1669" s="3">
        <f ca="1">IFERROR(__xludf.DUMMYFUNCTION("""COMPUTED_VALUE"""),40261)</f>
        <v>40261</v>
      </c>
      <c r="C1669" s="3">
        <f ca="1">IFERROR(__xludf.DUMMYFUNCTION("""COMPUTED_VALUE"""),5902557356874)</f>
        <v>5902557356874</v>
      </c>
      <c r="D1669" s="4" t="str">
        <f ca="1">IFERROR(__xludf.DUMMYFUNCTION("""COMPUTED_VALUE"""),"UMYWALKA PEARL - NABLATOWA")</f>
        <v>UMYWALKA PEARL - NABLATOWA</v>
      </c>
      <c r="E1669" s="31">
        <v>87.536585365853668</v>
      </c>
      <c r="F1669" s="31">
        <f t="shared" si="26"/>
        <v>107.67000000000002</v>
      </c>
    </row>
    <row r="1670" spans="1:6" ht="18.75" customHeight="1" x14ac:dyDescent="0.25">
      <c r="A1670" s="2" t="str">
        <f ca="1">IFERROR(__xludf.DUMMYFUNCTION("""COMPUTED_VALUE"""),"REA-U0692")</f>
        <v>REA-U0692</v>
      </c>
      <c r="B1670" s="3">
        <f ca="1">IFERROR(__xludf.DUMMYFUNCTION("""COMPUTED_VALUE"""),40366)</f>
        <v>40366</v>
      </c>
      <c r="C1670" s="3">
        <f ca="1">IFERROR(__xludf.DUMMYFUNCTION("""COMPUTED_VALUE"""),5902557356850)</f>
        <v>5902557356850</v>
      </c>
      <c r="D1670" s="4" t="str">
        <f ca="1">IFERROR(__xludf.DUMMYFUNCTION("""COMPUTED_VALUE"""),"UMYWALKA PEARL BLACK MATT/GOLD EDGE - NABLATOWA")</f>
        <v>UMYWALKA PEARL BLACK MATT/GOLD EDGE - NABLATOWA</v>
      </c>
      <c r="E1670" s="31">
        <v>120.92682926829269</v>
      </c>
      <c r="F1670" s="31">
        <f t="shared" si="26"/>
        <v>148.74</v>
      </c>
    </row>
    <row r="1671" spans="1:6" ht="18.75" customHeight="1" x14ac:dyDescent="0.25">
      <c r="A1671" s="2" t="str">
        <f ca="1">IFERROR(__xludf.DUMMYFUNCTION("""COMPUTED_VALUE"""),"REA-U0858")</f>
        <v>REA-U0858</v>
      </c>
      <c r="B1671" s="3">
        <f ca="1">IFERROR(__xludf.DUMMYFUNCTION("""COMPUTED_VALUE"""),42945)</f>
        <v>42945</v>
      </c>
      <c r="C1671" s="3">
        <f ca="1">IFERROR(__xludf.DUMMYFUNCTION("""COMPUTED_VALUE"""),5902557365654)</f>
        <v>5902557365654</v>
      </c>
      <c r="D1671" s="4" t="str">
        <f ca="1">IFERROR(__xludf.DUMMYFUNCTION("""COMPUTED_VALUE"""),"UMYWALKA PEARL BLACK SHINY - NABLATOWA")</f>
        <v>UMYWALKA PEARL BLACK SHINY - NABLATOWA</v>
      </c>
      <c r="E1671" s="31">
        <v>93.853658536585371</v>
      </c>
      <c r="F1671" s="31">
        <f t="shared" si="26"/>
        <v>115.44</v>
      </c>
    </row>
    <row r="1672" spans="1:6" ht="18.75" customHeight="1" x14ac:dyDescent="0.25">
      <c r="A1672" s="2" t="str">
        <f ca="1">IFERROR(__xludf.DUMMYFUNCTION("""COMPUTED_VALUE"""),"REA-U0696")</f>
        <v>REA-U0696</v>
      </c>
      <c r="B1672" s="3">
        <f ca="1">IFERROR(__xludf.DUMMYFUNCTION("""COMPUTED_VALUE"""),40368)</f>
        <v>40368</v>
      </c>
      <c r="C1672" s="3">
        <f ca="1">IFERROR(__xludf.DUMMYFUNCTION("""COMPUTED_VALUE"""),5902557356867)</f>
        <v>5902557356867</v>
      </c>
      <c r="D1672" s="4" t="str">
        <f ca="1">IFERROR(__xludf.DUMMYFUNCTION("""COMPUTED_VALUE"""),"UMYWALKA PEARL GOLD EDGE - NABLATOWA")</f>
        <v>UMYWALKA PEARL GOLD EDGE - NABLATOWA</v>
      </c>
      <c r="E1672" s="31">
        <v>103.78048780487806</v>
      </c>
      <c r="F1672" s="31">
        <f t="shared" si="26"/>
        <v>127.65000000000002</v>
      </c>
    </row>
    <row r="1673" spans="1:6" ht="18.75" customHeight="1" x14ac:dyDescent="0.25">
      <c r="A1673" s="2" t="str">
        <f ca="1">IFERROR(__xludf.DUMMYFUNCTION("""COMPUTED_VALUE"""),"REA-U0857")</f>
        <v>REA-U0857</v>
      </c>
      <c r="B1673" s="3"/>
      <c r="C1673" s="3">
        <f ca="1">IFERROR(__xludf.DUMMYFUNCTION("""COMPUTED_VALUE"""),5902557365661)</f>
        <v>5902557365661</v>
      </c>
      <c r="D1673" s="4" t="str">
        <f ca="1">IFERROR(__xludf.DUMMYFUNCTION("""COMPUTED_VALUE"""),"UMYWALKA PEARL GRANIT - NABLATOWA")</f>
        <v>UMYWALKA PEARL GRANIT - NABLATOWA</v>
      </c>
      <c r="E1673" s="31">
        <v>74.902439024390262</v>
      </c>
      <c r="F1673" s="31">
        <f t="shared" si="26"/>
        <v>92.130000000000024</v>
      </c>
    </row>
    <row r="1674" spans="1:6" ht="18.75" customHeight="1" x14ac:dyDescent="0.25">
      <c r="A1674" s="2" t="str">
        <f ca="1">IFERROR(__xludf.DUMMYFUNCTION("""COMPUTED_VALUE"""),"REA-U6031")</f>
        <v>REA-U6031</v>
      </c>
      <c r="B1674" s="3">
        <f ca="1">IFERROR(__xludf.DUMMYFUNCTION("""COMPUTED_VALUE"""),50720)</f>
        <v>50720</v>
      </c>
      <c r="C1674" s="3">
        <f ca="1">IFERROR(__xludf.DUMMYFUNCTION("""COMPUTED_VALUE"""),5902557393572)</f>
        <v>5902557393572</v>
      </c>
      <c r="D1674" s="4" t="str">
        <f ca="1">IFERROR(__xludf.DUMMYFUNCTION("""COMPUTED_VALUE"""),"UMYWALKA PERU - NABLATOWA")</f>
        <v>UMYWALKA PERU - NABLATOWA</v>
      </c>
      <c r="E1674" s="31">
        <v>87.536585365853668</v>
      </c>
      <c r="F1674" s="31">
        <f t="shared" si="26"/>
        <v>107.67000000000002</v>
      </c>
    </row>
    <row r="1675" spans="1:6" ht="18.75" customHeight="1" x14ac:dyDescent="0.25">
      <c r="A1675" s="2" t="str">
        <f ca="1">IFERROR(__xludf.DUMMYFUNCTION("""COMPUTED_VALUE"""),"REA-U0844")</f>
        <v>REA-U0844</v>
      </c>
      <c r="B1675" s="3"/>
      <c r="C1675" s="3">
        <f ca="1">IFERROR(__xludf.DUMMYFUNCTION("""COMPUTED_VALUE"""),5902557341771)</f>
        <v>5902557341771</v>
      </c>
      <c r="D1675" s="4" t="str">
        <f ca="1">IFERROR(__xludf.DUMMYFUNCTION("""COMPUTED_VALUE"""),"UMYWALKA POLA - NABLATOWA")</f>
        <v>UMYWALKA POLA - NABLATOWA</v>
      </c>
      <c r="E1675" s="31">
        <v>44.219512195121951</v>
      </c>
      <c r="F1675" s="31">
        <f t="shared" si="26"/>
        <v>54.39</v>
      </c>
    </row>
    <row r="1676" spans="1:6" ht="18.75" customHeight="1" x14ac:dyDescent="0.25">
      <c r="A1676" s="2" t="str">
        <f ca="1">IFERROR(__xludf.DUMMYFUNCTION("""COMPUTED_VALUE"""),"REA-U1223")</f>
        <v>REA-U1223</v>
      </c>
      <c r="B1676" s="3">
        <f ca="1">IFERROR(__xludf.DUMMYFUNCTION("""COMPUTED_VALUE"""),43019)</f>
        <v>43019</v>
      </c>
      <c r="C1676" s="3">
        <f ca="1">IFERROR(__xludf.DUMMYFUNCTION("""COMPUTED_VALUE"""),5902557366514)</f>
        <v>5902557366514</v>
      </c>
      <c r="D1676" s="4" t="str">
        <f ca="1">IFERROR(__xludf.DUMMYFUNCTION("""COMPUTED_VALUE"""),"UMYWALKA QUEEN - NABLATOWA")</f>
        <v>UMYWALKA QUEEN - NABLATOWA</v>
      </c>
      <c r="E1676" s="31">
        <v>74.000000000000014</v>
      </c>
      <c r="F1676" s="31">
        <f t="shared" si="26"/>
        <v>91.02000000000001</v>
      </c>
    </row>
    <row r="1677" spans="1:6" ht="18.75" customHeight="1" x14ac:dyDescent="0.25">
      <c r="A1677" s="2" t="str">
        <f ca="1">IFERROR(__xludf.DUMMYFUNCTION("""COMPUTED_VALUE"""),"REA-U1232")</f>
        <v>REA-U1232</v>
      </c>
      <c r="B1677" s="3">
        <f ca="1">IFERROR(__xludf.DUMMYFUNCTION("""COMPUTED_VALUE"""),43151)</f>
        <v>43151</v>
      </c>
      <c r="C1677" s="3">
        <f ca="1">IFERROR(__xludf.DUMMYFUNCTION("""COMPUTED_VALUE"""),5902557366521)</f>
        <v>5902557366521</v>
      </c>
      <c r="D1677" s="4" t="str">
        <f ca="1">IFERROR(__xludf.DUMMYFUNCTION("""COMPUTED_VALUE"""),"UMYWALKA QUEEN CARRARA SHINY - NABLATOWA")</f>
        <v>UMYWALKA QUEEN CARRARA SHINY - NABLATOWA</v>
      </c>
      <c r="E1677" s="31">
        <v>95.658536585365866</v>
      </c>
      <c r="F1677" s="31">
        <f t="shared" si="26"/>
        <v>117.66000000000001</v>
      </c>
    </row>
    <row r="1678" spans="1:6" ht="18.75" customHeight="1" x14ac:dyDescent="0.25">
      <c r="A1678" s="2" t="str">
        <f ca="1">IFERROR(__xludf.DUMMYFUNCTION("""COMPUTED_VALUE"""),"REA-U4101")</f>
        <v>REA-U4101</v>
      </c>
      <c r="B1678" s="3">
        <f ca="1">IFERROR(__xludf.DUMMYFUNCTION("""COMPUTED_VALUE"""),49550)</f>
        <v>49550</v>
      </c>
      <c r="C1678" s="3">
        <f ca="1">IFERROR(__xludf.DUMMYFUNCTION("""COMPUTED_VALUE"""),5902557381432)</f>
        <v>5902557381432</v>
      </c>
      <c r="D1678" s="4" t="str">
        <f ca="1">IFERROR(__xludf.DUMMYFUNCTION("""COMPUTED_VALUE"""),"UMYWALKA QUEEN THUNDER SHINY - NABLATOWA")</f>
        <v>UMYWALKA QUEEN THUNDER SHINY - NABLATOWA</v>
      </c>
      <c r="E1678" s="31">
        <v>95.658536585365866</v>
      </c>
      <c r="F1678" s="31">
        <f t="shared" si="26"/>
        <v>117.66000000000001</v>
      </c>
    </row>
    <row r="1679" spans="1:6" ht="18.75" customHeight="1" x14ac:dyDescent="0.25">
      <c r="A1679" s="2" t="str">
        <f ca="1">IFERROR(__xludf.DUMMYFUNCTION("""COMPUTED_VALUE"""),"REA-U0654")</f>
        <v>REA-U0654</v>
      </c>
      <c r="B1679" s="3"/>
      <c r="C1679" s="3">
        <f ca="1">IFERROR(__xludf.DUMMYFUNCTION("""COMPUTED_VALUE"""),5902557323050)</f>
        <v>5902557323050</v>
      </c>
      <c r="D1679" s="4" t="str">
        <f ca="1">IFERROR(__xludf.DUMMYFUNCTION("""COMPUTED_VALUE"""),"UMYWALKA REA 7701B  CAMILA")</f>
        <v>UMYWALKA REA 7701B  CAMILA</v>
      </c>
      <c r="E1679" s="31">
        <v>59.560975609756099</v>
      </c>
      <c r="F1679" s="31">
        <f t="shared" si="26"/>
        <v>73.260000000000005</v>
      </c>
    </row>
    <row r="1680" spans="1:6" ht="18.75" customHeight="1" x14ac:dyDescent="0.25">
      <c r="A1680" s="2" t="str">
        <f ca="1">IFERROR(__xludf.DUMMYFUNCTION("""COMPUTED_VALUE"""),"REA-U6961")</f>
        <v>REA-U6961</v>
      </c>
      <c r="B1680" s="3">
        <f ca="1">IFERROR(__xludf.DUMMYFUNCTION("""COMPUTED_VALUE"""),50755)</f>
        <v>50755</v>
      </c>
      <c r="C1680" s="3">
        <f ca="1">IFERROR(__xludf.DUMMYFUNCTION("""COMPUTED_VALUE"""),5902557387366)</f>
        <v>5902557387366</v>
      </c>
      <c r="D1680" s="4" t="str">
        <f ca="1">IFERROR(__xludf.DUMMYFUNCTION("""COMPUTED_VALUE"""),"UMYWALKA REMI - NABLATOWA")</f>
        <v>UMYWALKA REMI - NABLATOWA</v>
      </c>
      <c r="E1680" s="31">
        <v>59.560975609756099</v>
      </c>
      <c r="F1680" s="31">
        <f t="shared" si="26"/>
        <v>73.260000000000005</v>
      </c>
    </row>
    <row r="1681" spans="1:6" ht="18.75" customHeight="1" x14ac:dyDescent="0.25">
      <c r="A1681" s="2" t="str">
        <f ca="1">IFERROR(__xludf.DUMMYFUNCTION("""COMPUTED_VALUE"""),"REA-U9600")</f>
        <v>REA-U9600</v>
      </c>
      <c r="B1681" s="3">
        <f ca="1">IFERROR(__xludf.DUMMYFUNCTION("""COMPUTED_VALUE"""),30741)</f>
        <v>30741</v>
      </c>
      <c r="C1681" s="3">
        <f ca="1">IFERROR(__xludf.DUMMYFUNCTION("""COMPUTED_VALUE"""),5902557337668)</f>
        <v>5902557337668</v>
      </c>
      <c r="D1681" s="4" t="str">
        <f ca="1">IFERROR(__xludf.DUMMYFUNCTION("""COMPUTED_VALUE"""),"UMYWALKA RICH BLACK GOLD - NABLATOWA")</f>
        <v>UMYWALKA RICH BLACK GOLD - NABLATOWA</v>
      </c>
      <c r="E1681" s="31">
        <v>153.41463414634148</v>
      </c>
      <c r="F1681" s="31">
        <f t="shared" si="26"/>
        <v>188.70000000000002</v>
      </c>
    </row>
    <row r="1682" spans="1:6" ht="18.75" customHeight="1" x14ac:dyDescent="0.25">
      <c r="A1682" s="2" t="str">
        <f ca="1">IFERROR(__xludf.DUMMYFUNCTION("""COMPUTED_VALUE"""),"REA-U9901")</f>
        <v>REA-U9901</v>
      </c>
      <c r="B1682" s="3">
        <f ca="1">IFERROR(__xludf.DUMMYFUNCTION("""COMPUTED_VALUE"""),13380)</f>
        <v>13380</v>
      </c>
      <c r="C1682" s="3">
        <f ca="1">IFERROR(__xludf.DUMMYFUNCTION("""COMPUTED_VALUE"""),5902557329557)</f>
        <v>5902557329557</v>
      </c>
      <c r="D1682" s="4" t="str">
        <f ca="1">IFERROR(__xludf.DUMMYFUNCTION("""COMPUTED_VALUE"""),"UMYWALKA RITA - WOLNOSTOJĄCA")</f>
        <v>UMYWALKA RITA - WOLNOSTOJĄCA</v>
      </c>
      <c r="E1682" s="31">
        <v>194.92682926829272</v>
      </c>
      <c r="F1682" s="31">
        <f t="shared" si="26"/>
        <v>239.76000000000005</v>
      </c>
    </row>
    <row r="1683" spans="1:6" ht="18.75" customHeight="1" x14ac:dyDescent="0.25">
      <c r="A1683" s="2" t="str">
        <f ca="1">IFERROR(__xludf.DUMMYFUNCTION("""COMPUTED_VALUE"""),"REA-U6962")</f>
        <v>REA-U6962</v>
      </c>
      <c r="B1683" s="3">
        <f ca="1">IFERROR(__xludf.DUMMYFUNCTION("""COMPUTED_VALUE"""),50749)</f>
        <v>50749</v>
      </c>
      <c r="C1683" s="3">
        <f ca="1">IFERROR(__xludf.DUMMYFUNCTION("""COMPUTED_VALUE"""),5902557387335)</f>
        <v>5902557387335</v>
      </c>
      <c r="D1683" s="4" t="str">
        <f ca="1">IFERROR(__xludf.DUMMYFUNCTION("""COMPUTED_VALUE"""),"UMYWALKA RIVER - WOLNOSTOJĄCA")</f>
        <v>UMYWALKA RIVER - WOLNOSTOJĄCA</v>
      </c>
      <c r="E1683" s="31">
        <v>186.80487804878049</v>
      </c>
      <c r="F1683" s="31">
        <f t="shared" si="26"/>
        <v>229.77</v>
      </c>
    </row>
    <row r="1684" spans="1:6" ht="18.75" customHeight="1" x14ac:dyDescent="0.25">
      <c r="A1684" s="2" t="str">
        <f ca="1">IFERROR(__xludf.DUMMYFUNCTION("""COMPUTED_VALUE"""),"REA-U7905")</f>
        <v>REA-U7905</v>
      </c>
      <c r="B1684" s="3">
        <f ca="1">IFERROR(__xludf.DUMMYFUNCTION("""COMPUTED_VALUE"""),31564)</f>
        <v>31564</v>
      </c>
      <c r="C1684" s="3">
        <f ca="1">IFERROR(__xludf.DUMMYFUNCTION("""COMPUTED_VALUE"""),5902557340637)</f>
        <v>5902557340637</v>
      </c>
      <c r="D1684" s="4" t="str">
        <f ca="1">IFERROR(__xludf.DUMMYFUNCTION("""COMPUTED_VALUE"""),"UMYWALKA ROCK - NABLATOWA")</f>
        <v>UMYWALKA ROCK - NABLATOWA</v>
      </c>
      <c r="E1684" s="31">
        <v>116.41463414634147</v>
      </c>
      <c r="F1684" s="31">
        <f t="shared" si="26"/>
        <v>143.19</v>
      </c>
    </row>
    <row r="1685" spans="1:6" ht="18.75" customHeight="1" x14ac:dyDescent="0.25">
      <c r="A1685" s="2" t="str">
        <f ca="1">IFERROR(__xludf.DUMMYFUNCTION("""COMPUTED_VALUE"""),"REA-U5600")</f>
        <v>REA-U5600</v>
      </c>
      <c r="B1685" s="3">
        <f ca="1">IFERROR(__xludf.DUMMYFUNCTION("""COMPUTED_VALUE"""),42498)</f>
        <v>42498</v>
      </c>
      <c r="C1685" s="3">
        <f ca="1">IFERROR(__xludf.DUMMYFUNCTION("""COMPUTED_VALUE"""),5902557364244)</f>
        <v>5902557364244</v>
      </c>
      <c r="D1685" s="4" t="str">
        <f ca="1">IFERROR(__xludf.DUMMYFUNCTION("""COMPUTED_VALUE"""),"UMYWALKA ROMA - NABLATOWA")</f>
        <v>UMYWALKA ROMA - NABLATOWA</v>
      </c>
      <c r="E1685" s="31">
        <v>83.024390243902445</v>
      </c>
      <c r="F1685" s="31">
        <f t="shared" si="26"/>
        <v>102.12</v>
      </c>
    </row>
    <row r="1686" spans="1:6" ht="18.75" customHeight="1" x14ac:dyDescent="0.25">
      <c r="A1686" s="2" t="str">
        <f ca="1">IFERROR(__xludf.DUMMYFUNCTION("""COMPUTED_VALUE"""),"REA-U5609")</f>
        <v>REA-U5609</v>
      </c>
      <c r="B1686" s="3">
        <f ca="1">IFERROR(__xludf.DUMMYFUNCTION("""COMPUTED_VALUE"""),42500)</f>
        <v>42500</v>
      </c>
      <c r="C1686" s="3">
        <f ca="1">IFERROR(__xludf.DUMMYFUNCTION("""COMPUTED_VALUE"""),5902557364251)</f>
        <v>5902557364251</v>
      </c>
      <c r="D1686" s="4" t="str">
        <f ca="1">IFERROR(__xludf.DUMMYFUNCTION("""COMPUTED_VALUE"""),"UMYWALKA ROMA BLACK MARBLE MATT - NABLATOWA")</f>
        <v>UMYWALKA ROMA BLACK MARBLE MATT - NABLATOWA</v>
      </c>
      <c r="E1686" s="31">
        <v>107.39024390243904</v>
      </c>
      <c r="F1686" s="31">
        <f t="shared" si="26"/>
        <v>132.09</v>
      </c>
    </row>
    <row r="1687" spans="1:6" ht="18.75" customHeight="1" x14ac:dyDescent="0.25">
      <c r="A1687" s="2" t="str">
        <f ca="1">IFERROR(__xludf.DUMMYFUNCTION("""COMPUTED_VALUE"""),"REA-U6622")</f>
        <v>REA-U6622</v>
      </c>
      <c r="B1687" s="3">
        <f ca="1">IFERROR(__xludf.DUMMYFUNCTION("""COMPUTED_VALUE"""),54140)</f>
        <v>54140</v>
      </c>
      <c r="C1687" s="3">
        <f ca="1">IFERROR(__xludf.DUMMYFUNCTION("""COMPUTED_VALUE"""),5906366006302)</f>
        <v>5906366006302</v>
      </c>
      <c r="D1687" s="4" t="str">
        <f ca="1">IFERROR(__xludf.DUMMYFUNCTION("""COMPUTED_VALUE"""),"UMYWALKA RONDA - NABLATOWA")</f>
        <v>UMYWALKA RONDA - NABLATOWA</v>
      </c>
      <c r="E1687" s="31">
        <v>61.365853658536594</v>
      </c>
      <c r="F1687" s="31">
        <f t="shared" si="26"/>
        <v>75.48</v>
      </c>
    </row>
    <row r="1688" spans="1:6" ht="18.75" customHeight="1" x14ac:dyDescent="0.25">
      <c r="A1688" s="2" t="str">
        <f ca="1">IFERROR(__xludf.DUMMYFUNCTION("""COMPUTED_VALUE"""),"REA-00692")</f>
        <v>REA-00692</v>
      </c>
      <c r="B1688" s="3">
        <f ca="1">IFERROR(__xludf.DUMMYFUNCTION("""COMPUTED_VALUE"""),35857)</f>
        <v>35857</v>
      </c>
      <c r="C1688" s="3">
        <f ca="1">IFERROR(__xludf.DUMMYFUNCTION("""COMPUTED_VALUE"""),5902557341542)</f>
        <v>5902557341542</v>
      </c>
      <c r="D1688" s="4" t="str">
        <f ca="1">IFERROR(__xludf.DUMMYFUNCTION("""COMPUTED_VALUE"""),"UMYWALKA ROSA - NABLATOWA")</f>
        <v>UMYWALKA ROSA - NABLATOWA</v>
      </c>
      <c r="E1688" s="31">
        <v>52.341463414634156</v>
      </c>
      <c r="F1688" s="31">
        <f t="shared" si="26"/>
        <v>64.38000000000001</v>
      </c>
    </row>
    <row r="1689" spans="1:6" ht="18.75" customHeight="1" x14ac:dyDescent="0.25">
      <c r="A1689" s="2" t="str">
        <f ca="1">IFERROR(__xludf.DUMMYFUNCTION("""COMPUTED_VALUE"""),"REA-U0160")</f>
        <v>REA-U0160</v>
      </c>
      <c r="B1689" s="3">
        <f ca="1">IFERROR(__xludf.DUMMYFUNCTION("""COMPUTED_VALUE"""),1683)</f>
        <v>1683</v>
      </c>
      <c r="C1689" s="3">
        <f ca="1">IFERROR(__xludf.DUMMYFUNCTION("""COMPUTED_VALUE"""),5902557300204)</f>
        <v>5902557300204</v>
      </c>
      <c r="D1689" s="4" t="str">
        <f ca="1">IFERROR(__xludf.DUMMYFUNCTION("""COMPUTED_VALUE"""),"UMYWALKA ROSA-2 - NABLATOWA")</f>
        <v>UMYWALKA ROSA-2 - NABLATOWA</v>
      </c>
      <c r="E1689" s="31">
        <v>52.341463414634156</v>
      </c>
      <c r="F1689" s="31">
        <f t="shared" si="26"/>
        <v>64.38000000000001</v>
      </c>
    </row>
    <row r="1690" spans="1:6" ht="18.75" customHeight="1" x14ac:dyDescent="0.25">
      <c r="A1690" s="2" t="str">
        <f ca="1">IFERROR(__xludf.DUMMYFUNCTION("""COMPUTED_VALUE"""),"REA-U1224")</f>
        <v>REA-U1224</v>
      </c>
      <c r="B1690" s="3"/>
      <c r="C1690" s="3">
        <f ca="1">IFERROR(__xludf.DUMMYFUNCTION("""COMPUTED_VALUE"""),5902557366569)</f>
        <v>5902557366569</v>
      </c>
      <c r="D1690" s="4" t="str">
        <f ca="1">IFERROR(__xludf.DUMMYFUNCTION("""COMPUTED_VALUE"""),"UMYWALKA ROSALIA WHITE - NABLATOWA")</f>
        <v>UMYWALKA ROSALIA WHITE - NABLATOWA</v>
      </c>
      <c r="E1690" s="31">
        <v>98.365853658536608</v>
      </c>
      <c r="F1690" s="31">
        <f t="shared" si="26"/>
        <v>120.99000000000002</v>
      </c>
    </row>
    <row r="1691" spans="1:6" ht="18.75" customHeight="1" x14ac:dyDescent="0.25">
      <c r="A1691" s="2" t="str">
        <f ca="1">IFERROR(__xludf.DUMMYFUNCTION("""COMPUTED_VALUE"""),"REA-U8741")</f>
        <v>REA-U8741</v>
      </c>
      <c r="B1691" s="3"/>
      <c r="C1691" s="3">
        <f ca="1">IFERROR(__xludf.DUMMYFUNCTION("""COMPUTED_VALUE"""),5902557326129)</f>
        <v>5902557326129</v>
      </c>
      <c r="D1691" s="4" t="str">
        <f ca="1">IFERROR(__xludf.DUMMYFUNCTION("""COMPUTED_VALUE"""),"UMYWALKA ROXY 49 - NABLATOWA")</f>
        <v>UMYWALKA ROXY 49 - NABLATOWA</v>
      </c>
      <c r="E1691" s="31">
        <v>56.853658536585371</v>
      </c>
      <c r="F1691" s="31">
        <f t="shared" si="26"/>
        <v>69.930000000000007</v>
      </c>
    </row>
    <row r="1692" spans="1:6" ht="18.75" customHeight="1" x14ac:dyDescent="0.25">
      <c r="A1692" s="2" t="str">
        <f ca="1">IFERROR(__xludf.DUMMYFUNCTION("""COMPUTED_VALUE"""),"REA-U6649")</f>
        <v>REA-U6649</v>
      </c>
      <c r="B1692" s="3">
        <f ca="1">IFERROR(__xludf.DUMMYFUNCTION("""COMPUTED_VALUE"""),26980)</f>
        <v>26980</v>
      </c>
      <c r="C1692" s="3">
        <f ca="1">IFERROR(__xludf.DUMMYFUNCTION("""COMPUTED_VALUE"""),5902557335718)</f>
        <v>5902557335718</v>
      </c>
      <c r="D1692" s="4" t="str">
        <f ca="1">IFERROR(__xludf.DUMMYFUNCTION("""COMPUTED_VALUE"""),"UMYWALKA ROXY A STONE D.GREY - NABLATOWA")</f>
        <v>UMYWALKA ROXY A STONE D.GREY - NABLATOWA</v>
      </c>
      <c r="E1692" s="31">
        <v>75.804878048780495</v>
      </c>
      <c r="F1692" s="31">
        <f t="shared" si="26"/>
        <v>93.240000000000009</v>
      </c>
    </row>
    <row r="1693" spans="1:6" ht="18.75" customHeight="1" x14ac:dyDescent="0.25">
      <c r="A1693" s="2" t="str">
        <f ca="1">IFERROR(__xludf.DUMMYFUNCTION("""COMPUTED_VALUE"""),"REA-U6650")</f>
        <v>REA-U6650</v>
      </c>
      <c r="B1693" s="3">
        <f ca="1">IFERROR(__xludf.DUMMYFUNCTION("""COMPUTED_VALUE"""),26986)</f>
        <v>26986</v>
      </c>
      <c r="C1693" s="3">
        <f ca="1">IFERROR(__xludf.DUMMYFUNCTION("""COMPUTED_VALUE"""),5902557335725)</f>
        <v>5902557335725</v>
      </c>
      <c r="D1693" s="4" t="str">
        <f ca="1">IFERROR(__xludf.DUMMYFUNCTION("""COMPUTED_VALUE"""),"UMYWALKA ROXY B STONE NATURE - NABLATOWA")</f>
        <v>UMYWALKA ROXY B STONE NATURE - NABLATOWA</v>
      </c>
      <c r="E1693" s="31">
        <v>75.804878048780495</v>
      </c>
      <c r="F1693" s="31">
        <f t="shared" si="26"/>
        <v>93.240000000000009</v>
      </c>
    </row>
    <row r="1694" spans="1:6" ht="18.75" customHeight="1" x14ac:dyDescent="0.25">
      <c r="A1694" s="2" t="str">
        <f ca="1">IFERROR(__xludf.DUMMYFUNCTION("""COMPUTED_VALUE"""),"REA-U6651")</f>
        <v>REA-U6651</v>
      </c>
      <c r="B1694" s="3">
        <f ca="1">IFERROR(__xludf.DUMMYFUNCTION("""COMPUTED_VALUE"""),26988)</f>
        <v>26988</v>
      </c>
      <c r="C1694" s="3">
        <f ca="1">IFERROR(__xludf.DUMMYFUNCTION("""COMPUTED_VALUE"""),5902557335732)</f>
        <v>5902557335732</v>
      </c>
      <c r="D1694" s="4" t="str">
        <f ca="1">IFERROR(__xludf.DUMMYFUNCTION("""COMPUTED_VALUE"""),"UMYWALKA ROXY C STONE L.GREY - NABLATOWA")</f>
        <v>UMYWALKA ROXY C STONE L.GREY - NABLATOWA</v>
      </c>
      <c r="E1694" s="31">
        <v>78.512195121951223</v>
      </c>
      <c r="F1694" s="31">
        <f t="shared" si="26"/>
        <v>96.570000000000007</v>
      </c>
    </row>
    <row r="1695" spans="1:6" ht="18.75" customHeight="1" x14ac:dyDescent="0.25">
      <c r="A1695" s="2" t="str">
        <f ca="1">IFERROR(__xludf.DUMMYFUNCTION("""COMPUTED_VALUE"""),"REA-U0441")</f>
        <v>REA-U0441</v>
      </c>
      <c r="B1695" s="3">
        <f ca="1">IFERROR(__xludf.DUMMYFUNCTION("""COMPUTED_VALUE"""),7501)</f>
        <v>7501</v>
      </c>
      <c r="C1695" s="3">
        <f ca="1">IFERROR(__xludf.DUMMYFUNCTION("""COMPUTED_VALUE"""),5902557300723)</f>
        <v>5902557300723</v>
      </c>
      <c r="D1695" s="4" t="str">
        <f ca="1">IFERROR(__xludf.DUMMYFUNCTION("""COMPUTED_VALUE"""),"UMYWALKA ROYAL - NABLATOWA")</f>
        <v>UMYWALKA ROYAL - NABLATOWA</v>
      </c>
      <c r="E1695" s="31">
        <v>67.682926829268297</v>
      </c>
      <c r="F1695" s="31">
        <f t="shared" si="26"/>
        <v>83.25</v>
      </c>
    </row>
    <row r="1696" spans="1:6" ht="18.75" customHeight="1" x14ac:dyDescent="0.25">
      <c r="A1696" s="2" t="str">
        <f ca="1">IFERROR(__xludf.DUMMYFUNCTION("""COMPUTED_VALUE"""),"REA-U8548")</f>
        <v>REA-U8548</v>
      </c>
      <c r="B1696" s="3">
        <f ca="1">IFERROR(__xludf.DUMMYFUNCTION("""COMPUTED_VALUE"""),41954)</f>
        <v>41954</v>
      </c>
      <c r="C1696" s="3">
        <f ca="1">IFERROR(__xludf.DUMMYFUNCTION("""COMPUTED_VALUE"""),5902557359844)</f>
        <v>5902557359844</v>
      </c>
      <c r="D1696" s="4" t="str">
        <f ca="1">IFERROR(__xludf.DUMMYFUNCTION("""COMPUTED_VALUE"""),"UMYWALKA ROYAL AIAX SHINY - NABLATOWA")</f>
        <v>UMYWALKA ROYAL AIAX SHINY - NABLATOWA</v>
      </c>
      <c r="E1696" s="31">
        <v>90.243902439024396</v>
      </c>
      <c r="F1696" s="31">
        <f t="shared" si="26"/>
        <v>111</v>
      </c>
    </row>
    <row r="1697" spans="1:6" ht="18.75" customHeight="1" x14ac:dyDescent="0.25">
      <c r="A1697" s="2" t="str">
        <f ca="1">IFERROR(__xludf.DUMMYFUNCTION("""COMPUTED_VALUE"""),"REA-U0445")</f>
        <v>REA-U0445</v>
      </c>
      <c r="B1697" s="3">
        <f ca="1">IFERROR(__xludf.DUMMYFUNCTION("""COMPUTED_VALUE"""),36883)</f>
        <v>36883</v>
      </c>
      <c r="C1697" s="3">
        <f ca="1">IFERROR(__xludf.DUMMYFUNCTION("""COMPUTED_VALUE"""),5902557348749)</f>
        <v>5902557348749</v>
      </c>
      <c r="D1697" s="4" t="str">
        <f ca="1">IFERROR(__xludf.DUMMYFUNCTION("""COMPUTED_VALUE"""),"UMYWALKA ROYAL BLACK - NABLATOWA")</f>
        <v>UMYWALKA ROYAL BLACK - NABLATOWA</v>
      </c>
      <c r="E1697" s="31">
        <v>98.365853658536608</v>
      </c>
      <c r="F1697" s="31">
        <f t="shared" si="26"/>
        <v>120.99000000000002</v>
      </c>
    </row>
    <row r="1698" spans="1:6" ht="18.75" customHeight="1" x14ac:dyDescent="0.25">
      <c r="A1698" s="2" t="str">
        <f ca="1">IFERROR(__xludf.DUMMYFUNCTION("""COMPUTED_VALUE"""),"REA-U8569")</f>
        <v>REA-U8569</v>
      </c>
      <c r="B1698" s="3">
        <f ca="1">IFERROR(__xludf.DUMMYFUNCTION("""COMPUTED_VALUE"""),41704)</f>
        <v>41704</v>
      </c>
      <c r="C1698" s="3">
        <f ca="1">IFERROR(__xludf.DUMMYFUNCTION("""COMPUTED_VALUE"""),5902557356669)</f>
        <v>5902557356669</v>
      </c>
      <c r="D1698" s="4" t="str">
        <f ca="1">IFERROR(__xludf.DUMMYFUNCTION("""COMPUTED_VALUE"""),"UMYWALKA ROYAL BLACK EDGE - NABLATOWA")</f>
        <v>UMYWALKA ROYAL BLACK EDGE - NABLATOWA</v>
      </c>
      <c r="E1698" s="31">
        <v>96.560975609756113</v>
      </c>
      <c r="F1698" s="31">
        <f t="shared" si="26"/>
        <v>118.77000000000002</v>
      </c>
    </row>
    <row r="1699" spans="1:6" ht="18.75" customHeight="1" x14ac:dyDescent="0.25">
      <c r="A1699" s="2" t="str">
        <f ca="1">IFERROR(__xludf.DUMMYFUNCTION("""COMPUTED_VALUE"""),"REA-U7478")</f>
        <v>REA-U7478</v>
      </c>
      <c r="B1699" s="3">
        <f ca="1">IFERROR(__xludf.DUMMYFUNCTION("""COMPUTED_VALUE"""),43240)</f>
        <v>43240</v>
      </c>
      <c r="C1699" s="3">
        <f ca="1">IFERROR(__xludf.DUMMYFUNCTION("""COMPUTED_VALUE"""),5902557367603)</f>
        <v>5902557367603</v>
      </c>
      <c r="D1699" s="4" t="str">
        <f ca="1">IFERROR(__xludf.DUMMYFUNCTION("""COMPUTED_VALUE"""),"UMYWALKA ROYAL BLACK MARBLE MATT - NABLATOWA")</f>
        <v>UMYWALKA ROYAL BLACK MARBLE MATT - NABLATOWA</v>
      </c>
      <c r="E1699" s="31">
        <v>104.68292682926831</v>
      </c>
      <c r="F1699" s="31">
        <f t="shared" si="26"/>
        <v>128.76000000000002</v>
      </c>
    </row>
    <row r="1700" spans="1:6" ht="18.75" customHeight="1" x14ac:dyDescent="0.25">
      <c r="A1700" s="2" t="str">
        <f ca="1">IFERROR(__xludf.DUMMYFUNCTION("""COMPUTED_VALUE"""),"REA-U0442")</f>
        <v>REA-U0442</v>
      </c>
      <c r="B1700" s="3">
        <f ca="1">IFERROR(__xludf.DUMMYFUNCTION("""COMPUTED_VALUE"""),26221)</f>
        <v>26221</v>
      </c>
      <c r="C1700" s="3">
        <f ca="1">IFERROR(__xludf.DUMMYFUNCTION("""COMPUTED_VALUE"""),5902557334926)</f>
        <v>5902557334926</v>
      </c>
      <c r="D1700" s="4" t="str">
        <f ca="1">IFERROR(__xludf.DUMMYFUNCTION("""COMPUTED_VALUE"""),"UMYWALKA ROYAL BLACK MATT - NABLATOWA")</f>
        <v>UMYWALKA ROYAL BLACK MATT - NABLATOWA</v>
      </c>
      <c r="E1700" s="31">
        <v>105.58499999999999</v>
      </c>
      <c r="F1700" s="31">
        <f t="shared" si="26"/>
        <v>129.86955</v>
      </c>
    </row>
    <row r="1701" spans="1:6" ht="18.75" customHeight="1" x14ac:dyDescent="0.25">
      <c r="A1701" s="2" t="str">
        <f ca="1">IFERROR(__xludf.DUMMYFUNCTION("""COMPUTED_VALUE"""),"REA-U6600")</f>
        <v>REA-U6600</v>
      </c>
      <c r="B1701" s="3">
        <f ca="1">IFERROR(__xludf.DUMMYFUNCTION("""COMPUTED_VALUE"""),31223)</f>
        <v>31223</v>
      </c>
      <c r="C1701" s="3">
        <f ca="1">IFERROR(__xludf.DUMMYFUNCTION("""COMPUTED_VALUE"""),5902557336128)</f>
        <v>5902557336128</v>
      </c>
      <c r="D1701" s="4" t="str">
        <f ca="1">IFERROR(__xludf.DUMMYFUNCTION("""COMPUTED_VALUE"""),"UMYWALKA ROYAL BLACK/WHITE - NABLATOWA")</f>
        <v>UMYWALKA ROYAL BLACK/WHITE - NABLATOWA</v>
      </c>
      <c r="E1701" s="31">
        <v>103.78048780487806</v>
      </c>
      <c r="F1701" s="31">
        <f t="shared" si="26"/>
        <v>127.65000000000002</v>
      </c>
    </row>
    <row r="1702" spans="1:6" ht="18.75" customHeight="1" x14ac:dyDescent="0.25">
      <c r="A1702" s="2" t="str">
        <f ca="1">IFERROR(__xludf.DUMMYFUNCTION("""COMPUTED_VALUE"""),"REA-U4545")</f>
        <v>REA-U4545</v>
      </c>
      <c r="B1702" s="3">
        <f ca="1">IFERROR(__xludf.DUMMYFUNCTION("""COMPUTED_VALUE"""),42434)</f>
        <v>42434</v>
      </c>
      <c r="C1702" s="3">
        <f ca="1">IFERROR(__xludf.DUMMYFUNCTION("""COMPUTED_VALUE"""),5902557359868)</f>
        <v>5902557359868</v>
      </c>
      <c r="D1702" s="4" t="str">
        <f ca="1">IFERROR(__xludf.DUMMYFUNCTION("""COMPUTED_VALUE"""),"UMYWALKA ROYAL GOLD - NABLATOWA")</f>
        <v>UMYWALKA ROYAL GOLD - NABLATOWA</v>
      </c>
      <c r="E1702" s="31">
        <v>101.97560975609757</v>
      </c>
      <c r="F1702" s="31">
        <f t="shared" si="26"/>
        <v>125.43</v>
      </c>
    </row>
    <row r="1703" spans="1:6" ht="18.75" customHeight="1" x14ac:dyDescent="0.25">
      <c r="A1703" s="2" t="str">
        <f ca="1">IFERROR(__xludf.DUMMYFUNCTION("""COMPUTED_VALUE"""),"REA-U8570")</f>
        <v>REA-U8570</v>
      </c>
      <c r="B1703" s="3">
        <f ca="1">IFERROR(__xludf.DUMMYFUNCTION("""COMPUTED_VALUE"""),41705)</f>
        <v>41705</v>
      </c>
      <c r="C1703" s="3">
        <f ca="1">IFERROR(__xludf.DUMMYFUNCTION("""COMPUTED_VALUE"""),5902557356676)</f>
        <v>5902557356676</v>
      </c>
      <c r="D1703" s="4" t="str">
        <f ca="1">IFERROR(__xludf.DUMMYFUNCTION("""COMPUTED_VALUE"""),"UMYWALKA ROYAL GOLD EDGE - NABLATOWA")</f>
        <v>UMYWALKA ROYAL GOLD EDGE - NABLATOWA</v>
      </c>
      <c r="E1703" s="31">
        <v>102.87804878048782</v>
      </c>
      <c r="F1703" s="31">
        <f t="shared" si="26"/>
        <v>126.54</v>
      </c>
    </row>
    <row r="1704" spans="1:6" ht="18.75" customHeight="1" x14ac:dyDescent="0.25">
      <c r="A1704" s="2" t="str">
        <f ca="1">IFERROR(__xludf.DUMMYFUNCTION("""COMPUTED_VALUE"""),"REA-U7808")</f>
        <v>REA-U7808</v>
      </c>
      <c r="B1704" s="3">
        <f ca="1">IFERROR(__xludf.DUMMYFUNCTION("""COMPUTED_VALUE"""),42247)</f>
        <v>42247</v>
      </c>
      <c r="C1704" s="3">
        <f ca="1">IFERROR(__xludf.DUMMYFUNCTION("""COMPUTED_VALUE"""),5902557359851)</f>
        <v>5902557359851</v>
      </c>
      <c r="D1704" s="4" t="str">
        <f ca="1">IFERROR(__xludf.DUMMYFUNCTION("""COMPUTED_VALUE"""),"UMYWALKA ROYAL GOLD/WHITE - NABLATOWA")</f>
        <v>UMYWALKA ROYAL GOLD/WHITE - NABLATOWA</v>
      </c>
      <c r="E1704" s="31">
        <v>90.243902439024396</v>
      </c>
      <c r="F1704" s="31">
        <f t="shared" si="26"/>
        <v>111</v>
      </c>
    </row>
    <row r="1705" spans="1:6" ht="18.75" customHeight="1" x14ac:dyDescent="0.25">
      <c r="A1705" s="2" t="str">
        <f ca="1">IFERROR(__xludf.DUMMYFUNCTION("""COMPUTED_VALUE"""),"REA-U8742")</f>
        <v>REA-U8742</v>
      </c>
      <c r="B1705" s="3">
        <f ca="1">IFERROR(__xludf.DUMMYFUNCTION("""COMPUTED_VALUE"""),42290)</f>
        <v>42290</v>
      </c>
      <c r="C1705" s="3">
        <f ca="1">IFERROR(__xludf.DUMMYFUNCTION("""COMPUTED_VALUE"""),5902557362639)</f>
        <v>5902557362639</v>
      </c>
      <c r="D1705" s="4" t="str">
        <f ca="1">IFERROR(__xludf.DUMMYFUNCTION("""COMPUTED_VALUE"""),"UMYWALKA ROYAL GRANIT MATT - NABLATOWA")</f>
        <v>UMYWALKA ROYAL GRANIT MATT - NABLATOWA</v>
      </c>
      <c r="E1705" s="31">
        <v>87.536585365853668</v>
      </c>
      <c r="F1705" s="31">
        <f t="shared" si="26"/>
        <v>107.67000000000002</v>
      </c>
    </row>
    <row r="1706" spans="1:6" ht="18.75" customHeight="1" x14ac:dyDescent="0.25">
      <c r="A1706" s="2" t="str">
        <f ca="1">IFERROR(__xludf.DUMMYFUNCTION("""COMPUTED_VALUE"""),"REA-U8596")</f>
        <v>REA-U8596</v>
      </c>
      <c r="B1706" s="3">
        <f ca="1">IFERROR(__xludf.DUMMYFUNCTION("""COMPUTED_VALUE"""),42016)</f>
        <v>42016</v>
      </c>
      <c r="C1706" s="3">
        <f ca="1">IFERROR(__xludf.DUMMYFUNCTION("""COMPUTED_VALUE"""),5902557362622)</f>
        <v>5902557362622</v>
      </c>
      <c r="D1706" s="4" t="str">
        <f ca="1">IFERROR(__xludf.DUMMYFUNCTION("""COMPUTED_VALUE"""),"UMYWALKA ROYAL GRANIT SHINY - NABLATOWA")</f>
        <v>UMYWALKA ROYAL GRANIT SHINY - NABLATOWA</v>
      </c>
      <c r="E1706" s="31">
        <v>87.536585365853668</v>
      </c>
      <c r="F1706" s="31">
        <f t="shared" si="26"/>
        <v>107.67000000000002</v>
      </c>
    </row>
    <row r="1707" spans="1:6" ht="18.75" customHeight="1" x14ac:dyDescent="0.25">
      <c r="A1707" s="2" t="str">
        <f ca="1">IFERROR(__xludf.DUMMYFUNCTION("""COMPUTED_VALUE"""),"REA-U8008")</f>
        <v>REA-U8008</v>
      </c>
      <c r="B1707" s="3">
        <f ca="1">IFERROR(__xludf.DUMMYFUNCTION("""COMPUTED_VALUE"""),50040)</f>
        <v>50040</v>
      </c>
      <c r="C1707" s="3">
        <f ca="1">IFERROR(__xludf.DUMMYFUNCTION("""COMPUTED_VALUE"""),5902557376063)</f>
        <v>5902557376063</v>
      </c>
      <c r="D1707" s="4" t="str">
        <f ca="1">IFERROR(__xludf.DUMMYFUNCTION("""COMPUTED_VALUE"""),"UMYWALKA ROYAL IN BLACK MARBLE/GOLD - NABLATOWA")</f>
        <v>UMYWALKA ROYAL IN BLACK MARBLE/GOLD - NABLATOWA</v>
      </c>
      <c r="E1707" s="31">
        <v>114.60975609756099</v>
      </c>
      <c r="F1707" s="31">
        <f t="shared" si="26"/>
        <v>140.97000000000003</v>
      </c>
    </row>
    <row r="1708" spans="1:6" ht="18.75" customHeight="1" x14ac:dyDescent="0.25">
      <c r="A1708" s="2" t="str">
        <f ca="1">IFERROR(__xludf.DUMMYFUNCTION("""COMPUTED_VALUE"""),"REA-U8007")</f>
        <v>REA-U8007</v>
      </c>
      <c r="B1708" s="3">
        <f ca="1">IFERROR(__xludf.DUMMYFUNCTION("""COMPUTED_VALUE"""),50037)</f>
        <v>50037</v>
      </c>
      <c r="C1708" s="3">
        <f ca="1">IFERROR(__xludf.DUMMYFUNCTION("""COMPUTED_VALUE"""),5902557376070)</f>
        <v>5902557376070</v>
      </c>
      <c r="D1708" s="4" t="str">
        <f ca="1">IFERROR(__xludf.DUMMYFUNCTION("""COMPUTED_VALUE"""),"UMYWALKA ROYAL IN GOLD/BLACK MARBLE - NABLATOWA")</f>
        <v>UMYWALKA ROYAL IN GOLD/BLACK MARBLE - NABLATOWA</v>
      </c>
      <c r="E1708" s="31">
        <v>117.31707317073172</v>
      </c>
      <c r="F1708" s="31">
        <f t="shared" si="26"/>
        <v>144.30000000000001</v>
      </c>
    </row>
    <row r="1709" spans="1:6" ht="18.75" customHeight="1" x14ac:dyDescent="0.25">
      <c r="A1709" s="2" t="str">
        <f ca="1">IFERROR(__xludf.DUMMYFUNCTION("""COMPUTED_VALUE"""),"REA-U8597")</f>
        <v>REA-U8597</v>
      </c>
      <c r="B1709" s="3">
        <f ca="1">IFERROR(__xludf.DUMMYFUNCTION("""COMPUTED_VALUE"""),42017)</f>
        <v>42017</v>
      </c>
      <c r="C1709" s="3">
        <f ca="1">IFERROR(__xludf.DUMMYFUNCTION("""COMPUTED_VALUE"""),5902557362646)</f>
        <v>5902557362646</v>
      </c>
      <c r="D1709" s="4" t="str">
        <f ca="1">IFERROR(__xludf.DUMMYFUNCTION("""COMPUTED_VALUE"""),"UMYWALKA ROYAL LAVA - NABLATOWA")</f>
        <v>UMYWALKA ROYAL LAVA - NABLATOWA</v>
      </c>
      <c r="E1709" s="31">
        <v>89.341463414634148</v>
      </c>
      <c r="F1709" s="31">
        <f t="shared" si="26"/>
        <v>109.89</v>
      </c>
    </row>
    <row r="1710" spans="1:6" ht="18.75" customHeight="1" x14ac:dyDescent="0.25">
      <c r="A1710" s="2" t="str">
        <f ca="1">IFERROR(__xludf.DUMMYFUNCTION("""COMPUTED_VALUE"""),"REA-U8598")</f>
        <v>REA-U8598</v>
      </c>
      <c r="B1710" s="3">
        <f ca="1">IFERROR(__xludf.DUMMYFUNCTION("""COMPUTED_VALUE"""),42040)</f>
        <v>42040</v>
      </c>
      <c r="C1710" s="3">
        <f ca="1">IFERROR(__xludf.DUMMYFUNCTION("""COMPUTED_VALUE"""),5902557362653)</f>
        <v>5902557362653</v>
      </c>
      <c r="D1710" s="4" t="str">
        <f ca="1">IFERROR(__xludf.DUMMYFUNCTION("""COMPUTED_VALUE"""),"UMYWALKA ROYAL LAVA MATT - NABLATOWA")</f>
        <v>UMYWALKA ROYAL LAVA MATT - NABLATOWA</v>
      </c>
      <c r="E1710" s="31">
        <v>97.463414634146361</v>
      </c>
      <c r="F1710" s="31">
        <f t="shared" si="26"/>
        <v>119.88000000000002</v>
      </c>
    </row>
    <row r="1711" spans="1:6" ht="18.75" customHeight="1" x14ac:dyDescent="0.25">
      <c r="A1711" s="2" t="str">
        <f ca="1">IFERROR(__xludf.DUMMYFUNCTION("""COMPUTED_VALUE"""),"REA-U8009")</f>
        <v>REA-U8009</v>
      </c>
      <c r="B1711" s="3">
        <f ca="1">IFERROR(__xludf.DUMMYFUNCTION("""COMPUTED_VALUE"""),49131)</f>
        <v>49131</v>
      </c>
      <c r="C1711" s="3">
        <f ca="1">IFERROR(__xludf.DUMMYFUNCTION("""COMPUTED_VALUE"""),5902557377473)</f>
        <v>5902557377473</v>
      </c>
      <c r="D1711" s="4" t="str">
        <f ca="1">IFERROR(__xludf.DUMMYFUNCTION("""COMPUTED_VALUE"""),"UMYWALKA ROYAL MARMO SHINY - NABLATOWA")</f>
        <v>UMYWALKA ROYAL MARMO SHINY - NABLATOWA</v>
      </c>
      <c r="E1711" s="31">
        <v>87.536585365853668</v>
      </c>
      <c r="F1711" s="31">
        <f t="shared" si="26"/>
        <v>107.67000000000002</v>
      </c>
    </row>
    <row r="1712" spans="1:6" ht="18.75" customHeight="1" x14ac:dyDescent="0.25">
      <c r="A1712" s="2" t="str">
        <f ca="1">IFERROR(__xludf.DUMMYFUNCTION("""COMPUTED_VALUE"""),"REA-U6507")</f>
        <v>REA-U6507</v>
      </c>
      <c r="B1712" s="3">
        <f ca="1">IFERROR(__xludf.DUMMYFUNCTION("""COMPUTED_VALUE"""),49843)</f>
        <v>49843</v>
      </c>
      <c r="C1712" s="3">
        <f ca="1">IFERROR(__xludf.DUMMYFUNCTION("""COMPUTED_VALUE"""),5902557382958)</f>
        <v>5902557382958</v>
      </c>
      <c r="D1712" s="4" t="str">
        <f ca="1">IFERROR(__xludf.DUMMYFUNCTION("""COMPUTED_VALUE"""),"UMYWALKA ROYAL MINI - NABLATOWA")</f>
        <v>UMYWALKA ROYAL MINI - NABLATOWA</v>
      </c>
      <c r="E1712" s="31">
        <v>57.756097560975611</v>
      </c>
      <c r="F1712" s="31">
        <f t="shared" si="26"/>
        <v>71.040000000000006</v>
      </c>
    </row>
    <row r="1713" spans="1:6" ht="18.75" customHeight="1" x14ac:dyDescent="0.25">
      <c r="A1713" s="2" t="str">
        <f ca="1">IFERROR(__xludf.DUMMYFUNCTION("""COMPUTED_VALUE"""),"REA-U5063")</f>
        <v>REA-U5063</v>
      </c>
      <c r="B1713" s="3">
        <f ca="1">IFERROR(__xludf.DUMMYFUNCTION("""COMPUTED_VALUE"""),50038)</f>
        <v>50038</v>
      </c>
      <c r="C1713" s="3">
        <f ca="1">IFERROR(__xludf.DUMMYFUNCTION("""COMPUTED_VALUE"""),5902557382965)</f>
        <v>5902557382965</v>
      </c>
      <c r="D1713" s="4" t="str">
        <f ca="1">IFERROR(__xludf.DUMMYFUNCTION("""COMPUTED_VALUE"""),"UMYWALKA ROYAL MINI AIAX SHINY- NABLATOWA")</f>
        <v>UMYWALKA ROYAL MINI AIAX SHINY- NABLATOWA</v>
      </c>
      <c r="E1713" s="31">
        <v>72.195121951219519</v>
      </c>
      <c r="F1713" s="31">
        <f t="shared" si="26"/>
        <v>88.800000000000011</v>
      </c>
    </row>
    <row r="1714" spans="1:6" ht="18.75" customHeight="1" x14ac:dyDescent="0.25">
      <c r="A1714" s="2" t="str">
        <f ca="1">IFERROR(__xludf.DUMMYFUNCTION("""COMPUTED_VALUE"""),"REA-U0538")</f>
        <v>REA-U0538</v>
      </c>
      <c r="B1714" s="3">
        <f ca="1">IFERROR(__xludf.DUMMYFUNCTION("""COMPUTED_VALUE"""),50897)</f>
        <v>50897</v>
      </c>
      <c r="C1714" s="3">
        <f ca="1">IFERROR(__xludf.DUMMYFUNCTION("""COMPUTED_VALUE"""),5902557387557)</f>
        <v>5902557387557</v>
      </c>
      <c r="D1714" s="4" t="str">
        <f ca="1">IFERROR(__xludf.DUMMYFUNCTION("""COMPUTED_VALUE"""),"UMYWALKA ROYAL MINI BLACK/WHITE - NABLATOWA")</f>
        <v>UMYWALKA ROYAL MINI BLACK/WHITE - NABLATOWA</v>
      </c>
      <c r="E1714" s="31">
        <v>91.146341463414643</v>
      </c>
      <c r="F1714" s="31">
        <f t="shared" si="26"/>
        <v>112.11000000000001</v>
      </c>
    </row>
    <row r="1715" spans="1:6" ht="18.75" customHeight="1" x14ac:dyDescent="0.25">
      <c r="A1715" s="2" t="str">
        <f ca="1">IFERROR(__xludf.DUMMYFUNCTION("""COMPUTED_VALUE"""),"REA-U6502")</f>
        <v>REA-U6502</v>
      </c>
      <c r="B1715" s="3">
        <f ca="1">IFERROR(__xludf.DUMMYFUNCTION("""COMPUTED_VALUE"""),49856)</f>
        <v>49856</v>
      </c>
      <c r="C1715" s="3">
        <f ca="1">IFERROR(__xludf.DUMMYFUNCTION("""COMPUTED_VALUE"""),5902557382897)</f>
        <v>5902557382897</v>
      </c>
      <c r="D1715" s="4" t="str">
        <f ca="1">IFERROR(__xludf.DUMMYFUNCTION("""COMPUTED_VALUE"""),"UMYWALKA ROYAL SAND - NABLATOWA")</f>
        <v>UMYWALKA ROYAL SAND - NABLATOWA</v>
      </c>
      <c r="E1715" s="31">
        <v>103.78048780487806</v>
      </c>
      <c r="F1715" s="31">
        <f t="shared" si="26"/>
        <v>127.65000000000002</v>
      </c>
    </row>
    <row r="1716" spans="1:6" ht="18.75" customHeight="1" x14ac:dyDescent="0.25">
      <c r="A1716" s="2" t="str">
        <f ca="1">IFERROR(__xludf.DUMMYFUNCTION("""COMPUTED_VALUE"""),"REA-U8887")</f>
        <v>REA-U8887</v>
      </c>
      <c r="B1716" s="3"/>
      <c r="C1716" s="3">
        <f ca="1">IFERROR(__xludf.DUMMYFUNCTION("""COMPUTED_VALUE"""),5902557363926)</f>
        <v>5902557363926</v>
      </c>
      <c r="D1716" s="4" t="str">
        <f ca="1">IFERROR(__xludf.DUMMYFUNCTION("""COMPUTED_VALUE"""),"UMYWALKA ROYAL SASH - NABLATOWA")</f>
        <v>UMYWALKA ROYAL SASH - NABLATOWA</v>
      </c>
      <c r="E1716" s="31">
        <v>88.439024390243901</v>
      </c>
      <c r="F1716" s="31">
        <f t="shared" si="26"/>
        <v>108.78</v>
      </c>
    </row>
    <row r="1717" spans="1:6" ht="18.75" customHeight="1" x14ac:dyDescent="0.25">
      <c r="A1717" s="2" t="str">
        <f ca="1">IFERROR(__xludf.DUMMYFUNCTION("""COMPUTED_VALUE"""),"REA-U8010")</f>
        <v>REA-U8010</v>
      </c>
      <c r="B1717" s="3">
        <f ca="1">IFERROR(__xludf.DUMMYFUNCTION("""COMPUTED_VALUE"""),48389)</f>
        <v>48389</v>
      </c>
      <c r="C1717" s="3">
        <f ca="1">IFERROR(__xludf.DUMMYFUNCTION("""COMPUTED_VALUE"""),5902557376773)</f>
        <v>5902557376773</v>
      </c>
      <c r="D1717" s="4" t="str">
        <f ca="1">IFERROR(__xludf.DUMMYFUNCTION("""COMPUTED_VALUE"""),"UMYWALKA ROYAL STATUARIO MARBLE MATT - NABLATOWA")</f>
        <v>UMYWALKA ROYAL STATUARIO MARBLE MATT - NABLATOWA</v>
      </c>
      <c r="E1717" s="31">
        <v>79.41463414634147</v>
      </c>
      <c r="F1717" s="31">
        <f t="shared" si="26"/>
        <v>97.68</v>
      </c>
    </row>
    <row r="1718" spans="1:6" ht="18.75" customHeight="1" x14ac:dyDescent="0.25">
      <c r="A1718" s="2" t="str">
        <f ca="1">IFERROR(__xludf.DUMMYFUNCTION("""COMPUTED_VALUE"""),"REA-U9851")</f>
        <v>REA-U9851</v>
      </c>
      <c r="B1718" s="3"/>
      <c r="C1718" s="3">
        <f ca="1">IFERROR(__xludf.DUMMYFUNCTION("""COMPUTED_VALUE"""),5902557357451)</f>
        <v>5902557357451</v>
      </c>
      <c r="D1718" s="4" t="str">
        <f ca="1">IFERROR(__xludf.DUMMYFUNCTION("""COMPUTED_VALUE"""),"UMYWALKA SAGA - NABLATOWA")</f>
        <v>UMYWALKA SAGA - NABLATOWA</v>
      </c>
      <c r="E1718" s="31">
        <v>51.439024390243908</v>
      </c>
      <c r="F1718" s="31">
        <f t="shared" si="26"/>
        <v>63.27</v>
      </c>
    </row>
    <row r="1719" spans="1:6" ht="18.75" customHeight="1" x14ac:dyDescent="0.25">
      <c r="A1719" s="2" t="str">
        <f ca="1">IFERROR(__xludf.DUMMYFUNCTION("""COMPUTED_VALUE"""),"REA-U1891")</f>
        <v>REA-U1891</v>
      </c>
      <c r="B1719" s="3">
        <f ca="1">IFERROR(__xludf.DUMMYFUNCTION("""COMPUTED_VALUE"""),29617)</f>
        <v>29617</v>
      </c>
      <c r="C1719" s="3">
        <f ca="1">IFERROR(__xludf.DUMMYFUNCTION("""COMPUTED_VALUE"""),5902557337149)</f>
        <v>5902557337149</v>
      </c>
      <c r="D1719" s="4" t="str">
        <f ca="1">IFERROR(__xludf.DUMMYFUNCTION("""COMPUTED_VALUE"""),"UMYWALKA SAMI - NABLATOWA")</f>
        <v>UMYWALKA SAMI - NABLATOWA</v>
      </c>
      <c r="E1719" s="31">
        <v>45.121951219512198</v>
      </c>
      <c r="F1719" s="31">
        <f t="shared" si="26"/>
        <v>55.5</v>
      </c>
    </row>
    <row r="1720" spans="1:6" ht="18.75" customHeight="1" x14ac:dyDescent="0.25">
      <c r="A1720" s="2" t="str">
        <f ca="1">IFERROR(__xludf.DUMMYFUNCTION("""COMPUTED_VALUE"""),"REA-U4522")</f>
        <v>REA-U4522</v>
      </c>
      <c r="B1720" s="3">
        <f ca="1">IFERROR(__xludf.DUMMYFUNCTION("""COMPUTED_VALUE"""),44669)</f>
        <v>44669</v>
      </c>
      <c r="C1720" s="3">
        <f ca="1">IFERROR(__xludf.DUMMYFUNCTION("""COMPUTED_VALUE"""),5902557370139)</f>
        <v>5902557370139</v>
      </c>
      <c r="D1720" s="4" t="str">
        <f ca="1">IFERROR(__xludf.DUMMYFUNCTION("""COMPUTED_VALUE"""),"UMYWALKA SAMI AIAX SHINY - NABLATOWA")</f>
        <v>UMYWALKA SAMI AIAX SHINY - NABLATOWA</v>
      </c>
      <c r="E1720" s="31">
        <v>71.292682926829286</v>
      </c>
      <c r="F1720" s="31">
        <f t="shared" si="26"/>
        <v>87.690000000000026</v>
      </c>
    </row>
    <row r="1721" spans="1:6" ht="18.75" customHeight="1" x14ac:dyDescent="0.25">
      <c r="A1721" s="2" t="str">
        <f ca="1">IFERROR(__xludf.DUMMYFUNCTION("""COMPUTED_VALUE"""),"REA-U6382")</f>
        <v>REA-U6382</v>
      </c>
      <c r="B1721" s="3">
        <f ca="1">IFERROR(__xludf.DUMMYFUNCTION("""COMPUTED_VALUE"""),54322)</f>
        <v>54322</v>
      </c>
      <c r="C1721" s="3">
        <f ca="1">IFERROR(__xludf.DUMMYFUNCTION("""COMPUTED_VALUE"""),5906366006456)</f>
        <v>5906366006456</v>
      </c>
      <c r="D1721" s="4" t="str">
        <f ca="1">IFERROR(__xludf.DUMMYFUNCTION("""COMPUTED_VALUE"""),"UMYWALKA SAMI BEIGE SHINY - NABLATOWA")</f>
        <v>UMYWALKA SAMI BEIGE SHINY - NABLATOWA</v>
      </c>
      <c r="E1721" s="31">
        <v>63.170731707317081</v>
      </c>
      <c r="F1721" s="31">
        <f t="shared" si="26"/>
        <v>77.7</v>
      </c>
    </row>
    <row r="1722" spans="1:6" ht="18.75" customHeight="1" x14ac:dyDescent="0.25">
      <c r="A1722" s="2" t="str">
        <f ca="1">IFERROR(__xludf.DUMMYFUNCTION("""COMPUTED_VALUE"""),"REA-U1899")</f>
        <v>REA-U1899</v>
      </c>
      <c r="B1722" s="3">
        <f ca="1">IFERROR(__xludf.DUMMYFUNCTION("""COMPUTED_VALUE"""),29727)</f>
        <v>29727</v>
      </c>
      <c r="C1722" s="3">
        <f ca="1">IFERROR(__xludf.DUMMYFUNCTION("""COMPUTED_VALUE"""),5902557337163)</f>
        <v>5902557337163</v>
      </c>
      <c r="D1722" s="4" t="str">
        <f ca="1">IFERROR(__xludf.DUMMYFUNCTION("""COMPUTED_VALUE"""),"UMYWALKA SAMI BLACK MATT - NABLATOWA")</f>
        <v>UMYWALKA SAMI BLACK MATT - NABLATOWA</v>
      </c>
      <c r="E1722" s="31">
        <v>108.29268292682929</v>
      </c>
      <c r="F1722" s="31">
        <f t="shared" si="26"/>
        <v>133.20000000000002</v>
      </c>
    </row>
    <row r="1723" spans="1:6" ht="18.75" customHeight="1" x14ac:dyDescent="0.25">
      <c r="A1723" s="2" t="str">
        <f ca="1">IFERROR(__xludf.DUMMYFUNCTION("""COMPUTED_VALUE"""),"REA-U0595")</f>
        <v>REA-U0595</v>
      </c>
      <c r="B1723" s="3">
        <f ca="1">IFERROR(__xludf.DUMMYFUNCTION("""COMPUTED_VALUE"""),40650)</f>
        <v>40650</v>
      </c>
      <c r="C1723" s="3">
        <f ca="1">IFERROR(__xludf.DUMMYFUNCTION("""COMPUTED_VALUE"""),5902557357123)</f>
        <v>5902557357123</v>
      </c>
      <c r="D1723" s="4" t="str">
        <f ca="1">IFERROR(__xludf.DUMMYFUNCTION("""COMPUTED_VALUE"""),"UMYWALKA SAMI BLACK MATT/GOLD EDGE - NABLATOWA")</f>
        <v>UMYWALKA SAMI BLACK MATT/GOLD EDGE - NABLATOWA</v>
      </c>
      <c r="E1723" s="31">
        <v>74.000000000000014</v>
      </c>
      <c r="F1723" s="31">
        <f t="shared" si="26"/>
        <v>91.02000000000001</v>
      </c>
    </row>
    <row r="1724" spans="1:6" ht="18.75" customHeight="1" x14ac:dyDescent="0.25">
      <c r="A1724" s="2" t="str">
        <f ca="1">IFERROR(__xludf.DUMMYFUNCTION("""COMPUTED_VALUE"""),"REA-U4590")</f>
        <v>REA-U4590</v>
      </c>
      <c r="B1724" s="3">
        <f ca="1">IFERROR(__xludf.DUMMYFUNCTION("""COMPUTED_VALUE"""),54342)</f>
        <v>54342</v>
      </c>
      <c r="C1724" s="3">
        <f ca="1">IFERROR(__xludf.DUMMYFUNCTION("""COMPUTED_VALUE"""),5906366006449)</f>
        <v>5906366006449</v>
      </c>
      <c r="D1724" s="4" t="str">
        <f ca="1">IFERROR(__xludf.DUMMYFUNCTION("""COMPUTED_VALUE"""),"UMYWALKA SAMI ECRU SHINY - NABLATOWA")</f>
        <v>UMYWALKA SAMI ECRU SHINY - NABLATOWA</v>
      </c>
      <c r="E1724" s="31">
        <v>63.170731707317081</v>
      </c>
      <c r="F1724" s="31">
        <f t="shared" si="26"/>
        <v>77.7</v>
      </c>
    </row>
    <row r="1725" spans="1:6" ht="18.75" customHeight="1" x14ac:dyDescent="0.25">
      <c r="A1725" s="2" t="str">
        <f ca="1">IFERROR(__xludf.DUMMYFUNCTION("""COMPUTED_VALUE"""),"REA-U1800")</f>
        <v>REA-U1800</v>
      </c>
      <c r="B1725" s="3">
        <f ca="1">IFERROR(__xludf.DUMMYFUNCTION("""COMPUTED_VALUE"""),32601)</f>
        <v>32601</v>
      </c>
      <c r="C1725" s="3">
        <f ca="1">IFERROR(__xludf.DUMMYFUNCTION("""COMPUTED_VALUE"""),5902557343164)</f>
        <v>5902557343164</v>
      </c>
      <c r="D1725" s="4" t="str">
        <f ca="1">IFERROR(__xludf.DUMMYFUNCTION("""COMPUTED_VALUE"""),"UMYWALKA SAMI GOLD - NABLATOWA")</f>
        <v>UMYWALKA SAMI GOLD - NABLATOWA</v>
      </c>
      <c r="E1725" s="31">
        <v>70.390243902439025</v>
      </c>
      <c r="F1725" s="31">
        <f t="shared" si="26"/>
        <v>86.58</v>
      </c>
    </row>
    <row r="1726" spans="1:6" ht="18.75" customHeight="1" x14ac:dyDescent="0.25">
      <c r="A1726" s="2" t="str">
        <f ca="1">IFERROR(__xludf.DUMMYFUNCTION("""COMPUTED_VALUE"""),"REA-U6630")</f>
        <v>REA-U6630</v>
      </c>
      <c r="B1726" s="3">
        <f ca="1">IFERROR(__xludf.DUMMYFUNCTION("""COMPUTED_VALUE"""),46145)</f>
        <v>46145</v>
      </c>
      <c r="C1726" s="3">
        <f ca="1">IFERROR(__xludf.DUMMYFUNCTION("""COMPUTED_VALUE"""),5902557375288)</f>
        <v>5902557375288</v>
      </c>
      <c r="D1726" s="4" t="str">
        <f ca="1">IFERROR(__xludf.DUMMYFUNCTION("""COMPUTED_VALUE"""),"UMYWALKA SAMI GOLD BRUSH/WHITE  - NABLATOWA")</f>
        <v>UMYWALKA SAMI GOLD BRUSH/WHITE  - NABLATOWA</v>
      </c>
      <c r="E1726" s="31">
        <v>86.634146341463421</v>
      </c>
      <c r="F1726" s="31">
        <f t="shared" si="26"/>
        <v>106.56</v>
      </c>
    </row>
    <row r="1727" spans="1:6" ht="18.75" customHeight="1" x14ac:dyDescent="0.25">
      <c r="A1727" s="2" t="str">
        <f ca="1">IFERROR(__xludf.DUMMYFUNCTION("""COMPUTED_VALUE"""),"REA-U6758")</f>
        <v>REA-U6758</v>
      </c>
      <c r="B1727" s="3">
        <f ca="1">IFERROR(__xludf.DUMMYFUNCTION("""COMPUTED_VALUE"""),45323)</f>
        <v>45323</v>
      </c>
      <c r="C1727" s="3">
        <f ca="1">IFERROR(__xludf.DUMMYFUNCTION("""COMPUTED_VALUE"""),5902557375349)</f>
        <v>5902557375349</v>
      </c>
      <c r="D1727" s="4" t="str">
        <f ca="1">IFERROR(__xludf.DUMMYFUNCTION("""COMPUTED_VALUE"""),"UMYWALKA SAMI GOLD EDGE - NABLATOWA")</f>
        <v>UMYWALKA SAMI GOLD EDGE - NABLATOWA</v>
      </c>
      <c r="E1727" s="31">
        <v>71.292682926829286</v>
      </c>
      <c r="F1727" s="31">
        <f t="shared" si="26"/>
        <v>87.690000000000026</v>
      </c>
    </row>
    <row r="1728" spans="1:6" ht="18.75" customHeight="1" x14ac:dyDescent="0.25">
      <c r="A1728" s="2" t="str">
        <f ca="1">IFERROR(__xludf.DUMMYFUNCTION("""COMPUTED_VALUE"""),"REA-U3303")</f>
        <v>REA-U3303</v>
      </c>
      <c r="B1728" s="3">
        <f ca="1">IFERROR(__xludf.DUMMYFUNCTION("""COMPUTED_VALUE"""),50956)</f>
        <v>50956</v>
      </c>
      <c r="C1728" s="3">
        <f ca="1">IFERROR(__xludf.DUMMYFUNCTION("""COMPUTED_VALUE"""),5902557392292)</f>
        <v>5902557392292</v>
      </c>
      <c r="D1728" s="4" t="str">
        <f ca="1">IFERROR(__xludf.DUMMYFUNCTION("""COMPUTED_VALUE"""),"UMYWALKA SAMI GOLD ROSE BRUSH/WHITE - NABLATOWA")</f>
        <v>UMYWALKA SAMI GOLD ROSE BRUSH/WHITE - NABLATOWA</v>
      </c>
      <c r="E1728" s="31">
        <v>84.82926829268294</v>
      </c>
      <c r="F1728" s="31">
        <f t="shared" si="26"/>
        <v>104.34000000000002</v>
      </c>
    </row>
    <row r="1729" spans="1:6" ht="18.75" customHeight="1" x14ac:dyDescent="0.25">
      <c r="A1729" s="2" t="str">
        <f ca="1">IFERROR(__xludf.DUMMYFUNCTION("""COMPUTED_VALUE"""),"REA-U1801")</f>
        <v>REA-U1801</v>
      </c>
      <c r="B1729" s="3">
        <f ca="1">IFERROR(__xludf.DUMMYFUNCTION("""COMPUTED_VALUE"""),32608)</f>
        <v>32608</v>
      </c>
      <c r="C1729" s="3">
        <f ca="1">IFERROR(__xludf.DUMMYFUNCTION("""COMPUTED_VALUE"""),5902557343171)</f>
        <v>5902557343171</v>
      </c>
      <c r="D1729" s="4" t="str">
        <f ca="1">IFERROR(__xludf.DUMMYFUNCTION("""COMPUTED_VALUE"""),"UMYWALKA SAMI GOLD/WHITE - NABLATOWA")</f>
        <v>UMYWALKA SAMI GOLD/WHITE - NABLATOWA</v>
      </c>
      <c r="E1729" s="31">
        <v>110.09756097560977</v>
      </c>
      <c r="F1729" s="31">
        <f t="shared" ref="F1729:F1792" si="27">E1729*1.23</f>
        <v>135.42000000000002</v>
      </c>
    </row>
    <row r="1730" spans="1:6" ht="18.75" customHeight="1" x14ac:dyDescent="0.25">
      <c r="A1730" s="2" t="str">
        <f ca="1">IFERROR(__xludf.DUMMYFUNCTION("""COMPUTED_VALUE"""),"REA-U4567")</f>
        <v>REA-U4567</v>
      </c>
      <c r="B1730" s="3">
        <f ca="1">IFERROR(__xludf.DUMMYFUNCTION("""COMPUTED_VALUE"""),51064)</f>
        <v>51064</v>
      </c>
      <c r="C1730" s="3">
        <f ca="1">IFERROR(__xludf.DUMMYFUNCTION("""COMPUTED_VALUE"""),5902557393428)</f>
        <v>5902557393428</v>
      </c>
      <c r="D1730" s="4" t="str">
        <f ca="1">IFERROR(__xludf.DUMMYFUNCTION("""COMPUTED_VALUE"""),"UMYWALKA SAMI GREEN MATT - NABLATOWA")</f>
        <v>UMYWALKA SAMI GREEN MATT - NABLATOWA</v>
      </c>
      <c r="E1730" s="31">
        <v>105.58536585365854</v>
      </c>
      <c r="F1730" s="31">
        <f t="shared" si="27"/>
        <v>129.87</v>
      </c>
    </row>
    <row r="1731" spans="1:6" ht="18.75" customHeight="1" x14ac:dyDescent="0.25">
      <c r="A1731" s="2" t="str">
        <f ca="1">IFERROR(__xludf.DUMMYFUNCTION("""COMPUTED_VALUE"""),"REA-U1898")</f>
        <v>REA-U1898</v>
      </c>
      <c r="B1731" s="3"/>
      <c r="C1731" s="3">
        <f ca="1">IFERROR(__xludf.DUMMYFUNCTION("""COMPUTED_VALUE"""),5902557337156)</f>
        <v>5902557337156</v>
      </c>
      <c r="D1731" s="4" t="str">
        <f ca="1">IFERROR(__xludf.DUMMYFUNCTION("""COMPUTED_VALUE"""),"UMYWALKA SAMI GREY MATT - NABLATOWA")</f>
        <v>UMYWALKA SAMI GREY MATT - NABLATOWA</v>
      </c>
      <c r="E1731" s="31">
        <v>69.487804878048792</v>
      </c>
      <c r="F1731" s="31">
        <f t="shared" si="27"/>
        <v>85.470000000000013</v>
      </c>
    </row>
    <row r="1732" spans="1:6" ht="18.75" customHeight="1" x14ac:dyDescent="0.25">
      <c r="A1732" s="2" t="str">
        <f ca="1">IFERROR(__xludf.DUMMYFUNCTION("""COMPUTED_VALUE"""),"REA-U6619")</f>
        <v>REA-U6619</v>
      </c>
      <c r="B1732" s="3">
        <f ca="1">IFERROR(__xludf.DUMMYFUNCTION("""COMPUTED_VALUE"""),54137)</f>
        <v>54137</v>
      </c>
      <c r="C1732" s="3">
        <f ca="1">IFERROR(__xludf.DUMMYFUNCTION("""COMPUTED_VALUE"""),5906366006463)</f>
        <v>5906366006463</v>
      </c>
      <c r="D1732" s="4" t="str">
        <f ca="1">IFERROR(__xludf.DUMMYFUNCTION("""COMPUTED_VALUE"""),"UMYWALKA SAMI L.BLUE SHINY - NABLATOWA")</f>
        <v>UMYWALKA SAMI L.BLUE SHINY - NABLATOWA</v>
      </c>
      <c r="E1732" s="31">
        <v>61.365853658536594</v>
      </c>
      <c r="F1732" s="31">
        <f t="shared" si="27"/>
        <v>75.48</v>
      </c>
    </row>
    <row r="1733" spans="1:6" ht="18.75" customHeight="1" x14ac:dyDescent="0.25">
      <c r="A1733" s="2" t="str">
        <f ca="1">IFERROR(__xludf.DUMMYFUNCTION("""COMPUTED_VALUE"""),"REA-U5685")</f>
        <v>REA-U5685</v>
      </c>
      <c r="B1733" s="3">
        <f ca="1">IFERROR(__xludf.DUMMYFUNCTION("""COMPUTED_VALUE"""),42921)</f>
        <v>42921</v>
      </c>
      <c r="C1733" s="3">
        <f ca="1">IFERROR(__xludf.DUMMYFUNCTION("""COMPUTED_VALUE"""),5902557365739)</f>
        <v>5902557365739</v>
      </c>
      <c r="D1733" s="4" t="str">
        <f ca="1">IFERROR(__xludf.DUMMYFUNCTION("""COMPUTED_VALUE"""),"UMYWALKA SAMI MARBLE - NABLATOWA")</f>
        <v>UMYWALKA SAMI MARBLE - NABLATOWA</v>
      </c>
      <c r="E1733" s="31">
        <v>82.121951219512198</v>
      </c>
      <c r="F1733" s="31">
        <f t="shared" si="27"/>
        <v>101.01</v>
      </c>
    </row>
    <row r="1734" spans="1:6" ht="18.75" customHeight="1" x14ac:dyDescent="0.25">
      <c r="A1734" s="2" t="str">
        <f ca="1">IFERROR(__xludf.DUMMYFUNCTION("""COMPUTED_VALUE"""),"REA-U5608")</f>
        <v>REA-U5608</v>
      </c>
      <c r="B1734" s="3"/>
      <c r="C1734" s="3">
        <f ca="1">IFERROR(__xludf.DUMMYFUNCTION("""COMPUTED_VALUE"""),5902557364275)</f>
        <v>5902557364275</v>
      </c>
      <c r="D1734" s="4" t="str">
        <f ca="1">IFERROR(__xludf.DUMMYFUNCTION("""COMPUTED_VALUE"""),"UMYWALKA SAMI MARBLE APOGEO MAT - NABLATOWA")</f>
        <v>UMYWALKA SAMI MARBLE APOGEO MAT - NABLATOWA</v>
      </c>
      <c r="E1734" s="31">
        <v>71.292682926829286</v>
      </c>
      <c r="F1734" s="31">
        <f t="shared" si="27"/>
        <v>87.690000000000026</v>
      </c>
    </row>
    <row r="1735" spans="1:6" ht="18.75" customHeight="1" x14ac:dyDescent="0.25">
      <c r="A1735" s="2" t="str">
        <f ca="1">IFERROR(__xludf.DUMMYFUNCTION("""COMPUTED_VALUE"""),"REA-U5607")</f>
        <v>REA-U5607</v>
      </c>
      <c r="B1735" s="3"/>
      <c r="C1735" s="3"/>
      <c r="D1735" s="4" t="str">
        <f ca="1">IFERROR(__xludf.DUMMYFUNCTION("""COMPUTED_VALUE"""),"UMYWALKA SAMI MARBLE BLACK SHINY - NABLATOWA")</f>
        <v>UMYWALKA SAMI MARBLE BLACK SHINY - NABLATOWA</v>
      </c>
      <c r="E1735" s="31">
        <v>64.975609756097569</v>
      </c>
      <c r="F1735" s="31">
        <f t="shared" si="27"/>
        <v>79.92</v>
      </c>
    </row>
    <row r="1736" spans="1:6" ht="18.75" customHeight="1" x14ac:dyDescent="0.25">
      <c r="A1736" s="2" t="str">
        <f ca="1">IFERROR(__xludf.DUMMYFUNCTION("""COMPUTED_VALUE"""),"REA-U8703")</f>
        <v>REA-U8703</v>
      </c>
      <c r="B1736" s="3">
        <f ca="1">IFERROR(__xludf.DUMMYFUNCTION("""COMPUTED_VALUE"""),39852)</f>
        <v>39852</v>
      </c>
      <c r="C1736" s="3">
        <f ca="1">IFERROR(__xludf.DUMMYFUNCTION("""COMPUTED_VALUE"""),5902557356621)</f>
        <v>5902557356621</v>
      </c>
      <c r="D1736" s="4" t="str">
        <f ca="1">IFERROR(__xludf.DUMMYFUNCTION("""COMPUTED_VALUE"""),"UMYWALKA SAMI MARBLE MATT - NABLATOWA")</f>
        <v>UMYWALKA SAMI MARBLE MATT - NABLATOWA</v>
      </c>
      <c r="E1736" s="31">
        <v>78.512195121951223</v>
      </c>
      <c r="F1736" s="31">
        <f t="shared" si="27"/>
        <v>96.570000000000007</v>
      </c>
    </row>
    <row r="1737" spans="1:6" ht="18.75" customHeight="1" x14ac:dyDescent="0.25">
      <c r="A1737" s="2" t="str">
        <f ca="1">IFERROR(__xludf.DUMMYFUNCTION("""COMPUTED_VALUE"""),"REA-U6606")</f>
        <v>REA-U6606</v>
      </c>
      <c r="B1737" s="3">
        <f ca="1">IFERROR(__xludf.DUMMYFUNCTION("""COMPUTED_VALUE"""),50782)</f>
        <v>50782</v>
      </c>
      <c r="C1737" s="3">
        <f ca="1">IFERROR(__xludf.DUMMYFUNCTION("""COMPUTED_VALUE"""),5902557392568)</f>
        <v>5902557392568</v>
      </c>
      <c r="D1737" s="4" t="str">
        <f ca="1">IFERROR(__xludf.DUMMYFUNCTION("""COMPUTED_VALUE"""),"UMYWALKA SAMI NATURE MARBLE - NABLATOWA")</f>
        <v>UMYWALKA SAMI NATURE MARBLE - NABLATOWA</v>
      </c>
      <c r="E1737" s="31">
        <v>57.756097560975611</v>
      </c>
      <c r="F1737" s="31">
        <f t="shared" si="27"/>
        <v>71.040000000000006</v>
      </c>
    </row>
    <row r="1738" spans="1:6" ht="18.75" customHeight="1" x14ac:dyDescent="0.25">
      <c r="A1738" s="2" t="str">
        <f ca="1">IFERROR(__xludf.DUMMYFUNCTION("""COMPUTED_VALUE"""),"REA-U1802")</f>
        <v>REA-U1802</v>
      </c>
      <c r="B1738" s="3"/>
      <c r="C1738" s="3">
        <f ca="1">IFERROR(__xludf.DUMMYFUNCTION("""COMPUTED_VALUE"""),5902557343188)</f>
        <v>5902557343188</v>
      </c>
      <c r="D1738" s="4" t="str">
        <f ca="1">IFERROR(__xludf.DUMMYFUNCTION("""COMPUTED_VALUE"""),"UMYWALKA SAMI ROSE GOLD - NABLATOWA")</f>
        <v>UMYWALKA SAMI ROSE GOLD - NABLATOWA</v>
      </c>
      <c r="E1738" s="31">
        <v>111.90243902439025</v>
      </c>
      <c r="F1738" s="31">
        <f t="shared" si="27"/>
        <v>137.64000000000001</v>
      </c>
    </row>
    <row r="1739" spans="1:6" ht="18.75" customHeight="1" x14ac:dyDescent="0.25">
      <c r="A1739" s="2" t="str">
        <f ca="1">IFERROR(__xludf.DUMMYFUNCTION("""COMPUTED_VALUE"""),"REA-U3304")</f>
        <v>REA-U3304</v>
      </c>
      <c r="B1739" s="3">
        <f ca="1">IFERROR(__xludf.DUMMYFUNCTION("""COMPUTED_VALUE"""),50957)</f>
        <v>50957</v>
      </c>
      <c r="C1739" s="3">
        <f ca="1">IFERROR(__xludf.DUMMYFUNCTION("""COMPUTED_VALUE"""),5902557392308)</f>
        <v>5902557392308</v>
      </c>
      <c r="D1739" s="4" t="str">
        <f ca="1">IFERROR(__xludf.DUMMYFUNCTION("""COMPUTED_VALUE"""),"UMYWALKA SAMI SILVER BRUSH/WHITE - NABLATOWA")</f>
        <v>UMYWALKA SAMI SILVER BRUSH/WHITE - NABLATOWA</v>
      </c>
      <c r="E1739" s="31">
        <v>84.82926829268294</v>
      </c>
      <c r="F1739" s="31">
        <f t="shared" si="27"/>
        <v>104.34000000000002</v>
      </c>
    </row>
    <row r="1740" spans="1:6" ht="18.75" customHeight="1" x14ac:dyDescent="0.25">
      <c r="A1740" s="2" t="str">
        <f ca="1">IFERROR(__xludf.DUMMYFUNCTION("""COMPUTED_VALUE"""),"REA-U4566")</f>
        <v>REA-U4566</v>
      </c>
      <c r="B1740" s="3">
        <f ca="1">IFERROR(__xludf.DUMMYFUNCTION("""COMPUTED_VALUE"""),51060)</f>
        <v>51060</v>
      </c>
      <c r="C1740" s="3">
        <f ca="1">IFERROR(__xludf.DUMMYFUNCTION("""COMPUTED_VALUE"""),5902557393435)</f>
        <v>5902557393435</v>
      </c>
      <c r="D1740" s="4" t="str">
        <f ca="1">IFERROR(__xludf.DUMMYFUNCTION("""COMPUTED_VALUE"""),"UMYWALKA SAMI TERRA MATT - NABLATOWA")</f>
        <v>UMYWALKA SAMI TERRA MATT - NABLATOWA</v>
      </c>
      <c r="E1740" s="31">
        <v>105.58499999999999</v>
      </c>
      <c r="F1740" s="31">
        <f t="shared" si="27"/>
        <v>129.86955</v>
      </c>
    </row>
    <row r="1741" spans="1:6" ht="18.75" customHeight="1" x14ac:dyDescent="0.25">
      <c r="A1741" s="2" t="str">
        <f ca="1">IFERROR(__xludf.DUMMYFUNCTION("""COMPUTED_VALUE"""),"REA-U6020")</f>
        <v>REA-U6020</v>
      </c>
      <c r="B1741" s="3">
        <f ca="1">IFERROR(__xludf.DUMMYFUNCTION("""COMPUTED_VALUE"""),51661)</f>
        <v>51661</v>
      </c>
      <c r="C1741" s="3">
        <f ca="1">IFERROR(__xludf.DUMMYFUNCTION("""COMPUTED_VALUE"""),5902557395729)</f>
        <v>5902557395729</v>
      </c>
      <c r="D1741" s="4" t="str">
        <f ca="1">IFERROR(__xludf.DUMMYFUNCTION("""COMPUTED_VALUE"""),"UMYWALKA SELENA 60 - NABLATOWA")</f>
        <v>UMYWALKA SELENA 60 - NABLATOWA</v>
      </c>
      <c r="E1741" s="31">
        <v>97.463414634146361</v>
      </c>
      <c r="F1741" s="31">
        <f t="shared" si="27"/>
        <v>119.88000000000002</v>
      </c>
    </row>
    <row r="1742" spans="1:6" ht="18.75" customHeight="1" x14ac:dyDescent="0.25">
      <c r="A1742" s="2" t="str">
        <f ca="1">IFERROR(__xludf.DUMMYFUNCTION("""COMPUTED_VALUE"""),"REA-U6945")</f>
        <v>REA-U6945</v>
      </c>
      <c r="B1742" s="3">
        <f ca="1">IFERROR(__xludf.DUMMYFUNCTION("""COMPUTED_VALUE"""),54001)</f>
        <v>54001</v>
      </c>
      <c r="C1742" s="3">
        <f ca="1">IFERROR(__xludf.DUMMYFUNCTION("""COMPUTED_VALUE"""),5906366006319)</f>
        <v>5906366006319</v>
      </c>
      <c r="D1742" s="4" t="str">
        <f ca="1">IFERROR(__xludf.DUMMYFUNCTION("""COMPUTED_VALUE"""),"UMYWALKA SELINA- NABLATOWA")</f>
        <v>UMYWALKA SELINA- NABLATOWA</v>
      </c>
      <c r="E1742" s="31">
        <v>57.756097560975611</v>
      </c>
      <c r="F1742" s="31">
        <f t="shared" si="27"/>
        <v>71.040000000000006</v>
      </c>
    </row>
    <row r="1743" spans="1:6" ht="18.75" customHeight="1" x14ac:dyDescent="0.25">
      <c r="A1743" s="2" t="str">
        <f ca="1">IFERROR(__xludf.DUMMYFUNCTION("""COMPUTED_VALUE"""),"REA-U9667")</f>
        <v>REA-U9667</v>
      </c>
      <c r="B1743" s="3">
        <f ca="1">IFERROR(__xludf.DUMMYFUNCTION("""COMPUTED_VALUE"""),46441)</f>
        <v>46441</v>
      </c>
      <c r="C1743" s="3">
        <f ca="1">IFERROR(__xludf.DUMMYFUNCTION("""COMPUTED_VALUE"""),5902557369508)</f>
        <v>5902557369508</v>
      </c>
      <c r="D1743" s="4" t="str">
        <f ca="1">IFERROR(__xludf.DUMMYFUNCTION("""COMPUTED_VALUE"""),"UMYWALKA SELMA - ŚCIENNA")</f>
        <v>UMYWALKA SELMA - ŚCIENNA</v>
      </c>
      <c r="E1743" s="31">
        <v>39.707317073170735</v>
      </c>
      <c r="F1743" s="31">
        <f t="shared" si="27"/>
        <v>48.84</v>
      </c>
    </row>
    <row r="1744" spans="1:6" ht="18.75" customHeight="1" x14ac:dyDescent="0.25">
      <c r="A1744" s="2" t="str">
        <f ca="1">IFERROR(__xludf.DUMMYFUNCTION("""COMPUTED_VALUE"""),"REA-U7505")</f>
        <v>REA-U7505</v>
      </c>
      <c r="B1744" s="3">
        <f ca="1">IFERROR(__xludf.DUMMYFUNCTION("""COMPUTED_VALUE"""),52670)</f>
        <v>52670</v>
      </c>
      <c r="C1744" s="3">
        <f ca="1">IFERROR(__xludf.DUMMYFUNCTION("""COMPUTED_VALUE"""),5902557396207)</f>
        <v>5902557396207</v>
      </c>
      <c r="D1744" s="4" t="str">
        <f ca="1">IFERROR(__xludf.DUMMYFUNCTION("""COMPUTED_VALUE"""),"UMYWALKA SEVILLA - NABLATOWA")</f>
        <v>UMYWALKA SEVILLA - NABLATOWA</v>
      </c>
      <c r="E1744" s="31">
        <v>114.60975609756099</v>
      </c>
      <c r="F1744" s="31">
        <f t="shared" si="27"/>
        <v>140.97000000000003</v>
      </c>
    </row>
    <row r="1745" spans="1:6" ht="18.75" customHeight="1" x14ac:dyDescent="0.25">
      <c r="A1745" s="2" t="str">
        <f ca="1">IFERROR(__xludf.DUMMYFUNCTION("""COMPUTED_VALUE"""),"REA-U6655")</f>
        <v>REA-U6655</v>
      </c>
      <c r="B1745" s="3">
        <f ca="1">IFERROR(__xludf.DUMMYFUNCTION("""COMPUTED_VALUE"""),39586)</f>
        <v>39586</v>
      </c>
      <c r="C1745" s="3">
        <f ca="1">IFERROR(__xludf.DUMMYFUNCTION("""COMPUTED_VALUE"""),5902557355464)</f>
        <v>5902557355464</v>
      </c>
      <c r="D1745" s="4" t="str">
        <f ca="1">IFERROR(__xludf.DUMMYFUNCTION("""COMPUTED_VALUE"""),"UMYWALKA SHILA - NABLATOWA")</f>
        <v>UMYWALKA SHILA - NABLATOWA</v>
      </c>
      <c r="E1745" s="31">
        <v>69.487804878048792</v>
      </c>
      <c r="F1745" s="31">
        <f t="shared" si="27"/>
        <v>85.470000000000013</v>
      </c>
    </row>
    <row r="1746" spans="1:6" ht="18.75" customHeight="1" x14ac:dyDescent="0.25">
      <c r="A1746" s="2" t="str">
        <f ca="1">IFERROR(__xludf.DUMMYFUNCTION("""COMPUTED_VALUE"""),"REA-U0133")</f>
        <v>REA-U0133</v>
      </c>
      <c r="B1746" s="3">
        <f ca="1">IFERROR(__xludf.DUMMYFUNCTION("""COMPUTED_VALUE"""),1632)</f>
        <v>1632</v>
      </c>
      <c r="C1746" s="3">
        <f ca="1">IFERROR(__xludf.DUMMYFUNCTION("""COMPUTED_VALUE"""),5902557300181)</f>
        <v>5902557300181</v>
      </c>
      <c r="D1746" s="4" t="str">
        <f ca="1">IFERROR(__xludf.DUMMYFUNCTION("""COMPUTED_VALUE"""),"UMYWALKA SOFIA - NABLATOWA")</f>
        <v>UMYWALKA SOFIA - NABLATOWA</v>
      </c>
      <c r="E1746" s="31">
        <v>37.902439024390247</v>
      </c>
      <c r="F1746" s="31">
        <f t="shared" si="27"/>
        <v>46.620000000000005</v>
      </c>
    </row>
    <row r="1747" spans="1:6" ht="18.75" customHeight="1" x14ac:dyDescent="0.25">
      <c r="A1747" s="2" t="str">
        <f ca="1">IFERROR(__xludf.DUMMYFUNCTION("""COMPUTED_VALUE"""),"REA-U6597")</f>
        <v>REA-U6597</v>
      </c>
      <c r="B1747" s="3">
        <f ca="1">IFERROR(__xludf.DUMMYFUNCTION("""COMPUTED_VALUE"""),39776)</f>
        <v>39776</v>
      </c>
      <c r="C1747" s="3">
        <f ca="1">IFERROR(__xludf.DUMMYFUNCTION("""COMPUTED_VALUE"""),5902557355785)</f>
        <v>5902557355785</v>
      </c>
      <c r="D1747" s="4" t="str">
        <f ca="1">IFERROR(__xludf.DUMMYFUNCTION("""COMPUTED_VALUE"""),"UMYWALKA SOFIA AIAX SHINY - NABLATOWA")</f>
        <v>UMYWALKA SOFIA AIAX SHINY - NABLATOWA</v>
      </c>
      <c r="E1747" s="31">
        <v>78.512195121951223</v>
      </c>
      <c r="F1747" s="31">
        <f t="shared" si="27"/>
        <v>96.570000000000007</v>
      </c>
    </row>
    <row r="1748" spans="1:6" ht="18.75" customHeight="1" x14ac:dyDescent="0.25">
      <c r="A1748" s="2" t="str">
        <f ca="1">IFERROR(__xludf.DUMMYFUNCTION("""COMPUTED_VALUE"""),"REA-U0154")</f>
        <v>REA-U0154</v>
      </c>
      <c r="B1748" s="3">
        <f ca="1">IFERROR(__xludf.DUMMYFUNCTION("""COMPUTED_VALUE"""),1745)</f>
        <v>1745</v>
      </c>
      <c r="C1748" s="3">
        <f ca="1">IFERROR(__xludf.DUMMYFUNCTION("""COMPUTED_VALUE"""),5902557300488)</f>
        <v>5902557300488</v>
      </c>
      <c r="D1748" s="4" t="str">
        <f ca="1">IFERROR(__xludf.DUMMYFUNCTION("""COMPUTED_VALUE"""),"UMYWALKA SOFIA BLACK - NABLATOWA")</f>
        <v>UMYWALKA SOFIA BLACK - NABLATOWA</v>
      </c>
      <c r="E1748" s="31">
        <v>54.146341463414643</v>
      </c>
      <c r="F1748" s="31">
        <f t="shared" si="27"/>
        <v>66.600000000000009</v>
      </c>
    </row>
    <row r="1749" spans="1:6" ht="18.75" customHeight="1" x14ac:dyDescent="0.25">
      <c r="A1749" s="2" t="str">
        <f ca="1">IFERROR(__xludf.DUMMYFUNCTION("""COMPUTED_VALUE"""),"REA-U3217")</f>
        <v>REA-U3217</v>
      </c>
      <c r="B1749" s="3">
        <f ca="1">IFERROR(__xludf.DUMMYFUNCTION("""COMPUTED_VALUE"""),37540)</f>
        <v>37540</v>
      </c>
      <c r="C1749" s="3">
        <f ca="1">IFERROR(__xludf.DUMMYFUNCTION("""COMPUTED_VALUE"""),5902557349845)</f>
        <v>5902557349845</v>
      </c>
      <c r="D1749" s="4" t="str">
        <f ca="1">IFERROR(__xludf.DUMMYFUNCTION("""COMPUTED_VALUE"""),"UMYWALKA SOFIA BLACK EDGE - NABLATOWA")</f>
        <v>UMYWALKA SOFIA BLACK EDGE - NABLATOWA</v>
      </c>
      <c r="E1749" s="31">
        <v>61.365853658536594</v>
      </c>
      <c r="F1749" s="31">
        <f t="shared" si="27"/>
        <v>75.48</v>
      </c>
    </row>
    <row r="1750" spans="1:6" ht="18.75" customHeight="1" x14ac:dyDescent="0.25">
      <c r="A1750" s="2" t="str">
        <f ca="1">IFERROR(__xludf.DUMMYFUNCTION("""COMPUTED_VALUE"""),"REA-U5611")</f>
        <v>REA-U5611</v>
      </c>
      <c r="B1750" s="3">
        <f ca="1">IFERROR(__xludf.DUMMYFUNCTION("""COMPUTED_VALUE"""),42561)</f>
        <v>42561</v>
      </c>
      <c r="C1750" s="3">
        <f ca="1">IFERROR(__xludf.DUMMYFUNCTION("""COMPUTED_VALUE"""),5902557364237)</f>
        <v>5902557364237</v>
      </c>
      <c r="D1750" s="4" t="str">
        <f ca="1">IFERROR(__xludf.DUMMYFUNCTION("""COMPUTED_VALUE"""),"UMYWALKA SOFIA BLACK MARBLE SHINY - NABLATOWA")</f>
        <v>UMYWALKA SOFIA BLACK MARBLE SHINY - NABLATOWA</v>
      </c>
      <c r="E1750" s="31">
        <v>68.585365853658544</v>
      </c>
      <c r="F1750" s="31">
        <f t="shared" si="27"/>
        <v>84.360000000000014</v>
      </c>
    </row>
    <row r="1751" spans="1:6" ht="18.75" customHeight="1" x14ac:dyDescent="0.25">
      <c r="A1751" s="2" t="str">
        <f ca="1">IFERROR(__xludf.DUMMYFUNCTION("""COMPUTED_VALUE"""),"REA-U0333")</f>
        <v>REA-U0333</v>
      </c>
      <c r="B1751" s="3">
        <f ca="1">IFERROR(__xludf.DUMMYFUNCTION("""COMPUTED_VALUE"""),20563)</f>
        <v>20563</v>
      </c>
      <c r="C1751" s="3">
        <f ca="1">IFERROR(__xludf.DUMMYFUNCTION("""COMPUTED_VALUE"""),5902557331116)</f>
        <v>5902557331116</v>
      </c>
      <c r="D1751" s="4" t="str">
        <f ca="1">IFERROR(__xludf.DUMMYFUNCTION("""COMPUTED_VALUE"""),"UMYWALKA SOFIA BLACK MATT - NABLATOWA")</f>
        <v>UMYWALKA SOFIA BLACK MATT - NABLATOWA</v>
      </c>
      <c r="E1751" s="31">
        <v>83.024390243902445</v>
      </c>
      <c r="F1751" s="31">
        <f t="shared" si="27"/>
        <v>102.12</v>
      </c>
    </row>
    <row r="1752" spans="1:6" ht="18.75" customHeight="1" x14ac:dyDescent="0.25">
      <c r="A1752" s="2" t="str">
        <f ca="1">IFERROR(__xludf.DUMMYFUNCTION("""COMPUTED_VALUE"""),"REA-U6203")</f>
        <v>REA-U6203</v>
      </c>
      <c r="B1752" s="3">
        <f ca="1">IFERROR(__xludf.DUMMYFUNCTION("""COMPUTED_VALUE"""),45633)</f>
        <v>45633</v>
      </c>
      <c r="C1752" s="3">
        <f ca="1">IFERROR(__xludf.DUMMYFUNCTION("""COMPUTED_VALUE"""),5902557375165)</f>
        <v>5902557375165</v>
      </c>
      <c r="D1752" s="4" t="str">
        <f ca="1">IFERROR(__xludf.DUMMYFUNCTION("""COMPUTED_VALUE"""),"UMYWALKA SOFIA BLACK/CALALA MATT - NABLATOWA")</f>
        <v>UMYWALKA SOFIA BLACK/CALALA MATT - NABLATOWA</v>
      </c>
      <c r="E1752" s="31">
        <v>78.512195121951223</v>
      </c>
      <c r="F1752" s="31">
        <f t="shared" si="27"/>
        <v>96.570000000000007</v>
      </c>
    </row>
    <row r="1753" spans="1:6" ht="18.75" customHeight="1" x14ac:dyDescent="0.25">
      <c r="A1753" s="2" t="str">
        <f ca="1">IFERROR(__xludf.DUMMYFUNCTION("""COMPUTED_VALUE"""),"REA-U3695")</f>
        <v>REA-U3695</v>
      </c>
      <c r="B1753" s="3">
        <f ca="1">IFERROR(__xludf.DUMMYFUNCTION("""COMPUTED_VALUE"""),43366)</f>
        <v>43366</v>
      </c>
      <c r="C1753" s="3">
        <f ca="1">IFERROR(__xludf.DUMMYFUNCTION("""COMPUTED_VALUE"""),5902557366590)</f>
        <v>5902557366590</v>
      </c>
      <c r="D1753" s="4" t="str">
        <f ca="1">IFERROR(__xludf.DUMMYFUNCTION("""COMPUTED_VALUE"""),"UMYWALKA SOFIA BLACK/GOLD EDGE - NABLATOWA")</f>
        <v>UMYWALKA SOFIA BLACK/GOLD EDGE - NABLATOWA</v>
      </c>
      <c r="E1753" s="31">
        <v>70.390243902439025</v>
      </c>
      <c r="F1753" s="31">
        <f t="shared" si="27"/>
        <v>86.58</v>
      </c>
    </row>
    <row r="1754" spans="1:6" ht="18.75" customHeight="1" x14ac:dyDescent="0.25">
      <c r="A1754" s="2" t="str">
        <f ca="1">IFERROR(__xludf.DUMMYFUNCTION("""COMPUTED_VALUE"""),"REA-U8749")</f>
        <v>REA-U8749</v>
      </c>
      <c r="B1754" s="3">
        <f ca="1">IFERROR(__xludf.DUMMYFUNCTION("""COMPUTED_VALUE"""),43539)</f>
        <v>43539</v>
      </c>
      <c r="C1754" s="3">
        <f ca="1">IFERROR(__xludf.DUMMYFUNCTION("""COMPUTED_VALUE"""),5902557367146)</f>
        <v>5902557367146</v>
      </c>
      <c r="D1754" s="4" t="str">
        <f ca="1">IFERROR(__xludf.DUMMYFUNCTION("""COMPUTED_VALUE"""),"UMYWALKA SOFIA BLACK/WHITE - NABLATOWA")</f>
        <v>UMYWALKA SOFIA BLACK/WHITE - NABLATOWA</v>
      </c>
      <c r="E1754" s="31">
        <v>63.170731707317081</v>
      </c>
      <c r="F1754" s="31">
        <f t="shared" si="27"/>
        <v>77.7</v>
      </c>
    </row>
    <row r="1755" spans="1:6" ht="18.75" customHeight="1" x14ac:dyDescent="0.25">
      <c r="A1755" s="2" t="str">
        <f ca="1">IFERROR(__xludf.DUMMYFUNCTION("""COMPUTED_VALUE"""),"REA-U6598")</f>
        <v>REA-U6598</v>
      </c>
      <c r="B1755" s="3">
        <f ca="1">IFERROR(__xludf.DUMMYFUNCTION("""COMPUTED_VALUE"""),39777)</f>
        <v>39777</v>
      </c>
      <c r="C1755" s="3">
        <f ca="1">IFERROR(__xludf.DUMMYFUNCTION("""COMPUTED_VALUE"""),5902557355761)</f>
        <v>5902557355761</v>
      </c>
      <c r="D1755" s="4" t="str">
        <f ca="1">IFERROR(__xludf.DUMMYFUNCTION("""COMPUTED_VALUE"""),"UMYWALKA SOFIA CALALA SHINY - NABLATOWA")</f>
        <v>UMYWALKA SOFIA CALALA SHINY - NABLATOWA</v>
      </c>
      <c r="E1755" s="31">
        <v>76.707317073170742</v>
      </c>
      <c r="F1755" s="31">
        <f t="shared" si="27"/>
        <v>94.350000000000009</v>
      </c>
    </row>
    <row r="1756" spans="1:6" ht="18.75" customHeight="1" x14ac:dyDescent="0.25">
      <c r="A1756" s="2" t="str">
        <f ca="1">IFERROR(__xludf.DUMMYFUNCTION("""COMPUTED_VALUE"""),"REA-U9015")</f>
        <v>REA-U9015</v>
      </c>
      <c r="B1756" s="3">
        <f ca="1">IFERROR(__xludf.DUMMYFUNCTION("""COMPUTED_VALUE"""),7497)</f>
        <v>7497</v>
      </c>
      <c r="C1756" s="3">
        <f ca="1">IFERROR(__xludf.DUMMYFUNCTION("""COMPUTED_VALUE"""),5902557319084)</f>
        <v>5902557319084</v>
      </c>
      <c r="D1756" s="4" t="str">
        <f ca="1">IFERROR(__xludf.DUMMYFUNCTION("""COMPUTED_VALUE"""),"UMYWALKA SOFIA GOLD - NABLATOWA")</f>
        <v>UMYWALKA SOFIA GOLD - NABLATOWA</v>
      </c>
      <c r="E1756" s="31">
        <v>62.268292682926841</v>
      </c>
      <c r="F1756" s="31">
        <f t="shared" si="27"/>
        <v>76.590000000000018</v>
      </c>
    </row>
    <row r="1757" spans="1:6" ht="18.75" customHeight="1" x14ac:dyDescent="0.25">
      <c r="A1757" s="2" t="str">
        <f ca="1">IFERROR(__xludf.DUMMYFUNCTION("""COMPUTED_VALUE"""),"REA-U3310")</f>
        <v>REA-U3310</v>
      </c>
      <c r="B1757" s="3">
        <f ca="1">IFERROR(__xludf.DUMMYFUNCTION("""COMPUTED_VALUE"""),50996)</f>
        <v>50996</v>
      </c>
      <c r="C1757" s="3">
        <f ca="1">IFERROR(__xludf.DUMMYFUNCTION("""COMPUTED_VALUE"""),5902557387540)</f>
        <v>5902557387540</v>
      </c>
      <c r="D1757" s="4" t="str">
        <f ca="1">IFERROR(__xludf.DUMMYFUNCTION("""COMPUTED_VALUE"""),"UMYWALKA SOFIA GOLD BRUSH/BLACK - NABLATOWA")</f>
        <v>UMYWALKA SOFIA GOLD BRUSH/BLACK - NABLATOWA</v>
      </c>
      <c r="E1757" s="31">
        <v>76.707317073170742</v>
      </c>
      <c r="F1757" s="31">
        <f t="shared" si="27"/>
        <v>94.350000000000009</v>
      </c>
    </row>
    <row r="1758" spans="1:6" ht="18.75" customHeight="1" x14ac:dyDescent="0.25">
      <c r="A1758" s="2" t="str">
        <f ca="1">IFERROR(__xludf.DUMMYFUNCTION("""COMPUTED_VALUE"""),"REA-U3697")</f>
        <v>REA-U3697</v>
      </c>
      <c r="B1758" s="3">
        <f ca="1">IFERROR(__xludf.DUMMYFUNCTION("""COMPUTED_VALUE"""),43347)</f>
        <v>43347</v>
      </c>
      <c r="C1758" s="3">
        <f ca="1">IFERROR(__xludf.DUMMYFUNCTION("""COMPUTED_VALUE"""),5902557366613)</f>
        <v>5902557366613</v>
      </c>
      <c r="D1758" s="4" t="str">
        <f ca="1">IFERROR(__xludf.DUMMYFUNCTION("""COMPUTED_VALUE"""),"UMYWALKA SOFIA GOLD BRUSH/WHITE - NABLATOWA")</f>
        <v>UMYWALKA SOFIA GOLD BRUSH/WHITE - NABLATOWA</v>
      </c>
      <c r="E1758" s="31">
        <v>84.82926829268294</v>
      </c>
      <c r="F1758" s="31">
        <f t="shared" si="27"/>
        <v>104.34000000000002</v>
      </c>
    </row>
    <row r="1759" spans="1:6" ht="18.75" customHeight="1" x14ac:dyDescent="0.25">
      <c r="A1759" s="2" t="str">
        <f ca="1">IFERROR(__xludf.DUMMYFUNCTION("""COMPUTED_VALUE"""),"REA-U3287")</f>
        <v>REA-U3287</v>
      </c>
      <c r="B1759" s="3">
        <f ca="1">IFERROR(__xludf.DUMMYFUNCTION("""COMPUTED_VALUE"""),39965)</f>
        <v>39965</v>
      </c>
      <c r="C1759" s="3">
        <f ca="1">IFERROR(__xludf.DUMMYFUNCTION("""COMPUTED_VALUE"""),5902557356607)</f>
        <v>5902557356607</v>
      </c>
      <c r="D1759" s="4" t="str">
        <f ca="1">IFERROR(__xludf.DUMMYFUNCTION("""COMPUTED_VALUE"""),"UMYWALKA SOFIA GOLD EDGE - NABLATOWA")</f>
        <v>UMYWALKA SOFIA GOLD EDGE - NABLATOWA</v>
      </c>
      <c r="E1759" s="31">
        <v>72.195121951219519</v>
      </c>
      <c r="F1759" s="31">
        <f t="shared" si="27"/>
        <v>88.800000000000011</v>
      </c>
    </row>
    <row r="1760" spans="1:6" ht="18.75" customHeight="1" x14ac:dyDescent="0.25">
      <c r="A1760" s="2" t="str">
        <f ca="1">IFERROR(__xludf.DUMMYFUNCTION("""COMPUTED_VALUE"""),"REA-U0456")</f>
        <v>REA-U0456</v>
      </c>
      <c r="B1760" s="3">
        <f ca="1">IFERROR(__xludf.DUMMYFUNCTION("""COMPUTED_VALUE"""),7499)</f>
        <v>7499</v>
      </c>
      <c r="C1760" s="3">
        <f ca="1">IFERROR(__xludf.DUMMYFUNCTION("""COMPUTED_VALUE"""),5902557332045)</f>
        <v>5902557332045</v>
      </c>
      <c r="D1760" s="4" t="str">
        <f ca="1">IFERROR(__xludf.DUMMYFUNCTION("""COMPUTED_VALUE"""),"UMYWALKA SOFIA GOLD/WHITE - NABLATOWA")</f>
        <v>UMYWALKA SOFIA GOLD/WHITE - NABLATOWA</v>
      </c>
      <c r="E1760" s="31">
        <v>72.195121951219519</v>
      </c>
      <c r="F1760" s="31">
        <f t="shared" si="27"/>
        <v>88.800000000000011</v>
      </c>
    </row>
    <row r="1761" spans="1:6" ht="18.75" customHeight="1" x14ac:dyDescent="0.25">
      <c r="A1761" s="2" t="str">
        <f ca="1">IFERROR(__xludf.DUMMYFUNCTION("""COMPUTED_VALUE"""),"REA-U8543")</f>
        <v>REA-U8543</v>
      </c>
      <c r="B1761" s="3">
        <f ca="1">IFERROR(__xludf.DUMMYFUNCTION("""COMPUTED_VALUE"""),36779)</f>
        <v>36779</v>
      </c>
      <c r="C1761" s="3">
        <f ca="1">IFERROR(__xludf.DUMMYFUNCTION("""COMPUTED_VALUE"""),5902557349142)</f>
        <v>5902557349142</v>
      </c>
      <c r="D1761" s="4" t="str">
        <f ca="1">IFERROR(__xludf.DUMMYFUNCTION("""COMPUTED_VALUE"""),"UMYWALKA SOFIA GREEN - NABLATOWA")</f>
        <v>UMYWALKA SOFIA GREEN - NABLATOWA</v>
      </c>
      <c r="E1761" s="31">
        <v>63.170731707317081</v>
      </c>
      <c r="F1761" s="31">
        <f t="shared" si="27"/>
        <v>77.7</v>
      </c>
    </row>
    <row r="1762" spans="1:6" ht="18.75" customHeight="1" x14ac:dyDescent="0.25">
      <c r="A1762" s="2" t="str">
        <f ca="1">IFERROR(__xludf.DUMMYFUNCTION("""COMPUTED_VALUE"""),"REA-U5631")</f>
        <v>REA-U5631</v>
      </c>
      <c r="B1762" s="3">
        <f ca="1">IFERROR(__xludf.DUMMYFUNCTION("""COMPUTED_VALUE"""),37273)</f>
        <v>37273</v>
      </c>
      <c r="C1762" s="3">
        <f ca="1">IFERROR(__xludf.DUMMYFUNCTION("""COMPUTED_VALUE"""),5902557348770)</f>
        <v>5902557348770</v>
      </c>
      <c r="D1762" s="4" t="str">
        <f ca="1">IFERROR(__xludf.DUMMYFUNCTION("""COMPUTED_VALUE"""),"UMYWALKA SOFIA GREEN MAT - NABLATOWA")</f>
        <v>UMYWALKA SOFIA GREEN MAT - NABLATOWA</v>
      </c>
      <c r="E1762" s="31">
        <v>55.951219512195124</v>
      </c>
      <c r="F1762" s="31">
        <f t="shared" si="27"/>
        <v>68.820000000000007</v>
      </c>
    </row>
    <row r="1763" spans="1:6" ht="18.75" customHeight="1" x14ac:dyDescent="0.25">
      <c r="A1763" s="2" t="str">
        <f ca="1">IFERROR(__xludf.DUMMYFUNCTION("""COMPUTED_VALUE"""),"REA-U8012")</f>
        <v>REA-U8012</v>
      </c>
      <c r="B1763" s="3">
        <f ca="1">IFERROR(__xludf.DUMMYFUNCTION("""COMPUTED_VALUE"""),48061)</f>
        <v>48061</v>
      </c>
      <c r="C1763" s="3">
        <f ca="1">IFERROR(__xludf.DUMMYFUNCTION("""COMPUTED_VALUE"""),5902557376049)</f>
        <v>5902557376049</v>
      </c>
      <c r="D1763" s="4" t="str">
        <f ca="1">IFERROR(__xludf.DUMMYFUNCTION("""COMPUTED_VALUE"""),"UMYWALKA SOFIA IN BLACK MARBLE/GOLD - NABLATOWA")</f>
        <v>UMYWALKA SOFIA IN BLACK MARBLE/GOLD - NABLATOWA</v>
      </c>
      <c r="E1763" s="31">
        <v>83.024390243902445</v>
      </c>
      <c r="F1763" s="31">
        <f t="shared" si="27"/>
        <v>102.12</v>
      </c>
    </row>
    <row r="1764" spans="1:6" ht="18.75" customHeight="1" x14ac:dyDescent="0.25">
      <c r="A1764" s="2" t="str">
        <f ca="1">IFERROR(__xludf.DUMMYFUNCTION("""COMPUTED_VALUE"""),"REA-U4527")</f>
        <v>REA-U4527</v>
      </c>
      <c r="B1764" s="3">
        <f ca="1">IFERROR(__xludf.DUMMYFUNCTION("""COMPUTED_VALUE"""),46430)</f>
        <v>46430</v>
      </c>
      <c r="C1764" s="3">
        <f ca="1">IFERROR(__xludf.DUMMYFUNCTION("""COMPUTED_VALUE"""),5902557376155)</f>
        <v>5902557376155</v>
      </c>
      <c r="D1764" s="4" t="str">
        <f ca="1">IFERROR(__xludf.DUMMYFUNCTION("""COMPUTED_VALUE"""),"UMYWALKA SOFIA IN BLACK/GOLD - NABLATOWA")</f>
        <v>UMYWALKA SOFIA IN BLACK/GOLD - NABLATOWA</v>
      </c>
      <c r="E1764" s="31">
        <v>78.512</v>
      </c>
      <c r="F1764" s="31">
        <f t="shared" si="27"/>
        <v>96.569760000000002</v>
      </c>
    </row>
    <row r="1765" spans="1:6" ht="18.75" customHeight="1" x14ac:dyDescent="0.25">
      <c r="A1765" s="2" t="str">
        <f ca="1">IFERROR(__xludf.DUMMYFUNCTION("""COMPUTED_VALUE"""),"REA-U8011")</f>
        <v>REA-U8011</v>
      </c>
      <c r="B1765" s="3">
        <f ca="1">IFERROR(__xludf.DUMMYFUNCTION("""COMPUTED_VALUE"""),48054)</f>
        <v>48054</v>
      </c>
      <c r="C1765" s="3">
        <f ca="1">IFERROR(__xludf.DUMMYFUNCTION("""COMPUTED_VALUE"""),5902557376056)</f>
        <v>5902557376056</v>
      </c>
      <c r="D1765" s="4" t="str">
        <f ca="1">IFERROR(__xludf.DUMMYFUNCTION("""COMPUTED_VALUE"""),"UMYWALKA SOFIA IN GOLD/BLACK MARBLE - NABLATOWA")</f>
        <v>UMYWALKA SOFIA IN GOLD/BLACK MARBLE - NABLATOWA</v>
      </c>
      <c r="E1765" s="31">
        <v>83.024390243902445</v>
      </c>
      <c r="F1765" s="31">
        <f t="shared" si="27"/>
        <v>102.12</v>
      </c>
    </row>
    <row r="1766" spans="1:6" ht="18.75" customHeight="1" x14ac:dyDescent="0.25">
      <c r="A1766" s="2" t="str">
        <f ca="1">IFERROR(__xludf.DUMMYFUNCTION("""COMPUTED_VALUE"""),"REA-U0165")</f>
        <v>REA-U0165</v>
      </c>
      <c r="B1766" s="3">
        <f ca="1">IFERROR(__xludf.DUMMYFUNCTION("""COMPUTED_VALUE"""),41711)</f>
        <v>41711</v>
      </c>
      <c r="C1766" s="3">
        <f ca="1">IFERROR(__xludf.DUMMYFUNCTION("""COMPUTED_VALUE"""),5902557357710)</f>
        <v>5902557357710</v>
      </c>
      <c r="D1766" s="4" t="str">
        <f ca="1">IFERROR(__xludf.DUMMYFUNCTION("""COMPUTED_VALUE"""),"UMYWALKA SOFIA LIGHT STONE MATT - NABLATOWA")</f>
        <v>UMYWALKA SOFIA LIGHT STONE MATT - NABLATOWA</v>
      </c>
      <c r="E1766" s="31">
        <v>78.512</v>
      </c>
      <c r="F1766" s="31">
        <f t="shared" si="27"/>
        <v>96.569760000000002</v>
      </c>
    </row>
    <row r="1767" spans="1:6" ht="18.75" customHeight="1" x14ac:dyDescent="0.25">
      <c r="A1767" s="2" t="str">
        <f ca="1">IFERROR(__xludf.DUMMYFUNCTION("""COMPUTED_VALUE"""),"REA-U5630")</f>
        <v>REA-U5630</v>
      </c>
      <c r="B1767" s="3"/>
      <c r="C1767" s="3">
        <f ca="1">IFERROR(__xludf.DUMMYFUNCTION("""COMPUTED_VALUE"""),5902557349159)</f>
        <v>5902557349159</v>
      </c>
      <c r="D1767" s="4" t="str">
        <f ca="1">IFERROR(__xludf.DUMMYFUNCTION("""COMPUTED_VALUE"""),"UMYWALKA SOFIA MAT PINK - NABLATOWA")</f>
        <v>UMYWALKA SOFIA MAT PINK - NABLATOWA</v>
      </c>
      <c r="E1767" s="31">
        <v>54.146341463414643</v>
      </c>
      <c r="F1767" s="31">
        <f t="shared" si="27"/>
        <v>66.600000000000009</v>
      </c>
    </row>
    <row r="1768" spans="1:6" ht="18.75" customHeight="1" x14ac:dyDescent="0.25">
      <c r="A1768" s="2" t="str">
        <f ca="1">IFERROR(__xludf.DUMMYFUNCTION("""COMPUTED_VALUE"""),"REA-U0623")</f>
        <v>REA-U0623</v>
      </c>
      <c r="B1768" s="3">
        <f ca="1">IFERROR(__xludf.DUMMYFUNCTION("""COMPUTED_VALUE"""),39374)</f>
        <v>39374</v>
      </c>
      <c r="C1768" s="3">
        <f ca="1">IFERROR(__xludf.DUMMYFUNCTION("""COMPUTED_VALUE"""),5902557354542)</f>
        <v>5902557354542</v>
      </c>
      <c r="D1768" s="4" t="str">
        <f ca="1">IFERROR(__xludf.DUMMYFUNCTION("""COMPUTED_VALUE"""),"UMYWALKA SOFIA MINI - NABLATOWA")</f>
        <v>UMYWALKA SOFIA MINI - NABLATOWA</v>
      </c>
      <c r="E1768" s="31">
        <v>35.195121951219512</v>
      </c>
      <c r="F1768" s="31">
        <f t="shared" si="27"/>
        <v>43.29</v>
      </c>
    </row>
    <row r="1769" spans="1:6" ht="18.75" customHeight="1" x14ac:dyDescent="0.25">
      <c r="A1769" s="2" t="str">
        <f ca="1">IFERROR(__xludf.DUMMYFUNCTION("""COMPUTED_VALUE"""),"REA-U8014")</f>
        <v>REA-U8014</v>
      </c>
      <c r="B1769" s="3">
        <f ca="1">IFERROR(__xludf.DUMMYFUNCTION("""COMPUTED_VALUE"""),47794)</f>
        <v>47794</v>
      </c>
      <c r="C1769" s="3">
        <f ca="1">IFERROR(__xludf.DUMMYFUNCTION("""COMPUTED_VALUE"""),5902557376780)</f>
        <v>5902557376780</v>
      </c>
      <c r="D1769" s="4" t="str">
        <f ca="1">IFERROR(__xludf.DUMMYFUNCTION("""COMPUTED_VALUE"""),"UMYWALKA SOFIA MINI AIAX SHINY - NABLATOWA")</f>
        <v>UMYWALKA SOFIA MINI AIAX SHINY - NABLATOWA</v>
      </c>
      <c r="E1769" s="31">
        <v>56.853658536585371</v>
      </c>
      <c r="F1769" s="31">
        <f t="shared" si="27"/>
        <v>69.930000000000007</v>
      </c>
    </row>
    <row r="1770" spans="1:6" ht="18.75" customHeight="1" x14ac:dyDescent="0.25">
      <c r="A1770" s="2" t="str">
        <f ca="1">IFERROR(__xludf.DUMMYFUNCTION("""COMPUTED_VALUE"""),"REA-U6963")</f>
        <v>REA-U6963</v>
      </c>
      <c r="B1770" s="3">
        <f ca="1">IFERROR(__xludf.DUMMYFUNCTION("""COMPUTED_VALUE"""),50750)</f>
        <v>50750</v>
      </c>
      <c r="C1770" s="3">
        <f ca="1">IFERROR(__xludf.DUMMYFUNCTION("""COMPUTED_VALUE"""),5902557387526)</f>
        <v>5902557387526</v>
      </c>
      <c r="D1770" s="4" t="str">
        <f ca="1">IFERROR(__xludf.DUMMYFUNCTION("""COMPUTED_VALUE"""),"UMYWALKA SOFIA MINI BLACK MARBLE SHINY - NABLATOWA")</f>
        <v>UMYWALKA SOFIA MINI BLACK MARBLE SHINY - NABLATOWA</v>
      </c>
      <c r="E1770" s="31">
        <v>56.853658536585371</v>
      </c>
      <c r="F1770" s="31">
        <f t="shared" si="27"/>
        <v>69.930000000000007</v>
      </c>
    </row>
    <row r="1771" spans="1:6" ht="18.75" customHeight="1" x14ac:dyDescent="0.25">
      <c r="A1771" s="2" t="str">
        <f ca="1">IFERROR(__xludf.DUMMYFUNCTION("""COMPUTED_VALUE"""),"REA-U8013")</f>
        <v>REA-U8013</v>
      </c>
      <c r="B1771" s="3">
        <f ca="1">IFERROR(__xludf.DUMMYFUNCTION("""COMPUTED_VALUE"""),48377)</f>
        <v>48377</v>
      </c>
      <c r="C1771" s="3">
        <f ca="1">IFERROR(__xludf.DUMMYFUNCTION("""COMPUTED_VALUE"""),5902557376797)</f>
        <v>5902557376797</v>
      </c>
      <c r="D1771" s="4" t="str">
        <f ca="1">IFERROR(__xludf.DUMMYFUNCTION("""COMPUTED_VALUE"""),"UMYWALKA SOFIA MINI BLACK SHINY - NABLATOWA")</f>
        <v>UMYWALKA SOFIA MINI BLACK SHINY - NABLATOWA</v>
      </c>
      <c r="E1771" s="31">
        <v>57.756097560975611</v>
      </c>
      <c r="F1771" s="31">
        <f t="shared" si="27"/>
        <v>71.040000000000006</v>
      </c>
    </row>
    <row r="1772" spans="1:6" ht="18.75" customHeight="1" x14ac:dyDescent="0.25">
      <c r="A1772" s="2" t="str">
        <f ca="1">IFERROR(__xludf.DUMMYFUNCTION("""COMPUTED_VALUE"""),"REA-U6334")</f>
        <v>REA-U6334</v>
      </c>
      <c r="B1772" s="3">
        <f ca="1">IFERROR(__xludf.DUMMYFUNCTION("""COMPUTED_VALUE"""),42273)</f>
        <v>42273</v>
      </c>
      <c r="C1772" s="3">
        <f ca="1">IFERROR(__xludf.DUMMYFUNCTION("""COMPUTED_VALUE"""),5902557358243)</f>
        <v>5902557358243</v>
      </c>
      <c r="D1772" s="4" t="str">
        <f ca="1">IFERROR(__xludf.DUMMYFUNCTION("""COMPUTED_VALUE"""),"UMYWALKA SOFIA MINI GOLD/WHITE - NABLATOWA")</f>
        <v>UMYWALKA SOFIA MINI GOLD/WHITE - NABLATOWA</v>
      </c>
      <c r="E1772" s="31">
        <v>62.268292682926841</v>
      </c>
      <c r="F1772" s="31">
        <f t="shared" si="27"/>
        <v>76.590000000000018</v>
      </c>
    </row>
    <row r="1773" spans="1:6" ht="18.75" customHeight="1" x14ac:dyDescent="0.25">
      <c r="A1773" s="2" t="str">
        <f ca="1">IFERROR(__xludf.DUMMYFUNCTION("""COMPUTED_VALUE"""),"REA-U0961")</f>
        <v>REA-U0961</v>
      </c>
      <c r="B1773" s="3">
        <f ca="1">IFERROR(__xludf.DUMMYFUNCTION("""COMPUTED_VALUE"""),41748)</f>
        <v>41748</v>
      </c>
      <c r="C1773" s="3">
        <f ca="1">IFERROR(__xludf.DUMMYFUNCTION("""COMPUTED_VALUE"""),5902557358229)</f>
        <v>5902557358229</v>
      </c>
      <c r="D1773" s="4" t="str">
        <f ca="1">IFERROR(__xludf.DUMMYFUNCTION("""COMPUTED_VALUE"""),"UMYWALKA SOFIA MINI GREEN SHINY - NABLATOWA")</f>
        <v>UMYWALKA SOFIA MINI GREEN SHINY - NABLATOWA</v>
      </c>
      <c r="E1773" s="31">
        <v>62.268292682926841</v>
      </c>
      <c r="F1773" s="31">
        <f t="shared" si="27"/>
        <v>76.590000000000018</v>
      </c>
    </row>
    <row r="1774" spans="1:6" ht="18.75" customHeight="1" x14ac:dyDescent="0.25">
      <c r="A1774" s="2" t="str">
        <f ca="1">IFERROR(__xludf.DUMMYFUNCTION("""COMPUTED_VALUE"""),"REA-U6335")</f>
        <v>REA-U6335</v>
      </c>
      <c r="B1774" s="3"/>
      <c r="C1774" s="3">
        <f ca="1">IFERROR(__xludf.DUMMYFUNCTION("""COMPUTED_VALUE"""),5902557358236)</f>
        <v>5902557358236</v>
      </c>
      <c r="D1774" s="4" t="str">
        <f ca="1">IFERROR(__xludf.DUMMYFUNCTION("""COMPUTED_VALUE"""),"UMYWALKA SOFIA MINI PINK SHINY - NABLATOWA")</f>
        <v>UMYWALKA SOFIA MINI PINK SHINY - NABLATOWA</v>
      </c>
      <c r="E1774" s="31">
        <v>39.707317073170735</v>
      </c>
      <c r="F1774" s="31">
        <f t="shared" si="27"/>
        <v>48.84</v>
      </c>
    </row>
    <row r="1775" spans="1:6" ht="18.75" customHeight="1" x14ac:dyDescent="0.25">
      <c r="A1775" s="2" t="str">
        <f ca="1">IFERROR(__xludf.DUMMYFUNCTION("""COMPUTED_VALUE"""),"REA-U6605")</f>
        <v>REA-U6605</v>
      </c>
      <c r="B1775" s="3">
        <f ca="1">IFERROR(__xludf.DUMMYFUNCTION("""COMPUTED_VALUE"""),50900)</f>
        <v>50900</v>
      </c>
      <c r="C1775" s="3">
        <f ca="1">IFERROR(__xludf.DUMMYFUNCTION("""COMPUTED_VALUE"""),5902557392551)</f>
        <v>5902557392551</v>
      </c>
      <c r="D1775" s="4" t="str">
        <f ca="1">IFERROR(__xludf.DUMMYFUNCTION("""COMPUTED_VALUE"""),"UMYWALKA SOFIA NATURE MARBLE - NABLATOWA")</f>
        <v>UMYWALKA SOFIA NATURE MARBLE - NABLATOWA</v>
      </c>
      <c r="E1775" s="31">
        <v>57.756097560975611</v>
      </c>
      <c r="F1775" s="31">
        <f t="shared" si="27"/>
        <v>71.040000000000006</v>
      </c>
    </row>
    <row r="1776" spans="1:6" ht="18.75" customHeight="1" x14ac:dyDescent="0.25">
      <c r="A1776" s="2" t="str">
        <f ca="1">IFERROR(__xludf.DUMMYFUNCTION("""COMPUTED_VALUE"""),"REA-U0852")</f>
        <v>REA-U0852</v>
      </c>
      <c r="B1776" s="3">
        <f ca="1">IFERROR(__xludf.DUMMYFUNCTION("""COMPUTED_VALUE"""),13195)</f>
        <v>13195</v>
      </c>
      <c r="C1776" s="3">
        <f ca="1">IFERROR(__xludf.DUMMYFUNCTION("""COMPUTED_VALUE"""),5902557330416)</f>
        <v>5902557330416</v>
      </c>
      <c r="D1776" s="4" t="str">
        <f ca="1">IFERROR(__xludf.DUMMYFUNCTION("""COMPUTED_VALUE"""),"UMYWALKA SOFIA SILVER - NABLATOWA")</f>
        <v>UMYWALKA SOFIA SILVER - NABLATOWA</v>
      </c>
      <c r="E1776" s="31">
        <v>70.390243902439025</v>
      </c>
      <c r="F1776" s="31">
        <f t="shared" si="27"/>
        <v>86.58</v>
      </c>
    </row>
    <row r="1777" spans="1:6" ht="18.75" customHeight="1" x14ac:dyDescent="0.25">
      <c r="A1777" s="2" t="str">
        <f ca="1">IFERROR(__xludf.DUMMYFUNCTION("""COMPUTED_VALUE"""),"REA-U0420")</f>
        <v>REA-U0420</v>
      </c>
      <c r="B1777" s="3">
        <f ca="1">IFERROR(__xludf.DUMMYFUNCTION("""COMPUTED_VALUE"""),7495)</f>
        <v>7495</v>
      </c>
      <c r="C1777" s="3">
        <f ca="1">IFERROR(__xludf.DUMMYFUNCTION("""COMPUTED_VALUE"""),5902557314294)</f>
        <v>5902557314294</v>
      </c>
      <c r="D1777" s="4" t="str">
        <f ca="1">IFERROR(__xludf.DUMMYFUNCTION("""COMPUTED_VALUE"""),"UMYWALKA SOFIA SILVER/WHITE - NABLATOWA")</f>
        <v>UMYWALKA SOFIA SILVER/WHITE - NABLATOWA</v>
      </c>
      <c r="E1777" s="31">
        <v>55.951219512195124</v>
      </c>
      <c r="F1777" s="31">
        <f t="shared" si="27"/>
        <v>68.820000000000007</v>
      </c>
    </row>
    <row r="1778" spans="1:6" ht="18.75" customHeight="1" x14ac:dyDescent="0.25">
      <c r="A1778" s="2" t="str">
        <f ca="1">IFERROR(__xludf.DUMMYFUNCTION("""COMPUTED_VALUE"""),"REA-U9908")</f>
        <v>REA-U9908</v>
      </c>
      <c r="B1778" s="3">
        <f ca="1">IFERROR(__xludf.DUMMYFUNCTION("""COMPUTED_VALUE"""),27654)</f>
        <v>27654</v>
      </c>
      <c r="C1778" s="3">
        <f ca="1">IFERROR(__xludf.DUMMYFUNCTION("""COMPUTED_VALUE"""),5902557335749)</f>
        <v>5902557335749</v>
      </c>
      <c r="D1778" s="4" t="str">
        <f ca="1">IFERROR(__xludf.DUMMYFUNCTION("""COMPUTED_VALUE"""),"UMYWALKA SOFIA STONE MATT - NABLATOWA")</f>
        <v>UMYWALKA SOFIA STONE MATT - NABLATOWA</v>
      </c>
      <c r="E1778" s="31">
        <v>73.097560975609767</v>
      </c>
      <c r="F1778" s="31">
        <f t="shared" si="27"/>
        <v>89.910000000000011</v>
      </c>
    </row>
    <row r="1779" spans="1:6" ht="18.75" customHeight="1" x14ac:dyDescent="0.25">
      <c r="A1779" s="2" t="str">
        <f ca="1">IFERROR(__xludf.DUMMYFUNCTION("""COMPUTED_VALUE"""),"REA-U6932")</f>
        <v>REA-U6932</v>
      </c>
      <c r="B1779" s="3">
        <f ca="1">IFERROR(__xludf.DUMMYFUNCTION("""COMPUTED_VALUE"""),42244)</f>
        <v>42244</v>
      </c>
      <c r="C1779" s="3">
        <f ca="1">IFERROR(__xludf.DUMMYFUNCTION("""COMPUTED_VALUE"""),5902557359875)</f>
        <v>5902557359875</v>
      </c>
      <c r="D1779" s="4" t="str">
        <f ca="1">IFERROR(__xludf.DUMMYFUNCTION("""COMPUTED_VALUE"""),"UMYWALKA SOFIA TERAZZO - NABLATOWA")</f>
        <v>UMYWALKA SOFIA TERAZZO - NABLATOWA</v>
      </c>
      <c r="E1779" s="31">
        <v>64.975609756097569</v>
      </c>
      <c r="F1779" s="31">
        <f t="shared" si="27"/>
        <v>79.92</v>
      </c>
    </row>
    <row r="1780" spans="1:6" ht="18.75" customHeight="1" x14ac:dyDescent="0.25">
      <c r="A1780" s="2" t="str">
        <f ca="1">IFERROR(__xludf.DUMMYFUNCTION("""COMPUTED_VALUE"""),"REA-U8605")</f>
        <v>REA-U8605</v>
      </c>
      <c r="B1780" s="3">
        <f ca="1">IFERROR(__xludf.DUMMYFUNCTION("""COMPUTED_VALUE"""),29041)</f>
        <v>29041</v>
      </c>
      <c r="C1780" s="3">
        <f ca="1">IFERROR(__xludf.DUMMYFUNCTION("""COMPUTED_VALUE"""),5902557342136)</f>
        <v>5902557342136</v>
      </c>
      <c r="D1780" s="4" t="str">
        <f ca="1">IFERROR(__xludf.DUMMYFUNCTION("""COMPUTED_VALUE"""),"UMYWALKA SOL - NABLATOWA")</f>
        <v>UMYWALKA SOL - NABLATOWA</v>
      </c>
      <c r="E1780" s="31">
        <v>97.463414634146361</v>
      </c>
      <c r="F1780" s="31">
        <f t="shared" si="27"/>
        <v>119.88000000000002</v>
      </c>
    </row>
    <row r="1781" spans="1:6" ht="18.75" customHeight="1" x14ac:dyDescent="0.25">
      <c r="A1781" s="2" t="str">
        <f ca="1">IFERROR(__xludf.DUMMYFUNCTION("""COMPUTED_VALUE"""),"REA-U7916")</f>
        <v>REA-U7916</v>
      </c>
      <c r="B1781" s="3">
        <f ca="1">IFERROR(__xludf.DUMMYFUNCTION("""COMPUTED_VALUE"""),30261)</f>
        <v>30261</v>
      </c>
      <c r="C1781" s="3">
        <f ca="1">IFERROR(__xludf.DUMMYFUNCTION("""COMPUTED_VALUE"""),5902557340521)</f>
        <v>5902557340521</v>
      </c>
      <c r="D1781" s="4" t="str">
        <f ca="1">IFERROR(__xludf.DUMMYFUNCTION("""COMPUTED_VALUE"""),"UMYWALKA SOLO BLACK MATT - NABLATOWA")</f>
        <v>UMYWALKA SOLO BLACK MATT - NABLATOWA</v>
      </c>
      <c r="E1781" s="31">
        <v>92.951219512195124</v>
      </c>
      <c r="F1781" s="31">
        <f t="shared" si="27"/>
        <v>114.33</v>
      </c>
    </row>
    <row r="1782" spans="1:6" ht="18.75" customHeight="1" x14ac:dyDescent="0.25">
      <c r="A1782" s="2" t="str">
        <f ca="1">IFERROR(__xludf.DUMMYFUNCTION("""COMPUTED_VALUE"""),"REA-U1878")</f>
        <v>REA-U1878</v>
      </c>
      <c r="B1782" s="3">
        <f ca="1">IFERROR(__xludf.DUMMYFUNCTION("""COMPUTED_VALUE"""),37018)</f>
        <v>37018</v>
      </c>
      <c r="C1782" s="3">
        <f ca="1">IFERROR(__xludf.DUMMYFUNCTION("""COMPUTED_VALUE"""),5902557349777)</f>
        <v>5902557349777</v>
      </c>
      <c r="D1782" s="4" t="str">
        <f ca="1">IFERROR(__xludf.DUMMYFUNCTION("""COMPUTED_VALUE"""),"UMYWALKA STELLA - NABLATOWA")</f>
        <v>UMYWALKA STELLA - NABLATOWA</v>
      </c>
      <c r="E1782" s="31">
        <v>45.121951219512198</v>
      </c>
      <c r="F1782" s="31">
        <f t="shared" si="27"/>
        <v>55.5</v>
      </c>
    </row>
    <row r="1783" spans="1:6" ht="18.75" customHeight="1" x14ac:dyDescent="0.25">
      <c r="A1783" s="2" t="str">
        <f ca="1">IFERROR(__xludf.DUMMYFUNCTION("""COMPUTED_VALUE"""),"REA-U9088")</f>
        <v>REA-U9088</v>
      </c>
      <c r="B1783" s="3">
        <f ca="1">IFERROR(__xludf.DUMMYFUNCTION("""COMPUTED_VALUE"""),53655)</f>
        <v>53655</v>
      </c>
      <c r="C1783" s="3">
        <f ca="1">IFERROR(__xludf.DUMMYFUNCTION("""COMPUTED_VALUE"""),5906366002595)</f>
        <v>5906366002595</v>
      </c>
      <c r="D1783" s="4" t="str">
        <f ca="1">IFERROR(__xludf.DUMMYFUNCTION("""COMPUTED_VALUE"""),"UMYWALKA STELLA AIAX SHINY - NABLATOWA")</f>
        <v>UMYWALKA STELLA AIAX SHINY - NABLATOWA</v>
      </c>
      <c r="E1783" s="31">
        <v>62.268292682926841</v>
      </c>
      <c r="F1783" s="31">
        <f t="shared" si="27"/>
        <v>76.590000000000018</v>
      </c>
    </row>
    <row r="1784" spans="1:6" ht="18.75" customHeight="1" x14ac:dyDescent="0.25">
      <c r="A1784" s="2" t="str">
        <f ca="1">IFERROR(__xludf.DUMMYFUNCTION("""COMPUTED_VALUE"""),"REA-U9086")</f>
        <v>REA-U9086</v>
      </c>
      <c r="B1784" s="3">
        <f ca="1">IFERROR(__xludf.DUMMYFUNCTION("""COMPUTED_VALUE"""),53735)</f>
        <v>53735</v>
      </c>
      <c r="C1784" s="3">
        <f ca="1">IFERROR(__xludf.DUMMYFUNCTION("""COMPUTED_VALUE"""),5906366002588)</f>
        <v>5906366002588</v>
      </c>
      <c r="D1784" s="4" t="str">
        <f ca="1">IFERROR(__xludf.DUMMYFUNCTION("""COMPUTED_VALUE"""),"UMYWALKA STELLA BLACK MARBLE BRUSH - NABLATOWA")</f>
        <v>UMYWALKA STELLA BLACK MARBLE BRUSH - NABLATOWA</v>
      </c>
      <c r="E1784" s="31">
        <v>84.82926829268294</v>
      </c>
      <c r="F1784" s="31">
        <f t="shared" si="27"/>
        <v>104.34000000000002</v>
      </c>
    </row>
    <row r="1785" spans="1:6" ht="18.75" customHeight="1" x14ac:dyDescent="0.25">
      <c r="A1785" s="2" t="str">
        <f ca="1">IFERROR(__xludf.DUMMYFUNCTION("""COMPUTED_VALUE"""),"REA-U1890")</f>
        <v>REA-U1890</v>
      </c>
      <c r="B1785" s="3">
        <f ca="1">IFERROR(__xludf.DUMMYFUNCTION("""COMPUTED_VALUE"""),29725)</f>
        <v>29725</v>
      </c>
      <c r="C1785" s="3">
        <f ca="1">IFERROR(__xludf.DUMMYFUNCTION("""COMPUTED_VALUE"""),5902557337187)</f>
        <v>5902557337187</v>
      </c>
      <c r="D1785" s="4" t="str">
        <f ca="1">IFERROR(__xludf.DUMMYFUNCTION("""COMPUTED_VALUE"""),"UMYWALKA STELLA BLACK MATT - NABLATOWA")</f>
        <v>UMYWALKA STELLA BLACK MATT - NABLATOWA</v>
      </c>
      <c r="E1785" s="31">
        <v>91.146341463414643</v>
      </c>
      <c r="F1785" s="31">
        <f t="shared" si="27"/>
        <v>112.11000000000001</v>
      </c>
    </row>
    <row r="1786" spans="1:6" ht="18.75" customHeight="1" x14ac:dyDescent="0.25">
      <c r="A1786" s="2" t="str">
        <f ca="1">IFERROR(__xludf.DUMMYFUNCTION("""COMPUTED_VALUE"""),"REA-U1892")</f>
        <v>REA-U1892</v>
      </c>
      <c r="B1786" s="3"/>
      <c r="C1786" s="3">
        <f ca="1">IFERROR(__xludf.DUMMYFUNCTION("""COMPUTED_VALUE"""),5902557337194)</f>
        <v>5902557337194</v>
      </c>
      <c r="D1786" s="4" t="str">
        <f ca="1">IFERROR(__xludf.DUMMYFUNCTION("""COMPUTED_VALUE"""),"UMYWALKA STELLA CAPPUCCINO MATT - NABLATOWA")</f>
        <v>UMYWALKA STELLA CAPPUCCINO MATT - NABLATOWA</v>
      </c>
      <c r="E1786" s="31">
        <v>64.073170731707322</v>
      </c>
      <c r="F1786" s="31">
        <f t="shared" si="27"/>
        <v>78.81</v>
      </c>
    </row>
    <row r="1787" spans="1:6" ht="18.75" customHeight="1" x14ac:dyDescent="0.25">
      <c r="A1787" s="2" t="str">
        <f ca="1">IFERROR(__xludf.DUMMYFUNCTION("""COMPUTED_VALUE"""),"REA-U9087")</f>
        <v>REA-U9087</v>
      </c>
      <c r="B1787" s="3">
        <f ca="1">IFERROR(__xludf.DUMMYFUNCTION("""COMPUTED_VALUE"""),53656)</f>
        <v>53656</v>
      </c>
      <c r="C1787" s="3">
        <f ca="1">IFERROR(__xludf.DUMMYFUNCTION("""COMPUTED_VALUE"""),5906366002571)</f>
        <v>5906366002571</v>
      </c>
      <c r="D1787" s="4" t="str">
        <f ca="1">IFERROR(__xludf.DUMMYFUNCTION("""COMPUTED_VALUE"""),"UMYWALKA STELLA GOLD BRUSH/WHITE - NABLATOWA")</f>
        <v>UMYWALKA STELLA GOLD BRUSH/WHITE - NABLATOWA</v>
      </c>
      <c r="E1787" s="31">
        <v>78.512195121951223</v>
      </c>
      <c r="F1787" s="31">
        <f t="shared" si="27"/>
        <v>96.570000000000007</v>
      </c>
    </row>
    <row r="1788" spans="1:6" ht="18.75" customHeight="1" x14ac:dyDescent="0.25">
      <c r="A1788" s="2" t="str">
        <f ca="1">IFERROR(__xludf.DUMMYFUNCTION("""COMPUTED_VALUE"""),"REA-U7445")</f>
        <v>REA-U7445</v>
      </c>
      <c r="B1788" s="3">
        <f ca="1">IFERROR(__xludf.DUMMYFUNCTION("""COMPUTED_VALUE"""),53386)</f>
        <v>53386</v>
      </c>
      <c r="C1788" s="3">
        <f ca="1">IFERROR(__xludf.DUMMYFUNCTION("""COMPUTED_VALUE"""),5902557398256)</f>
        <v>5902557398256</v>
      </c>
      <c r="D1788" s="4" t="str">
        <f ca="1">IFERROR(__xludf.DUMMYFUNCTION("""COMPUTED_VALUE"""),"UMYWALKA STELLA GOLD EDGE - NABLATOWA")</f>
        <v>UMYWALKA STELLA GOLD EDGE - NABLATOWA</v>
      </c>
      <c r="E1788" s="31">
        <v>69.487804878048792</v>
      </c>
      <c r="F1788" s="31">
        <f t="shared" si="27"/>
        <v>85.470000000000013</v>
      </c>
    </row>
    <row r="1789" spans="1:6" ht="18.75" customHeight="1" x14ac:dyDescent="0.25">
      <c r="A1789" s="2" t="str">
        <f ca="1">IFERROR(__xludf.DUMMYFUNCTION("""COMPUTED_VALUE"""),"REA-U1893")</f>
        <v>REA-U1893</v>
      </c>
      <c r="B1789" s="3"/>
      <c r="C1789" s="3">
        <f ca="1">IFERROR(__xludf.DUMMYFUNCTION("""COMPUTED_VALUE"""),5902557337392)</f>
        <v>5902557337392</v>
      </c>
      <c r="D1789" s="4" t="str">
        <f ca="1">IFERROR(__xludf.DUMMYFUNCTION("""COMPUTED_VALUE"""),"UMYWALKA STELLA GREEN MATT - NABLATOWA")</f>
        <v>UMYWALKA STELLA GREEN MATT - NABLATOWA</v>
      </c>
      <c r="E1789" s="31">
        <v>66.780487804878049</v>
      </c>
      <c r="F1789" s="31">
        <f t="shared" si="27"/>
        <v>82.14</v>
      </c>
    </row>
    <row r="1790" spans="1:6" ht="18.75" customHeight="1" x14ac:dyDescent="0.25">
      <c r="A1790" s="2" t="str">
        <f ca="1">IFERROR(__xludf.DUMMYFUNCTION("""COMPUTED_VALUE"""),"REA-U1894")</f>
        <v>REA-U1894</v>
      </c>
      <c r="B1790" s="3"/>
      <c r="C1790" s="3">
        <f ca="1">IFERROR(__xludf.DUMMYFUNCTION("""COMPUTED_VALUE"""),5902557337408)</f>
        <v>5902557337408</v>
      </c>
      <c r="D1790" s="4" t="str">
        <f ca="1">IFERROR(__xludf.DUMMYFUNCTION("""COMPUTED_VALUE"""),"UMYWALKA STELLA L.CORAL MATT - NABLATOWA")</f>
        <v>UMYWALKA STELLA L.CORAL MATT - NABLATOWA</v>
      </c>
      <c r="E1790" s="31">
        <v>70.390243902439025</v>
      </c>
      <c r="F1790" s="31">
        <f t="shared" si="27"/>
        <v>86.58</v>
      </c>
    </row>
    <row r="1791" spans="1:6" ht="18.75" customHeight="1" x14ac:dyDescent="0.25">
      <c r="A1791" s="2" t="str">
        <f ca="1">IFERROR(__xludf.DUMMYFUNCTION("""COMPUTED_VALUE"""),"REA-U7444")</f>
        <v>REA-U7444</v>
      </c>
      <c r="B1791" s="3">
        <f ca="1">IFERROR(__xludf.DUMMYFUNCTION("""COMPUTED_VALUE"""),47478)</f>
        <v>47478</v>
      </c>
      <c r="C1791" s="3">
        <f ca="1">IFERROR(__xludf.DUMMYFUNCTION("""COMPUTED_VALUE"""),5902557376537)</f>
        <v>5902557376537</v>
      </c>
      <c r="D1791" s="4" t="str">
        <f ca="1">IFERROR(__xludf.DUMMYFUNCTION("""COMPUTED_VALUE"""),"UMYWALKA STELLA ROSE GOLD EDGE - NABLATOWA")</f>
        <v>UMYWALKA STELLA ROSE GOLD EDGE - NABLATOWA</v>
      </c>
      <c r="E1791" s="31">
        <v>71.292682926829286</v>
      </c>
      <c r="F1791" s="31">
        <f t="shared" si="27"/>
        <v>87.690000000000026</v>
      </c>
    </row>
    <row r="1792" spans="1:6" ht="18.75" customHeight="1" x14ac:dyDescent="0.25">
      <c r="A1792" s="2" t="str">
        <f ca="1">IFERROR(__xludf.DUMMYFUNCTION("""COMPUTED_VALUE"""),"REA-U5610")</f>
        <v>REA-U5610</v>
      </c>
      <c r="B1792" s="3">
        <f ca="1">IFERROR(__xludf.DUMMYFUNCTION("""COMPUTED_VALUE"""),42504)</f>
        <v>42504</v>
      </c>
      <c r="C1792" s="3">
        <f ca="1">IFERROR(__xludf.DUMMYFUNCTION("""COMPUTED_VALUE"""),5902557364268)</f>
        <v>5902557364268</v>
      </c>
      <c r="D1792" s="4" t="str">
        <f ca="1">IFERROR(__xludf.DUMMYFUNCTION("""COMPUTED_VALUE"""),"UMYWALKA TANGO - NABLATOWA")</f>
        <v>UMYWALKA TANGO - NABLATOWA</v>
      </c>
      <c r="E1792" s="31">
        <v>62.268292682926841</v>
      </c>
      <c r="F1792" s="31">
        <f t="shared" si="27"/>
        <v>76.590000000000018</v>
      </c>
    </row>
    <row r="1793" spans="1:6" ht="18.75" customHeight="1" x14ac:dyDescent="0.25">
      <c r="A1793" s="2" t="str">
        <f ca="1">IFERROR(__xludf.DUMMYFUNCTION("""COMPUTED_VALUE"""),"BEL-00002")</f>
        <v>BEL-00002</v>
      </c>
      <c r="B1793" s="3">
        <f ca="1">IFERROR(__xludf.DUMMYFUNCTION("""COMPUTED_VALUE"""),43506)</f>
        <v>43506</v>
      </c>
      <c r="C1793" s="3">
        <f ca="1">IFERROR(__xludf.DUMMYFUNCTION("""COMPUTED_VALUE"""),5902557363643)</f>
        <v>5902557363643</v>
      </c>
      <c r="D1793" s="4" t="str">
        <f ca="1">IFERROR(__xludf.DUMMYFUNCTION("""COMPUTED_VALUE"""),"UMYWALKA TRENDY - NABLATOWA")</f>
        <v>UMYWALKA TRENDY - NABLATOWA</v>
      </c>
      <c r="E1793" s="31">
        <v>37.000000000000007</v>
      </c>
      <c r="F1793" s="31">
        <f t="shared" ref="F1793:F1856" si="28">E1793*1.23</f>
        <v>45.510000000000005</v>
      </c>
    </row>
    <row r="1794" spans="1:6" ht="18.75" customHeight="1" x14ac:dyDescent="0.25">
      <c r="A1794" s="2" t="str">
        <f ca="1">IFERROR(__xludf.DUMMYFUNCTION("""COMPUTED_VALUE"""),"BAS-U1005")</f>
        <v>BAS-U1005</v>
      </c>
      <c r="B1794" s="3"/>
      <c r="C1794" s="3">
        <f ca="1">IFERROR(__xludf.DUMMYFUNCTION("""COMPUTED_VALUE"""),5902557365463)</f>
        <v>5902557365463</v>
      </c>
      <c r="D1794" s="4" t="str">
        <f ca="1">IFERROR(__xludf.DUMMYFUNCTION("""COMPUTED_VALUE"""),"UMYWALKA UN1005 WESTA - NABLATOWA")</f>
        <v>UMYWALKA UN1005 WESTA - NABLATOWA</v>
      </c>
      <c r="E1794" s="31">
        <v>49.634146341463421</v>
      </c>
      <c r="F1794" s="31">
        <f t="shared" si="28"/>
        <v>61.050000000000004</v>
      </c>
    </row>
    <row r="1795" spans="1:6" ht="18.75" customHeight="1" x14ac:dyDescent="0.25">
      <c r="A1795" s="2" t="str">
        <f ca="1">IFERROR(__xludf.DUMMYFUNCTION("""COMPUTED_VALUE"""),"REA-U1222")</f>
        <v>REA-U1222</v>
      </c>
      <c r="B1795" s="3"/>
      <c r="C1795" s="3">
        <f ca="1">IFERROR(__xludf.DUMMYFUNCTION("""COMPUTED_VALUE"""),5902557366330)</f>
        <v>5902557366330</v>
      </c>
      <c r="D1795" s="4" t="str">
        <f ca="1">IFERROR(__xludf.DUMMYFUNCTION("""COMPUTED_VALUE"""),"UMYWALKA UNDER ARTE BLUE - PODBLATOWA")</f>
        <v>UMYWALKA UNDER ARTE BLUE - PODBLATOWA</v>
      </c>
      <c r="E1795" s="31">
        <v>88.439024390243901</v>
      </c>
      <c r="F1795" s="31">
        <f t="shared" si="28"/>
        <v>108.78</v>
      </c>
    </row>
    <row r="1796" spans="1:6" ht="18.75" customHeight="1" x14ac:dyDescent="0.25">
      <c r="A1796" s="2" t="str">
        <f ca="1">IFERROR(__xludf.DUMMYFUNCTION("""COMPUTED_VALUE"""),"REA-U5000")</f>
        <v>REA-U5000</v>
      </c>
      <c r="B1796" s="3">
        <f ca="1">IFERROR(__xludf.DUMMYFUNCTION("""COMPUTED_VALUE"""),1742)</f>
        <v>1742</v>
      </c>
      <c r="C1796" s="3">
        <f ca="1">IFERROR(__xludf.DUMMYFUNCTION("""COMPUTED_VALUE"""),5902557323005)</f>
        <v>5902557323005</v>
      </c>
      <c r="D1796" s="4" t="str">
        <f ca="1">IFERROR(__xludf.DUMMYFUNCTION("""COMPUTED_VALUE"""),"UMYWALKA VALERIA N - NABLATOWA")</f>
        <v>UMYWALKA VALERIA N - NABLATOWA</v>
      </c>
      <c r="E1796" s="31">
        <v>63.170731707317081</v>
      </c>
      <c r="F1796" s="31">
        <f t="shared" si="28"/>
        <v>77.7</v>
      </c>
    </row>
    <row r="1797" spans="1:6" ht="18.75" customHeight="1" x14ac:dyDescent="0.25">
      <c r="A1797" s="2" t="str">
        <f ca="1">IFERROR(__xludf.DUMMYFUNCTION("""COMPUTED_VALUE"""),"REA-U0603")</f>
        <v>REA-U0603</v>
      </c>
      <c r="B1797" s="3">
        <f ca="1">IFERROR(__xludf.DUMMYFUNCTION("""COMPUTED_VALUE"""),52418)</f>
        <v>52418</v>
      </c>
      <c r="C1797" s="3">
        <f ca="1">IFERROR(__xludf.DUMMYFUNCTION("""COMPUTED_VALUE"""),5902557398294)</f>
        <v>5902557398294</v>
      </c>
      <c r="D1797" s="4" t="str">
        <f ca="1">IFERROR(__xludf.DUMMYFUNCTION("""COMPUTED_VALUE"""),"UMYWALKA VANDA - NABLATOWA")</f>
        <v>UMYWALKA VANDA - NABLATOWA</v>
      </c>
      <c r="E1797" s="31">
        <v>57.756097560975611</v>
      </c>
      <c r="F1797" s="31">
        <f t="shared" si="28"/>
        <v>71.040000000000006</v>
      </c>
    </row>
    <row r="1798" spans="1:6" ht="18.75" customHeight="1" x14ac:dyDescent="0.25">
      <c r="A1798" s="2" t="str">
        <f ca="1">IFERROR(__xludf.DUMMYFUNCTION("""COMPUTED_VALUE"""),"REA-U6526")</f>
        <v>REA-U6526</v>
      </c>
      <c r="B1798" s="3">
        <f ca="1">IFERROR(__xludf.DUMMYFUNCTION("""COMPUTED_VALUE"""),54131)</f>
        <v>54131</v>
      </c>
      <c r="C1798" s="3">
        <f ca="1">IFERROR(__xludf.DUMMYFUNCTION("""COMPUTED_VALUE"""),5906366006289)</f>
        <v>5906366006289</v>
      </c>
      <c r="D1798" s="4" t="str">
        <f ca="1">IFERROR(__xludf.DUMMYFUNCTION("""COMPUTED_VALUE"""),"UMYWALKA VANDA 61 - NABLATOWA")</f>
        <v>UMYWALKA VANDA 61 - NABLATOWA</v>
      </c>
      <c r="E1798" s="31">
        <v>65.878048780487816</v>
      </c>
      <c r="F1798" s="31">
        <f t="shared" si="28"/>
        <v>81.030000000000015</v>
      </c>
    </row>
    <row r="1799" spans="1:6" ht="18.75" customHeight="1" x14ac:dyDescent="0.25">
      <c r="A1799" s="2" t="str">
        <f ca="1">IFERROR(__xludf.DUMMYFUNCTION("""COMPUTED_VALUE"""),"REA-U1501")</f>
        <v>REA-U1501</v>
      </c>
      <c r="B1799" s="3">
        <f ca="1">IFERROR(__xludf.DUMMYFUNCTION("""COMPUTED_VALUE"""),1635)</f>
        <v>1635</v>
      </c>
      <c r="C1799" s="3">
        <f ca="1">IFERROR(__xludf.DUMMYFUNCTION("""COMPUTED_VALUE"""),5902557322961)</f>
        <v>5902557322961</v>
      </c>
      <c r="D1799" s="4" t="str">
        <f ca="1">IFERROR(__xludf.DUMMYFUNCTION("""COMPUTED_VALUE"""),"UMYWALKA VEGA - NABLATOWA")</f>
        <v>UMYWALKA VEGA - NABLATOWA</v>
      </c>
      <c r="E1799" s="31">
        <v>46.926829268292686</v>
      </c>
      <c r="F1799" s="31">
        <f t="shared" si="28"/>
        <v>57.72</v>
      </c>
    </row>
    <row r="1800" spans="1:6" ht="18.75" customHeight="1" x14ac:dyDescent="0.25">
      <c r="A1800" s="2" t="str">
        <f ca="1">IFERROR(__xludf.DUMMYFUNCTION("""COMPUTED_VALUE"""),"REA-U6643")</f>
        <v>REA-U6643</v>
      </c>
      <c r="B1800" s="3">
        <f ca="1">IFERROR(__xludf.DUMMYFUNCTION("""COMPUTED_VALUE"""),26964)</f>
        <v>26964</v>
      </c>
      <c r="C1800" s="3">
        <f ca="1">IFERROR(__xludf.DUMMYFUNCTION("""COMPUTED_VALUE"""),5902557335473)</f>
        <v>5902557335473</v>
      </c>
      <c r="D1800" s="4" t="str">
        <f ca="1">IFERROR(__xludf.DUMMYFUNCTION("""COMPUTED_VALUE"""),"UMYWALKA VEGAS - NABLATOWA")</f>
        <v>UMYWALKA VEGAS - NABLATOWA</v>
      </c>
      <c r="E1800" s="31">
        <v>63.170731707317081</v>
      </c>
      <c r="F1800" s="31">
        <f t="shared" si="28"/>
        <v>77.7</v>
      </c>
    </row>
    <row r="1801" spans="1:6" ht="18.75" customHeight="1" x14ac:dyDescent="0.25">
      <c r="A1801" s="2" t="str">
        <f ca="1">IFERROR(__xludf.DUMMYFUNCTION("""COMPUTED_VALUE"""),"REA-U0994")</f>
        <v>REA-U0994</v>
      </c>
      <c r="B1801" s="3">
        <f ca="1">IFERROR(__xludf.DUMMYFUNCTION("""COMPUTED_VALUE"""),41727)</f>
        <v>41727</v>
      </c>
      <c r="C1801" s="3">
        <f ca="1">IFERROR(__xludf.DUMMYFUNCTION("""COMPUTED_VALUE"""),5902557358205)</f>
        <v>5902557358205</v>
      </c>
      <c r="D1801" s="4" t="str">
        <f ca="1">IFERROR(__xludf.DUMMYFUNCTION("""COMPUTED_VALUE"""),"UMYWALKA VEGAS BLACK MARBLE MATT - NABLATOWA")</f>
        <v>UMYWALKA VEGAS BLACK MARBLE MATT - NABLATOWA</v>
      </c>
      <c r="E1801" s="31">
        <v>70.390243902439025</v>
      </c>
      <c r="F1801" s="31">
        <f t="shared" si="28"/>
        <v>86.58</v>
      </c>
    </row>
    <row r="1802" spans="1:6" ht="18.75" customHeight="1" x14ac:dyDescent="0.25">
      <c r="A1802" s="2" t="str">
        <f ca="1">IFERROR(__xludf.DUMMYFUNCTION("""COMPUTED_VALUE"""),"REA-U5603")</f>
        <v>REA-U5603</v>
      </c>
      <c r="B1802" s="3">
        <f ca="1">IFERROR(__xludf.DUMMYFUNCTION("""COMPUTED_VALUE"""),42894)</f>
        <v>42894</v>
      </c>
      <c r="C1802" s="3">
        <f ca="1">IFERROR(__xludf.DUMMYFUNCTION("""COMPUTED_VALUE"""),5902557364206)</f>
        <v>5902557364206</v>
      </c>
      <c r="D1802" s="4" t="str">
        <f ca="1">IFERROR(__xludf.DUMMYFUNCTION("""COMPUTED_VALUE"""),"UMYWALKA VEGAS BLACK MARBLE SHINY - NABLATOWA")</f>
        <v>UMYWALKA VEGAS BLACK MARBLE SHINY - NABLATOWA</v>
      </c>
      <c r="E1802" s="31">
        <v>54.146341463414643</v>
      </c>
      <c r="F1802" s="31">
        <f t="shared" si="28"/>
        <v>66.600000000000009</v>
      </c>
    </row>
    <row r="1803" spans="1:6" ht="18.75" customHeight="1" x14ac:dyDescent="0.25">
      <c r="A1803" s="2" t="str">
        <f ca="1">IFERROR(__xludf.DUMMYFUNCTION("""COMPUTED_VALUE"""),"REA-U5602")</f>
        <v>REA-U5602</v>
      </c>
      <c r="B1803" s="3">
        <f ca="1">IFERROR(__xludf.DUMMYFUNCTION("""COMPUTED_VALUE"""),42893)</f>
        <v>42893</v>
      </c>
      <c r="C1803" s="3">
        <f ca="1">IFERROR(__xludf.DUMMYFUNCTION("""COMPUTED_VALUE"""),5902557364213)</f>
        <v>5902557364213</v>
      </c>
      <c r="D1803" s="4" t="str">
        <f ca="1">IFERROR(__xludf.DUMMYFUNCTION("""COMPUTED_VALUE"""),"UMYWALKA VEGAS GRANIT SHINY - NABLATOWA")</f>
        <v>UMYWALKA VEGAS GRANIT SHINY - NABLATOWA</v>
      </c>
      <c r="E1803" s="31">
        <v>74.000000000000014</v>
      </c>
      <c r="F1803" s="31">
        <f t="shared" si="28"/>
        <v>91.02000000000001</v>
      </c>
    </row>
    <row r="1804" spans="1:6" ht="18.75" customHeight="1" x14ac:dyDescent="0.25">
      <c r="A1804" s="2" t="str">
        <f ca="1">IFERROR(__xludf.DUMMYFUNCTION("""COMPUTED_VALUE"""),"REA-U5605")</f>
        <v>REA-U5605</v>
      </c>
      <c r="B1804" s="3">
        <f ca="1">IFERROR(__xludf.DUMMYFUNCTION("""COMPUTED_VALUE"""),42867)</f>
        <v>42867</v>
      </c>
      <c r="C1804" s="3">
        <f ca="1">IFERROR(__xludf.DUMMYFUNCTION("""COMPUTED_VALUE"""),5902557364220)</f>
        <v>5902557364220</v>
      </c>
      <c r="D1804" s="4" t="str">
        <f ca="1">IFERROR(__xludf.DUMMYFUNCTION("""COMPUTED_VALUE"""),"UMYWALKA VEGAS ROSE GOLD EDGE - NABLATOWA")</f>
        <v>UMYWALKA VEGAS ROSE GOLD EDGE - NABLATOWA</v>
      </c>
      <c r="E1804" s="31">
        <v>111.00000000000001</v>
      </c>
      <c r="F1804" s="31">
        <f t="shared" si="28"/>
        <v>136.53000000000003</v>
      </c>
    </row>
    <row r="1805" spans="1:6" ht="18.75" customHeight="1" x14ac:dyDescent="0.25">
      <c r="A1805" s="2" t="str">
        <f ca="1">IFERROR(__xludf.DUMMYFUNCTION("""COMPUTED_VALUE"""),"REA-U5615")</f>
        <v>REA-U5615</v>
      </c>
      <c r="B1805" s="3"/>
      <c r="C1805" s="3"/>
      <c r="D1805" s="4" t="str">
        <f ca="1">IFERROR(__xludf.DUMMYFUNCTION("""COMPUTED_VALUE"""),"UMYWALKA VEGAS WHITE GOLD EDGE")</f>
        <v>UMYWALKA VEGAS WHITE GOLD EDGE</v>
      </c>
      <c r="E1805" s="31">
        <v>84.82926829268294</v>
      </c>
      <c r="F1805" s="31">
        <f t="shared" si="28"/>
        <v>104.34000000000002</v>
      </c>
    </row>
    <row r="1806" spans="1:6" ht="18.75" customHeight="1" x14ac:dyDescent="0.25">
      <c r="A1806" s="2" t="str">
        <f ca="1">IFERROR(__xludf.DUMMYFUNCTION("""COMPUTED_VALUE"""),"REA-U3325")</f>
        <v>REA-U3325</v>
      </c>
      <c r="B1806" s="3">
        <f ca="1">IFERROR(__xludf.DUMMYFUNCTION("""COMPUTED_VALUE"""),52449)</f>
        <v>52449</v>
      </c>
      <c r="C1806" s="3">
        <f ca="1">IFERROR(__xludf.DUMMYFUNCTION("""COMPUTED_VALUE"""),5902557396696)</f>
        <v>5902557396696</v>
      </c>
      <c r="D1806" s="4" t="str">
        <f ca="1">IFERROR(__xludf.DUMMYFUNCTION("""COMPUTED_VALUE"""),"UMYWALKA VERONA")</f>
        <v>UMYWALKA VERONA</v>
      </c>
      <c r="E1806" s="31">
        <v>63.170731707317081</v>
      </c>
      <c r="F1806" s="31">
        <f t="shared" si="28"/>
        <v>77.7</v>
      </c>
    </row>
    <row r="1807" spans="1:6" ht="18.75" customHeight="1" x14ac:dyDescent="0.25">
      <c r="A1807" s="2" t="str">
        <f ca="1">IFERROR(__xludf.DUMMYFUNCTION("""COMPUTED_VALUE"""),"REA-U9668")</f>
        <v>REA-U9668</v>
      </c>
      <c r="B1807" s="3">
        <f ca="1">IFERROR(__xludf.DUMMYFUNCTION("""COMPUTED_VALUE"""),46432)</f>
        <v>46432</v>
      </c>
      <c r="C1807" s="3">
        <f ca="1">IFERROR(__xludf.DUMMYFUNCTION("""COMPUTED_VALUE"""),5902557376186)</f>
        <v>5902557376186</v>
      </c>
      <c r="D1807" s="4" t="str">
        <f ca="1">IFERROR(__xludf.DUMMYFUNCTION("""COMPUTED_VALUE"""),"UMYWALKA VILLA COPPER - NABLATOWA")</f>
        <v>UMYWALKA VILLA COPPER - NABLATOWA</v>
      </c>
      <c r="E1807" s="31">
        <v>104.68292682926831</v>
      </c>
      <c r="F1807" s="31">
        <f t="shared" si="28"/>
        <v>128.76000000000002</v>
      </c>
    </row>
    <row r="1808" spans="1:6" ht="18.75" customHeight="1" x14ac:dyDescent="0.25">
      <c r="A1808" s="2" t="str">
        <f ca="1">IFERROR(__xludf.DUMMYFUNCTION("""COMPUTED_VALUE"""),"REA-U9669")</f>
        <v>REA-U9669</v>
      </c>
      <c r="B1808" s="3">
        <f ca="1">IFERROR(__xludf.DUMMYFUNCTION("""COMPUTED_VALUE"""),46433)</f>
        <v>46433</v>
      </c>
      <c r="C1808" s="3">
        <f ca="1">IFERROR(__xludf.DUMMYFUNCTION("""COMPUTED_VALUE"""),5902557376193)</f>
        <v>5902557376193</v>
      </c>
      <c r="D1808" s="4" t="str">
        <f ca="1">IFERROR(__xludf.DUMMYFUNCTION("""COMPUTED_VALUE"""),"UMYWALKA VILLA OLD GOLD - NABLATOWA")</f>
        <v>UMYWALKA VILLA OLD GOLD - NABLATOWA</v>
      </c>
      <c r="E1808" s="31">
        <v>104.68292682926831</v>
      </c>
      <c r="F1808" s="31">
        <f t="shared" si="28"/>
        <v>128.76000000000002</v>
      </c>
    </row>
    <row r="1809" spans="1:6" ht="18.75" customHeight="1" x14ac:dyDescent="0.25">
      <c r="A1809" s="2" t="str">
        <f ca="1">IFERROR(__xludf.DUMMYFUNCTION("""COMPUTED_VALUE"""),"REA-U4601")</f>
        <v>REA-U4601</v>
      </c>
      <c r="B1809" s="3">
        <f ca="1">IFERROR(__xludf.DUMMYFUNCTION("""COMPUTED_VALUE"""),33255)</f>
        <v>33255</v>
      </c>
      <c r="C1809" s="3">
        <f ca="1">IFERROR(__xludf.DUMMYFUNCTION("""COMPUTED_VALUE"""),5902557345083)</f>
        <v>5902557345083</v>
      </c>
      <c r="D1809" s="4" t="str">
        <f ca="1">IFERROR(__xludf.DUMMYFUNCTION("""COMPUTED_VALUE"""),"UMYWALKA VISTA - NABLATOWA")</f>
        <v>UMYWALKA VISTA - NABLATOWA</v>
      </c>
      <c r="E1809" s="31">
        <v>46.024390243902438</v>
      </c>
      <c r="F1809" s="31">
        <f t="shared" si="28"/>
        <v>56.61</v>
      </c>
    </row>
    <row r="1810" spans="1:6" ht="18.75" customHeight="1" x14ac:dyDescent="0.25">
      <c r="A1810" s="2" t="str">
        <f ca="1">IFERROR(__xludf.DUMMYFUNCTION("""COMPUTED_VALUE"""),"REA-U4602")</f>
        <v>REA-U4602</v>
      </c>
      <c r="B1810" s="3"/>
      <c r="C1810" s="3">
        <f ca="1">IFERROR(__xludf.DUMMYFUNCTION("""COMPUTED_VALUE"""),5902557345090)</f>
        <v>5902557345090</v>
      </c>
      <c r="D1810" s="4" t="str">
        <f ca="1">IFERROR(__xludf.DUMMYFUNCTION("""COMPUTED_VALUE"""),"UMYWALKA VISTA MAT BLACK - NABLATOWA")</f>
        <v>UMYWALKA VISTA MAT BLACK - NABLATOWA</v>
      </c>
      <c r="E1810" s="31">
        <v>69.487804878048792</v>
      </c>
      <c r="F1810" s="31">
        <f t="shared" si="28"/>
        <v>85.470000000000013</v>
      </c>
    </row>
    <row r="1811" spans="1:6" ht="18.75" customHeight="1" x14ac:dyDescent="0.25">
      <c r="A1811" s="2" t="str">
        <f ca="1">IFERROR(__xludf.DUMMYFUNCTION("""COMPUTED_VALUE"""),"REA-U5666")</f>
        <v>REA-U5666</v>
      </c>
      <c r="B1811" s="3">
        <f ca="1">IFERROR(__xludf.DUMMYFUNCTION("""COMPUTED_VALUE"""),42762)</f>
        <v>42762</v>
      </c>
      <c r="C1811" s="3">
        <f ca="1">IFERROR(__xludf.DUMMYFUNCTION("""COMPUTED_VALUE"""),5902557366576)</f>
        <v>5902557366576</v>
      </c>
      <c r="D1811" s="4" t="str">
        <f ca="1">IFERROR(__xludf.DUMMYFUNCTION("""COMPUTED_VALUE"""),"UMYWALKA VIVIEN - NABLATOWA")</f>
        <v>UMYWALKA VIVIEN - NABLATOWA</v>
      </c>
      <c r="E1811" s="31">
        <v>116.41463414634147</v>
      </c>
      <c r="F1811" s="31">
        <f t="shared" si="28"/>
        <v>143.19</v>
      </c>
    </row>
    <row r="1812" spans="1:6" ht="18.75" customHeight="1" x14ac:dyDescent="0.25">
      <c r="A1812" s="2" t="str">
        <f ca="1">IFERROR(__xludf.DUMMYFUNCTION("""COMPUTED_VALUE"""),"REA-U0157")</f>
        <v>REA-U0157</v>
      </c>
      <c r="B1812" s="3">
        <f ca="1">IFERROR(__xludf.DUMMYFUNCTION("""COMPUTED_VALUE"""),1629)</f>
        <v>1629</v>
      </c>
      <c r="C1812" s="3">
        <f ca="1">IFERROR(__xludf.DUMMYFUNCTION("""COMPUTED_VALUE"""),5902557300464)</f>
        <v>5902557300464</v>
      </c>
      <c r="D1812" s="4" t="str">
        <f ca="1">IFERROR(__xludf.DUMMYFUNCTION("""COMPUTED_VALUE"""),"UMYWALKA WENDY - NABLATOWA")</f>
        <v>UMYWALKA WENDY - NABLATOWA</v>
      </c>
      <c r="E1812" s="31">
        <v>60.463414634146346</v>
      </c>
      <c r="F1812" s="31">
        <f t="shared" si="28"/>
        <v>74.37</v>
      </c>
    </row>
    <row r="1813" spans="1:6" ht="18.75" customHeight="1" x14ac:dyDescent="0.25">
      <c r="A1813" s="2" t="str">
        <f ca="1">IFERROR(__xludf.DUMMYFUNCTION("""COMPUTED_VALUE"""),"REA-U5053")</f>
        <v>REA-U5053</v>
      </c>
      <c r="B1813" s="3">
        <f ca="1">IFERROR(__xludf.DUMMYFUNCTION("""COMPUTED_VALUE"""),43003)</f>
        <v>43003</v>
      </c>
      <c r="C1813" s="3">
        <f ca="1">IFERROR(__xludf.DUMMYFUNCTION("""COMPUTED_VALUE"""),5902557366637)</f>
        <v>5902557366637</v>
      </c>
      <c r="D1813" s="4" t="str">
        <f ca="1">IFERROR(__xludf.DUMMYFUNCTION("""COMPUTED_VALUE"""),"UMYWALKA WENDY MARMO - NABLATOWA")</f>
        <v>UMYWALKA WENDY MARMO - NABLATOWA</v>
      </c>
      <c r="E1813" s="31">
        <v>64.073170731707322</v>
      </c>
      <c r="F1813" s="31">
        <f t="shared" si="28"/>
        <v>78.81</v>
      </c>
    </row>
    <row r="1814" spans="1:6" ht="18.75" customHeight="1" x14ac:dyDescent="0.25">
      <c r="A1814" s="2" t="str">
        <f ca="1">IFERROR(__xludf.DUMMYFUNCTION("""COMPUTED_VALUE"""),"REA-U3305")</f>
        <v>REA-U3305</v>
      </c>
      <c r="B1814" s="3">
        <f ca="1">IFERROR(__xludf.DUMMYFUNCTION("""COMPUTED_VALUE"""),50964)</f>
        <v>50964</v>
      </c>
      <c r="C1814" s="3">
        <f ca="1">IFERROR(__xludf.DUMMYFUNCTION("""COMPUTED_VALUE"""),5902557392315)</f>
        <v>5902557392315</v>
      </c>
      <c r="D1814" s="4" t="str">
        <f ca="1">IFERROR(__xludf.DUMMYFUNCTION("""COMPUTED_VALUE"""),"UMYWALKA WILMA RUSTIC - NABLATOWA")</f>
        <v>UMYWALKA WILMA RUSTIC - NABLATOWA</v>
      </c>
      <c r="E1814" s="31">
        <v>95.658536585365866</v>
      </c>
      <c r="F1814" s="31">
        <f t="shared" si="28"/>
        <v>117.66000000000001</v>
      </c>
    </row>
    <row r="1815" spans="1:6" ht="18.75" customHeight="1" x14ac:dyDescent="0.25">
      <c r="A1815" s="2" t="str">
        <f ca="1">IFERROR(__xludf.DUMMYFUNCTION("""COMPUTED_VALUE"""),"REA-U0140")</f>
        <v>REA-U0140</v>
      </c>
      <c r="B1815" s="3">
        <f ca="1">IFERROR(__xludf.DUMMYFUNCTION("""COMPUTED_VALUE"""),30040)</f>
        <v>30040</v>
      </c>
      <c r="C1815" s="3">
        <f ca="1">IFERROR(__xludf.DUMMYFUNCTION("""COMPUTED_VALUE"""),5902557322756)</f>
        <v>5902557322756</v>
      </c>
      <c r="D1815" s="4" t="str">
        <f ca="1">IFERROR(__xludf.DUMMYFUNCTION("""COMPUTED_VALUE"""),"UMYWALKA XARA - NABLATOWA/ŚCIENNA")</f>
        <v>UMYWALKA XARA - NABLATOWA/ŚCIENNA</v>
      </c>
      <c r="E1815" s="31">
        <v>61.365853658536594</v>
      </c>
      <c r="F1815" s="31">
        <f t="shared" si="28"/>
        <v>75.48</v>
      </c>
    </row>
    <row r="1816" spans="1:6" ht="18.75" customHeight="1" x14ac:dyDescent="0.25">
      <c r="A1816" s="2" t="str">
        <f ca="1">IFERROR(__xludf.DUMMYFUNCTION("""COMPUTED_VALUE"""),"REA-W0250")</f>
        <v>REA-W0250</v>
      </c>
      <c r="B1816" s="3">
        <f ca="1">IFERROR(__xludf.DUMMYFUNCTION("""COMPUTED_VALUE"""),51647)</f>
        <v>51647</v>
      </c>
      <c r="C1816" s="3">
        <f ca="1">IFERROR(__xludf.DUMMYFUNCTION("""COMPUTED_VALUE"""),5902557393626)</f>
        <v>5902557393626</v>
      </c>
      <c r="D1816" s="4" t="str">
        <f ca="1">IFERROR(__xludf.DUMMYFUNCTION("""COMPUTED_VALUE"""),"WANNA BELLANTO 150 LEWA")</f>
        <v>WANNA BELLANTO 150 LEWA</v>
      </c>
      <c r="E1816" s="31">
        <v>764.36585365853671</v>
      </c>
      <c r="F1816" s="31">
        <f t="shared" si="28"/>
        <v>940.17000000000019</v>
      </c>
    </row>
    <row r="1817" spans="1:6" ht="18.75" customHeight="1" x14ac:dyDescent="0.25">
      <c r="A1817" s="2" t="str">
        <f ca="1">IFERROR(__xludf.DUMMYFUNCTION("""COMPUTED_VALUE"""),"REA-W0251")</f>
        <v>REA-W0251</v>
      </c>
      <c r="B1817" s="3">
        <f ca="1">IFERROR(__xludf.DUMMYFUNCTION("""COMPUTED_VALUE"""),51644)</f>
        <v>51644</v>
      </c>
      <c r="C1817" s="3">
        <f ca="1">IFERROR(__xludf.DUMMYFUNCTION("""COMPUTED_VALUE"""),5902557393633)</f>
        <v>5902557393633</v>
      </c>
      <c r="D1817" s="4" t="str">
        <f ca="1">IFERROR(__xludf.DUMMYFUNCTION("""COMPUTED_VALUE"""),"WANNA BELLANTO 150 PRAWA")</f>
        <v>WANNA BELLANTO 150 PRAWA</v>
      </c>
      <c r="E1817" s="31">
        <v>764.36585365853671</v>
      </c>
      <c r="F1817" s="31">
        <f t="shared" si="28"/>
        <v>940.17000000000019</v>
      </c>
    </row>
    <row r="1818" spans="1:6" ht="18.75" customHeight="1" x14ac:dyDescent="0.25">
      <c r="A1818" s="2" t="str">
        <f ca="1">IFERROR(__xludf.DUMMYFUNCTION("""COMPUTED_VALUE"""),"REA-W0252")</f>
        <v>REA-W0252</v>
      </c>
      <c r="B1818" s="3">
        <f ca="1">IFERROR(__xludf.DUMMYFUNCTION("""COMPUTED_VALUE"""),51649)</f>
        <v>51649</v>
      </c>
      <c r="C1818" s="3">
        <f ca="1">IFERROR(__xludf.DUMMYFUNCTION("""COMPUTED_VALUE"""),5902557393619)</f>
        <v>5902557393619</v>
      </c>
      <c r="D1818" s="4" t="str">
        <f ca="1">IFERROR(__xludf.DUMMYFUNCTION("""COMPUTED_VALUE"""),"WANNA BELLANTO 160 LEWA")</f>
        <v>WANNA BELLANTO 160 LEWA</v>
      </c>
      <c r="E1818" s="31">
        <v>785.12195121951231</v>
      </c>
      <c r="F1818" s="31">
        <f t="shared" si="28"/>
        <v>965.70000000000016</v>
      </c>
    </row>
    <row r="1819" spans="1:6" ht="18.75" customHeight="1" x14ac:dyDescent="0.25">
      <c r="A1819" s="2" t="str">
        <f ca="1">IFERROR(__xludf.DUMMYFUNCTION("""COMPUTED_VALUE"""),"REA-W0253")</f>
        <v>REA-W0253</v>
      </c>
      <c r="B1819" s="3">
        <f ca="1">IFERROR(__xludf.DUMMYFUNCTION("""COMPUTED_VALUE"""),51645)</f>
        <v>51645</v>
      </c>
      <c r="C1819" s="3">
        <f ca="1">IFERROR(__xludf.DUMMYFUNCTION("""COMPUTED_VALUE"""),5902557393602)</f>
        <v>5902557393602</v>
      </c>
      <c r="D1819" s="4" t="str">
        <f ca="1">IFERROR(__xludf.DUMMYFUNCTION("""COMPUTED_VALUE"""),"WANNA BELLANTO 160 PRAWA")</f>
        <v>WANNA BELLANTO 160 PRAWA</v>
      </c>
      <c r="E1819" s="31">
        <v>785.12195121951231</v>
      </c>
      <c r="F1819" s="31">
        <f t="shared" si="28"/>
        <v>965.70000000000016</v>
      </c>
    </row>
    <row r="1820" spans="1:6" ht="18.75" customHeight="1" x14ac:dyDescent="0.25">
      <c r="A1820" s="2" t="str">
        <f ca="1">IFERROR(__xludf.DUMMYFUNCTION("""COMPUTED_VALUE"""),"REA-W6901")</f>
        <v>REA-W6901</v>
      </c>
      <c r="B1820" s="3">
        <f ca="1">IFERROR(__xludf.DUMMYFUNCTION("""COMPUTED_VALUE"""),51648)</f>
        <v>51648</v>
      </c>
      <c r="C1820" s="3">
        <f ca="1">IFERROR(__xludf.DUMMYFUNCTION("""COMPUTED_VALUE"""),5902557387472)</f>
        <v>5902557387472</v>
      </c>
      <c r="D1820" s="4" t="str">
        <f ca="1">IFERROR(__xludf.DUMMYFUNCTION("""COMPUTED_VALUE"""),"WANNA BELLANTO 170 LEWA")</f>
        <v>WANNA BELLANTO 170 LEWA</v>
      </c>
      <c r="E1820" s="31">
        <v>827.53658536585374</v>
      </c>
      <c r="F1820" s="31">
        <f t="shared" si="28"/>
        <v>1017.8700000000001</v>
      </c>
    </row>
    <row r="1821" spans="1:6" ht="18.75" customHeight="1" x14ac:dyDescent="0.25">
      <c r="A1821" s="2" t="str">
        <f ca="1">IFERROR(__xludf.DUMMYFUNCTION("""COMPUTED_VALUE"""),"REA-W6900")</f>
        <v>REA-W6900</v>
      </c>
      <c r="B1821" s="3">
        <f ca="1">IFERROR(__xludf.DUMMYFUNCTION("""COMPUTED_VALUE"""),51646)</f>
        <v>51646</v>
      </c>
      <c r="C1821" s="3">
        <f ca="1">IFERROR(__xludf.DUMMYFUNCTION("""COMPUTED_VALUE"""),5902557387489)</f>
        <v>5902557387489</v>
      </c>
      <c r="D1821" s="4" t="str">
        <f ca="1">IFERROR(__xludf.DUMMYFUNCTION("""COMPUTED_VALUE"""),"WANNA BELLANTO 170 PRAWA")</f>
        <v>WANNA BELLANTO 170 PRAWA</v>
      </c>
      <c r="E1821" s="31">
        <v>827.53658536585374</v>
      </c>
      <c r="F1821" s="31">
        <f t="shared" si="28"/>
        <v>1017.8700000000001</v>
      </c>
    </row>
    <row r="1822" spans="1:6" ht="18.75" customHeight="1" x14ac:dyDescent="0.25">
      <c r="A1822" s="2" t="str">
        <f ca="1">IFERROR(__xludf.DUMMYFUNCTION("""COMPUTED_VALUE"""),"REA-W5633")</f>
        <v>REA-W5633</v>
      </c>
      <c r="B1822" s="3">
        <f ca="1">IFERROR(__xludf.DUMMYFUNCTION("""COMPUTED_VALUE"""),38947)</f>
        <v>38947</v>
      </c>
      <c r="C1822" s="3">
        <f ca="1">IFERROR(__xludf.DUMMYFUNCTION("""COMPUTED_VALUE"""),5902557351510)</f>
        <v>5902557351510</v>
      </c>
      <c r="D1822" s="4" t="str">
        <f ca="1">IFERROR(__xludf.DUMMYFUNCTION("""COMPUTED_VALUE"""),"WANNA BRASSO S112 CHROME")</f>
        <v>WANNA BRASSO S112 CHROME</v>
      </c>
      <c r="E1822" s="31">
        <v>492.73170731707324</v>
      </c>
      <c r="F1822" s="31">
        <f t="shared" si="28"/>
        <v>606.06000000000006</v>
      </c>
    </row>
    <row r="1823" spans="1:6" ht="18.75" customHeight="1" x14ac:dyDescent="0.25">
      <c r="A1823" s="2" t="str">
        <f ca="1">IFERROR(__xludf.DUMMYFUNCTION("""COMPUTED_VALUE"""),"REA-W5631")</f>
        <v>REA-W5631</v>
      </c>
      <c r="B1823" s="3">
        <f ca="1">IFERROR(__xludf.DUMMYFUNCTION("""COMPUTED_VALUE"""),38946)</f>
        <v>38946</v>
      </c>
      <c r="C1823" s="3">
        <f ca="1">IFERROR(__xludf.DUMMYFUNCTION("""COMPUTED_VALUE"""),5902557355907)</f>
        <v>5902557355907</v>
      </c>
      <c r="D1823" s="4" t="str">
        <f ca="1">IFERROR(__xludf.DUMMYFUNCTION("""COMPUTED_VALUE"""),"WANNA BRASSO S112 GOLD")</f>
        <v>WANNA BRASSO S112 GOLD</v>
      </c>
      <c r="E1823" s="31">
        <v>550.48780487804879</v>
      </c>
      <c r="F1823" s="31">
        <f t="shared" si="28"/>
        <v>677.1</v>
      </c>
    </row>
    <row r="1824" spans="1:6" ht="18.75" customHeight="1" x14ac:dyDescent="0.25">
      <c r="A1824" s="2" t="str">
        <f ca="1">IFERROR(__xludf.DUMMYFUNCTION("""COMPUTED_VALUE"""),"REA-W9800")</f>
        <v>REA-W9800</v>
      </c>
      <c r="B1824" s="3">
        <f ca="1">IFERROR(__xludf.DUMMYFUNCTION("""COMPUTED_VALUE"""),52687)</f>
        <v>52687</v>
      </c>
      <c r="C1824" s="3">
        <f ca="1">IFERROR(__xludf.DUMMYFUNCTION("""COMPUTED_VALUE"""),5902557396634)</f>
        <v>5902557396634</v>
      </c>
      <c r="D1824" s="4" t="str">
        <f ca="1">IFERROR(__xludf.DUMMYFUNCTION("""COMPUTED_VALUE"""),"WANNA CAPRI 150")</f>
        <v>WANNA CAPRI 150</v>
      </c>
      <c r="E1824" s="31">
        <v>662.39024390243912</v>
      </c>
      <c r="F1824" s="31">
        <f t="shared" si="28"/>
        <v>814.74000000000012</v>
      </c>
    </row>
    <row r="1825" spans="1:6" ht="18.75" customHeight="1" x14ac:dyDescent="0.25">
      <c r="A1825" s="2" t="str">
        <f ca="1">IFERROR(__xludf.DUMMYFUNCTION("""COMPUTED_VALUE"""),"REA-W9801")</f>
        <v>REA-W9801</v>
      </c>
      <c r="B1825" s="3">
        <f ca="1">IFERROR(__xludf.DUMMYFUNCTION("""COMPUTED_VALUE"""),52686)</f>
        <v>52686</v>
      </c>
      <c r="C1825" s="3">
        <f ca="1">IFERROR(__xludf.DUMMYFUNCTION("""COMPUTED_VALUE"""),5902557396627)</f>
        <v>5902557396627</v>
      </c>
      <c r="D1825" s="4" t="str">
        <f ca="1">IFERROR(__xludf.DUMMYFUNCTION("""COMPUTED_VALUE"""),"WANNA CAPRI 170")</f>
        <v>WANNA CAPRI 170</v>
      </c>
      <c r="E1825" s="31">
        <v>692.17073170731715</v>
      </c>
      <c r="F1825" s="31">
        <f t="shared" si="28"/>
        <v>851.37000000000012</v>
      </c>
    </row>
    <row r="1826" spans="1:6" ht="18.75" customHeight="1" x14ac:dyDescent="0.25">
      <c r="A1826" s="2" t="str">
        <f ca="1">IFERROR(__xludf.DUMMYFUNCTION("""COMPUTED_VALUE"""),"REA-W3000")</f>
        <v>REA-W3000</v>
      </c>
      <c r="B1826" s="3">
        <f ca="1">IFERROR(__xludf.DUMMYFUNCTION("""COMPUTED_VALUE"""),50762)</f>
        <v>50762</v>
      </c>
      <c r="C1826" s="3">
        <f ca="1">IFERROR(__xludf.DUMMYFUNCTION("""COMPUTED_VALUE"""),5902557387434)</f>
        <v>5902557387434</v>
      </c>
      <c r="D1826" s="4" t="str">
        <f ca="1">IFERROR(__xludf.DUMMYFUNCTION("""COMPUTED_VALUE"""),"WANNA CORI 160")</f>
        <v>WANNA CORI 160</v>
      </c>
      <c r="E1826" s="31">
        <v>686.75609756097572</v>
      </c>
      <c r="F1826" s="31">
        <f t="shared" si="28"/>
        <v>844.71000000000015</v>
      </c>
    </row>
    <row r="1827" spans="1:6" ht="18.75" customHeight="1" x14ac:dyDescent="0.25">
      <c r="A1827" s="2" t="str">
        <f ca="1">IFERROR(__xludf.DUMMYFUNCTION("""COMPUTED_VALUE"""),"REA-W3001")</f>
        <v>REA-W3001</v>
      </c>
      <c r="B1827" s="3">
        <f ca="1">IFERROR(__xludf.DUMMYFUNCTION("""COMPUTED_VALUE"""),50770)</f>
        <v>50770</v>
      </c>
      <c r="C1827" s="3">
        <f ca="1">IFERROR(__xludf.DUMMYFUNCTION("""COMPUTED_VALUE"""),5902557387441)</f>
        <v>5902557387441</v>
      </c>
      <c r="D1827" s="4" t="str">
        <f ca="1">IFERROR(__xludf.DUMMYFUNCTION("""COMPUTED_VALUE"""),"WANNA CORI 170")</f>
        <v>WANNA CORI 170</v>
      </c>
      <c r="E1827" s="31">
        <v>707.51219512195121</v>
      </c>
      <c r="F1827" s="31">
        <f t="shared" si="28"/>
        <v>870.24</v>
      </c>
    </row>
    <row r="1828" spans="1:6" ht="18.75" customHeight="1" x14ac:dyDescent="0.25">
      <c r="A1828" s="2" t="str">
        <f ca="1">IFERROR(__xludf.DUMMYFUNCTION("""COMPUTED_VALUE"""),"REA-W9802")</f>
        <v>REA-W9802</v>
      </c>
      <c r="B1828" s="3">
        <f ca="1">IFERROR(__xludf.DUMMYFUNCTION("""COMPUTED_VALUE"""),54270)</f>
        <v>54270</v>
      </c>
      <c r="C1828" s="3">
        <f ca="1">IFERROR(__xludf.DUMMYFUNCTION("""COMPUTED_VALUE"""),5906366002694)</f>
        <v>5906366002694</v>
      </c>
      <c r="D1828" s="4" t="str">
        <f ca="1">IFERROR(__xludf.DUMMYFUNCTION("""COMPUTED_VALUE"""),"WANNA CORSO 170")</f>
        <v>WANNA CORSO 170</v>
      </c>
      <c r="E1828" s="31">
        <v>783.31707317073187</v>
      </c>
      <c r="F1828" s="31">
        <f t="shared" si="28"/>
        <v>963.48000000000025</v>
      </c>
    </row>
    <row r="1829" spans="1:6" ht="18.75" customHeight="1" x14ac:dyDescent="0.25">
      <c r="A1829" s="2" t="str">
        <f ca="1">IFERROR(__xludf.DUMMYFUNCTION("""COMPUTED_VALUE"""),"REA-W0099")</f>
        <v>REA-W0099</v>
      </c>
      <c r="B1829" s="3">
        <f ca="1">IFERROR(__xludf.DUMMYFUNCTION("""COMPUTED_VALUE"""),54075)</f>
        <v>54075</v>
      </c>
      <c r="C1829" s="3">
        <f ca="1">IFERROR(__xludf.DUMMYFUNCTION("""COMPUTED_VALUE"""),5906366006876)</f>
        <v>5906366006876</v>
      </c>
      <c r="D1829" s="4" t="str">
        <f ca="1">IFERROR(__xludf.DUMMYFUNCTION("""COMPUTED_VALUE"""),"WANNA FERRANO 150")</f>
        <v>WANNA FERRANO 150</v>
      </c>
      <c r="E1829" s="31">
        <v>564.92682926829275</v>
      </c>
      <c r="F1829" s="31">
        <f t="shared" si="28"/>
        <v>694.86000000000013</v>
      </c>
    </row>
    <row r="1830" spans="1:6" ht="18.75" customHeight="1" x14ac:dyDescent="0.25">
      <c r="A1830" s="2" t="str">
        <f ca="1">IFERROR(__xludf.DUMMYFUNCTION("""COMPUTED_VALUE"""),"REA-W0150")</f>
        <v>REA-W0150</v>
      </c>
      <c r="B1830" s="3">
        <f ca="1">IFERROR(__xludf.DUMMYFUNCTION("""COMPUTED_VALUE"""),30375)</f>
        <v>30375</v>
      </c>
      <c r="C1830" s="3">
        <f ca="1">IFERROR(__xludf.DUMMYFUNCTION("""COMPUTED_VALUE"""),5902557341689)</f>
        <v>5902557341689</v>
      </c>
      <c r="D1830" s="4" t="str">
        <f ca="1">IFERROR(__xludf.DUMMYFUNCTION("""COMPUTED_VALUE"""),"WANNA FERRANO 160")</f>
        <v>WANNA FERRANO 160</v>
      </c>
      <c r="E1830" s="31">
        <v>812.19512195121968</v>
      </c>
      <c r="F1830" s="31">
        <f t="shared" si="28"/>
        <v>999.00000000000023</v>
      </c>
    </row>
    <row r="1831" spans="1:6" ht="18.75" customHeight="1" x14ac:dyDescent="0.25">
      <c r="A1831" s="2" t="str">
        <f ca="1">IFERROR(__xludf.DUMMYFUNCTION("""COMPUTED_VALUE"""),"REA-W0106")</f>
        <v>REA-W0106</v>
      </c>
      <c r="B1831" s="3">
        <f ca="1">IFERROR(__xludf.DUMMYFUNCTION("""COMPUTED_VALUE"""),2289)</f>
        <v>2289</v>
      </c>
      <c r="C1831" s="3">
        <f ca="1">IFERROR(__xludf.DUMMYFUNCTION("""COMPUTED_VALUE"""),5902557313204)</f>
        <v>5902557313204</v>
      </c>
      <c r="D1831" s="4" t="str">
        <f ca="1">IFERROR(__xludf.DUMMYFUNCTION("""COMPUTED_VALUE"""),"WANNA FERRANO 170")</f>
        <v>WANNA FERRANO 170</v>
      </c>
      <c r="E1831" s="31">
        <v>609.14634146341461</v>
      </c>
      <c r="F1831" s="31">
        <f t="shared" si="28"/>
        <v>749.25</v>
      </c>
    </row>
    <row r="1832" spans="1:6" ht="18.75" customHeight="1" x14ac:dyDescent="0.25">
      <c r="A1832" s="2" t="str">
        <f ca="1">IFERROR(__xludf.DUMMYFUNCTION("""COMPUTED_VALUE"""),"REA-W0098")</f>
        <v>REA-W0098</v>
      </c>
      <c r="B1832" s="3">
        <f ca="1">IFERROR(__xludf.DUMMYFUNCTION("""COMPUTED_VALUE"""),54076)</f>
        <v>54076</v>
      </c>
      <c r="C1832" s="3">
        <f ca="1">IFERROR(__xludf.DUMMYFUNCTION("""COMPUTED_VALUE"""),5906366002687)</f>
        <v>5906366002687</v>
      </c>
      <c r="D1832" s="4" t="str">
        <f ca="1">IFERROR(__xludf.DUMMYFUNCTION("""COMPUTED_VALUE"""),"WANNA FERRANO 180")</f>
        <v>WANNA FERRANO 180</v>
      </c>
      <c r="E1832" s="31">
        <v>606.43902439024396</v>
      </c>
      <c r="F1832" s="31">
        <f t="shared" si="28"/>
        <v>745.92000000000007</v>
      </c>
    </row>
    <row r="1833" spans="1:6" ht="18.75" customHeight="1" x14ac:dyDescent="0.25">
      <c r="A1833" s="2" t="str">
        <f ca="1">IFERROR(__xludf.DUMMYFUNCTION("""COMPUTED_VALUE"""),"REA-W2002")</f>
        <v>REA-W2002</v>
      </c>
      <c r="B1833" s="3">
        <f ca="1">IFERROR(__xludf.DUMMYFUNCTION("""COMPUTED_VALUE"""),45300)</f>
        <v>45300</v>
      </c>
      <c r="C1833" s="3">
        <f ca="1">IFERROR(__xludf.DUMMYFUNCTION("""COMPUTED_VALUE"""),5902557375011)</f>
        <v>5902557375011</v>
      </c>
      <c r="D1833" s="4" t="str">
        <f ca="1">IFERROR(__xludf.DUMMYFUNCTION("""COMPUTED_VALUE"""),"WANNA KERRANO 150")</f>
        <v>WANNA KERRANO 150</v>
      </c>
      <c r="E1833" s="31">
        <v>740.90243902439033</v>
      </c>
      <c r="F1833" s="31">
        <f t="shared" si="28"/>
        <v>911.31000000000006</v>
      </c>
    </row>
    <row r="1834" spans="1:6" ht="18.75" customHeight="1" x14ac:dyDescent="0.25">
      <c r="A1834" s="2" t="str">
        <f ca="1">IFERROR(__xludf.DUMMYFUNCTION("""COMPUTED_VALUE"""),"REA-W2003")</f>
        <v>REA-W2003</v>
      </c>
      <c r="B1834" s="3">
        <f ca="1">IFERROR(__xludf.DUMMYFUNCTION("""COMPUTED_VALUE"""),45301)</f>
        <v>45301</v>
      </c>
      <c r="C1834" s="3">
        <f ca="1">IFERROR(__xludf.DUMMYFUNCTION("""COMPUTED_VALUE"""),5902557375028)</f>
        <v>5902557375028</v>
      </c>
      <c r="D1834" s="4" t="str">
        <f ca="1">IFERROR(__xludf.DUMMYFUNCTION("""COMPUTED_VALUE"""),"WANNA KERRANO 170")</f>
        <v>WANNA KERRANO 170</v>
      </c>
      <c r="E1834" s="31">
        <v>783.31707317073187</v>
      </c>
      <c r="F1834" s="31">
        <f t="shared" si="28"/>
        <v>963.48000000000025</v>
      </c>
    </row>
    <row r="1835" spans="1:6" ht="18.75" customHeight="1" x14ac:dyDescent="0.25">
      <c r="A1835" s="2" t="str">
        <f ca="1">IFERROR(__xludf.DUMMYFUNCTION("""COMPUTED_VALUE"""),"REA-W5690")</f>
        <v>REA-W5690</v>
      </c>
      <c r="B1835" s="3"/>
      <c r="C1835" s="3">
        <f ca="1">IFERROR(__xludf.DUMMYFUNCTION("""COMPUTED_VALUE"""),5906366007279)</f>
        <v>5906366007279</v>
      </c>
      <c r="D1835" s="4" t="str">
        <f ca="1">IFERROR(__xludf.DUMMYFUNCTION("""COMPUTED_VALUE"""),"WANNA KORFU 170")</f>
        <v>WANNA KORFU 170</v>
      </c>
      <c r="E1835" s="31">
        <v>637.12195121951231</v>
      </c>
      <c r="F1835" s="31">
        <f t="shared" si="28"/>
        <v>783.66000000000008</v>
      </c>
    </row>
    <row r="1836" spans="1:6" ht="18.75" customHeight="1" x14ac:dyDescent="0.25">
      <c r="A1836" s="2" t="str">
        <f ca="1">IFERROR(__xludf.DUMMYFUNCTION("""COMPUTED_VALUE"""),"REA-W3002")</f>
        <v>REA-W3002</v>
      </c>
      <c r="B1836" s="3">
        <f ca="1">IFERROR(__xludf.DUMMYFUNCTION("""COMPUTED_VALUE"""),50759)</f>
        <v>50759</v>
      </c>
      <c r="C1836" s="3">
        <f ca="1">IFERROR(__xludf.DUMMYFUNCTION("""COMPUTED_VALUE"""),5902557387458)</f>
        <v>5902557387458</v>
      </c>
      <c r="D1836" s="4" t="str">
        <f ca="1">IFERROR(__xludf.DUMMYFUNCTION("""COMPUTED_VALUE"""),"WANNA MALTA 150")</f>
        <v>WANNA MALTA 150</v>
      </c>
      <c r="E1836" s="31">
        <v>728.26829268292693</v>
      </c>
      <c r="F1836" s="31">
        <f t="shared" si="28"/>
        <v>895.7700000000001</v>
      </c>
    </row>
    <row r="1837" spans="1:6" ht="18.75" customHeight="1" x14ac:dyDescent="0.25">
      <c r="A1837" s="2" t="str">
        <f ca="1">IFERROR(__xludf.DUMMYFUNCTION("""COMPUTED_VALUE"""),"REA-W3003")</f>
        <v>REA-W3003</v>
      </c>
      <c r="B1837" s="3">
        <f ca="1">IFERROR(__xludf.DUMMYFUNCTION("""COMPUTED_VALUE"""),50760)</f>
        <v>50760</v>
      </c>
      <c r="C1837" s="3">
        <f ca="1">IFERROR(__xludf.DUMMYFUNCTION("""COMPUTED_VALUE"""),5902557387465)</f>
        <v>5902557387465</v>
      </c>
      <c r="D1837" s="4" t="str">
        <f ca="1">IFERROR(__xludf.DUMMYFUNCTION("""COMPUTED_VALUE"""),"WANNA MALTA 170")</f>
        <v>WANNA MALTA 170</v>
      </c>
      <c r="E1837" s="31">
        <v>732.78048780487802</v>
      </c>
      <c r="F1837" s="31">
        <f t="shared" si="28"/>
        <v>901.31999999999994</v>
      </c>
    </row>
    <row r="1838" spans="1:6" ht="18.75" customHeight="1" x14ac:dyDescent="0.25">
      <c r="A1838" s="2" t="str">
        <f ca="1">IFERROR(__xludf.DUMMYFUNCTION("""COMPUTED_VALUE"""),"REA-W2000")</f>
        <v>REA-W2000</v>
      </c>
      <c r="B1838" s="3">
        <f ca="1">IFERROR(__xludf.DUMMYFUNCTION("""COMPUTED_VALUE"""),45303)</f>
        <v>45303</v>
      </c>
      <c r="C1838" s="3">
        <f ca="1">IFERROR(__xludf.DUMMYFUNCTION("""COMPUTED_VALUE"""),5902557374991)</f>
        <v>5902557374991</v>
      </c>
      <c r="D1838" s="4" t="str">
        <f ca="1">IFERROR(__xludf.DUMMYFUNCTION("""COMPUTED_VALUE"""),"WANNA MILANO 150")</f>
        <v>WANNA MILANO 150</v>
      </c>
      <c r="E1838" s="31">
        <v>700.29268292682934</v>
      </c>
      <c r="F1838" s="31">
        <f t="shared" si="28"/>
        <v>861.36000000000013</v>
      </c>
    </row>
    <row r="1839" spans="1:6" ht="18.75" customHeight="1" x14ac:dyDescent="0.25">
      <c r="A1839" s="2" t="str">
        <f ca="1">IFERROR(__xludf.DUMMYFUNCTION("""COMPUTED_VALUE"""),"REA-W2001")</f>
        <v>REA-W2001</v>
      </c>
      <c r="B1839" s="3">
        <f ca="1">IFERROR(__xludf.DUMMYFUNCTION("""COMPUTED_VALUE"""),45304)</f>
        <v>45304</v>
      </c>
      <c r="C1839" s="3">
        <f ca="1">IFERROR(__xludf.DUMMYFUNCTION("""COMPUTED_VALUE"""),5902557375004)</f>
        <v>5902557375004</v>
      </c>
      <c r="D1839" s="4" t="str">
        <f ca="1">IFERROR(__xludf.DUMMYFUNCTION("""COMPUTED_VALUE"""),"WANNA MILANO 170")</f>
        <v>WANNA MILANO 170</v>
      </c>
      <c r="E1839" s="31">
        <v>711.1219512195122</v>
      </c>
      <c r="F1839" s="31">
        <f t="shared" si="28"/>
        <v>874.68</v>
      </c>
    </row>
    <row r="1840" spans="1:6" ht="18.75" customHeight="1" x14ac:dyDescent="0.25">
      <c r="A1840" s="2" t="str">
        <f ca="1">IFERROR(__xludf.DUMMYFUNCTION("""COMPUTED_VALUE"""),"REA-W0902")</f>
        <v>REA-W0902</v>
      </c>
      <c r="B1840" s="3">
        <f ca="1">IFERROR(__xludf.DUMMYFUNCTION("""COMPUTED_VALUE"""),13786)</f>
        <v>13786</v>
      </c>
      <c r="C1840" s="3">
        <f ca="1">IFERROR(__xludf.DUMMYFUNCTION("""COMPUTED_VALUE"""),5902557329779)</f>
        <v>5902557329779</v>
      </c>
      <c r="D1840" s="4" t="str">
        <f ca="1">IFERROR(__xludf.DUMMYFUNCTION("""COMPUTED_VALUE"""),"WANNA MOLTO 170")</f>
        <v>WANNA MOLTO 170</v>
      </c>
      <c r="E1840" s="31">
        <v>652.46341463414649</v>
      </c>
      <c r="F1840" s="31">
        <f t="shared" si="28"/>
        <v>802.5300000000002</v>
      </c>
    </row>
    <row r="1841" spans="1:6" ht="18.75" customHeight="1" x14ac:dyDescent="0.25">
      <c r="A1841" s="2" t="str">
        <f ca="1">IFERROR(__xludf.DUMMYFUNCTION("""COMPUTED_VALUE"""),"REA-W0634")</f>
        <v>REA-W0634</v>
      </c>
      <c r="B1841" s="3">
        <f ca="1">IFERROR(__xludf.DUMMYFUNCTION("""COMPUTED_VALUE"""),30808)</f>
        <v>30808</v>
      </c>
      <c r="C1841" s="3">
        <f ca="1">IFERROR(__xludf.DUMMYFUNCTION("""COMPUTED_VALUE"""),5902557341610)</f>
        <v>5902557341610</v>
      </c>
      <c r="D1841" s="4" t="str">
        <f ca="1">IFERROR(__xludf.DUMMYFUNCTION("""COMPUTED_VALUE"""),"WANNA OLIMPIA 150")</f>
        <v>WANNA OLIMPIA 150</v>
      </c>
      <c r="E1841" s="31">
        <v>764.36585365853671</v>
      </c>
      <c r="F1841" s="31">
        <f t="shared" si="28"/>
        <v>940.17000000000019</v>
      </c>
    </row>
    <row r="1842" spans="1:6" ht="18.75" customHeight="1" x14ac:dyDescent="0.25">
      <c r="A1842" s="2" t="str">
        <f ca="1">IFERROR(__xludf.DUMMYFUNCTION("""COMPUTED_VALUE"""),"REA-W0633")</f>
        <v>REA-W0633</v>
      </c>
      <c r="B1842" s="3">
        <f ca="1">IFERROR(__xludf.DUMMYFUNCTION("""COMPUTED_VALUE"""),30807)</f>
        <v>30807</v>
      </c>
      <c r="C1842" s="3">
        <f ca="1">IFERROR(__xludf.DUMMYFUNCTION("""COMPUTED_VALUE"""),5902557341627)</f>
        <v>5902557341627</v>
      </c>
      <c r="D1842" s="4" t="str">
        <f ca="1">IFERROR(__xludf.DUMMYFUNCTION("""COMPUTED_VALUE"""),"WANNA OLIMPIA 170")</f>
        <v>WANNA OLIMPIA 170</v>
      </c>
      <c r="E1842" s="31">
        <v>785.12195121951231</v>
      </c>
      <c r="F1842" s="31">
        <f t="shared" si="28"/>
        <v>965.70000000000016</v>
      </c>
    </row>
    <row r="1843" spans="1:6" ht="18.75" customHeight="1" x14ac:dyDescent="0.25">
      <c r="A1843" s="2" t="str">
        <f ca="1">IFERROR(__xludf.DUMMYFUNCTION("""COMPUTED_VALUE"""),"REA-W0650")</f>
        <v>REA-W0650</v>
      </c>
      <c r="B1843" s="3"/>
      <c r="C1843" s="3">
        <f ca="1">IFERROR(__xludf.DUMMYFUNCTION("""COMPUTED_VALUE"""),5902557344833)</f>
        <v>5902557344833</v>
      </c>
      <c r="D1843" s="4" t="str">
        <f ca="1">IFERROR(__xludf.DUMMYFUNCTION("""COMPUTED_VALUE"""),"WANNA PORTO 170")</f>
        <v>WANNA PORTO 170</v>
      </c>
      <c r="E1843" s="31">
        <v>641.63414634146341</v>
      </c>
      <c r="F1843" s="31">
        <f t="shared" si="28"/>
        <v>789.20999999999992</v>
      </c>
    </row>
    <row r="1844" spans="1:6" ht="18.75" customHeight="1" x14ac:dyDescent="0.25">
      <c r="A1844" s="2" t="str">
        <f ca="1">IFERROR(__xludf.DUMMYFUNCTION("""COMPUTED_VALUE"""),"REA-W0632")</f>
        <v>REA-W0632</v>
      </c>
      <c r="B1844" s="3">
        <f ca="1">IFERROR(__xludf.DUMMYFUNCTION("""COMPUTED_VALUE"""),30806)</f>
        <v>30806</v>
      </c>
      <c r="C1844" s="3">
        <f ca="1">IFERROR(__xludf.DUMMYFUNCTION("""COMPUTED_VALUE"""),5902557341672)</f>
        <v>5902557341672</v>
      </c>
      <c r="D1844" s="4" t="str">
        <f ca="1">IFERROR(__xludf.DUMMYFUNCTION("""COMPUTED_VALUE"""),"WANNA SANTANA 170")</f>
        <v>WANNA SANTANA 170</v>
      </c>
      <c r="E1844" s="31">
        <v>655.17073170731715</v>
      </c>
      <c r="F1844" s="31">
        <f t="shared" si="28"/>
        <v>805.86000000000013</v>
      </c>
    </row>
    <row r="1845" spans="1:6" ht="18.75" customHeight="1" x14ac:dyDescent="0.25">
      <c r="A1845" s="2" t="str">
        <f ca="1">IFERROR(__xludf.DUMMYFUNCTION("""COMPUTED_VALUE"""),"REA-W0105")</f>
        <v>REA-W0105</v>
      </c>
      <c r="B1845" s="3">
        <f ca="1">IFERROR(__xludf.DUMMYFUNCTION("""COMPUTED_VALUE"""),2298)</f>
        <v>2298</v>
      </c>
      <c r="C1845" s="3">
        <f ca="1">IFERROR(__xludf.DUMMYFUNCTION("""COMPUTED_VALUE"""),5902557313211)</f>
        <v>5902557313211</v>
      </c>
      <c r="D1845" s="4" t="str">
        <f ca="1">IFERROR(__xludf.DUMMYFUNCTION("""COMPUTED_VALUE"""),"WANNA SILVANO 170")</f>
        <v>WANNA SILVANO 170</v>
      </c>
      <c r="E1845" s="31">
        <v>1015.2439024390245</v>
      </c>
      <c r="F1845" s="31">
        <f t="shared" si="28"/>
        <v>1248.7500000000002</v>
      </c>
    </row>
    <row r="1846" spans="1:6" ht="18.75" customHeight="1" x14ac:dyDescent="0.25">
      <c r="A1846" s="2" t="str">
        <f ca="1">IFERROR(__xludf.DUMMYFUNCTION("""COMPUTED_VALUE"""),"REA-W1101")</f>
        <v>REA-W1101</v>
      </c>
      <c r="B1846" s="3"/>
      <c r="C1846" s="3">
        <f ca="1">IFERROR(__xludf.DUMMYFUNCTION("""COMPUTED_VALUE"""),5902557315956)</f>
        <v>5902557315956</v>
      </c>
      <c r="D1846" s="4" t="str">
        <f ca="1">IFERROR(__xludf.DUMMYFUNCTION("""COMPUTED_VALUE"""),"WANNA SPARTA 175")</f>
        <v>WANNA SPARTA 175</v>
      </c>
      <c r="E1846" s="31">
        <v>698.48780487804879</v>
      </c>
      <c r="F1846" s="31">
        <f t="shared" si="28"/>
        <v>859.14</v>
      </c>
    </row>
    <row r="1847" spans="1:6" ht="18.75" customHeight="1" x14ac:dyDescent="0.25">
      <c r="A1847" s="2" t="str">
        <f ca="1">IFERROR(__xludf.DUMMYFUNCTION("""COMPUTED_VALUE"""),"REA-W8805")</f>
        <v>REA-W8805</v>
      </c>
      <c r="B1847" s="3"/>
      <c r="C1847" s="3">
        <f ca="1">IFERROR(__xludf.DUMMYFUNCTION("""COMPUTED_VALUE"""),5902557387281)</f>
        <v>5902557387281</v>
      </c>
      <c r="D1847" s="4" t="str">
        <f ca="1">IFERROR(__xludf.DUMMYFUNCTION("""COMPUTED_VALUE"""),"WANNA SYDNEY 150 LEWA")</f>
        <v>WANNA SYDNEY 150 LEWA</v>
      </c>
      <c r="E1847" s="31">
        <v>812.19512195121968</v>
      </c>
      <c r="F1847" s="31">
        <f t="shared" si="28"/>
        <v>999.00000000000023</v>
      </c>
    </row>
    <row r="1848" spans="1:6" ht="18.75" customHeight="1" x14ac:dyDescent="0.25">
      <c r="A1848" s="2" t="str">
        <f ca="1">IFERROR(__xludf.DUMMYFUNCTION("""COMPUTED_VALUE"""),"REA-W8804")</f>
        <v>REA-W8804</v>
      </c>
      <c r="B1848" s="3"/>
      <c r="C1848" s="3">
        <f ca="1">IFERROR(__xludf.DUMMYFUNCTION("""COMPUTED_VALUE"""),5902557387274)</f>
        <v>5902557387274</v>
      </c>
      <c r="D1848" s="4" t="str">
        <f ca="1">IFERROR(__xludf.DUMMYFUNCTION("""COMPUTED_VALUE"""),"WANNA SYDNEY 150 PRAWA")</f>
        <v>WANNA SYDNEY 150 PRAWA</v>
      </c>
      <c r="E1848" s="31">
        <v>812.19512195121968</v>
      </c>
      <c r="F1848" s="31">
        <f t="shared" si="28"/>
        <v>999.00000000000023</v>
      </c>
    </row>
    <row r="1849" spans="1:6" ht="18.75" customHeight="1" x14ac:dyDescent="0.25">
      <c r="A1849" s="2" t="str">
        <f ca="1">IFERROR(__xludf.DUMMYFUNCTION("""COMPUTED_VALUE"""),"REA-W8800")</f>
        <v>REA-W8800</v>
      </c>
      <c r="B1849" s="3">
        <f ca="1">IFERROR(__xludf.DUMMYFUNCTION("""COMPUTED_VALUE"""),51649)</f>
        <v>51649</v>
      </c>
      <c r="C1849" s="3">
        <f ca="1">IFERROR(__xludf.DUMMYFUNCTION("""COMPUTED_VALUE"""),5902557380190)</f>
        <v>5902557380190</v>
      </c>
      <c r="D1849" s="4" t="str">
        <f ca="1">IFERROR(__xludf.DUMMYFUNCTION("""COMPUTED_VALUE"""),"WANNA SYDNEY 160 LEWA")</f>
        <v>WANNA SYDNEY 160 LEWA</v>
      </c>
      <c r="E1849" s="31">
        <v>721.95121951219517</v>
      </c>
      <c r="F1849" s="31">
        <f t="shared" si="28"/>
        <v>888</v>
      </c>
    </row>
    <row r="1850" spans="1:6" ht="18.75" customHeight="1" x14ac:dyDescent="0.25">
      <c r="A1850" s="2" t="str">
        <f ca="1">IFERROR(__xludf.DUMMYFUNCTION("""COMPUTED_VALUE"""),"REA-W8801")</f>
        <v>REA-W8801</v>
      </c>
      <c r="B1850" s="3">
        <f ca="1">IFERROR(__xludf.DUMMYFUNCTION("""COMPUTED_VALUE"""),51645)</f>
        <v>51645</v>
      </c>
      <c r="C1850" s="3">
        <f ca="1">IFERROR(__xludf.DUMMYFUNCTION("""COMPUTED_VALUE"""),5902557380206)</f>
        <v>5902557380206</v>
      </c>
      <c r="D1850" s="4" t="str">
        <f ca="1">IFERROR(__xludf.DUMMYFUNCTION("""COMPUTED_VALUE"""),"WANNA SYDNEY 160 PRAWA")</f>
        <v>WANNA SYDNEY 160 PRAWA</v>
      </c>
      <c r="E1850" s="31">
        <v>721.95121951219517</v>
      </c>
      <c r="F1850" s="31">
        <f t="shared" si="28"/>
        <v>888</v>
      </c>
    </row>
    <row r="1851" spans="1:6" ht="18.75" customHeight="1" x14ac:dyDescent="0.25">
      <c r="A1851" s="2" t="str">
        <f ca="1">IFERROR(__xludf.DUMMYFUNCTION("""COMPUTED_VALUE"""),"REA-W8802")</f>
        <v>REA-W8802</v>
      </c>
      <c r="B1851" s="3">
        <f ca="1">IFERROR(__xludf.DUMMYFUNCTION("""COMPUTED_VALUE"""),51648)</f>
        <v>51648</v>
      </c>
      <c r="C1851" s="3">
        <f ca="1">IFERROR(__xludf.DUMMYFUNCTION("""COMPUTED_VALUE"""),5902557380220)</f>
        <v>5902557380220</v>
      </c>
      <c r="D1851" s="4" t="str">
        <f ca="1">IFERROR(__xludf.DUMMYFUNCTION("""COMPUTED_VALUE"""),"WANNA SYDNEY 170 LEWA")</f>
        <v>WANNA SYDNEY 170 LEWA</v>
      </c>
      <c r="E1851" s="31">
        <v>742.70731707317077</v>
      </c>
      <c r="F1851" s="31">
        <f t="shared" si="28"/>
        <v>913.53000000000009</v>
      </c>
    </row>
    <row r="1852" spans="1:6" ht="18.75" customHeight="1" x14ac:dyDescent="0.25">
      <c r="A1852" s="2" t="str">
        <f ca="1">IFERROR(__xludf.DUMMYFUNCTION("""COMPUTED_VALUE"""),"REA-W8803")</f>
        <v>REA-W8803</v>
      </c>
      <c r="B1852" s="3">
        <f ca="1">IFERROR(__xludf.DUMMYFUNCTION("""COMPUTED_VALUE"""),51646)</f>
        <v>51646</v>
      </c>
      <c r="C1852" s="3">
        <f ca="1">IFERROR(__xludf.DUMMYFUNCTION("""COMPUTED_VALUE"""),5902557380213)</f>
        <v>5902557380213</v>
      </c>
      <c r="D1852" s="4" t="str">
        <f ca="1">IFERROR(__xludf.DUMMYFUNCTION("""COMPUTED_VALUE"""),"WANNA SYDNEY 170 PRAWA")</f>
        <v>WANNA SYDNEY 170 PRAWA</v>
      </c>
      <c r="E1852" s="31">
        <v>742.70731707317077</v>
      </c>
      <c r="F1852" s="31">
        <f t="shared" si="28"/>
        <v>913.53000000000009</v>
      </c>
    </row>
    <row r="1853" spans="1:6" ht="18.75" customHeight="1" x14ac:dyDescent="0.25">
      <c r="A1853" s="2" t="str">
        <f ca="1">IFERROR(__xludf.DUMMYFUNCTION("""COMPUTED_VALUE"""),"REA-W0254")</f>
        <v>REA-W0254</v>
      </c>
      <c r="B1853" s="3">
        <f ca="1">IFERROR(__xludf.DUMMYFUNCTION("""COMPUTED_VALUE"""),51435)</f>
        <v>51435</v>
      </c>
      <c r="C1853" s="3">
        <f ca="1">IFERROR(__xludf.DUMMYFUNCTION("""COMPUTED_VALUE"""),5902557393640)</f>
        <v>5902557393640</v>
      </c>
      <c r="D1853" s="4" t="str">
        <f ca="1">IFERROR(__xludf.DUMMYFUNCTION("""COMPUTED_VALUE"""),"WANNA VENETA 170")</f>
        <v>WANNA VENETA 170</v>
      </c>
      <c r="E1853" s="31">
        <v>849.19512195121956</v>
      </c>
      <c r="F1853" s="31">
        <f t="shared" si="28"/>
        <v>1044.51</v>
      </c>
    </row>
    <row r="1854" spans="1:6" ht="18.75" customHeight="1" x14ac:dyDescent="0.25">
      <c r="A1854" s="2" t="str">
        <f ca="1">IFERROR(__xludf.DUMMYFUNCTION("""COMPUTED_VALUE"""),"REA-W0030")</f>
        <v>REA-W0030</v>
      </c>
      <c r="B1854" s="3">
        <f ca="1">IFERROR(__xludf.DUMMYFUNCTION("""COMPUTED_VALUE"""),47402)</f>
        <v>47402</v>
      </c>
      <c r="C1854" s="3">
        <f ca="1">IFERROR(__xludf.DUMMYFUNCTION("""COMPUTED_VALUE"""),5902557374984)</f>
        <v>5902557374984</v>
      </c>
      <c r="D1854" s="4" t="str">
        <f ca="1">IFERROR(__xludf.DUMMYFUNCTION("""COMPUTED_VALUE"""),"WANNA VICTORIA 170")</f>
        <v>WANNA VICTORIA 170</v>
      </c>
      <c r="E1854" s="31">
        <v>1003.5121951219513</v>
      </c>
      <c r="F1854" s="31">
        <f t="shared" si="28"/>
        <v>1234.3200000000002</v>
      </c>
    </row>
    <row r="1855" spans="1:6" ht="18.75" customHeight="1" x14ac:dyDescent="0.25">
      <c r="A1855" s="2" t="str">
        <f ca="1">IFERROR(__xludf.DUMMYFUNCTION("""COMPUTED_VALUE"""),"REA-C3300")</f>
        <v>REA-C3300</v>
      </c>
      <c r="B1855" s="3">
        <f ca="1">IFERROR(__xludf.DUMMYFUNCTION("""COMPUTED_VALUE"""),51011)</f>
        <v>51011</v>
      </c>
      <c r="C1855" s="3">
        <f ca="1">IFERROR(__xludf.DUMMYFUNCTION("""COMPUTED_VALUE"""),5902557387588)</f>
        <v>5902557387588</v>
      </c>
      <c r="D1855" s="4" t="str">
        <f ca="1">IFERROR(__xludf.DUMMYFUNCTION("""COMPUTED_VALUE"""),"WC - CARLO MINI RIML DUR/FLAT/ZM GOLD BRUSH/BLACK")</f>
        <v>WC - CARLO MINI RIML DUR/FLAT/ZM GOLD BRUSH/BLACK</v>
      </c>
      <c r="E1855" s="31">
        <v>316.75609756097566</v>
      </c>
      <c r="F1855" s="31">
        <f t="shared" si="28"/>
        <v>389.61000000000007</v>
      </c>
    </row>
    <row r="1856" spans="1:6" ht="18.75" customHeight="1" x14ac:dyDescent="0.25">
      <c r="A1856" s="2" t="str">
        <f ca="1">IFERROR(__xludf.DUMMYFUNCTION("""COMPUTED_VALUE"""),"REA-C6942")</f>
        <v>REA-C6942</v>
      </c>
      <c r="B1856" s="3">
        <f ca="1">IFERROR(__xludf.DUMMYFUNCTION("""COMPUTED_VALUE"""),43276)</f>
        <v>43276</v>
      </c>
      <c r="C1856" s="3">
        <f ca="1">IFERROR(__xludf.DUMMYFUNCTION("""COMPUTED_VALUE"""),5902557366606)</f>
        <v>5902557366606</v>
      </c>
      <c r="D1856" s="4" t="str">
        <f ca="1">IFERROR(__xludf.DUMMYFUNCTION("""COMPUTED_VALUE"""),"WC - CARLO MINI RIML DUR/FLAT/ZM GOLD BRUSH/WHITE")</f>
        <v>WC - CARLO MINI RIML DUR/FLAT/ZM GOLD BRUSH/WHITE</v>
      </c>
      <c r="E1856" s="31">
        <v>240.95121951219514</v>
      </c>
      <c r="F1856" s="31">
        <f t="shared" si="28"/>
        <v>296.37</v>
      </c>
    </row>
    <row r="1857" spans="1:6" ht="18.75" customHeight="1" x14ac:dyDescent="0.25">
      <c r="A1857" s="2" t="str">
        <f ca="1">IFERROR(__xludf.DUMMYFUNCTION("""COMPUTED_VALUE"""),"REA-C8800")</f>
        <v>REA-C8800</v>
      </c>
      <c r="B1857" s="3">
        <f ca="1">IFERROR(__xludf.DUMMYFUNCTION("""COMPUTED_VALUE"""),46208)</f>
        <v>46208</v>
      </c>
      <c r="C1857" s="3">
        <f ca="1">IFERROR(__xludf.DUMMYFUNCTION("""COMPUTED_VALUE"""),5902557375035)</f>
        <v>5902557375035</v>
      </c>
      <c r="D1857" s="4" t="str">
        <f ca="1">IFERROR(__xludf.DUMMYFUNCTION("""COMPUTED_VALUE"""),"WC - CARLO MINI RIMLES DUR/FLAT/ZM BLACK GOLD EDGE")</f>
        <v>WC - CARLO MINI RIMLES DUR/FLAT/ZM BLACK GOLD EDGE</v>
      </c>
      <c r="E1857" s="31">
        <v>270.73170731707319</v>
      </c>
      <c r="F1857" s="31">
        <f t="shared" ref="F1857:F1920" si="29">E1857*1.23</f>
        <v>333</v>
      </c>
    </row>
    <row r="1858" spans="1:6" ht="18.75" customHeight="1" x14ac:dyDescent="0.25">
      <c r="A1858" s="2" t="str">
        <f ca="1">IFERROR(__xludf.DUMMYFUNCTION("""COMPUTED_VALUE"""),"REA-C1222")</f>
        <v>REA-C1222</v>
      </c>
      <c r="B1858" s="3">
        <f ca="1">IFERROR(__xludf.DUMMYFUNCTION("""COMPUTED_VALUE"""),42994)</f>
        <v>42994</v>
      </c>
      <c r="C1858" s="3">
        <f ca="1">IFERROR(__xludf.DUMMYFUNCTION("""COMPUTED_VALUE"""),5902557366033)</f>
        <v>5902557366033</v>
      </c>
      <c r="D1858" s="4" t="str">
        <f ca="1">IFERROR(__xludf.DUMMYFUNCTION("""COMPUTED_VALUE"""),"WC - CARLO MINI RIMLES DUR/FLAT/ZM WHITE GOLD EDGE")</f>
        <v>WC - CARLO MINI RIMLES DUR/FLAT/ZM WHITE GOLD EDGE</v>
      </c>
      <c r="E1858" s="31">
        <v>188.60975609756099</v>
      </c>
      <c r="F1858" s="31">
        <f t="shared" si="29"/>
        <v>231.99</v>
      </c>
    </row>
    <row r="1859" spans="1:6" ht="18.75" customHeight="1" x14ac:dyDescent="0.25">
      <c r="A1859" s="2" t="str">
        <f ca="1">IFERROR(__xludf.DUMMYFUNCTION("""COMPUTED_VALUE"""),"REA-C8489")</f>
        <v>REA-C8489</v>
      </c>
      <c r="B1859" s="3">
        <f ca="1">IFERROR(__xludf.DUMMYFUNCTION("""COMPUTED_VALUE"""),39726)</f>
        <v>39726</v>
      </c>
      <c r="C1859" s="3">
        <f ca="1">IFERROR(__xludf.DUMMYFUNCTION("""COMPUTED_VALUE"""),5902557355921)</f>
        <v>5902557355921</v>
      </c>
      <c r="D1859" s="4" t="str">
        <f ca="1">IFERROR(__xludf.DUMMYFUNCTION("""COMPUTED_VALUE"""),"WC - CARLO MINI RIMLES DUROPLAST/FLAT/ZM BLACK MAT")</f>
        <v>WC - CARLO MINI RIMLES DUROPLAST/FLAT/ZM BLACK MAT</v>
      </c>
      <c r="E1859" s="31">
        <v>230.1219512195122</v>
      </c>
      <c r="F1859" s="31">
        <f t="shared" si="29"/>
        <v>283.05</v>
      </c>
    </row>
    <row r="1860" spans="1:6" ht="18.75" customHeight="1" x14ac:dyDescent="0.25">
      <c r="A1860" s="2" t="str">
        <f ca="1">IFERROR(__xludf.DUMMYFUNCTION("""COMPUTED_VALUE"""),"REA-C8405")</f>
        <v>REA-C8405</v>
      </c>
      <c r="B1860" s="3">
        <f ca="1">IFERROR(__xludf.DUMMYFUNCTION("""COMPUTED_VALUE"""),26686)</f>
        <v>26686</v>
      </c>
      <c r="C1860" s="3">
        <f ca="1">IFERROR(__xludf.DUMMYFUNCTION("""COMPUTED_VALUE"""),5902557335213)</f>
        <v>5902557335213</v>
      </c>
      <c r="D1860" s="4" t="str">
        <f ca="1">IFERROR(__xludf.DUMMYFUNCTION("""COMPUTED_VALUE"""),"WC - CARLO MINI RIMLES DUROPLAST/SLIM/ZM BLACK MAT")</f>
        <v>WC - CARLO MINI RIMLES DUROPLAST/SLIM/ZM BLACK MAT</v>
      </c>
      <c r="E1860" s="31">
        <v>165.14634146341464</v>
      </c>
      <c r="F1860" s="31">
        <f t="shared" si="29"/>
        <v>203.13</v>
      </c>
    </row>
    <row r="1861" spans="1:6" ht="18.75" customHeight="1" x14ac:dyDescent="0.25">
      <c r="A1861" s="2" t="str">
        <f ca="1">IFERROR(__xludf.DUMMYFUNCTION("""COMPUTED_VALUE"""),"REA-C1000")</f>
        <v>REA-C1000</v>
      </c>
      <c r="B1861" s="3">
        <f ca="1">IFERROR(__xludf.DUMMYFUNCTION("""COMPUTED_VALUE"""),2085)</f>
        <v>2085</v>
      </c>
      <c r="C1861" s="3">
        <f ca="1">IFERROR(__xludf.DUMMYFUNCTION("""COMPUTED_VALUE"""),5902557324750)</f>
        <v>5902557324750</v>
      </c>
      <c r="D1861" s="4" t="str">
        <f ca="1">IFERROR(__xludf.DUMMYFUNCTION("""COMPUTED_VALUE"""),"WC - CARLO MINI RIMLESS ABS/ZM")</f>
        <v>WC - CARLO MINI RIMLESS ABS/ZM</v>
      </c>
      <c r="E1861" s="31">
        <v>119.1219512195122</v>
      </c>
      <c r="F1861" s="31">
        <f t="shared" si="29"/>
        <v>146.52000000000001</v>
      </c>
    </row>
    <row r="1862" spans="1:6" ht="18.75" customHeight="1" x14ac:dyDescent="0.25">
      <c r="A1862" s="2" t="str">
        <f ca="1">IFERROR(__xludf.DUMMYFUNCTION("""COMPUTED_VALUE"""),"REA-C6200")</f>
        <v>REA-C6200</v>
      </c>
      <c r="B1862" s="3">
        <f ca="1">IFERROR(__xludf.DUMMYFUNCTION("""COMPUTED_VALUE"""),39667)</f>
        <v>39667</v>
      </c>
      <c r="C1862" s="3">
        <f ca="1">IFERROR(__xludf.DUMMYFUNCTION("""COMPUTED_VALUE"""),5902557355938)</f>
        <v>5902557355938</v>
      </c>
      <c r="D1862" s="4" t="str">
        <f ca="1">IFERROR(__xludf.DUMMYFUNCTION("""COMPUTED_VALUE"""),"WC - CARLO MINI RIMLESS BASIC/ABS/ZM")</f>
        <v>WC - CARLO MINI RIMLESS BASIC/ABS/ZM</v>
      </c>
      <c r="E1862" s="31">
        <v>148.90243902439028</v>
      </c>
      <c r="F1862" s="31">
        <f t="shared" si="29"/>
        <v>183.15000000000003</v>
      </c>
    </row>
    <row r="1863" spans="1:6" ht="18.75" customHeight="1" x14ac:dyDescent="0.25">
      <c r="A1863" s="2" t="str">
        <f ca="1">IFERROR(__xludf.DUMMYFUNCTION("""COMPUTED_VALUE"""),"REA-C5000")</f>
        <v>REA-C5000</v>
      </c>
      <c r="B1863" s="3">
        <f ca="1">IFERROR(__xludf.DUMMYFUNCTION("""COMPUTED_VALUE"""),47697)</f>
        <v>47697</v>
      </c>
      <c r="C1863" s="3">
        <f ca="1">IFERROR(__xludf.DUMMYFUNCTION("""COMPUTED_VALUE"""),5902557376230)</f>
        <v>5902557376230</v>
      </c>
      <c r="D1863" s="4" t="str">
        <f ca="1">IFERROR(__xludf.DUMMYFUNCTION("""COMPUTED_VALUE"""),"WC - CARLO MINI RIMLESS DUROPL/FLAT/ZM ARTE D.GREY")</f>
        <v>WC - CARLO MINI RIMLESS DUROPL/FLAT/ZM ARTE D.GREY</v>
      </c>
      <c r="E1863" s="31">
        <v>229.21951219512198</v>
      </c>
      <c r="F1863" s="31">
        <f t="shared" si="29"/>
        <v>281.94000000000005</v>
      </c>
    </row>
    <row r="1864" spans="1:6" ht="18.75" customHeight="1" x14ac:dyDescent="0.25">
      <c r="A1864" s="2" t="str">
        <f ca="1">IFERROR(__xludf.DUMMYFUNCTION("""COMPUTED_VALUE"""),"REA-C8990")</f>
        <v>REA-C8990</v>
      </c>
      <c r="B1864" s="3">
        <f ca="1">IFERROR(__xludf.DUMMYFUNCTION("""COMPUTED_VALUE"""),46431)</f>
        <v>46431</v>
      </c>
      <c r="C1864" s="3">
        <f ca="1">IFERROR(__xludf.DUMMYFUNCTION("""COMPUTED_VALUE"""),5902557376087)</f>
        <v>5902557376087</v>
      </c>
      <c r="D1864" s="4" t="str">
        <f ca="1">IFERROR(__xludf.DUMMYFUNCTION("""COMPUTED_VALUE"""),"WC - CARLO MINI RIMLESS DUROPLA/FLAT/ZM GOLD/BLACK")</f>
        <v>WC - CARLO MINI RIMLESS DUROPLA/FLAT/ZM GOLD/BLACK</v>
      </c>
      <c r="E1864" s="31">
        <v>271.63414634146346</v>
      </c>
      <c r="F1864" s="31">
        <f t="shared" si="29"/>
        <v>334.11000000000007</v>
      </c>
    </row>
    <row r="1865" spans="1:6" ht="18.75" customHeight="1" x14ac:dyDescent="0.25">
      <c r="A1865" s="2" t="str">
        <f ca="1">IFERROR(__xludf.DUMMYFUNCTION("""COMPUTED_VALUE"""),"REA-C0669")</f>
        <v>REA-C0669</v>
      </c>
      <c r="B1865" s="3">
        <f ca="1">IFERROR(__xludf.DUMMYFUNCTION("""COMPUTED_VALUE"""),41899)</f>
        <v>41899</v>
      </c>
      <c r="C1865" s="3">
        <f ca="1">IFERROR(__xludf.DUMMYFUNCTION("""COMPUTED_VALUE"""),5902557357109)</f>
        <v>5902557357109</v>
      </c>
      <c r="D1865" s="4" t="str">
        <f ca="1">IFERROR(__xludf.DUMMYFUNCTION("""COMPUTED_VALUE"""),"WC - CARLO MINI RIMLESS DUROPLA/FLAT/ZM GOLD/WHITE")</f>
        <v>WC - CARLO MINI RIMLESS DUROPLA/FLAT/ZM GOLD/WHITE</v>
      </c>
      <c r="E1865" s="31">
        <v>273.4390243902439</v>
      </c>
      <c r="F1865" s="31">
        <f t="shared" si="29"/>
        <v>336.33</v>
      </c>
    </row>
    <row r="1866" spans="1:6" ht="18.75" customHeight="1" x14ac:dyDescent="0.25">
      <c r="A1866" s="2" t="str">
        <f ca="1">IFERROR(__xludf.DUMMYFUNCTION("""COMPUTED_VALUE"""),"REA-C2760")</f>
        <v>REA-C2760</v>
      </c>
      <c r="B1866" s="3">
        <f ca="1">IFERROR(__xludf.DUMMYFUNCTION("""COMPUTED_VALUE"""),39666)</f>
        <v>39666</v>
      </c>
      <c r="C1866" s="3">
        <f ca="1">IFERROR(__xludf.DUMMYFUNCTION("""COMPUTED_VALUE"""),5902557337965)</f>
        <v>5902557337965</v>
      </c>
      <c r="D1866" s="4" t="str">
        <f ca="1">IFERROR(__xludf.DUMMYFUNCTION("""COMPUTED_VALUE"""),"WC - CARLO MINI RIMLESS DUROPLAST/FLAT/ZM")</f>
        <v>WC - CARLO MINI RIMLESS DUROPLAST/FLAT/ZM</v>
      </c>
      <c r="E1866" s="31">
        <v>139.87804878048783</v>
      </c>
      <c r="F1866" s="31">
        <f t="shared" si="29"/>
        <v>172.05000000000004</v>
      </c>
    </row>
    <row r="1867" spans="1:6" ht="18.75" customHeight="1" x14ac:dyDescent="0.25">
      <c r="A1867" s="2" t="str">
        <f ca="1">IFERROR(__xludf.DUMMYFUNCTION("""COMPUTED_VALUE"""),"REA-C8936")</f>
        <v>REA-C8936</v>
      </c>
      <c r="B1867" s="3">
        <f ca="1">IFERROR(__xludf.DUMMYFUNCTION("""COMPUTED_VALUE"""),33670)</f>
        <v>33670</v>
      </c>
      <c r="C1867" s="3">
        <f ca="1">IFERROR(__xludf.DUMMYFUNCTION("""COMPUTED_VALUE"""),5902557345144)</f>
        <v>5902557345144</v>
      </c>
      <c r="D1867" s="4" t="str">
        <f ca="1">IFERROR(__xludf.DUMMYFUNCTION("""COMPUTED_VALUE"""),"WC - CARLO MINI RIMLESS DUROPLAST/FLAT/ZM BLACK")</f>
        <v>WC - CARLO MINI RIMLESS DUROPLAST/FLAT/ZM BLACK</v>
      </c>
      <c r="E1867" s="31">
        <v>212.07317073170734</v>
      </c>
      <c r="F1867" s="31">
        <f t="shared" si="29"/>
        <v>260.85000000000002</v>
      </c>
    </row>
    <row r="1868" spans="1:6" ht="18.75" customHeight="1" x14ac:dyDescent="0.25">
      <c r="A1868" s="2" t="str">
        <f ca="1">IFERROR(__xludf.DUMMYFUNCTION("""COMPUTED_VALUE"""),"REA-C1256")</f>
        <v>REA-C1256</v>
      </c>
      <c r="B1868" s="3"/>
      <c r="C1868" s="3">
        <f ca="1">IFERROR(__xludf.DUMMYFUNCTION("""COMPUTED_VALUE"""),5902557329601)</f>
        <v>5902557329601</v>
      </c>
      <c r="D1868" s="4" t="str">
        <f ca="1">IFERROR(__xludf.DUMMYFUNCTION("""COMPUTED_VALUE"""),"WC - CARLO MINI RIMLESS/DUROPLAST/SLIM/ZM N")</f>
        <v>WC - CARLO MINI RIMLESS/DUROPLAST/SLIM/ZM N</v>
      </c>
      <c r="E1868" s="31">
        <v>148.00000000000003</v>
      </c>
      <c r="F1868" s="31">
        <f t="shared" si="29"/>
        <v>182.04000000000002</v>
      </c>
    </row>
    <row r="1869" spans="1:6" ht="18.75" customHeight="1" x14ac:dyDescent="0.25">
      <c r="A1869" s="2" t="str">
        <f ca="1">IFERROR(__xludf.DUMMYFUNCTION("""COMPUTED_VALUE"""),"REA-C8770")</f>
        <v>REA-C8770</v>
      </c>
      <c r="B1869" s="3">
        <f ca="1">IFERROR(__xludf.DUMMYFUNCTION("""COMPUTED_VALUE"""),53739)</f>
        <v>53739</v>
      </c>
      <c r="C1869" s="3">
        <f ca="1">IFERROR(__xludf.DUMMYFUNCTION("""COMPUTED_VALUE"""),5906366003042)</f>
        <v>5906366003042</v>
      </c>
      <c r="D1869" s="4" t="str">
        <f ca="1">IFERROR(__xludf.DUMMYFUNCTION("""COMPUTED_VALUE"""),"WC - CARLO MINI TORNADO PRO/DUROPLAST/FLAT/ZM")</f>
        <v>WC - CARLO MINI TORNADO PRO/DUROPLAST/FLAT/ZM</v>
      </c>
      <c r="E1869" s="31">
        <v>135.36585365853659</v>
      </c>
      <c r="F1869" s="31">
        <f t="shared" si="29"/>
        <v>166.5</v>
      </c>
    </row>
    <row r="1870" spans="1:6" ht="18.75" customHeight="1" x14ac:dyDescent="0.25">
      <c r="A1870" s="2" t="str">
        <f ca="1">IFERROR(__xludf.DUMMYFUNCTION("""COMPUTED_VALUE"""),"REA-C1259")</f>
        <v>REA-C1259</v>
      </c>
      <c r="B1870" s="3">
        <f ca="1">IFERROR(__xludf.DUMMYFUNCTION("""COMPUTED_VALUE"""),13832)</f>
        <v>13832</v>
      </c>
      <c r="C1870" s="3">
        <f ca="1">IFERROR(__xludf.DUMMYFUNCTION("""COMPUTED_VALUE"""),5902557356218)</f>
        <v>5902557356218</v>
      </c>
      <c r="D1870" s="4" t="str">
        <f ca="1">IFERROR(__xludf.DUMMYFUNCTION("""COMPUTED_VALUE"""),"WC - CARLO MINI TORNADO/DUROPLAST/SLIM/ZM")</f>
        <v>WC - CARLO MINI TORNADO/DUROPLAST/SLIM/ZM</v>
      </c>
      <c r="E1870" s="31">
        <v>138.07317073170734</v>
      </c>
      <c r="F1870" s="31">
        <f t="shared" si="29"/>
        <v>169.83</v>
      </c>
    </row>
    <row r="1871" spans="1:6" ht="18.75" customHeight="1" x14ac:dyDescent="0.25">
      <c r="A1871" s="2" t="str">
        <f ca="1">IFERROR(__xludf.DUMMYFUNCTION("""COMPUTED_VALUE"""),"REA-C2761")</f>
        <v>REA-C2761</v>
      </c>
      <c r="B1871" s="3"/>
      <c r="C1871" s="3"/>
      <c r="D1871" s="4" t="str">
        <f ca="1">IFERROR(__xludf.DUMMYFUNCTION("""COMPUTED_VALUE"""),"WC - CARLO RIMLESS DUROPLAST/FLAT/ZM  N")</f>
        <v>WC - CARLO RIMLESS DUROPLAST/FLAT/ZM  N</v>
      </c>
      <c r="E1871" s="31">
        <v>114.60975609756099</v>
      </c>
      <c r="F1871" s="31">
        <f t="shared" si="29"/>
        <v>140.97000000000003</v>
      </c>
    </row>
    <row r="1872" spans="1:6" ht="18.75" customHeight="1" x14ac:dyDescent="0.25">
      <c r="A1872" s="2" t="str">
        <f ca="1">IFERROR(__xludf.DUMMYFUNCTION("""COMPUTED_VALUE"""),"REA-C4600")</f>
        <v>REA-C4600</v>
      </c>
      <c r="B1872" s="3">
        <f ca="1">IFERROR(__xludf.DUMMYFUNCTION("""COMPUTED_VALUE"""),24388)</f>
        <v>24388</v>
      </c>
      <c r="C1872" s="3">
        <f ca="1">IFERROR(__xludf.DUMMYFUNCTION("""COMPUTED_VALUE"""),5902557332854)</f>
        <v>5902557332854</v>
      </c>
      <c r="D1872" s="4" t="str">
        <f ca="1">IFERROR(__xludf.DUMMYFUNCTION("""COMPUTED_VALUE"""),"WC - CARLO RIMLESS STOJĄCY DUROPLAST/SLIM/ZM")</f>
        <v>WC - CARLO RIMLESS STOJĄCY DUROPLAST/SLIM/ZM</v>
      </c>
      <c r="E1872" s="31">
        <v>112.80487804878049</v>
      </c>
      <c r="F1872" s="31">
        <f t="shared" si="29"/>
        <v>138.75</v>
      </c>
    </row>
    <row r="1873" spans="1:6" ht="18.75" customHeight="1" x14ac:dyDescent="0.25">
      <c r="A1873" s="2" t="str">
        <f ca="1">IFERROR(__xludf.DUMMYFUNCTION("""COMPUTED_VALUE"""),"REA-C2762")</f>
        <v>REA-C2762</v>
      </c>
      <c r="B1873" s="3">
        <f ca="1">IFERROR(__xludf.DUMMYFUNCTION("""COMPUTED_VALUE"""),29988)</f>
        <v>29988</v>
      </c>
      <c r="C1873" s="3">
        <f ca="1">IFERROR(__xludf.DUMMYFUNCTION("""COMPUTED_VALUE"""),5902557356201)</f>
        <v>5902557356201</v>
      </c>
      <c r="D1873" s="4" t="str">
        <f ca="1">IFERROR(__xludf.DUMMYFUNCTION("""COMPUTED_VALUE"""),"WC - CARLO TORNADO DUROPLAST/FLAT/ZM")</f>
        <v>WC - CARLO TORNADO DUROPLAST/FLAT/ZM</v>
      </c>
      <c r="E1873" s="31">
        <v>109.19512195121952</v>
      </c>
      <c r="F1873" s="31">
        <f t="shared" si="29"/>
        <v>134.31</v>
      </c>
    </row>
    <row r="1874" spans="1:6" ht="18.75" customHeight="1" x14ac:dyDescent="0.25">
      <c r="A1874" s="2" t="str">
        <f ca="1">IFERROR(__xludf.DUMMYFUNCTION("""COMPUTED_VALUE"""),"Rea-c6385")</f>
        <v>Rea-c6385</v>
      </c>
      <c r="B1874" s="3">
        <f ca="1">IFERROR(__xludf.DUMMYFUNCTION("""COMPUTED_VALUE"""),43187)</f>
        <v>43187</v>
      </c>
      <c r="C1874" s="3">
        <f ca="1">IFERROR(__xludf.DUMMYFUNCTION("""COMPUTED_VALUE"""),5902557365760)</f>
        <v>5902557365760</v>
      </c>
      <c r="D1874" s="4" t="str">
        <f ca="1">IFERROR(__xludf.DUMMYFUNCTION("""COMPUTED_VALUE"""),"WC - CARLOS DUROPLAST/FLAT/ZM AIAX SHINY")</f>
        <v>WC - CARLOS DUROPLAST/FLAT/ZM AIAX SHINY</v>
      </c>
      <c r="E1874" s="31">
        <v>233.73170731707319</v>
      </c>
      <c r="F1874" s="31">
        <f t="shared" si="29"/>
        <v>287.49</v>
      </c>
    </row>
    <row r="1875" spans="1:6" ht="18.75" customHeight="1" x14ac:dyDescent="0.25">
      <c r="A1875" s="2" t="str">
        <f ca="1">IFERROR(__xludf.DUMMYFUNCTION("""COMPUTED_VALUE"""),"REA-C5100")</f>
        <v>REA-C5100</v>
      </c>
      <c r="B1875" s="3">
        <f ca="1">IFERROR(__xludf.DUMMYFUNCTION("""COMPUTED_VALUE"""),44667)</f>
        <v>44667</v>
      </c>
      <c r="C1875" s="3">
        <f ca="1">IFERROR(__xludf.DUMMYFUNCTION("""COMPUTED_VALUE"""),5902557367016)</f>
        <v>5902557367016</v>
      </c>
      <c r="D1875" s="4" t="str">
        <f ca="1">IFERROR(__xludf.DUMMYFUNCTION("""COMPUTED_VALUE"""),"WC - CARLOS DUROPLAST/FLAT/ZM DIAMOND")</f>
        <v>WC - CARLOS DUROPLAST/FLAT/ZM DIAMOND</v>
      </c>
      <c r="E1875" s="31">
        <v>319.46341463414637</v>
      </c>
      <c r="F1875" s="31">
        <f t="shared" si="29"/>
        <v>392.94000000000005</v>
      </c>
    </row>
    <row r="1876" spans="1:6" ht="18.75" customHeight="1" x14ac:dyDescent="0.25">
      <c r="A1876" s="2" t="str">
        <f ca="1">IFERROR(__xludf.DUMMYFUNCTION("""COMPUTED_VALUE"""),"REA-C6606")</f>
        <v>REA-C6606</v>
      </c>
      <c r="B1876" s="3">
        <f ca="1">IFERROR(__xludf.DUMMYFUNCTION("""COMPUTED_VALUE"""),50912)</f>
        <v>50912</v>
      </c>
      <c r="C1876" s="3">
        <f ca="1">IFERROR(__xludf.DUMMYFUNCTION("""COMPUTED_VALUE"""),5902557392544)</f>
        <v>5902557392544</v>
      </c>
      <c r="D1876" s="4" t="str">
        <f ca="1">IFERROR(__xludf.DUMMYFUNCTION("""COMPUTED_VALUE"""),"WC - CARLOS DUROPLAST/FLAT/ZM NATURE MARBLE")</f>
        <v>WC - CARLOS DUROPLAST/FLAT/ZM NATURE MARBLE</v>
      </c>
      <c r="E1876" s="31">
        <v>183.19512195121951</v>
      </c>
      <c r="F1876" s="31">
        <f t="shared" si="29"/>
        <v>225.32999999999998</v>
      </c>
    </row>
    <row r="1877" spans="1:6" ht="18.75" customHeight="1" x14ac:dyDescent="0.25">
      <c r="A1877" s="2" t="str">
        <f ca="1">IFERROR(__xludf.DUMMYFUNCTION("""COMPUTED_VALUE"""),"REA-C8005")</f>
        <v>REA-C8005</v>
      </c>
      <c r="B1877" s="3">
        <f ca="1">IFERROR(__xludf.DUMMYFUNCTION("""COMPUTED_VALUE"""),42920)</f>
        <v>42920</v>
      </c>
      <c r="C1877" s="3">
        <f ca="1">IFERROR(__xludf.DUMMYFUNCTION("""COMPUTED_VALUE"""),5902557365852)</f>
        <v>5902557365852</v>
      </c>
      <c r="D1877" s="4" t="str">
        <f ca="1">IFERROR(__xludf.DUMMYFUNCTION("""COMPUTED_VALUE"""),"WC - CARLOS DUROPLAST/FLAT/ZM TERAZZO")</f>
        <v>WC - CARLOS DUROPLAST/FLAT/ZM TERAZZO</v>
      </c>
      <c r="E1877" s="31">
        <v>208.46341463414637</v>
      </c>
      <c r="F1877" s="31">
        <f t="shared" si="29"/>
        <v>256.41000000000003</v>
      </c>
    </row>
    <row r="1878" spans="1:6" ht="18.75" customHeight="1" x14ac:dyDescent="0.25">
      <c r="A1878" s="2" t="str">
        <f ca="1">IFERROR(__xludf.DUMMYFUNCTION("""COMPUTED_VALUE"""),"REA-C8767")</f>
        <v>REA-C8767</v>
      </c>
      <c r="B1878" s="3">
        <f ca="1">IFERROR(__xludf.DUMMYFUNCTION("""COMPUTED_VALUE"""),44666)</f>
        <v>44666</v>
      </c>
      <c r="C1878" s="3">
        <f ca="1">IFERROR(__xludf.DUMMYFUNCTION("""COMPUTED_VALUE"""),5902557367030)</f>
        <v>5902557367030</v>
      </c>
      <c r="D1878" s="4" t="str">
        <f ca="1">IFERROR(__xludf.DUMMYFUNCTION("""COMPUTED_VALUE"""),"WC - CARLOS DUROPLAST/FLAT/ZM WAVE")</f>
        <v>WC - CARLOS DUROPLAST/FLAT/ZM WAVE</v>
      </c>
      <c r="E1878" s="31">
        <v>332.09756097560978</v>
      </c>
      <c r="F1878" s="31">
        <f t="shared" si="29"/>
        <v>408.48</v>
      </c>
    </row>
    <row r="1879" spans="1:6" ht="18.75" customHeight="1" x14ac:dyDescent="0.25">
      <c r="A1879" s="2" t="str">
        <f ca="1">IFERROR(__xludf.DUMMYFUNCTION("""COMPUTED_VALUE"""),"REA-C8003")</f>
        <v>REA-C8003</v>
      </c>
      <c r="B1879" s="3">
        <f ca="1">IFERROR(__xludf.DUMMYFUNCTION("""COMPUTED_VALUE"""),42948)</f>
        <v>42948</v>
      </c>
      <c r="C1879" s="3">
        <f ca="1">IFERROR(__xludf.DUMMYFUNCTION("""COMPUTED_VALUE"""),5902557365777)</f>
        <v>5902557365777</v>
      </c>
      <c r="D1879" s="4" t="str">
        <f ca="1">IFERROR(__xludf.DUMMYFUNCTION("""COMPUTED_VALUE"""),"WC - CARLOS DUROPLAST/SLIM/ZM GRANIT MATT")</f>
        <v>WC - CARLOS DUROPLAST/SLIM/ZM GRANIT MATT</v>
      </c>
      <c r="E1879" s="31">
        <v>240.04878048780489</v>
      </c>
      <c r="F1879" s="31">
        <f t="shared" si="29"/>
        <v>295.26</v>
      </c>
    </row>
    <row r="1880" spans="1:6" ht="18.75" customHeight="1" x14ac:dyDescent="0.25">
      <c r="A1880" s="2" t="str">
        <f ca="1">IFERROR(__xludf.DUMMYFUNCTION("""COMPUTED_VALUE"""),"REA-C8002")</f>
        <v>REA-C8002</v>
      </c>
      <c r="B1880" s="3">
        <f ca="1">IFERROR(__xludf.DUMMYFUNCTION("""COMPUTED_VALUE"""),42866)</f>
        <v>42866</v>
      </c>
      <c r="C1880" s="3">
        <f ca="1">IFERROR(__xludf.DUMMYFUNCTION("""COMPUTED_VALUE"""),5902557365791)</f>
        <v>5902557365791</v>
      </c>
      <c r="D1880" s="4" t="str">
        <f ca="1">IFERROR(__xludf.DUMMYFUNCTION("""COMPUTED_VALUE"""),"WC - CARLOS DUROPLAST/SLIM/ZM GRANIT SHINY")</f>
        <v>WC - CARLOS DUROPLAST/SLIM/ZM GRANIT SHINY</v>
      </c>
      <c r="E1880" s="31">
        <v>253.58536585365857</v>
      </c>
      <c r="F1880" s="31">
        <f t="shared" si="29"/>
        <v>311.91000000000003</v>
      </c>
    </row>
    <row r="1881" spans="1:6" ht="18.75" customHeight="1" x14ac:dyDescent="0.25">
      <c r="A1881" s="2" t="str">
        <f ca="1">IFERROR(__xludf.DUMMYFUNCTION("""COMPUTED_VALUE"""),"REA-C8004")</f>
        <v>REA-C8004</v>
      </c>
      <c r="B1881" s="3">
        <f ca="1">IFERROR(__xludf.DUMMYFUNCTION("""COMPUTED_VALUE"""),42562)</f>
        <v>42562</v>
      </c>
      <c r="C1881" s="3">
        <f ca="1">IFERROR(__xludf.DUMMYFUNCTION("""COMPUTED_VALUE"""),5902557365784)</f>
        <v>5902557365784</v>
      </c>
      <c r="D1881" s="4" t="str">
        <f ca="1">IFERROR(__xludf.DUMMYFUNCTION("""COMPUTED_VALUE"""),"WC - CARLOS DUROPLAST/SLIM/ZM LAVA MATT")</f>
        <v>WC - CARLOS DUROPLAST/SLIM/ZM LAVA MATT</v>
      </c>
      <c r="E1881" s="31">
        <v>229.21951219512198</v>
      </c>
      <c r="F1881" s="31">
        <f t="shared" si="29"/>
        <v>281.94000000000005</v>
      </c>
    </row>
    <row r="1882" spans="1:6" ht="18.75" customHeight="1" x14ac:dyDescent="0.25">
      <c r="A1882" s="2" t="str">
        <f ca="1">IFERROR(__xludf.DUMMYFUNCTION("""COMPUTED_VALUE"""),"REA-C0536")</f>
        <v>REA-C0536</v>
      </c>
      <c r="B1882" s="3">
        <f ca="1">IFERROR(__xludf.DUMMYFUNCTION("""COMPUTED_VALUE"""),50786)</f>
        <v>50786</v>
      </c>
      <c r="C1882" s="3">
        <f ca="1">IFERROR(__xludf.DUMMYFUNCTION("""COMPUTED_VALUE"""),5902557390625)</f>
        <v>5902557390625</v>
      </c>
      <c r="D1882" s="4" t="str">
        <f ca="1">IFERROR(__xludf.DUMMYFUNCTION("""COMPUTED_VALUE"""),"WC - CARLOS DUROPLAST/SLIM/ZM LAVA SHINY")</f>
        <v>WC - CARLOS DUROPLAST/SLIM/ZM LAVA SHINY</v>
      </c>
      <c r="E1882" s="31">
        <v>246.36585365853662</v>
      </c>
      <c r="F1882" s="31">
        <f t="shared" si="29"/>
        <v>303.03000000000003</v>
      </c>
    </row>
    <row r="1883" spans="1:6" ht="18.75" customHeight="1" x14ac:dyDescent="0.25">
      <c r="A1883" s="2" t="str">
        <f ca="1">IFERROR(__xludf.DUMMYFUNCTION("""COMPUTED_VALUE"""),"REA-C8001")</f>
        <v>REA-C8001</v>
      </c>
      <c r="B1883" s="3">
        <f ca="1">IFERROR(__xludf.DUMMYFUNCTION("""COMPUTED_VALUE"""),42917)</f>
        <v>42917</v>
      </c>
      <c r="C1883" s="3">
        <f ca="1">IFERROR(__xludf.DUMMYFUNCTION("""COMPUTED_VALUE"""),5902557365746)</f>
        <v>5902557365746</v>
      </c>
      <c r="D1883" s="4" t="str">
        <f ca="1">IFERROR(__xludf.DUMMYFUNCTION("""COMPUTED_VALUE"""),"WC - CARLOS DUROPLAST/SLIM/ZM MARBLE MATT BLACK")</f>
        <v>WC - CARLOS DUROPLAST/SLIM/ZM MARBLE MATT BLACK</v>
      </c>
      <c r="E1883" s="31">
        <v>353.7560975609756</v>
      </c>
      <c r="F1883" s="31">
        <f t="shared" si="29"/>
        <v>435.12</v>
      </c>
    </row>
    <row r="1884" spans="1:6" ht="18.75" customHeight="1" x14ac:dyDescent="0.25">
      <c r="A1884" s="2" t="str">
        <f ca="1">IFERROR(__xludf.DUMMYFUNCTION("""COMPUTED_VALUE"""),"REA-C8000")</f>
        <v>REA-C8000</v>
      </c>
      <c r="B1884" s="3">
        <f ca="1">IFERROR(__xludf.DUMMYFUNCTION("""COMPUTED_VALUE"""),42918)</f>
        <v>42918</v>
      </c>
      <c r="C1884" s="3">
        <f ca="1">IFERROR(__xludf.DUMMYFUNCTION("""COMPUTED_VALUE"""),5902557365753)</f>
        <v>5902557365753</v>
      </c>
      <c r="D1884" s="4" t="str">
        <f ca="1">IFERROR(__xludf.DUMMYFUNCTION("""COMPUTED_VALUE"""),"WC - CARLOS DUROPLAST/SLIM/ZM MARBLE SHINY BLACK")</f>
        <v>WC - CARLOS DUROPLAST/SLIM/ZM MARBLE SHINY BLACK</v>
      </c>
      <c r="E1884" s="31">
        <v>222.00000000000003</v>
      </c>
      <c r="F1884" s="31">
        <f t="shared" si="29"/>
        <v>273.06000000000006</v>
      </c>
    </row>
    <row r="1885" spans="1:6" ht="18.75" customHeight="1" x14ac:dyDescent="0.25">
      <c r="A1885" s="2" t="str">
        <f ca="1">IFERROR(__xludf.DUMMYFUNCTION("""COMPUTED_VALUE"""),"REA-C1450")</f>
        <v>REA-C1450</v>
      </c>
      <c r="B1885" s="3">
        <f ca="1">IFERROR(__xludf.DUMMYFUNCTION("""COMPUTED_VALUE"""),2081)</f>
        <v>2081</v>
      </c>
      <c r="C1885" s="3"/>
      <c r="D1885" s="4" t="str">
        <f ca="1">IFERROR(__xludf.DUMMYFUNCTION("""COMPUTED_VALUE"""),"WC - CARTER RIMLESS DUROPLAST/SLIM/ZM (18 CM)")</f>
        <v>WC - CARTER RIMLESS DUROPLAST/SLIM/ZM (18 CM)</v>
      </c>
      <c r="E1885" s="31">
        <v>174.17073170731709</v>
      </c>
      <c r="F1885" s="31">
        <f t="shared" si="29"/>
        <v>214.23000000000002</v>
      </c>
    </row>
    <row r="1886" spans="1:6" ht="18.75" customHeight="1" x14ac:dyDescent="0.25">
      <c r="A1886" s="2" t="str">
        <f ca="1">IFERROR(__xludf.DUMMYFUNCTION("""COMPUTED_VALUE"""),"REA-C4211")</f>
        <v>REA-C4211</v>
      </c>
      <c r="B1886" s="3">
        <f ca="1">IFERROR(__xludf.DUMMYFUNCTION("""COMPUTED_VALUE"""),26281)</f>
        <v>26281</v>
      </c>
      <c r="C1886" s="3">
        <f ca="1">IFERROR(__xludf.DUMMYFUNCTION("""COMPUTED_VALUE"""),5902557334247)</f>
        <v>5902557334247</v>
      </c>
      <c r="D1886" s="4" t="str">
        <f ca="1">IFERROR(__xludf.DUMMYFUNCTION("""COMPUTED_VALUE"""),"WC - CARTER RIMLESS DUROPLAST/SLIM/ZM BLACK")</f>
        <v>WC - CARTER RIMLESS DUROPLAST/SLIM/ZM BLACK</v>
      </c>
      <c r="E1886" s="31">
        <v>156.12195121951223</v>
      </c>
      <c r="F1886" s="31">
        <f t="shared" si="29"/>
        <v>192.03000000000003</v>
      </c>
    </row>
    <row r="1887" spans="1:6" ht="18.75" customHeight="1" x14ac:dyDescent="0.25">
      <c r="A1887" s="2" t="str">
        <f ca="1">IFERROR(__xludf.DUMMYFUNCTION("""COMPUTED_VALUE"""),"REA-C1400")</f>
        <v>REA-C1400</v>
      </c>
      <c r="B1887" s="3">
        <f ca="1">IFERROR(__xludf.DUMMYFUNCTION("""COMPUTED_VALUE"""),43536)</f>
        <v>43536</v>
      </c>
      <c r="C1887" s="3">
        <f ca="1">IFERROR(__xludf.DUMMYFUNCTION("""COMPUTED_VALUE"""),5902557340590)</f>
        <v>5902557340590</v>
      </c>
      <c r="D1887" s="4" t="str">
        <f ca="1">IFERROR(__xludf.DUMMYFUNCTION("""COMPUTED_VALUE"""),"WC - CARTER RIMLESS DUROPLAST/SLIM/ZM N")</f>
        <v>WC - CARTER RIMLESS DUROPLAST/SLIM/ZM N</v>
      </c>
      <c r="E1887" s="31">
        <v>120.92682926829269</v>
      </c>
      <c r="F1887" s="31">
        <f t="shared" si="29"/>
        <v>148.74</v>
      </c>
    </row>
    <row r="1888" spans="1:6" ht="18.75" customHeight="1" x14ac:dyDescent="0.25">
      <c r="A1888" s="2" t="str">
        <f ca="1">IFERROR(__xludf.DUMMYFUNCTION("""COMPUTED_VALUE"""),"REA-C6560")</f>
        <v>REA-C6560</v>
      </c>
      <c r="B1888" s="3">
        <f ca="1">IFERROR(__xludf.DUMMYFUNCTION("""COMPUTED_VALUE"""),52833)</f>
        <v>52833</v>
      </c>
      <c r="C1888" s="3">
        <f ca="1">IFERROR(__xludf.DUMMYFUNCTION("""COMPUTED_VALUE"""),5906366003035)</f>
        <v>5906366003035</v>
      </c>
      <c r="D1888" s="4" t="str">
        <f ca="1">IFERROR(__xludf.DUMMYFUNCTION("""COMPUTED_VALUE"""),"WC - EDDY TURBO TORNADO")</f>
        <v>WC - EDDY TURBO TORNADO</v>
      </c>
      <c r="E1888" s="31">
        <v>144.39024390243904</v>
      </c>
      <c r="F1888" s="31">
        <f t="shared" si="29"/>
        <v>177.60000000000002</v>
      </c>
    </row>
    <row r="1889" spans="1:6" ht="18.75" customHeight="1" x14ac:dyDescent="0.25">
      <c r="A1889" s="2" t="str">
        <f ca="1">IFERROR(__xludf.DUMMYFUNCTION("""COMPUTED_VALUE"""),"REA-C6578")</f>
        <v>REA-C6578</v>
      </c>
      <c r="B1889" s="3"/>
      <c r="C1889" s="3">
        <f ca="1">IFERROR(__xludf.DUMMYFUNCTION("""COMPUTED_VALUE"""),5902557356188)</f>
        <v>5902557356188</v>
      </c>
      <c r="D1889" s="4" t="str">
        <f ca="1">IFERROR(__xludf.DUMMYFUNCTION("""COMPUTED_VALUE"""),"WC - HARY RIMLESS DUROPLAST/SLIM/ZM")</f>
        <v>WC - HARY RIMLESS DUROPLAST/SLIM/ZM</v>
      </c>
      <c r="E1889" s="31">
        <v>121.82926829268295</v>
      </c>
      <c r="F1889" s="31">
        <f t="shared" si="29"/>
        <v>149.85000000000002</v>
      </c>
    </row>
    <row r="1890" spans="1:6" ht="18.75" customHeight="1" x14ac:dyDescent="0.25">
      <c r="A1890" s="2" t="str">
        <f ca="1">IFERROR(__xludf.DUMMYFUNCTION("""COMPUTED_VALUE"""),"REA-C9201")</f>
        <v>REA-C9201</v>
      </c>
      <c r="B1890" s="3">
        <f ca="1">IFERROR(__xludf.DUMMYFUNCTION("""COMPUTED_VALUE"""),29880)</f>
        <v>29880</v>
      </c>
      <c r="C1890" s="3">
        <f ca="1">IFERROR(__xludf.DUMMYFUNCTION("""COMPUTED_VALUE"""),5902557340606)</f>
        <v>5902557340606</v>
      </c>
      <c r="D1890" s="4" t="str">
        <f ca="1">IFERROR(__xludf.DUMMYFUNCTION("""COMPUTED_VALUE"""),"WC - IVO RIMLESS DUROPLAST/FLAT/ZM")</f>
        <v>WC - IVO RIMLESS DUROPLAST/FLAT/ZM</v>
      </c>
      <c r="E1890" s="31">
        <v>158.82926829268294</v>
      </c>
      <c r="F1890" s="31">
        <f t="shared" si="29"/>
        <v>195.36</v>
      </c>
    </row>
    <row r="1891" spans="1:6" ht="18.75" customHeight="1" x14ac:dyDescent="0.25">
      <c r="A1891" s="2" t="str">
        <f ca="1">IFERROR(__xludf.DUMMYFUNCTION("""COMPUTED_VALUE"""),"REA-C6550")</f>
        <v>REA-C6550</v>
      </c>
      <c r="B1891" s="3">
        <f ca="1">IFERROR(__xludf.DUMMYFUNCTION("""COMPUTED_VALUE"""),52409)</f>
        <v>52409</v>
      </c>
      <c r="C1891" s="3">
        <f ca="1">IFERROR(__xludf.DUMMYFUNCTION("""COMPUTED_VALUE"""),5902557398317)</f>
        <v>5902557398317</v>
      </c>
      <c r="D1891" s="4" t="str">
        <f ca="1">IFERROR(__xludf.DUMMYFUNCTION("""COMPUTED_VALUE"""),"WC - JULIO RIMLESS DUROPLAST/FLAT/ZM BLACK MATT")</f>
        <v>WC - JULIO RIMLESS DUROPLAST/FLAT/ZM BLACK MATT</v>
      </c>
      <c r="E1891" s="31">
        <v>212.07317073170734</v>
      </c>
      <c r="F1891" s="31">
        <f t="shared" si="29"/>
        <v>260.85000000000002</v>
      </c>
    </row>
    <row r="1892" spans="1:6" ht="18.75" customHeight="1" x14ac:dyDescent="0.25">
      <c r="A1892" s="2" t="str">
        <f ca="1">IFERROR(__xludf.DUMMYFUNCTION("""COMPUTED_VALUE"""),"REA-C9500")</f>
        <v>REA-C9500</v>
      </c>
      <c r="B1892" s="3">
        <f ca="1">IFERROR(__xludf.DUMMYFUNCTION("""COMPUTED_VALUE"""),50063)</f>
        <v>50063</v>
      </c>
      <c r="C1892" s="3">
        <f ca="1">IFERROR(__xludf.DUMMYFUNCTION("""COMPUTED_VALUE"""),5902557383580)</f>
        <v>5902557383580</v>
      </c>
      <c r="D1892" s="4" t="str">
        <f ca="1">IFERROR(__xludf.DUMMYFUNCTION("""COMPUTED_VALUE"""),"WC - LARS RIMLESS DUROPLAST/FLAT/ZM")</f>
        <v>WC - LARS RIMLESS DUROPLAST/FLAT/ZM</v>
      </c>
      <c r="E1892" s="31">
        <v>139.87804878048783</v>
      </c>
      <c r="F1892" s="31">
        <f t="shared" si="29"/>
        <v>172.05000000000004</v>
      </c>
    </row>
    <row r="1893" spans="1:6" ht="18.75" customHeight="1" x14ac:dyDescent="0.25">
      <c r="A1893" s="2" t="str">
        <f ca="1">IFERROR(__xludf.DUMMYFUNCTION("""COMPUTED_VALUE"""),"REA-C8006")</f>
        <v>REA-C8006</v>
      </c>
      <c r="B1893" s="3">
        <f ca="1">IFERROR(__xludf.DUMMYFUNCTION("""COMPUTED_VALUE"""),42919)</f>
        <v>42919</v>
      </c>
      <c r="C1893" s="3">
        <f ca="1">IFERROR(__xludf.DUMMYFUNCTION("""COMPUTED_VALUE"""),5902557365869)</f>
        <v>5902557365869</v>
      </c>
      <c r="D1893" s="4" t="str">
        <f ca="1">IFERROR(__xludf.DUMMYFUNCTION("""COMPUTED_VALUE"""),"WC - MARTIN RIMLESS DUROPLAST/SLIM/ZM")</f>
        <v>WC - MARTIN RIMLESS DUROPLAST/SLIM/ZM</v>
      </c>
      <c r="E1893" s="31">
        <v>139.87804878048783</v>
      </c>
      <c r="F1893" s="31">
        <f t="shared" si="29"/>
        <v>172.05000000000004</v>
      </c>
    </row>
    <row r="1894" spans="1:6" ht="18.75" customHeight="1" x14ac:dyDescent="0.25">
      <c r="A1894" s="2" t="str">
        <f ca="1">IFERROR(__xludf.DUMMYFUNCTION("""COMPUTED_VALUE"""),"REA-C1258")</f>
        <v>REA-C1258</v>
      </c>
      <c r="B1894" s="3"/>
      <c r="C1894" s="3">
        <f ca="1">IFERROR(__xludf.DUMMYFUNCTION("""COMPUTED_VALUE"""),5902557329625)</f>
        <v>5902557329625</v>
      </c>
      <c r="D1894" s="4" t="str">
        <f ca="1">IFERROR(__xludf.DUMMYFUNCTION("""COMPUTED_VALUE"""),"WC - MATEO RIMLESS DUROPLAST/SLIM/ZM")</f>
        <v>WC - MATEO RIMLESS DUROPLAST/SLIM/ZM</v>
      </c>
      <c r="E1894" s="31">
        <v>127.24390243902441</v>
      </c>
      <c r="F1894" s="31">
        <f t="shared" si="29"/>
        <v>156.51000000000002</v>
      </c>
    </row>
    <row r="1895" spans="1:6" ht="18.75" customHeight="1" x14ac:dyDescent="0.25">
      <c r="A1895" s="2" t="str">
        <f ca="1">IFERROR(__xludf.DUMMYFUNCTION("""COMPUTED_VALUE"""),"REA-C1363")</f>
        <v>REA-C1363</v>
      </c>
      <c r="B1895" s="3">
        <f ca="1">IFERROR(__xludf.DUMMYFUNCTION("""COMPUTED_VALUE"""),39385)</f>
        <v>39385</v>
      </c>
      <c r="C1895" s="3">
        <f ca="1">IFERROR(__xludf.DUMMYFUNCTION("""COMPUTED_VALUE"""),5902557354627)</f>
        <v>5902557354627</v>
      </c>
      <c r="D1895" s="4" t="str">
        <f ca="1">IFERROR(__xludf.DUMMYFUNCTION("""COMPUTED_VALUE"""),"WC - OLAF RIMLESS DUROPLAST SLIM")</f>
        <v>WC - OLAF RIMLESS DUROPLAST SLIM</v>
      </c>
      <c r="E1895" s="31">
        <v>111.00000000000001</v>
      </c>
      <c r="F1895" s="31">
        <f t="shared" si="29"/>
        <v>136.53000000000003</v>
      </c>
    </row>
    <row r="1896" spans="1:6" ht="18.75" customHeight="1" x14ac:dyDescent="0.25">
      <c r="A1896" s="2" t="str">
        <f ca="1">IFERROR(__xludf.DUMMYFUNCTION("""COMPUTED_VALUE"""),"REA-C6509")</f>
        <v>REA-C6509</v>
      </c>
      <c r="B1896" s="3">
        <f ca="1">IFERROR(__xludf.DUMMYFUNCTION("""COMPUTED_VALUE"""),49810)</f>
        <v>49810</v>
      </c>
      <c r="C1896" s="3">
        <f ca="1">IFERROR(__xludf.DUMMYFUNCTION("""COMPUTED_VALUE"""),5902557383085)</f>
        <v>5902557383085</v>
      </c>
      <c r="D1896" s="4" t="str">
        <f ca="1">IFERROR(__xludf.DUMMYFUNCTION("""COMPUTED_VALUE"""),"WC - OLIVIER DUROPLAST/FLAT/ZM")</f>
        <v>WC - OLIVIER DUROPLAST/FLAT/ZM</v>
      </c>
      <c r="E1896" s="31">
        <v>137.17073170731709</v>
      </c>
      <c r="F1896" s="31">
        <f t="shared" si="29"/>
        <v>168.72000000000003</v>
      </c>
    </row>
    <row r="1897" spans="1:6" ht="18.75" customHeight="1" x14ac:dyDescent="0.25">
      <c r="A1897" s="2" t="str">
        <f ca="1">IFERROR(__xludf.DUMMYFUNCTION("""COMPUTED_VALUE"""),"REA-C1401")</f>
        <v>REA-C1401</v>
      </c>
      <c r="B1897" s="3">
        <f ca="1">IFERROR(__xludf.DUMMYFUNCTION("""COMPUTED_VALUE"""),2082)</f>
        <v>2082</v>
      </c>
      <c r="C1897" s="3">
        <f ca="1">IFERROR(__xludf.DUMMYFUNCTION("""COMPUTED_VALUE"""),5902557315925)</f>
        <v>5902557315925</v>
      </c>
      <c r="D1897" s="4" t="str">
        <f ca="1">IFERROR(__xludf.DUMMYFUNCTION("""COMPUTED_VALUE"""),"WC - PORTER RIMLESS DUROPLAST/SLIM/ZM")</f>
        <v>WC - PORTER RIMLESS DUROPLAST/SLIM/ZM</v>
      </c>
      <c r="E1897" s="31">
        <v>134.46341463414635</v>
      </c>
      <c r="F1897" s="31">
        <f t="shared" si="29"/>
        <v>165.39000000000001</v>
      </c>
    </row>
    <row r="1898" spans="1:6" ht="18.75" customHeight="1" x14ac:dyDescent="0.25">
      <c r="A1898" s="2" t="str">
        <f ca="1">IFERROR(__xludf.DUMMYFUNCTION("""COMPUTED_VALUE"""),"REA-C2361")</f>
        <v>REA-C2361</v>
      </c>
      <c r="B1898" s="3">
        <f ca="1">IFERROR(__xludf.DUMMYFUNCTION("""COMPUTED_VALUE"""),29800)</f>
        <v>29800</v>
      </c>
      <c r="C1898" s="3">
        <f ca="1">IFERROR(__xludf.DUMMYFUNCTION("""COMPUTED_VALUE"""),5902557341245)</f>
        <v>5902557341245</v>
      </c>
      <c r="D1898" s="4" t="str">
        <f ca="1">IFERROR(__xludf.DUMMYFUNCTION("""COMPUTED_VALUE"""),"WC - PORTER RIMLESS DUROPLAST/SLIM/ZM BLACK")</f>
        <v>WC - PORTER RIMLESS DUROPLAST/SLIM/ZM BLACK</v>
      </c>
      <c r="E1898" s="31">
        <v>170.5609756097561</v>
      </c>
      <c r="F1898" s="31">
        <f t="shared" si="29"/>
        <v>209.79</v>
      </c>
    </row>
    <row r="1899" spans="1:6" ht="18.75" customHeight="1" x14ac:dyDescent="0.25">
      <c r="A1899" s="2" t="str">
        <f ca="1">IFERROR(__xludf.DUMMYFUNCTION("""COMPUTED_VALUE"""),"REA-C8536")</f>
        <v>REA-C8536</v>
      </c>
      <c r="B1899" s="3">
        <f ca="1">IFERROR(__xludf.DUMMYFUNCTION("""COMPUTED_VALUE"""),38001)</f>
        <v>38001</v>
      </c>
      <c r="C1899" s="3">
        <f ca="1">IFERROR(__xludf.DUMMYFUNCTION("""COMPUTED_VALUE"""),5902557351503)</f>
        <v>5902557351503</v>
      </c>
      <c r="D1899" s="4" t="str">
        <f ca="1">IFERROR(__xludf.DUMMYFUNCTION("""COMPUTED_VALUE"""),"WC - RAMON RIMLESS/DUROPLAST/SLIM/ZM")</f>
        <v>WC - RAMON RIMLESS/DUROPLAST/SLIM/ZM</v>
      </c>
      <c r="E1899" s="31">
        <v>124.53658536585368</v>
      </c>
      <c r="F1899" s="31">
        <f t="shared" si="29"/>
        <v>153.18000000000004</v>
      </c>
    </row>
    <row r="1900" spans="1:6" ht="18.75" customHeight="1" x14ac:dyDescent="0.25">
      <c r="A1900" s="2" t="str">
        <f ca="1">IFERROR(__xludf.DUMMYFUNCTION("""COMPUTED_VALUE"""),"REA-C9660")</f>
        <v>REA-C9660</v>
      </c>
      <c r="B1900" s="3">
        <f ca="1">IFERROR(__xludf.DUMMYFUNCTION("""COMPUTED_VALUE"""),48727)</f>
        <v>48727</v>
      </c>
      <c r="C1900" s="3">
        <f ca="1">IFERROR(__xludf.DUMMYFUNCTION("""COMPUTED_VALUE"""),5902557329502)</f>
        <v>5902557329502</v>
      </c>
      <c r="D1900" s="4" t="str">
        <f ca="1">IFERROR(__xludf.DUMMYFUNCTION("""COMPUTED_VALUE"""),"WC - RAUL RIMLESS DUROPLAST/SLIM/ZM")</f>
        <v>WC - RAUL RIMLESS DUROPLAST/SLIM/ZM</v>
      </c>
      <c r="E1900" s="31">
        <v>145.29268292682929</v>
      </c>
      <c r="F1900" s="31">
        <f t="shared" si="29"/>
        <v>178.71</v>
      </c>
    </row>
    <row r="1901" spans="1:6" ht="18.75" customHeight="1" x14ac:dyDescent="0.25">
      <c r="A1901" s="2" t="str">
        <f ca="1">IFERROR(__xludf.DUMMYFUNCTION("""COMPUTED_VALUE"""),"REA-C1100")</f>
        <v>REA-C1100</v>
      </c>
      <c r="B1901" s="3">
        <f ca="1">IFERROR(__xludf.DUMMYFUNCTION("""COMPUTED_VALUE"""),49134)</f>
        <v>49134</v>
      </c>
      <c r="C1901" s="3">
        <f ca="1">IFERROR(__xludf.DUMMYFUNCTION("""COMPUTED_VALUE"""),5902557377589)</f>
        <v>5902557377589</v>
      </c>
      <c r="D1901" s="4" t="str">
        <f ca="1">IFERROR(__xludf.DUMMYFUNCTION("""COMPUTED_VALUE"""),"WC - RAUL RIMLESS DUROPLAST/SLIM/ZM BLACK MATT")</f>
        <v>WC - RAUL RIMLESS DUROPLAST/SLIM/ZM BLACK MATT</v>
      </c>
      <c r="E1901" s="31">
        <v>230.1219512195122</v>
      </c>
      <c r="F1901" s="31">
        <f t="shared" si="29"/>
        <v>283.05</v>
      </c>
    </row>
    <row r="1902" spans="1:6" ht="18.75" customHeight="1" x14ac:dyDescent="0.25">
      <c r="A1902" s="2" t="str">
        <f ca="1">IFERROR(__xludf.DUMMYFUNCTION("""COMPUTED_VALUE"""),"REA-C6600")</f>
        <v>REA-C6600</v>
      </c>
      <c r="B1902" s="3"/>
      <c r="C1902" s="3">
        <f ca="1">IFERROR(__xludf.DUMMYFUNCTION("""COMPUTED_VALUE"""),5902557330515)</f>
        <v>5902557330515</v>
      </c>
      <c r="D1902" s="4" t="str">
        <f ca="1">IFERROR(__xludf.DUMMYFUNCTION("""COMPUTED_VALUE"""),"WC - RICO RIMLESS DUROPLAST/SLIM/ZM")</f>
        <v>WC - RICO RIMLESS DUROPLAST/SLIM/ZM</v>
      </c>
      <c r="E1902" s="31">
        <v>129.95121951219514</v>
      </c>
      <c r="F1902" s="31">
        <f t="shared" si="29"/>
        <v>159.84</v>
      </c>
    </row>
    <row r="1903" spans="1:6" ht="18.75" customHeight="1" x14ac:dyDescent="0.25">
      <c r="A1903" s="2" t="str">
        <f ca="1">IFERROR(__xludf.DUMMYFUNCTION("""COMPUTED_VALUE"""),"REA-C7400")</f>
        <v>REA-C7400</v>
      </c>
      <c r="B1903" s="3">
        <f ca="1">IFERROR(__xludf.DUMMYFUNCTION("""COMPUTED_VALUE"""),7480)</f>
        <v>7480</v>
      </c>
      <c r="C1903" s="3">
        <f ca="1">IFERROR(__xludf.DUMMYFUNCTION("""COMPUTED_VALUE"""),5902557335404)</f>
        <v>5902557335404</v>
      </c>
      <c r="D1903" s="4" t="str">
        <f ca="1">IFERROR(__xludf.DUMMYFUNCTION("""COMPUTED_VALUE"""),"WC - RYAN RIMLESS DUROPLAST/SLIM/ZM")</f>
        <v>WC - RYAN RIMLESS DUROPLAST/SLIM/ZM</v>
      </c>
      <c r="E1903" s="31">
        <v>133.5609756097561</v>
      </c>
      <c r="F1903" s="31">
        <f t="shared" si="29"/>
        <v>164.28</v>
      </c>
    </row>
    <row r="1904" spans="1:6" ht="18.75" customHeight="1" x14ac:dyDescent="0.25">
      <c r="A1904" s="2" t="str">
        <f ca="1">IFERROR(__xludf.DUMMYFUNCTION("""COMPUTED_VALUE"""),"REA-C1500")</f>
        <v>REA-C1500</v>
      </c>
      <c r="B1904" s="3"/>
      <c r="C1904" s="3">
        <f ca="1">IFERROR(__xludf.DUMMYFUNCTION("""COMPUTED_VALUE"""),5902557324552)</f>
        <v>5902557324552</v>
      </c>
      <c r="D1904" s="4" t="str">
        <f ca="1">IFERROR(__xludf.DUMMYFUNCTION("""COMPUTED_VALUE"""),"WC - TITO MINI RIMLESS DUROPLAST/SLIM/ZM")</f>
        <v>WC - TITO MINI RIMLESS DUROPLAST/SLIM/ZM</v>
      </c>
      <c r="E1904" s="31">
        <v>83.024390243902445</v>
      </c>
      <c r="F1904" s="31">
        <f t="shared" si="29"/>
        <v>102.12</v>
      </c>
    </row>
    <row r="1905" spans="1:6" ht="18.75" customHeight="1" x14ac:dyDescent="0.25">
      <c r="A1905" s="2" t="str">
        <f ca="1">IFERROR(__xludf.DUMMYFUNCTION("""COMPUTED_VALUE"""),"REA-C1364")</f>
        <v>REA-C1364</v>
      </c>
      <c r="B1905" s="3">
        <f ca="1">IFERROR(__xludf.DUMMYFUNCTION("""COMPUTED_VALUE"""),39386)</f>
        <v>39386</v>
      </c>
      <c r="C1905" s="3">
        <f ca="1">IFERROR(__xludf.DUMMYFUNCTION("""COMPUTED_VALUE"""),5902557354634)</f>
        <v>5902557354634</v>
      </c>
      <c r="D1905" s="4" t="str">
        <f ca="1">IFERROR(__xludf.DUMMYFUNCTION("""COMPUTED_VALUE"""),"WC - TOBI RIMLESS DUROPLAST SLIM")</f>
        <v>WC - TOBI RIMLESS DUROPLAST SLIM</v>
      </c>
      <c r="E1905" s="31">
        <v>114.60975609756099</v>
      </c>
      <c r="F1905" s="31">
        <f t="shared" si="29"/>
        <v>140.97000000000003</v>
      </c>
    </row>
    <row r="1906" spans="1:6" ht="18.75" customHeight="1" x14ac:dyDescent="0.25">
      <c r="A1906" s="2" t="str">
        <f ca="1">IFERROR(__xludf.DUMMYFUNCTION("""COMPUTED_VALUE"""),"REA-C1257")</f>
        <v>REA-C1257</v>
      </c>
      <c r="B1906" s="3"/>
      <c r="C1906" s="3">
        <f ca="1">IFERROR(__xludf.DUMMYFUNCTION("""COMPUTED_VALUE"""),5902557329618)</f>
        <v>5902557329618</v>
      </c>
      <c r="D1906" s="4" t="str">
        <f ca="1">IFERROR(__xludf.DUMMYFUNCTION("""COMPUTED_VALUE"""),"WC - TOMAS RIMLESS DUROPLAST/SLIM/ZM")</f>
        <v>WC - TOMAS RIMLESS DUROPLAST/SLIM/ZM</v>
      </c>
      <c r="E1906" s="31">
        <v>136.26829268292684</v>
      </c>
      <c r="F1906" s="31">
        <f t="shared" si="29"/>
        <v>167.61</v>
      </c>
    </row>
    <row r="1907" spans="1:6" ht="18.75" customHeight="1" x14ac:dyDescent="0.25">
      <c r="A1907" s="2" t="str">
        <f ca="1">IFERROR(__xludf.DUMMYFUNCTION("""COMPUTED_VALUE"""),"REA-C1001")</f>
        <v>REA-C1001</v>
      </c>
      <c r="B1907" s="3">
        <f ca="1">IFERROR(__xludf.DUMMYFUNCTION("""COMPUTED_VALUE"""),33251)</f>
        <v>33251</v>
      </c>
      <c r="C1907" s="3">
        <f ca="1">IFERROR(__xludf.DUMMYFUNCTION("""COMPUTED_VALUE"""),5902557344949)</f>
        <v>5902557344949</v>
      </c>
      <c r="D1907" s="4" t="str">
        <f ca="1">IFERROR(__xludf.DUMMYFUNCTION("""COMPUTED_VALUE"""),"WC - TORES  RIMLESS DUROPLAST/SLIM/ZM")</f>
        <v>WC - TORES  RIMLESS DUROPLAST/SLIM/ZM</v>
      </c>
      <c r="E1907" s="31">
        <v>111.00000000000001</v>
      </c>
      <c r="F1907" s="31">
        <f t="shared" si="29"/>
        <v>136.53000000000003</v>
      </c>
    </row>
    <row r="1908" spans="1:6" ht="18.75" customHeight="1" x14ac:dyDescent="0.25">
      <c r="A1908" s="2" t="str">
        <f ca="1">IFERROR(__xludf.DUMMYFUNCTION("""COMPUTED_VALUE"""),"HOM-00652")</f>
        <v>HOM-00652</v>
      </c>
      <c r="B1908" s="3">
        <f ca="1">IFERROR(__xludf.DUMMYFUNCTION("""COMPUTED_VALUE"""),41068)</f>
        <v>41068</v>
      </c>
      <c r="C1908" s="3">
        <f ca="1">IFERROR(__xludf.DUMMYFUNCTION("""COMPUTED_VALUE"""),5902557355372)</f>
        <v>5902557355372</v>
      </c>
      <c r="D1908" s="4" t="str">
        <f ca="1">IFERROR(__xludf.DUMMYFUNCTION("""COMPUTED_VALUE"""),"WIESZAK NA RĘCZNIK/PÓŁKA EVO BLACK")</f>
        <v>WIESZAK NA RĘCZNIK/PÓŁKA EVO BLACK</v>
      </c>
      <c r="E1908" s="31">
        <v>75.8</v>
      </c>
      <c r="F1908" s="31">
        <f t="shared" si="29"/>
        <v>93.233999999999995</v>
      </c>
    </row>
    <row r="1909" spans="1:6" ht="18.75" customHeight="1" x14ac:dyDescent="0.25">
      <c r="A1909" s="2" t="str">
        <f ca="1">IFERROR(__xludf.DUMMYFUNCTION("""COMPUTED_VALUE"""),"HOM-08945")</f>
        <v>HOM-08945</v>
      </c>
      <c r="B1909" s="3">
        <f ca="1">IFERROR(__xludf.DUMMYFUNCTION("""COMPUTED_VALUE"""),42741)</f>
        <v>42741</v>
      </c>
      <c r="C1909" s="3">
        <f ca="1">IFERROR(__xludf.DUMMYFUNCTION("""COMPUTED_VALUE"""),5902557364183)</f>
        <v>5902557364183</v>
      </c>
      <c r="D1909" s="4" t="str">
        <f ca="1">IFERROR(__xludf.DUMMYFUNCTION("""COMPUTED_VALUE"""),"WIESZAK NA RĘCZNIK/PÓŁKA EVO CHROME")</f>
        <v>WIESZAK NA RĘCZNIK/PÓŁKA EVO CHROME</v>
      </c>
      <c r="E1909" s="31">
        <v>68.585365853658544</v>
      </c>
      <c r="F1909" s="31">
        <f t="shared" si="29"/>
        <v>84.360000000000014</v>
      </c>
    </row>
    <row r="1910" spans="1:6" ht="18.75" customHeight="1" x14ac:dyDescent="0.25">
      <c r="A1910" s="2" t="str">
        <f ca="1">IFERROR(__xludf.DUMMYFUNCTION("""COMPUTED_VALUE"""),"HOM-00653")</f>
        <v>HOM-00653</v>
      </c>
      <c r="B1910" s="3">
        <f ca="1">IFERROR(__xludf.DUMMYFUNCTION("""COMPUTED_VALUE"""),43004)</f>
        <v>43004</v>
      </c>
      <c r="C1910" s="3">
        <f ca="1">IFERROR(__xludf.DUMMYFUNCTION("""COMPUTED_VALUE"""),5902557366194)</f>
        <v>5902557366194</v>
      </c>
      <c r="D1910" s="4" t="str">
        <f ca="1">IFERROR(__xludf.DUMMYFUNCTION("""COMPUTED_VALUE"""),"WIESZAK NA RĘCZNIK/PÓŁKA EVO GOLD")</f>
        <v>WIESZAK NA RĘCZNIK/PÓŁKA EVO GOLD</v>
      </c>
      <c r="E1910" s="31">
        <v>84.82926829268294</v>
      </c>
      <c r="F1910" s="31">
        <f t="shared" si="29"/>
        <v>104.34000000000002</v>
      </c>
    </row>
    <row r="1911" spans="1:6" ht="18.75" customHeight="1" x14ac:dyDescent="0.25">
      <c r="A1911" s="2" t="str">
        <f ca="1">IFERROR(__xludf.DUMMYFUNCTION("""COMPUTED_VALUE"""),"REA-46000")</f>
        <v>REA-46000</v>
      </c>
      <c r="B1911" s="3">
        <f ca="1">IFERROR(__xludf.DUMMYFUNCTION("""COMPUTED_VALUE"""),50999)</f>
        <v>50999</v>
      </c>
      <c r="C1911" s="3">
        <f ca="1">IFERROR(__xludf.DUMMYFUNCTION("""COMPUTED_VALUE"""),5902557390489)</f>
        <v>5902557390489</v>
      </c>
      <c r="D1911" s="4" t="str">
        <f ca="1">IFERROR(__xludf.DUMMYFUNCTION("""COMPUTED_VALUE"""),"WIESZAK NA RĘCZNIK/PÓŁKA EVO GOLD BRUSH")</f>
        <v>WIESZAK NA RĘCZNIK/PÓŁKA EVO GOLD BRUSH</v>
      </c>
      <c r="E1911" s="31">
        <v>101.97560975609757</v>
      </c>
      <c r="F1911" s="31">
        <f t="shared" si="29"/>
        <v>125.43</v>
      </c>
    </row>
    <row r="1912" spans="1:6" ht="18.75" customHeight="1" x14ac:dyDescent="0.25">
      <c r="A1912" s="2" t="str">
        <f ca="1">IFERROR(__xludf.DUMMYFUNCTION("""COMPUTED_VALUE"""),"REA-C0749")</f>
        <v>REA-C0749</v>
      </c>
      <c r="B1912" s="3">
        <f ca="1">IFERROR(__xludf.DUMMYFUNCTION("""COMPUTED_VALUE"""),13138)</f>
        <v>13138</v>
      </c>
      <c r="C1912" s="3"/>
      <c r="D1912" s="4" t="str">
        <f ca="1">IFERROR(__xludf.DUMMYFUNCTION("""COMPUTED_VALUE"""),"ZESTAW MONTAŻOWY DO MISY WC")</f>
        <v>ZESTAW MONTAŻOWY DO MISY WC</v>
      </c>
      <c r="E1912" s="31">
        <v>18.951219512195124</v>
      </c>
      <c r="F1912" s="31">
        <f t="shared" si="29"/>
        <v>23.310000000000002</v>
      </c>
    </row>
    <row r="1913" spans="1:6" ht="18.75" customHeight="1" x14ac:dyDescent="0.25">
      <c r="A1913" s="2" t="str">
        <f ca="1">IFERROR(__xludf.DUMMYFUNCTION("""COMPUTED_VALUE"""),"REA-B9962")</f>
        <v>REA-B9962</v>
      </c>
      <c r="B1913" s="3">
        <f ca="1">IFERROR(__xludf.DUMMYFUNCTION("""COMPUTED_VALUE"""),44658)</f>
        <v>44658</v>
      </c>
      <c r="C1913" s="3">
        <f ca="1">IFERROR(__xludf.DUMMYFUNCTION("""COMPUTED_VALUE"""),5902557369256)</f>
        <v>5902557369256</v>
      </c>
      <c r="D1913" s="4" t="str">
        <f ca="1">IFERROR(__xludf.DUMMYFUNCTION("""COMPUTED_VALUE"""),"ZESTAW NATR MY1906-77BGG SOUL ZŁOTY SZCZOTK/CZARNY")</f>
        <v>ZESTAW NATR MY1906-77BGG SOUL ZŁOTY SZCZOTK/CZARNY</v>
      </c>
      <c r="E1913" s="31">
        <v>162.43902439024393</v>
      </c>
      <c r="F1913" s="31">
        <f t="shared" si="29"/>
        <v>199.80000000000004</v>
      </c>
    </row>
    <row r="1914" spans="1:6" ht="18.75" customHeight="1" x14ac:dyDescent="0.25">
      <c r="A1914" s="2" t="str">
        <f ca="1">IFERROR(__xludf.DUMMYFUNCTION("""COMPUTED_VALUE"""),"REA-P8950")</f>
        <v>REA-P8950</v>
      </c>
      <c r="B1914" s="3">
        <f ca="1">IFERROR(__xludf.DUMMYFUNCTION("""COMPUTED_VALUE"""),54275)</f>
        <v>54275</v>
      </c>
      <c r="C1914" s="3">
        <f ca="1">IFERROR(__xludf.DUMMYFUNCTION("""COMPUTED_VALUE"""),5906366007682)</f>
        <v>5906366007682</v>
      </c>
      <c r="D1914" s="4" t="str">
        <f ca="1">IFERROR(__xludf.DUMMYFUNCTION("""COMPUTED_VALUE"""),"ZESTAW NATR PODTYNKOWY LUNGO GRIP ZŁOTY SZCZ + BOX")</f>
        <v>ZESTAW NATR PODTYNKOWY LUNGO GRIP ZŁOTY SZCZ + BOX</v>
      </c>
      <c r="E1914" s="31">
        <v>212.07317073170734</v>
      </c>
      <c r="F1914" s="31">
        <f t="shared" si="29"/>
        <v>260.85000000000002</v>
      </c>
    </row>
    <row r="1915" spans="1:6" ht="18.75" customHeight="1" x14ac:dyDescent="0.25">
      <c r="A1915" s="2" t="str">
        <f ca="1">IFERROR(__xludf.DUMMYFUNCTION("""COMPUTED_VALUE"""),"REA-P9143")</f>
        <v>REA-P9143</v>
      </c>
      <c r="B1915" s="3">
        <f ca="1">IFERROR(__xludf.DUMMYFUNCTION("""COMPUTED_VALUE"""),47618)</f>
        <v>47618</v>
      </c>
      <c r="C1915" s="3">
        <f ca="1">IFERROR(__xludf.DUMMYFUNCTION("""COMPUTED_VALUE"""),5902557376445)</f>
        <v>5902557376445</v>
      </c>
      <c r="D1915" s="4" t="str">
        <f ca="1">IFERROR(__xludf.DUMMYFUNCTION("""COMPUTED_VALUE"""),"ZESTAW NATRY PODTY MILD CZARNY/RÓŻOWE ZŁOTO + BOX")</f>
        <v>ZESTAW NATRY PODTY MILD CZARNY/RÓŻOWE ZŁOTO + BOX</v>
      </c>
      <c r="E1915" s="31">
        <v>145.29268292682929</v>
      </c>
      <c r="F1915" s="31">
        <f t="shared" si="29"/>
        <v>178.71</v>
      </c>
    </row>
    <row r="1916" spans="1:6" ht="18.75" customHeight="1" x14ac:dyDescent="0.25">
      <c r="A1916" s="2" t="str">
        <f ca="1">IFERROR(__xludf.DUMMYFUNCTION("""COMPUTED_VALUE"""),"REA-P2403")</f>
        <v>REA-P2403</v>
      </c>
      <c r="B1916" s="3">
        <f ca="1">IFERROR(__xludf.DUMMYFUNCTION("""COMPUTED_VALUE"""),52205)</f>
        <v>52205</v>
      </c>
      <c r="C1916" s="3">
        <f ca="1">IFERROR(__xludf.DUMMYFUNCTION("""COMPUTED_VALUE"""),5902557392001)</f>
        <v>5902557392001</v>
      </c>
      <c r="D1916" s="4" t="str">
        <f ca="1">IFERROR(__xludf.DUMMYFUNCTION("""COMPUTED_VALUE"""),"ZESTAW NATRY PODTYNK MOBY ZŁOTY SZCZOTKOWANY+ BOX")</f>
        <v>ZESTAW NATRY PODTYNK MOBY ZŁOTY SZCZOTKOWANY+ BOX</v>
      </c>
      <c r="E1916" s="31">
        <v>145.29268292682929</v>
      </c>
      <c r="F1916" s="31">
        <f t="shared" si="29"/>
        <v>178.71</v>
      </c>
    </row>
    <row r="1917" spans="1:6" ht="18.75" customHeight="1" x14ac:dyDescent="0.25">
      <c r="A1917" s="2" t="str">
        <f ca="1">IFERROR(__xludf.DUMMYFUNCTION("""COMPUTED_VALUE"""),"REA-P8763")</f>
        <v>REA-P8763</v>
      </c>
      <c r="B1917" s="3">
        <f ca="1">IFERROR(__xludf.DUMMYFUNCTION("""COMPUTED_VALUE"""),51434)</f>
        <v>51434</v>
      </c>
      <c r="C1917" s="3">
        <f ca="1">IFERROR(__xludf.DUMMYFUNCTION("""COMPUTED_VALUE"""),5902557391714)</f>
        <v>5902557391714</v>
      </c>
      <c r="D1917" s="4" t="str">
        <f ca="1">IFERROR(__xludf.DUMMYFUNCTION("""COMPUTED_VALUE"""),"ZESTAW NATRYS-WANNOWY LUNGO CZARNY METALICZNY TERM")</f>
        <v>ZESTAW NATRYS-WANNOWY LUNGO CZARNY METALICZNY TERM</v>
      </c>
      <c r="E1917" s="31">
        <v>249.97560975609761</v>
      </c>
      <c r="F1917" s="31">
        <f t="shared" si="29"/>
        <v>307.47000000000008</v>
      </c>
    </row>
    <row r="1918" spans="1:6" ht="18.75" customHeight="1" x14ac:dyDescent="0.25">
      <c r="A1918" s="2" t="str">
        <f ca="1">IFERROR(__xludf.DUMMYFUNCTION("""COMPUTED_VALUE"""),"REA-P9142")</f>
        <v>REA-P9142</v>
      </c>
      <c r="B1918" s="3">
        <f ca="1">IFERROR(__xludf.DUMMYFUNCTION("""COMPUTED_VALUE"""),47609)</f>
        <v>47609</v>
      </c>
      <c r="C1918" s="3">
        <f ca="1">IFERROR(__xludf.DUMMYFUNCTION("""COMPUTED_VALUE"""),5902557375233)</f>
        <v>5902557375233</v>
      </c>
      <c r="D1918" s="4" t="str">
        <f ca="1">IFERROR(__xludf.DUMMYFUNCTION("""COMPUTED_VALUE"""),"ZESTAW NATRYSK PODTYNK PARKER NIKIEL SZCZOTK + BOX")</f>
        <v>ZESTAW NATRYSK PODTYNK PARKER NIKIEL SZCZOTK + BOX</v>
      </c>
      <c r="E1918" s="31">
        <v>223.80487804878049</v>
      </c>
      <c r="F1918" s="31">
        <f t="shared" si="29"/>
        <v>275.28000000000003</v>
      </c>
    </row>
    <row r="1919" spans="1:6" ht="18.75" customHeight="1" x14ac:dyDescent="0.25">
      <c r="A1919" s="2" t="str">
        <f ca="1">IFERROR(__xludf.DUMMYFUNCTION("""COMPUTED_VALUE"""),"REA-P6358")</f>
        <v>REA-P6358</v>
      </c>
      <c r="B1919" s="3">
        <f ca="1">IFERROR(__xludf.DUMMYFUNCTION("""COMPUTED_VALUE"""),46423)</f>
        <v>46423</v>
      </c>
      <c r="C1919" s="3">
        <f ca="1">IFERROR(__xludf.DUMMYFUNCTION("""COMPUTED_VALUE"""),5902557375486)</f>
        <v>5902557375486</v>
      </c>
      <c r="D1919" s="4" t="str">
        <f ca="1">IFERROR(__xludf.DUMMYFUNCTION("""COMPUTED_VALUE"""),"ZESTAW NATRYSKO FENIX-DAVIS ZŁOTY SZCZO TERMOSTAT")</f>
        <v>ZESTAW NATRYSKO FENIX-DAVIS ZŁOTY SZCZO TERMOSTAT</v>
      </c>
      <c r="E1919" s="31">
        <v>326.6829268292683</v>
      </c>
      <c r="F1919" s="31">
        <f t="shared" si="29"/>
        <v>401.82</v>
      </c>
    </row>
    <row r="1920" spans="1:6" ht="18.75" customHeight="1" x14ac:dyDescent="0.25">
      <c r="A1920" s="2" t="str">
        <f ca="1">IFERROR(__xludf.DUMMYFUNCTION("""COMPUTED_VALUE"""),"REA-P6608")</f>
        <v>REA-P6608</v>
      </c>
      <c r="B1920" s="3">
        <f ca="1">IFERROR(__xludf.DUMMYFUNCTION("""COMPUTED_VALUE"""),49767)</f>
        <v>49767</v>
      </c>
      <c r="C1920" s="3">
        <f ca="1">IFERROR(__xludf.DUMMYFUNCTION("""COMPUTED_VALUE"""),5902557377800)</f>
        <v>5902557377800</v>
      </c>
      <c r="D1920" s="4" t="str">
        <f ca="1">IFERROR(__xludf.DUMMYFUNCTION("""COMPUTED_VALUE"""),"ZESTAW NATRYSKOWO-WANNOWY LUNGO BIAŁY TERMOSTAT")</f>
        <v>ZESTAW NATRYSKOWO-WANNOWY LUNGO BIAŁY TERMOSTAT</v>
      </c>
      <c r="E1920" s="31">
        <v>220.19512195121953</v>
      </c>
      <c r="F1920" s="31">
        <f t="shared" si="29"/>
        <v>270.84000000000003</v>
      </c>
    </row>
    <row r="1921" spans="1:6" ht="18.75" customHeight="1" x14ac:dyDescent="0.25">
      <c r="A1921" s="2" t="str">
        <f ca="1">IFERROR(__xludf.DUMMYFUNCTION("""COMPUTED_VALUE"""),"REA-P6607")</f>
        <v>REA-P6607</v>
      </c>
      <c r="B1921" s="3">
        <f ca="1">IFERROR(__xludf.DUMMYFUNCTION("""COMPUTED_VALUE"""),49260)</f>
        <v>49260</v>
      </c>
      <c r="C1921" s="3">
        <f ca="1">IFERROR(__xludf.DUMMYFUNCTION("""COMPUTED_VALUE"""),5902557377817)</f>
        <v>5902557377817</v>
      </c>
      <c r="D1921" s="4" t="str">
        <f ca="1">IFERROR(__xludf.DUMMYFUNCTION("""COMPUTED_VALUE"""),"ZESTAW NATRYSKOWO-WANNOWY LUNGO CHROM TERMOSTAT")</f>
        <v>ZESTAW NATRYSKOWO-WANNOWY LUNGO CHROM TERMOSTAT</v>
      </c>
      <c r="E1921" s="31">
        <v>174.17073170731709</v>
      </c>
      <c r="F1921" s="31">
        <f t="shared" ref="F1921:F1984" si="30">E1921*1.23</f>
        <v>214.23000000000002</v>
      </c>
    </row>
    <row r="1922" spans="1:6" ht="18.75" customHeight="1" x14ac:dyDescent="0.25">
      <c r="A1922" s="2" t="str">
        <f ca="1">IFERROR(__xludf.DUMMYFUNCTION("""COMPUTED_VALUE"""),"REA-P4113")</f>
        <v>REA-P4113</v>
      </c>
      <c r="B1922" s="3">
        <f ca="1">IFERROR(__xludf.DUMMYFUNCTION("""COMPUTED_VALUE"""),37961)</f>
        <v>37961</v>
      </c>
      <c r="C1922" s="3">
        <f ca="1">IFERROR(__xludf.DUMMYFUNCTION("""COMPUTED_VALUE"""),5902557349722)</f>
        <v>5902557349722</v>
      </c>
      <c r="D1922" s="4" t="str">
        <f ca="1">IFERROR(__xludf.DUMMYFUNCTION("""COMPUTED_VALUE"""),"ZESTAW NATRYSKOWO-WANNOWY LUNGO CZARNY TERMOSTAT")</f>
        <v>ZESTAW NATRYSKOWO-WANNOWY LUNGO CZARNY TERMOSTAT</v>
      </c>
      <c r="E1922" s="31">
        <v>217.48780487804879</v>
      </c>
      <c r="F1922" s="31">
        <f t="shared" si="30"/>
        <v>267.51</v>
      </c>
    </row>
    <row r="1923" spans="1:6" ht="18.75" customHeight="1" x14ac:dyDescent="0.25">
      <c r="A1923" s="2" t="str">
        <f ca="1">IFERROR(__xludf.DUMMYFUNCTION("""COMPUTED_VALUE"""),"REA-P8807")</f>
        <v>REA-P8807</v>
      </c>
      <c r="B1923" s="3">
        <f ca="1">IFERROR(__xludf.DUMMYFUNCTION("""COMPUTED_VALUE"""),53887)</f>
        <v>53887</v>
      </c>
      <c r="C1923" s="3">
        <f ca="1">IFERROR(__xludf.DUMMYFUNCTION("""COMPUTED_VALUE"""),5906366006944)</f>
        <v>5906366006944</v>
      </c>
      <c r="D1923" s="4" t="str">
        <f ca="1">IFERROR(__xludf.DUMMYFUNCTION("""COMPUTED_VALUE"""),"ZESTAW NATRYSKOWO-WANNOWY LUNGO MIEDŹ SZCZO TERMOS")</f>
        <v>ZESTAW NATRYSKOWO-WANNOWY LUNGO MIEDŹ SZCZO TERMOS</v>
      </c>
      <c r="E1923" s="31">
        <v>246.36585365853662</v>
      </c>
      <c r="F1923" s="31">
        <f t="shared" si="30"/>
        <v>303.03000000000003</v>
      </c>
    </row>
    <row r="1924" spans="1:6" ht="18.75" customHeight="1" x14ac:dyDescent="0.25">
      <c r="A1924" s="2" t="str">
        <f ca="1">IFERROR(__xludf.DUMMYFUNCTION("""COMPUTED_VALUE"""),"REA-P6606")</f>
        <v>REA-P6606</v>
      </c>
      <c r="B1924" s="3">
        <f ca="1">IFERROR(__xludf.DUMMYFUNCTION("""COMPUTED_VALUE"""),49455)</f>
        <v>49455</v>
      </c>
      <c r="C1924" s="3">
        <f ca="1">IFERROR(__xludf.DUMMYFUNCTION("""COMPUTED_VALUE"""),5902557377824)</f>
        <v>5902557377824</v>
      </c>
      <c r="D1924" s="4" t="str">
        <f ca="1">IFERROR(__xludf.DUMMYFUNCTION("""COMPUTED_VALUE"""),"ZESTAW NATRYSKOWO-WANNOWY LUNGO RÓŻOWE ZŁOTO TERMO")</f>
        <v>ZESTAW NATRYSKOWO-WANNOWY LUNGO RÓŻOWE ZŁOTO TERMO</v>
      </c>
      <c r="E1924" s="31">
        <v>237.34146341463415</v>
      </c>
      <c r="F1924" s="31">
        <f t="shared" si="30"/>
        <v>291.93</v>
      </c>
    </row>
    <row r="1925" spans="1:6" ht="18.75" customHeight="1" x14ac:dyDescent="0.25">
      <c r="A1925" s="2" t="str">
        <f ca="1">IFERROR(__xludf.DUMMYFUNCTION("""COMPUTED_VALUE"""),"REA-P6604")</f>
        <v>REA-P6604</v>
      </c>
      <c r="B1925" s="3">
        <f ca="1">IFERROR(__xludf.DUMMYFUNCTION("""COMPUTED_VALUE"""),49375)</f>
        <v>49375</v>
      </c>
      <c r="C1925" s="3">
        <f ca="1">IFERROR(__xludf.DUMMYFUNCTION("""COMPUTED_VALUE"""),5902557377794)</f>
        <v>5902557377794</v>
      </c>
      <c r="D1925" s="4" t="str">
        <f ca="1">IFERROR(__xludf.DUMMYFUNCTION("""COMPUTED_VALUE"""),"ZESTAW NATRYSKOWO-WANNOWY LUNGO ZŁOTY SZCZOTK TERM")</f>
        <v>ZESTAW NATRYSKOWO-WANNOWY LUNGO ZŁOTY SZCZOTK TERM</v>
      </c>
      <c r="E1925" s="31">
        <v>246.36585365853662</v>
      </c>
      <c r="F1925" s="31">
        <f t="shared" si="30"/>
        <v>303.03000000000003</v>
      </c>
    </row>
    <row r="1926" spans="1:6" ht="18.75" customHeight="1" x14ac:dyDescent="0.25">
      <c r="A1926" s="2" t="str">
        <f ca="1">IFERROR(__xludf.DUMMYFUNCTION("""COMPUTED_VALUE"""),"REA-P4114")</f>
        <v>REA-P4114</v>
      </c>
      <c r="B1926" s="3">
        <f ca="1">IFERROR(__xludf.DUMMYFUNCTION("""COMPUTED_VALUE"""),37960)</f>
        <v>37960</v>
      </c>
      <c r="C1926" s="3">
        <f ca="1">IFERROR(__xludf.DUMMYFUNCTION("""COMPUTED_VALUE"""),5902557350025)</f>
        <v>5902557350025</v>
      </c>
      <c r="D1926" s="4" t="str">
        <f ca="1">IFERROR(__xludf.DUMMYFUNCTION("""COMPUTED_VALUE"""),"ZESTAW NATRYSKOWO-WANNOWY LUNGO ZŁOTY TERMOSTAT")</f>
        <v>ZESTAW NATRYSKOWO-WANNOWY LUNGO ZŁOTY TERMOSTAT</v>
      </c>
      <c r="E1926" s="31">
        <v>234.63414634146343</v>
      </c>
      <c r="F1926" s="31">
        <f t="shared" si="30"/>
        <v>288.60000000000002</v>
      </c>
    </row>
    <row r="1927" spans="1:6" ht="18.75" customHeight="1" x14ac:dyDescent="0.25">
      <c r="A1927" s="2" t="str">
        <f ca="1">IFERROR(__xludf.DUMMYFUNCTION("""COMPUTED_VALUE"""),"REA-P7998")</f>
        <v>REA-P7998</v>
      </c>
      <c r="B1927" s="3">
        <f ca="1">IFERROR(__xludf.DUMMYFUNCTION("""COMPUTED_VALUE"""),54099)</f>
        <v>54099</v>
      </c>
      <c r="C1927" s="3">
        <f ca="1">IFERROR(__xludf.DUMMYFUNCTION("""COMPUTED_VALUE"""),5906366008740)</f>
        <v>5906366008740</v>
      </c>
      <c r="D1927" s="4" t="str">
        <f ca="1">IFERROR(__xludf.DUMMYFUNCTION("""COMPUTED_VALUE"""),"ZESTAW NATRYSKOWO-WANNOWY Z WYLE LUNGO MIEDŹ + BOX")</f>
        <v>ZESTAW NATRYSKOWO-WANNOWY Z WYLE LUNGO MIEDŹ + BOX</v>
      </c>
      <c r="E1927" s="31">
        <v>245.46341463414637</v>
      </c>
      <c r="F1927" s="31">
        <f t="shared" si="30"/>
        <v>301.92</v>
      </c>
    </row>
    <row r="1928" spans="1:6" ht="18.75" customHeight="1" x14ac:dyDescent="0.25">
      <c r="A1928" s="2" t="str">
        <f ca="1">IFERROR(__xludf.DUMMYFUNCTION("""COMPUTED_VALUE"""),"REA-P6611")</f>
        <v>REA-P6611</v>
      </c>
      <c r="B1928" s="3">
        <f ca="1">IFERROR(__xludf.DUMMYFUNCTION("""COMPUTED_VALUE"""),49460)</f>
        <v>49460</v>
      </c>
      <c r="C1928" s="3">
        <f ca="1">IFERROR(__xludf.DUMMYFUNCTION("""COMPUTED_VALUE"""),5902557377763)</f>
        <v>5902557377763</v>
      </c>
      <c r="D1928" s="4" t="str">
        <f ca="1">IFERROR(__xludf.DUMMYFUNCTION("""COMPUTED_VALUE"""),"ZESTAW NATRYSKOWO-WANNOWY Z WYLEWKĄ LUNGO BIAŁY")</f>
        <v>ZESTAW NATRYSKOWO-WANNOWY Z WYLEWKĄ LUNGO BIAŁY</v>
      </c>
      <c r="E1928" s="31">
        <v>208.46341463414637</v>
      </c>
      <c r="F1928" s="31">
        <f t="shared" si="30"/>
        <v>256.41000000000003</v>
      </c>
    </row>
    <row r="1929" spans="1:6" ht="18.75" customHeight="1" x14ac:dyDescent="0.25">
      <c r="A1929" s="2" t="str">
        <f ca="1">IFERROR(__xludf.DUMMYFUNCTION("""COMPUTED_VALUE"""),"REA-P6612")</f>
        <v>REA-P6612</v>
      </c>
      <c r="B1929" s="3">
        <f ca="1">IFERROR(__xludf.DUMMYFUNCTION("""COMPUTED_VALUE"""),49262)</f>
        <v>49262</v>
      </c>
      <c r="C1929" s="3">
        <f ca="1">IFERROR(__xludf.DUMMYFUNCTION("""COMPUTED_VALUE"""),5902557377770)</f>
        <v>5902557377770</v>
      </c>
      <c r="D1929" s="4" t="str">
        <f ca="1">IFERROR(__xludf.DUMMYFUNCTION("""COMPUTED_VALUE"""),"ZESTAW NATRYSKOWO-WANNOWY Z WYLEWKĄ LUNGO CHROM")</f>
        <v>ZESTAW NATRYSKOWO-WANNOWY Z WYLEWKĄ LUNGO CHROM</v>
      </c>
      <c r="E1929" s="31">
        <v>200.34146341463418</v>
      </c>
      <c r="F1929" s="31">
        <f t="shared" si="30"/>
        <v>246.42000000000004</v>
      </c>
    </row>
    <row r="1930" spans="1:6" ht="18.75" customHeight="1" x14ac:dyDescent="0.25">
      <c r="A1930" s="2" t="str">
        <f ca="1">IFERROR(__xludf.DUMMYFUNCTION("""COMPUTED_VALUE"""),"REA-P4112")</f>
        <v>REA-P4112</v>
      </c>
      <c r="B1930" s="3">
        <f ca="1">IFERROR(__xludf.DUMMYFUNCTION("""COMPUTED_VALUE"""),27016)</f>
        <v>27016</v>
      </c>
      <c r="C1930" s="3">
        <f ca="1">IFERROR(__xludf.DUMMYFUNCTION("""COMPUTED_VALUE"""),5902557341566)</f>
        <v>5902557341566</v>
      </c>
      <c r="D1930" s="4" t="str">
        <f ca="1">IFERROR(__xludf.DUMMYFUNCTION("""COMPUTED_VALUE"""),"ZESTAW NATRYSKOWO-WANNOWY Z WYLEWKĄ LUNGO CZARNY")</f>
        <v>ZESTAW NATRYSKOWO-WANNOWY Z WYLEWKĄ LUNGO CZARNY</v>
      </c>
      <c r="E1930" s="31">
        <v>232.82926829268294</v>
      </c>
      <c r="F1930" s="31">
        <f t="shared" si="30"/>
        <v>286.38</v>
      </c>
    </row>
    <row r="1931" spans="1:6" ht="18.75" customHeight="1" x14ac:dyDescent="0.25">
      <c r="A1931" s="2" t="str">
        <f ca="1">IFERROR(__xludf.DUMMYFUNCTION("""COMPUTED_VALUE"""),"REA-P8810")</f>
        <v>REA-P8810</v>
      </c>
      <c r="B1931" s="3">
        <f ca="1">IFERROR(__xludf.DUMMYFUNCTION("""COMPUTED_VALUE"""),53890)</f>
        <v>53890</v>
      </c>
      <c r="C1931" s="3">
        <f ca="1">IFERROR(__xludf.DUMMYFUNCTION("""COMPUTED_VALUE"""),5906366006760)</f>
        <v>5906366006760</v>
      </c>
      <c r="D1931" s="4" t="str">
        <f ca="1">IFERROR(__xludf.DUMMYFUNCTION("""COMPUTED_VALUE"""),"ZESTAW NATRYSKOWO-WANNOWY Z WYLEWKĄ LUNGO MIEDŹ SZ")</f>
        <v>ZESTAW NATRYSKOWO-WANNOWY Z WYLEWKĄ LUNGO MIEDŹ SZ</v>
      </c>
      <c r="E1931" s="31">
        <v>246.36585365853662</v>
      </c>
      <c r="F1931" s="31">
        <f t="shared" si="30"/>
        <v>303.03000000000003</v>
      </c>
    </row>
    <row r="1932" spans="1:6" ht="18.75" customHeight="1" x14ac:dyDescent="0.25">
      <c r="A1932" s="2" t="str">
        <f ca="1">IFERROR(__xludf.DUMMYFUNCTION("""COMPUTED_VALUE"""),"REA-P6610")</f>
        <v>REA-P6610</v>
      </c>
      <c r="B1932" s="3">
        <f ca="1">IFERROR(__xludf.DUMMYFUNCTION("""COMPUTED_VALUE"""),49383)</f>
        <v>49383</v>
      </c>
      <c r="C1932" s="3">
        <f ca="1">IFERROR(__xludf.DUMMYFUNCTION("""COMPUTED_VALUE"""),5902557377787)</f>
        <v>5902557377787</v>
      </c>
      <c r="D1932" s="4" t="str">
        <f ca="1">IFERROR(__xludf.DUMMYFUNCTION("""COMPUTED_VALUE"""),"ZESTAW NATRYSKOWO-WANNOWY Z WYLEWKĄ LUNGO RÓŻOWE Z")</f>
        <v>ZESTAW NATRYSKOWO-WANNOWY Z WYLEWKĄ LUNGO RÓŻOWE Z</v>
      </c>
      <c r="E1932" s="31">
        <v>248.17073170731712</v>
      </c>
      <c r="F1932" s="31">
        <f t="shared" si="30"/>
        <v>305.25000000000006</v>
      </c>
    </row>
    <row r="1933" spans="1:6" ht="18.75" customHeight="1" x14ac:dyDescent="0.25">
      <c r="A1933" s="2" t="str">
        <f ca="1">IFERROR(__xludf.DUMMYFUNCTION("""COMPUTED_VALUE"""),"REA-P4125")</f>
        <v>REA-P4125</v>
      </c>
      <c r="B1933" s="3">
        <f ca="1">IFERROR(__xludf.DUMMYFUNCTION("""COMPUTED_VALUE"""),41665)</f>
        <v>41665</v>
      </c>
      <c r="C1933" s="3">
        <f ca="1">IFERROR(__xludf.DUMMYFUNCTION("""COMPUTED_VALUE"""),5902557356959)</f>
        <v>5902557356959</v>
      </c>
      <c r="D1933" s="4" t="str">
        <f ca="1">IFERROR(__xludf.DUMMYFUNCTION("""COMPUTED_VALUE"""),"ZESTAW NATRYSKOWO-WANNOWY Z WYLEWKĄ LUNGO ZŁOTY")</f>
        <v>ZESTAW NATRYSKOWO-WANNOWY Z WYLEWKĄ LUNGO ZŁOTY</v>
      </c>
      <c r="E1933" s="31">
        <v>226.51219512195124</v>
      </c>
      <c r="F1933" s="31">
        <f t="shared" si="30"/>
        <v>278.61</v>
      </c>
    </row>
    <row r="1934" spans="1:6" ht="18.75" customHeight="1" x14ac:dyDescent="0.25">
      <c r="A1934" s="2" t="str">
        <f ca="1">IFERROR(__xludf.DUMMYFUNCTION("""COMPUTED_VALUE"""),"REA-P6609")</f>
        <v>REA-P6609</v>
      </c>
      <c r="B1934" s="3">
        <f ca="1">IFERROR(__xludf.DUMMYFUNCTION("""COMPUTED_VALUE"""),49448)</f>
        <v>49448</v>
      </c>
      <c r="C1934" s="3">
        <f ca="1">IFERROR(__xludf.DUMMYFUNCTION("""COMPUTED_VALUE"""),5902557377756)</f>
        <v>5902557377756</v>
      </c>
      <c r="D1934" s="4" t="str">
        <f ca="1">IFERROR(__xludf.DUMMYFUNCTION("""COMPUTED_VALUE"""),"ZESTAW NATRYSKOWO-WANNOWY Z WYLEWKĄ LUNGO ZŁOTY SZ")</f>
        <v>ZESTAW NATRYSKOWO-WANNOWY Z WYLEWKĄ LUNGO ZŁOTY SZ</v>
      </c>
      <c r="E1934" s="31">
        <v>246.36585365853662</v>
      </c>
      <c r="F1934" s="31">
        <f t="shared" si="30"/>
        <v>303.03000000000003</v>
      </c>
    </row>
    <row r="1935" spans="1:6" ht="18.75" customHeight="1" x14ac:dyDescent="0.25">
      <c r="A1935" s="2" t="str">
        <f ca="1">IFERROR(__xludf.DUMMYFUNCTION("""COMPUTED_VALUE"""),"REA-P8801")</f>
        <v>REA-P8801</v>
      </c>
      <c r="B1935" s="3">
        <f ca="1">IFERROR(__xludf.DUMMYFUNCTION("""COMPUTED_VALUE"""),44584)</f>
        <v>44584</v>
      </c>
      <c r="C1935" s="3">
        <f ca="1">IFERROR(__xludf.DUMMYFUNCTION("""COMPUTED_VALUE"""),5902557369447)</f>
        <v>5902557369447</v>
      </c>
      <c r="D1935" s="4" t="str">
        <f ca="1">IFERROR(__xludf.DUMMYFUNCTION("""COMPUTED_VALUE"""),"ZESTAW NATRYSKOWY ALDI CHROM")</f>
        <v>ZESTAW NATRYSKOWY ALDI CHROM</v>
      </c>
      <c r="E1935" s="31">
        <v>129.04878048780489</v>
      </c>
      <c r="F1935" s="31">
        <f t="shared" si="30"/>
        <v>158.73000000000002</v>
      </c>
    </row>
    <row r="1936" spans="1:6" ht="18.75" customHeight="1" x14ac:dyDescent="0.25">
      <c r="A1936" s="2" t="str">
        <f ca="1">IFERROR(__xludf.DUMMYFUNCTION("""COMPUTED_VALUE"""),"REA-P8800")</f>
        <v>REA-P8800</v>
      </c>
      <c r="B1936" s="3">
        <f ca="1">IFERROR(__xludf.DUMMYFUNCTION("""COMPUTED_VALUE"""),44582)</f>
        <v>44582</v>
      </c>
      <c r="C1936" s="3">
        <f ca="1">IFERROR(__xludf.DUMMYFUNCTION("""COMPUTED_VALUE"""),5902557369430)</f>
        <v>5902557369430</v>
      </c>
      <c r="D1936" s="4" t="str">
        <f ca="1">IFERROR(__xludf.DUMMYFUNCTION("""COMPUTED_VALUE"""),"ZESTAW NATRYSKOWY ALDI CZARNY")</f>
        <v>ZESTAW NATRYSKOWY ALDI CZARNY</v>
      </c>
      <c r="E1936" s="31">
        <v>134.46341463414635</v>
      </c>
      <c r="F1936" s="31">
        <f t="shared" si="30"/>
        <v>165.39000000000001</v>
      </c>
    </row>
    <row r="1937" spans="1:6" ht="18.75" customHeight="1" x14ac:dyDescent="0.25">
      <c r="A1937" s="2" t="str">
        <f ca="1">IFERROR(__xludf.DUMMYFUNCTION("""COMPUTED_VALUE"""),"REA-P8802")</f>
        <v>REA-P8802</v>
      </c>
      <c r="B1937" s="3">
        <f ca="1">IFERROR(__xludf.DUMMYFUNCTION("""COMPUTED_VALUE"""),44583)</f>
        <v>44583</v>
      </c>
      <c r="C1937" s="3">
        <f ca="1">IFERROR(__xludf.DUMMYFUNCTION("""COMPUTED_VALUE"""),5902557369423)</f>
        <v>5902557369423</v>
      </c>
      <c r="D1937" s="4" t="str">
        <f ca="1">IFERROR(__xludf.DUMMYFUNCTION("""COMPUTED_VALUE"""),"ZESTAW NATRYSKOWY ALDI ZŁOTY")</f>
        <v>ZESTAW NATRYSKOWY ALDI ZŁOTY</v>
      </c>
      <c r="E1937" s="31">
        <v>166.04878048780489</v>
      </c>
      <c r="F1937" s="31">
        <f t="shared" si="30"/>
        <v>204.24</v>
      </c>
    </row>
    <row r="1938" spans="1:6" ht="18.75" customHeight="1" x14ac:dyDescent="0.25">
      <c r="A1938" s="2" t="str">
        <f ca="1">IFERROR(__xludf.DUMMYFUNCTION("""COMPUTED_VALUE"""),"REA-P8811")</f>
        <v>REA-P8811</v>
      </c>
      <c r="B1938" s="3">
        <f ca="1">IFERROR(__xludf.DUMMYFUNCTION("""COMPUTED_VALUE"""),53902)</f>
        <v>53902</v>
      </c>
      <c r="C1938" s="3">
        <f ca="1">IFERROR(__xludf.DUMMYFUNCTION("""COMPUTED_VALUE"""),5906366002786)</f>
        <v>5906366002786</v>
      </c>
      <c r="D1938" s="4" t="str">
        <f ca="1">IFERROR(__xludf.DUMMYFUNCTION("""COMPUTED_VALUE"""),"ZESTAW NATRYSKOWY AVALON CZARNY")</f>
        <v>ZESTAW NATRYSKOWY AVALON CZARNY</v>
      </c>
      <c r="E1938" s="31">
        <v>161.53658536585368</v>
      </c>
      <c r="F1938" s="31">
        <f t="shared" si="30"/>
        <v>198.69000000000003</v>
      </c>
    </row>
    <row r="1939" spans="1:6" ht="18.75" customHeight="1" x14ac:dyDescent="0.25">
      <c r="A1939" s="2" t="str">
        <f ca="1">IFERROR(__xludf.DUMMYFUNCTION("""COMPUTED_VALUE"""),"REA-P2401")</f>
        <v>REA-P2401</v>
      </c>
      <c r="B1939" s="3">
        <f ca="1">IFERROR(__xludf.DUMMYFUNCTION("""COMPUTED_VALUE"""),52204)</f>
        <v>52204</v>
      </c>
      <c r="C1939" s="3">
        <f ca="1">IFERROR(__xludf.DUMMYFUNCTION("""COMPUTED_VALUE"""),5902557391967)</f>
        <v>5902557391967</v>
      </c>
      <c r="D1939" s="4" t="str">
        <f ca="1">IFERROR(__xludf.DUMMYFUNCTION("""COMPUTED_VALUE"""),"ZESTAW NATRYSKOWY AVALON TYTAN")</f>
        <v>ZESTAW NATRYSKOWY AVALON TYTAN</v>
      </c>
      <c r="E1939" s="31">
        <v>210.26829268292684</v>
      </c>
      <c r="F1939" s="31">
        <f t="shared" si="30"/>
        <v>258.63</v>
      </c>
    </row>
    <row r="1940" spans="1:6" ht="18.75" customHeight="1" x14ac:dyDescent="0.25">
      <c r="A1940" s="2" t="str">
        <f ca="1">IFERROR(__xludf.DUMMYFUNCTION("""COMPUTED_VALUE"""),"REA-P8812")</f>
        <v>REA-P8812</v>
      </c>
      <c r="B1940" s="3">
        <f ca="1">IFERROR(__xludf.DUMMYFUNCTION("""COMPUTED_VALUE"""),53901)</f>
        <v>53901</v>
      </c>
      <c r="C1940" s="3">
        <f ca="1">IFERROR(__xludf.DUMMYFUNCTION("""COMPUTED_VALUE"""),5906366002793)</f>
        <v>5906366002793</v>
      </c>
      <c r="D1940" s="4" t="str">
        <f ca="1">IFERROR(__xludf.DUMMYFUNCTION("""COMPUTED_VALUE"""),"ZESTAW NATRYSKOWY AVALON ZŁOTY")</f>
        <v>ZESTAW NATRYSKOWY AVALON ZŁOTY</v>
      </c>
      <c r="E1940" s="31">
        <v>191.31707317073173</v>
      </c>
      <c r="F1940" s="31">
        <f t="shared" si="30"/>
        <v>235.32000000000002</v>
      </c>
    </row>
    <row r="1941" spans="1:6" ht="18.75" customHeight="1" x14ac:dyDescent="0.25">
      <c r="A1941" s="2" t="str">
        <f ca="1">IFERROR(__xludf.DUMMYFUNCTION("""COMPUTED_VALUE"""),"REA-P2400")</f>
        <v>REA-P2400</v>
      </c>
      <c r="B1941" s="3">
        <f ca="1">IFERROR(__xludf.DUMMYFUNCTION("""COMPUTED_VALUE"""),52171)</f>
        <v>52171</v>
      </c>
      <c r="C1941" s="3">
        <f ca="1">IFERROR(__xludf.DUMMYFUNCTION("""COMPUTED_VALUE"""),5902557391974)</f>
        <v>5902557391974</v>
      </c>
      <c r="D1941" s="4" t="str">
        <f ca="1">IFERROR(__xludf.DUMMYFUNCTION("""COMPUTED_VALUE"""),"ZESTAW NATRYSKOWY AVALON ZŁOTY SZCZOTKOWANY")</f>
        <v>ZESTAW NATRYSKOWY AVALON ZŁOTY SZCZOTKOWANY</v>
      </c>
      <c r="E1941" s="31">
        <v>212.07317073170734</v>
      </c>
      <c r="F1941" s="31">
        <f t="shared" si="30"/>
        <v>260.85000000000002</v>
      </c>
    </row>
    <row r="1942" spans="1:6" ht="18.75" customHeight="1" x14ac:dyDescent="0.25">
      <c r="A1942" s="2" t="str">
        <f ca="1">IFERROR(__xludf.DUMMYFUNCTION("""COMPUTED_VALUE"""),"REA-P4893")</f>
        <v>REA-P4893</v>
      </c>
      <c r="B1942" s="3">
        <f ca="1">IFERROR(__xludf.DUMMYFUNCTION("""COMPUTED_VALUE"""),35487)</f>
        <v>35487</v>
      </c>
      <c r="C1942" s="3">
        <f ca="1">IFERROR(__xludf.DUMMYFUNCTION("""COMPUTED_VALUE"""),5902557345267)</f>
        <v>5902557345267</v>
      </c>
      <c r="D1942" s="4" t="str">
        <f ca="1">IFERROR(__xludf.DUMMYFUNCTION("""COMPUTED_VALUE"""),"ZESTAW NATRYSKOWY BENTO ZŁOTY")</f>
        <v>ZESTAW NATRYSKOWY BENTO ZŁOTY</v>
      </c>
      <c r="E1942" s="31">
        <v>245.46341463414637</v>
      </c>
      <c r="F1942" s="31">
        <f t="shared" si="30"/>
        <v>301.92</v>
      </c>
    </row>
    <row r="1943" spans="1:6" ht="18.75" customHeight="1" x14ac:dyDescent="0.25">
      <c r="A1943" s="2" t="str">
        <f ca="1">IFERROR(__xludf.DUMMYFUNCTION("""COMPUTED_VALUE"""),"REA-P5002")</f>
        <v>REA-P5002</v>
      </c>
      <c r="B1943" s="3">
        <f ca="1">IFERROR(__xludf.DUMMYFUNCTION("""COMPUTED_VALUE"""),52803)</f>
        <v>52803</v>
      </c>
      <c r="C1943" s="3">
        <f ca="1">IFERROR(__xludf.DUMMYFUNCTION("""COMPUTED_VALUE"""),5902557397693)</f>
        <v>5902557397693</v>
      </c>
      <c r="D1943" s="4" t="str">
        <f ca="1">IFERROR(__xludf.DUMMYFUNCTION("""COMPUTED_VALUE"""),"ZESTAW NATRYSKOWY BERGAMO BRĄZ ANTYCZNY")</f>
        <v>ZESTAW NATRYSKOWY BERGAMO BRĄZ ANTYCZNY</v>
      </c>
      <c r="E1943" s="31">
        <v>218.39024390243904</v>
      </c>
      <c r="F1943" s="31">
        <f t="shared" si="30"/>
        <v>268.62</v>
      </c>
    </row>
    <row r="1944" spans="1:6" ht="18.75" customHeight="1" x14ac:dyDescent="0.25">
      <c r="A1944" s="2" t="str">
        <f ca="1">IFERROR(__xludf.DUMMYFUNCTION("""COMPUTED_VALUE"""),"REA-P5001")</f>
        <v>REA-P5001</v>
      </c>
      <c r="B1944" s="3">
        <f ca="1">IFERROR(__xludf.DUMMYFUNCTION("""COMPUTED_VALUE"""),52804)</f>
        <v>52804</v>
      </c>
      <c r="C1944" s="3">
        <f ca="1">IFERROR(__xludf.DUMMYFUNCTION("""COMPUTED_VALUE"""),5902557397709)</f>
        <v>5902557397709</v>
      </c>
      <c r="D1944" s="4" t="str">
        <f ca="1">IFERROR(__xludf.DUMMYFUNCTION("""COMPUTED_VALUE"""),"ZESTAW NATRYSKOWY BERGAMO CZARNY PRZECIERANY")</f>
        <v>ZESTAW NATRYSKOWY BERGAMO CZARNY PRZECIERANY</v>
      </c>
      <c r="E1944" s="31">
        <v>205.75609756097563</v>
      </c>
      <c r="F1944" s="31">
        <f t="shared" si="30"/>
        <v>253.08</v>
      </c>
    </row>
    <row r="1945" spans="1:6" ht="18.75" customHeight="1" x14ac:dyDescent="0.25">
      <c r="A1945" s="2" t="str">
        <f ca="1">IFERROR(__xludf.DUMMYFUNCTION("""COMPUTED_VALUE"""),"REA-P8805")</f>
        <v>REA-P8805</v>
      </c>
      <c r="B1945" s="3">
        <f ca="1">IFERROR(__xludf.DUMMYFUNCTION("""COMPUTED_VALUE"""),44471)</f>
        <v>44471</v>
      </c>
      <c r="C1945" s="3">
        <f ca="1">IFERROR(__xludf.DUMMYFUNCTION("""COMPUTED_VALUE"""),5902557369478)</f>
        <v>5902557369478</v>
      </c>
      <c r="D1945" s="4" t="str">
        <f ca="1">IFERROR(__xludf.DUMMYFUNCTION("""COMPUTED_VALUE"""),"ZESTAW NATRYSKOWY BLISS CHROM")</f>
        <v>ZESTAW NATRYSKOWY BLISS CHROM</v>
      </c>
      <c r="E1945" s="31">
        <v>130.85365853658539</v>
      </c>
      <c r="F1945" s="31">
        <f t="shared" si="30"/>
        <v>160.95000000000002</v>
      </c>
    </row>
    <row r="1946" spans="1:6" ht="18.75" customHeight="1" x14ac:dyDescent="0.25">
      <c r="A1946" s="2" t="str">
        <f ca="1">IFERROR(__xludf.DUMMYFUNCTION("""COMPUTED_VALUE"""),"REA-P8804")</f>
        <v>REA-P8804</v>
      </c>
      <c r="B1946" s="3">
        <f ca="1">IFERROR(__xludf.DUMMYFUNCTION("""COMPUTED_VALUE"""),44472)</f>
        <v>44472</v>
      </c>
      <c r="C1946" s="3">
        <f ca="1">IFERROR(__xludf.DUMMYFUNCTION("""COMPUTED_VALUE"""),5902557369461)</f>
        <v>5902557369461</v>
      </c>
      <c r="D1946" s="4" t="str">
        <f ca="1">IFERROR(__xludf.DUMMYFUNCTION("""COMPUTED_VALUE"""),"ZESTAW NATRYSKOWY BLISS CZARNY")</f>
        <v>ZESTAW NATRYSKOWY BLISS CZARNY</v>
      </c>
      <c r="E1946" s="31">
        <v>135.36585365853659</v>
      </c>
      <c r="F1946" s="31">
        <f t="shared" si="30"/>
        <v>166.5</v>
      </c>
    </row>
    <row r="1947" spans="1:6" ht="18.75" customHeight="1" x14ac:dyDescent="0.25">
      <c r="A1947" s="2" t="str">
        <f ca="1">IFERROR(__xludf.DUMMYFUNCTION("""COMPUTED_VALUE"""),"REA-P8806")</f>
        <v>REA-P8806</v>
      </c>
      <c r="B1947" s="3">
        <f ca="1">IFERROR(__xludf.DUMMYFUNCTION("""COMPUTED_VALUE"""),44470)</f>
        <v>44470</v>
      </c>
      <c r="C1947" s="3">
        <f ca="1">IFERROR(__xludf.DUMMYFUNCTION("""COMPUTED_VALUE"""),5902557369492)</f>
        <v>5902557369492</v>
      </c>
      <c r="D1947" s="4" t="str">
        <f ca="1">IFERROR(__xludf.DUMMYFUNCTION("""COMPUTED_VALUE"""),"ZESTAW NATRYSKOWY BLISS ZŁOTY")</f>
        <v>ZESTAW NATRYSKOWY BLISS ZŁOTY</v>
      </c>
      <c r="E1947" s="31">
        <v>179.58536585365854</v>
      </c>
      <c r="F1947" s="31">
        <f t="shared" si="30"/>
        <v>220.89000000000001</v>
      </c>
    </row>
    <row r="1948" spans="1:6" ht="18.75" customHeight="1" x14ac:dyDescent="0.25">
      <c r="A1948" s="2" t="str">
        <f ca="1">IFERROR(__xludf.DUMMYFUNCTION("""COMPUTED_VALUE"""),"REA-P8413")</f>
        <v>REA-P8413</v>
      </c>
      <c r="B1948" s="3">
        <f ca="1">IFERROR(__xludf.DUMMYFUNCTION("""COMPUTED_VALUE"""),53733)</f>
        <v>53733</v>
      </c>
      <c r="C1948" s="3">
        <f ca="1">IFERROR(__xludf.DUMMYFUNCTION("""COMPUTED_VALUE"""),5906366002939)</f>
        <v>5906366002939</v>
      </c>
      <c r="D1948" s="4" t="str">
        <f ca="1">IFERROR(__xludf.DUMMYFUNCTION("""COMPUTED_VALUE"""),"ZESTAW NATRYSKOWY BLISS ZŁOTY SZCZOTKOWANY")</f>
        <v>ZESTAW NATRYSKOWY BLISS ZŁOTY SZCZOTKOWANY</v>
      </c>
      <c r="E1948" s="31">
        <v>181.39024390243904</v>
      </c>
      <c r="F1948" s="31">
        <f t="shared" si="30"/>
        <v>223.11</v>
      </c>
    </row>
    <row r="1949" spans="1:6" ht="18.75" customHeight="1" x14ac:dyDescent="0.25">
      <c r="A1949" s="2" t="str">
        <f ca="1">IFERROR(__xludf.DUMMYFUNCTION("""COMPUTED_VALUE"""),"REA-P0636")</f>
        <v>REA-P0636</v>
      </c>
      <c r="B1949" s="3">
        <f ca="1">IFERROR(__xludf.DUMMYFUNCTION("""COMPUTED_VALUE"""),29739)</f>
        <v>29739</v>
      </c>
      <c r="C1949" s="3">
        <f ca="1">IFERROR(__xludf.DUMMYFUNCTION("""COMPUTED_VALUE"""),5902557336647)</f>
        <v>5902557336647</v>
      </c>
      <c r="D1949" s="4" t="str">
        <f ca="1">IFERROR(__xludf.DUMMYFUNCTION("""COMPUTED_VALUE"""),"ZESTAW NATRYSKOWY BRAVO CZARNY")</f>
        <v>ZESTAW NATRYSKOWY BRAVO CZARNY</v>
      </c>
      <c r="E1949" s="31">
        <v>101.97560975609757</v>
      </c>
      <c r="F1949" s="31">
        <f t="shared" si="30"/>
        <v>125.43</v>
      </c>
    </row>
    <row r="1950" spans="1:6" ht="18.75" customHeight="1" x14ac:dyDescent="0.25">
      <c r="A1950" s="2" t="str">
        <f ca="1">IFERROR(__xludf.DUMMYFUNCTION("""COMPUTED_VALUE"""),"REA-P4120")</f>
        <v>REA-P4120</v>
      </c>
      <c r="B1950" s="3">
        <f ca="1">IFERROR(__xludf.DUMMYFUNCTION("""COMPUTED_VALUE"""),52200)</f>
        <v>52200</v>
      </c>
      <c r="C1950" s="3">
        <f ca="1">IFERROR(__xludf.DUMMYFUNCTION("""COMPUTED_VALUE"""),5902557395798)</f>
        <v>5902557395798</v>
      </c>
      <c r="D1950" s="4" t="str">
        <f ca="1">IFERROR(__xludf.DUMMYFUNCTION("""COMPUTED_VALUE"""),"ZESTAW NATRYSKOWY BRAVO ZŁOTY")</f>
        <v>ZESTAW NATRYSKOWY BRAVO ZŁOTY</v>
      </c>
      <c r="E1950" s="31">
        <v>118.21951219512195</v>
      </c>
      <c r="F1950" s="31">
        <f t="shared" si="30"/>
        <v>145.41</v>
      </c>
    </row>
    <row r="1951" spans="1:6" ht="18.75" customHeight="1" x14ac:dyDescent="0.25">
      <c r="A1951" s="2" t="str">
        <f ca="1">IFERROR(__xludf.DUMMYFUNCTION("""COMPUTED_VALUE"""),"REA-P4121")</f>
        <v>REA-P4121</v>
      </c>
      <c r="B1951" s="3">
        <f ca="1">IFERROR(__xludf.DUMMYFUNCTION("""COMPUTED_VALUE"""),52199)</f>
        <v>52199</v>
      </c>
      <c r="C1951" s="3">
        <f ca="1">IFERROR(__xludf.DUMMYFUNCTION("""COMPUTED_VALUE"""),5902557395804)</f>
        <v>5902557395804</v>
      </c>
      <c r="D1951" s="4" t="str">
        <f ca="1">IFERROR(__xludf.DUMMYFUNCTION("""COMPUTED_VALUE"""),"ZESTAW NATRYSKOWY BRAVO ZŁOTY SZCZOTKOWANY")</f>
        <v>ZESTAW NATRYSKOWY BRAVO ZŁOTY SZCZOTKOWANY</v>
      </c>
      <c r="E1951" s="31">
        <v>127.24390243902441</v>
      </c>
      <c r="F1951" s="31">
        <f t="shared" si="30"/>
        <v>156.51000000000002</v>
      </c>
    </row>
    <row r="1952" spans="1:6" ht="18.75" customHeight="1" x14ac:dyDescent="0.25">
      <c r="A1952" s="2" t="str">
        <f ca="1">IFERROR(__xludf.DUMMYFUNCTION("""COMPUTED_VALUE"""),"REA-P8965")</f>
        <v>REA-P8965</v>
      </c>
      <c r="B1952" s="3"/>
      <c r="C1952" s="3">
        <f ca="1">IFERROR(__xludf.DUMMYFUNCTION("""COMPUTED_VALUE"""),5902557319732)</f>
        <v>5902557319732</v>
      </c>
      <c r="D1952" s="4" t="str">
        <f ca="1">IFERROR(__xludf.DUMMYFUNCTION("""COMPUTED_VALUE"""),"ZESTAW NATRYSKOWY CEZAR CHROM TERMOSTAT")</f>
        <v>ZESTAW NATRYSKOWY CEZAR CHROM TERMOSTAT</v>
      </c>
      <c r="E1952" s="31">
        <v>162.43902439024393</v>
      </c>
      <c r="F1952" s="31">
        <f t="shared" si="30"/>
        <v>199.80000000000004</v>
      </c>
    </row>
    <row r="1953" spans="1:6" ht="18.75" customHeight="1" x14ac:dyDescent="0.25">
      <c r="A1953" s="2" t="str">
        <f ca="1">IFERROR(__xludf.DUMMYFUNCTION("""COMPUTED_VALUE"""),"REA-P8451")</f>
        <v>REA-P8451</v>
      </c>
      <c r="B1953" s="3">
        <f ca="1">IFERROR(__xludf.DUMMYFUNCTION("""COMPUTED_VALUE"""),44915)</f>
        <v>44915</v>
      </c>
      <c r="C1953" s="3">
        <f ca="1">IFERROR(__xludf.DUMMYFUNCTION("""COMPUTED_VALUE"""),5902557370030)</f>
        <v>5902557370030</v>
      </c>
      <c r="D1953" s="4" t="str">
        <f ca="1">IFERROR(__xludf.DUMMYFUNCTION("""COMPUTED_VALUE"""),"ZESTAW NATRYSKOWY FENIX CHROM")</f>
        <v>ZESTAW NATRYSKOWY FENIX CHROM</v>
      </c>
      <c r="E1953" s="31">
        <v>157.02439024390245</v>
      </c>
      <c r="F1953" s="31">
        <f t="shared" si="30"/>
        <v>193.14000000000001</v>
      </c>
    </row>
    <row r="1954" spans="1:6" ht="18.75" customHeight="1" x14ac:dyDescent="0.25">
      <c r="A1954" s="2" t="str">
        <f ca="1">IFERROR(__xludf.DUMMYFUNCTION("""COMPUTED_VALUE"""),"REA-P6920")</f>
        <v>REA-P6920</v>
      </c>
      <c r="B1954" s="3">
        <f ca="1">IFERROR(__xludf.DUMMYFUNCTION("""COMPUTED_VALUE"""),32506)</f>
        <v>32506</v>
      </c>
      <c r="C1954" s="3">
        <f ca="1">IFERROR(__xludf.DUMMYFUNCTION("""COMPUTED_VALUE"""),5902557344765)</f>
        <v>5902557344765</v>
      </c>
      <c r="D1954" s="4" t="str">
        <f ca="1">IFERROR(__xludf.DUMMYFUNCTION("""COMPUTED_VALUE"""),"ZESTAW NATRYSKOWY FENIX CZARNY")</f>
        <v>ZESTAW NATRYSKOWY FENIX CZARNY</v>
      </c>
      <c r="E1954" s="31">
        <v>202.14634146341467</v>
      </c>
      <c r="F1954" s="31">
        <f t="shared" si="30"/>
        <v>248.64000000000004</v>
      </c>
    </row>
    <row r="1955" spans="1:6" ht="18.75" customHeight="1" x14ac:dyDescent="0.25">
      <c r="A1955" s="2" t="str">
        <f ca="1">IFERROR(__xludf.DUMMYFUNCTION("""COMPUTED_VALUE"""),"REA-P8401")</f>
        <v>REA-P8401</v>
      </c>
      <c r="B1955" s="3">
        <f ca="1">IFERROR(__xludf.DUMMYFUNCTION("""COMPUTED_VALUE"""),42835)</f>
        <v>42835</v>
      </c>
      <c r="C1955" s="3">
        <f ca="1">IFERROR(__xludf.DUMMYFUNCTION("""COMPUTED_VALUE"""),5902557364091)</f>
        <v>5902557364091</v>
      </c>
      <c r="D1955" s="4" t="str">
        <f ca="1">IFERROR(__xludf.DUMMYFUNCTION("""COMPUTED_VALUE"""),"ZESTAW NATRYSKOWY FENIX ZŁOTY")</f>
        <v>ZESTAW NATRYSKOWY FENIX ZŁOTY</v>
      </c>
      <c r="E1955" s="31">
        <v>239.14634146341464</v>
      </c>
      <c r="F1955" s="31">
        <f t="shared" si="30"/>
        <v>294.15000000000003</v>
      </c>
    </row>
    <row r="1956" spans="1:6" ht="18.75" customHeight="1" x14ac:dyDescent="0.25">
      <c r="A1956" s="2" t="str">
        <f ca="1">IFERROR(__xludf.DUMMYFUNCTION("""COMPUTED_VALUE"""),"REA-P6356")</f>
        <v>REA-P6356</v>
      </c>
      <c r="B1956" s="3">
        <f ca="1">IFERROR(__xludf.DUMMYFUNCTION("""COMPUTED_VALUE"""),46422)</f>
        <v>46422</v>
      </c>
      <c r="C1956" s="3">
        <f ca="1">IFERROR(__xludf.DUMMYFUNCTION("""COMPUTED_VALUE"""),5902557375547)</f>
        <v>5902557375547</v>
      </c>
      <c r="D1956" s="4" t="str">
        <f ca="1">IFERROR(__xludf.DUMMYFUNCTION("""COMPUTED_VALUE"""),"ZESTAW NATRYSKOWY FENIX-DAVIS CHROM TERMOSTAT")</f>
        <v>ZESTAW NATRYSKOWY FENIX-DAVIS CHROM TERMOSTAT</v>
      </c>
      <c r="E1956" s="31">
        <v>269.82926829268297</v>
      </c>
      <c r="F1956" s="31">
        <f t="shared" si="30"/>
        <v>331.89000000000004</v>
      </c>
    </row>
    <row r="1957" spans="1:6" ht="18.75" customHeight="1" x14ac:dyDescent="0.25">
      <c r="A1957" s="2" t="str">
        <f ca="1">IFERROR(__xludf.DUMMYFUNCTION("""COMPUTED_VALUE"""),"REA-P6357")</f>
        <v>REA-P6357</v>
      </c>
      <c r="B1957" s="3">
        <f ca="1">IFERROR(__xludf.DUMMYFUNCTION("""COMPUTED_VALUE"""),46419)</f>
        <v>46419</v>
      </c>
      <c r="C1957" s="3">
        <f ca="1">IFERROR(__xludf.DUMMYFUNCTION("""COMPUTED_VALUE"""),5902557375493)</f>
        <v>5902557375493</v>
      </c>
      <c r="D1957" s="4" t="str">
        <f ca="1">IFERROR(__xludf.DUMMYFUNCTION("""COMPUTED_VALUE"""),"ZESTAW NATRYSKOWY FENIX-DAVIS CZARNY TERMOSTAT")</f>
        <v>ZESTAW NATRYSKOWY FENIX-DAVIS CZARNY TERMOSTAT</v>
      </c>
      <c r="E1957" s="31">
        <v>296.90243902439028</v>
      </c>
      <c r="F1957" s="31">
        <f t="shared" si="30"/>
        <v>365.19000000000005</v>
      </c>
    </row>
    <row r="1958" spans="1:6" ht="18.75" customHeight="1" x14ac:dyDescent="0.25">
      <c r="A1958" s="2" t="str">
        <f ca="1">IFERROR(__xludf.DUMMYFUNCTION("""COMPUTED_VALUE"""),"REA-P6324")</f>
        <v>REA-P6324</v>
      </c>
      <c r="B1958" s="3">
        <f ca="1">IFERROR(__xludf.DUMMYFUNCTION("""COMPUTED_VALUE"""),44675)</f>
        <v>44675</v>
      </c>
      <c r="C1958" s="3">
        <f ca="1">IFERROR(__xludf.DUMMYFUNCTION("""COMPUTED_VALUE"""),5902557366767)</f>
        <v>5902557366767</v>
      </c>
      <c r="D1958" s="4" t="str">
        <f ca="1">IFERROR(__xludf.DUMMYFUNCTION("""COMPUTED_VALUE"""),"ZESTAW NATRYSKOWY FENIX-DAVIS ZŁOTY TERMOSTAT")</f>
        <v>ZESTAW NATRYSKOWY FENIX-DAVIS ZŁOTY TERMOSTAT</v>
      </c>
      <c r="E1958" s="31">
        <v>315.85365853658539</v>
      </c>
      <c r="F1958" s="31">
        <f t="shared" si="30"/>
        <v>388.5</v>
      </c>
    </row>
    <row r="1959" spans="1:6" ht="18.75" customHeight="1" x14ac:dyDescent="0.25">
      <c r="A1959" s="2" t="str">
        <f ca="1">IFERROR(__xludf.DUMMYFUNCTION("""COMPUTED_VALUE"""),"REA-P0652")</f>
        <v>REA-P0652</v>
      </c>
      <c r="B1959" s="3">
        <f ca="1">IFERROR(__xludf.DUMMYFUNCTION("""COMPUTED_VALUE"""),7195)</f>
        <v>7195</v>
      </c>
      <c r="C1959" s="3">
        <f ca="1">IFERROR(__xludf.DUMMYFUNCTION("""COMPUTED_VALUE"""),5902557324873)</f>
        <v>5902557324873</v>
      </c>
      <c r="D1959" s="4" t="str">
        <f ca="1">IFERROR(__xludf.DUMMYFUNCTION("""COMPUTED_VALUE"""),"ZESTAW NATRYSKOWY FIZZ TERMOSTAT")</f>
        <v>ZESTAW NATRYSKOWY FIZZ TERMOSTAT</v>
      </c>
      <c r="E1959" s="31">
        <v>147.09756097560978</v>
      </c>
      <c r="F1959" s="31">
        <f t="shared" si="30"/>
        <v>180.93000000000004</v>
      </c>
    </row>
    <row r="1960" spans="1:6" ht="18.75" customHeight="1" x14ac:dyDescent="0.25">
      <c r="A1960" s="2" t="str">
        <f ca="1">IFERROR(__xludf.DUMMYFUNCTION("""COMPUTED_VALUE"""),"REA-P4000")</f>
        <v>REA-P4000</v>
      </c>
      <c r="B1960" s="3">
        <f ca="1">IFERROR(__xludf.DUMMYFUNCTION("""COMPUTED_VALUE"""),39203)</f>
        <v>39203</v>
      </c>
      <c r="C1960" s="3">
        <f ca="1">IFERROR(__xludf.DUMMYFUNCTION("""COMPUTED_VALUE"""),5902557353583)</f>
        <v>5902557353583</v>
      </c>
      <c r="D1960" s="4" t="str">
        <f ca="1">IFERROR(__xludf.DUMMYFUNCTION("""COMPUTED_VALUE"""),"ZESTAW NATRYSKOWY FLEX BLACK")</f>
        <v>ZESTAW NATRYSKOWY FLEX BLACK</v>
      </c>
      <c r="E1960" s="31">
        <v>125.43902439024392</v>
      </c>
      <c r="F1960" s="31">
        <f t="shared" si="30"/>
        <v>154.29000000000002</v>
      </c>
    </row>
    <row r="1961" spans="1:6" ht="18.75" customHeight="1" x14ac:dyDescent="0.25">
      <c r="A1961" s="2" t="str">
        <f ca="1">IFERROR(__xludf.DUMMYFUNCTION("""COMPUTED_VALUE"""),"REA-P9861")</f>
        <v>REA-P9861</v>
      </c>
      <c r="B1961" s="3">
        <f ca="1">IFERROR(__xludf.DUMMYFUNCTION("""COMPUTED_VALUE"""),29989)</f>
        <v>29989</v>
      </c>
      <c r="C1961" s="3">
        <f ca="1">IFERROR(__xludf.DUMMYFUNCTION("""COMPUTED_VALUE"""),5902557341948)</f>
        <v>5902557341948</v>
      </c>
      <c r="D1961" s="4" t="str">
        <f ca="1">IFERROR(__xludf.DUMMYFUNCTION("""COMPUTED_VALUE"""),"ZESTAW NATRYSKOWY FORT CZARNY")</f>
        <v>ZESTAW NATRYSKOWY FORT CZARNY</v>
      </c>
      <c r="E1961" s="31">
        <v>201.24390243902442</v>
      </c>
      <c r="F1961" s="31">
        <f t="shared" si="30"/>
        <v>247.53000000000003</v>
      </c>
    </row>
    <row r="1962" spans="1:6" ht="18.75" customHeight="1" x14ac:dyDescent="0.25">
      <c r="A1962" s="2" t="str">
        <f ca="1">IFERROR(__xludf.DUMMYFUNCTION("""COMPUTED_VALUE"""),"REA-P9860")</f>
        <v>REA-P9860</v>
      </c>
      <c r="B1962" s="3">
        <f ca="1">IFERROR(__xludf.DUMMYFUNCTION("""COMPUTED_VALUE"""),30026)</f>
        <v>30026</v>
      </c>
      <c r="C1962" s="3">
        <f ca="1">IFERROR(__xludf.DUMMYFUNCTION("""COMPUTED_VALUE"""),5902557338498)</f>
        <v>5902557338498</v>
      </c>
      <c r="D1962" s="4" t="str">
        <f ca="1">IFERROR(__xludf.DUMMYFUNCTION("""COMPUTED_VALUE"""),"ZESTAW NATRYSKOWY GIO BLACK GOLD")</f>
        <v>ZESTAW NATRYSKOWY GIO BLACK GOLD</v>
      </c>
      <c r="E1962" s="31">
        <v>169.65853658536588</v>
      </c>
      <c r="F1962" s="31">
        <f t="shared" si="30"/>
        <v>208.68000000000004</v>
      </c>
    </row>
    <row r="1963" spans="1:6" ht="18.75" customHeight="1" x14ac:dyDescent="0.25">
      <c r="A1963" s="2" t="str">
        <f ca="1">IFERROR(__xludf.DUMMYFUNCTION("""COMPUTED_VALUE"""),"REA-P6620")</f>
        <v>REA-P6620</v>
      </c>
      <c r="B1963" s="3">
        <f ca="1">IFERROR(__xludf.DUMMYFUNCTION("""COMPUTED_VALUE"""),49756)</f>
        <v>49756</v>
      </c>
      <c r="C1963" s="3">
        <f ca="1">IFERROR(__xludf.DUMMYFUNCTION("""COMPUTED_VALUE"""),5902557377992)</f>
        <v>5902557377992</v>
      </c>
      <c r="D1963" s="4" t="str">
        <f ca="1">IFERROR(__xludf.DUMMYFUNCTION("""COMPUTED_VALUE"""),"ZESTAW NATRYSKOWY HELIX CHROM")</f>
        <v>ZESTAW NATRYSKOWY HELIX CHROM</v>
      </c>
      <c r="E1963" s="31">
        <v>145.29268292682929</v>
      </c>
      <c r="F1963" s="31">
        <f t="shared" si="30"/>
        <v>178.71</v>
      </c>
    </row>
    <row r="1964" spans="1:6" ht="18.75" customHeight="1" x14ac:dyDescent="0.25">
      <c r="A1964" s="2" t="str">
        <f ca="1">IFERROR(__xludf.DUMMYFUNCTION("""COMPUTED_VALUE"""),"REA-P6618")</f>
        <v>REA-P6618</v>
      </c>
      <c r="B1964" s="3">
        <f ca="1">IFERROR(__xludf.DUMMYFUNCTION("""COMPUTED_VALUE"""),49749)</f>
        <v>49749</v>
      </c>
      <c r="C1964" s="3">
        <f ca="1">IFERROR(__xludf.DUMMYFUNCTION("""COMPUTED_VALUE"""),5902557378005)</f>
        <v>5902557378005</v>
      </c>
      <c r="D1964" s="4" t="str">
        <f ca="1">IFERROR(__xludf.DUMMYFUNCTION("""COMPUTED_VALUE"""),"ZESTAW NATRYSKOWY HELIX CZARNY")</f>
        <v>ZESTAW NATRYSKOWY HELIX CZARNY</v>
      </c>
      <c r="E1964" s="31">
        <v>152.51219512195124</v>
      </c>
      <c r="F1964" s="31">
        <f t="shared" si="30"/>
        <v>187.59000000000003</v>
      </c>
    </row>
    <row r="1965" spans="1:6" ht="18.75" customHeight="1" x14ac:dyDescent="0.25">
      <c r="A1965" s="2" t="str">
        <f ca="1">IFERROR(__xludf.DUMMYFUNCTION("""COMPUTED_VALUE"""),"REA-P6622")</f>
        <v>REA-P6622</v>
      </c>
      <c r="B1965" s="3">
        <f ca="1">IFERROR(__xludf.DUMMYFUNCTION("""COMPUTED_VALUE"""),49818)</f>
        <v>49818</v>
      </c>
      <c r="C1965" s="3">
        <f ca="1">IFERROR(__xludf.DUMMYFUNCTION("""COMPUTED_VALUE"""),5902557378029)</f>
        <v>5902557378029</v>
      </c>
      <c r="D1965" s="4" t="str">
        <f ca="1">IFERROR(__xludf.DUMMYFUNCTION("""COMPUTED_VALUE"""),"ZESTAW NATRYSKOWY HELIX NIKIEL SZCZOTKOWANY")</f>
        <v>ZESTAW NATRYSKOWY HELIX NIKIEL SZCZOTKOWANY</v>
      </c>
      <c r="E1965" s="31">
        <v>175.97560975609758</v>
      </c>
      <c r="F1965" s="31">
        <f t="shared" si="30"/>
        <v>216.45000000000002</v>
      </c>
    </row>
    <row r="1966" spans="1:6" ht="18.75" customHeight="1" x14ac:dyDescent="0.25">
      <c r="A1966" s="2" t="str">
        <f ca="1">IFERROR(__xludf.DUMMYFUNCTION("""COMPUTED_VALUE"""),"REA-P6619")</f>
        <v>REA-P6619</v>
      </c>
      <c r="B1966" s="3">
        <f ca="1">IFERROR(__xludf.DUMMYFUNCTION("""COMPUTED_VALUE"""),49758)</f>
        <v>49758</v>
      </c>
      <c r="C1966" s="3">
        <f ca="1">IFERROR(__xludf.DUMMYFUNCTION("""COMPUTED_VALUE"""),5902557378012)</f>
        <v>5902557378012</v>
      </c>
      <c r="D1966" s="4" t="str">
        <f ca="1">IFERROR(__xludf.DUMMYFUNCTION("""COMPUTED_VALUE"""),"ZESTAW NATRYSKOWY HELIX ZŁOTY")</f>
        <v>ZESTAW NATRYSKOWY HELIX ZŁOTY</v>
      </c>
      <c r="E1966" s="31">
        <v>174.17073170731709</v>
      </c>
      <c r="F1966" s="31">
        <f t="shared" si="30"/>
        <v>214.23000000000002</v>
      </c>
    </row>
    <row r="1967" spans="1:6" ht="18.75" customHeight="1" x14ac:dyDescent="0.25">
      <c r="A1967" s="2" t="str">
        <f ca="1">IFERROR(__xludf.DUMMYFUNCTION("""COMPUTED_VALUE"""),"REA-P6621")</f>
        <v>REA-P6621</v>
      </c>
      <c r="B1967" s="3">
        <f ca="1">IFERROR(__xludf.DUMMYFUNCTION("""COMPUTED_VALUE"""),49757)</f>
        <v>49757</v>
      </c>
      <c r="C1967" s="3">
        <f ca="1">IFERROR(__xludf.DUMMYFUNCTION("""COMPUTED_VALUE"""),5902557378036)</f>
        <v>5902557378036</v>
      </c>
      <c r="D1967" s="4" t="str">
        <f ca="1">IFERROR(__xludf.DUMMYFUNCTION("""COMPUTED_VALUE"""),"ZESTAW NATRYSKOWY HELIX ZŁOTY SZCZOTKOWANY")</f>
        <v>ZESTAW NATRYSKOWY HELIX ZŁOTY SZCZOTKOWANY</v>
      </c>
      <c r="E1967" s="31">
        <v>195.82926829268297</v>
      </c>
      <c r="F1967" s="31">
        <f t="shared" si="30"/>
        <v>240.87000000000006</v>
      </c>
    </row>
    <row r="1968" spans="1:6" ht="18.75" customHeight="1" x14ac:dyDescent="0.25">
      <c r="A1968" s="2" t="str">
        <f ca="1">IFERROR(__xludf.DUMMYFUNCTION("""COMPUTED_VALUE"""),"REA-P5000")</f>
        <v>REA-P5000</v>
      </c>
      <c r="B1968" s="3">
        <f ca="1">IFERROR(__xludf.DUMMYFUNCTION("""COMPUTED_VALUE"""),13693)</f>
        <v>13693</v>
      </c>
      <c r="C1968" s="3">
        <f ca="1">IFERROR(__xludf.DUMMYFUNCTION("""COMPUTED_VALUE"""),5902557329656)</f>
        <v>5902557329656</v>
      </c>
      <c r="D1968" s="4" t="str">
        <f ca="1">IFERROR(__xludf.DUMMYFUNCTION("""COMPUTED_VALUE"""),"ZESTAW NATRYSKOWY IGOR")</f>
        <v>ZESTAW NATRYSKOWY IGOR</v>
      </c>
      <c r="E1968" s="31">
        <v>83.024390243902445</v>
      </c>
      <c r="F1968" s="31">
        <f t="shared" si="30"/>
        <v>102.12</v>
      </c>
    </row>
    <row r="1969" spans="1:6" ht="18.75" customHeight="1" x14ac:dyDescent="0.25">
      <c r="A1969" s="2" t="str">
        <f ca="1">IFERROR(__xludf.DUMMYFUNCTION("""COMPUTED_VALUE"""),"REA-P7009")</f>
        <v>REA-P7009</v>
      </c>
      <c r="B1969" s="3">
        <f ca="1">IFERROR(__xludf.DUMMYFUNCTION("""COMPUTED_VALUE"""),37479)</f>
        <v>37479</v>
      </c>
      <c r="C1969" s="3">
        <f ca="1">IFERROR(__xludf.DUMMYFUNCTION("""COMPUTED_VALUE"""),5902557349203)</f>
        <v>5902557349203</v>
      </c>
      <c r="D1969" s="4" t="str">
        <f ca="1">IFERROR(__xludf.DUMMYFUNCTION("""COMPUTED_VALUE"""),"ZESTAW NATRYSKOWY JACK CZARNY")</f>
        <v>ZESTAW NATRYSKOWY JACK CZARNY</v>
      </c>
      <c r="E1969" s="31">
        <v>154.31707317073173</v>
      </c>
      <c r="F1969" s="31">
        <f t="shared" si="30"/>
        <v>189.81000000000003</v>
      </c>
    </row>
    <row r="1970" spans="1:6" ht="18.75" customHeight="1" x14ac:dyDescent="0.25">
      <c r="A1970" s="2" t="str">
        <f ca="1">IFERROR(__xludf.DUMMYFUNCTION("""COMPUTED_VALUE"""),"REA-P7008")</f>
        <v>REA-P7008</v>
      </c>
      <c r="B1970" s="3">
        <f ca="1">IFERROR(__xludf.DUMMYFUNCTION("""COMPUTED_VALUE"""),37472)</f>
        <v>37472</v>
      </c>
      <c r="C1970" s="3">
        <f ca="1">IFERROR(__xludf.DUMMYFUNCTION("""COMPUTED_VALUE"""),5902557349197)</f>
        <v>5902557349197</v>
      </c>
      <c r="D1970" s="4" t="str">
        <f ca="1">IFERROR(__xludf.DUMMYFUNCTION("""COMPUTED_VALUE"""),"ZESTAW NATRYSKOWY JACK ZŁOTY")</f>
        <v>ZESTAW NATRYSKOWY JACK ZŁOTY</v>
      </c>
      <c r="E1970" s="31">
        <v>188.60975609756099</v>
      </c>
      <c r="F1970" s="31">
        <f t="shared" si="30"/>
        <v>231.99</v>
      </c>
    </row>
    <row r="1971" spans="1:6" ht="18.75" customHeight="1" x14ac:dyDescent="0.25">
      <c r="A1971" s="2" t="str">
        <f ca="1">IFERROR(__xludf.DUMMYFUNCTION("""COMPUTED_VALUE"""),"REA-P7050")</f>
        <v>REA-P7050</v>
      </c>
      <c r="B1971" s="3">
        <f ca="1">IFERROR(__xludf.DUMMYFUNCTION("""COMPUTED_VALUE"""),50121)</f>
        <v>50121</v>
      </c>
      <c r="C1971" s="3">
        <f ca="1">IFERROR(__xludf.DUMMYFUNCTION("""COMPUTED_VALUE"""),5902557383368)</f>
        <v>5902557383368</v>
      </c>
      <c r="D1971" s="4" t="str">
        <f ca="1">IFERROR(__xludf.DUMMYFUNCTION("""COMPUTED_VALUE"""),"ZESTAW NATRYSKOWY JACK ZŁOTY SZCZOTKOWANY")</f>
        <v>ZESTAW NATRYSKOWY JACK ZŁOTY SZCZOTKOWANY</v>
      </c>
      <c r="E1971" s="31">
        <v>201.24390243902442</v>
      </c>
      <c r="F1971" s="31">
        <f t="shared" si="30"/>
        <v>247.53000000000003</v>
      </c>
    </row>
    <row r="1972" spans="1:6" ht="18.75" customHeight="1" x14ac:dyDescent="0.25">
      <c r="A1972" s="2" t="str">
        <f ca="1">IFERROR(__xludf.DUMMYFUNCTION("""COMPUTED_VALUE"""),"REA-P9411")</f>
        <v>REA-P9411</v>
      </c>
      <c r="B1972" s="3">
        <f ca="1">IFERROR(__xludf.DUMMYFUNCTION("""COMPUTED_VALUE"""),30015)</f>
        <v>30015</v>
      </c>
      <c r="C1972" s="3">
        <f ca="1">IFERROR(__xludf.DUMMYFUNCTION("""COMPUTED_VALUE"""),5902557337460)</f>
        <v>5902557337460</v>
      </c>
      <c r="D1972" s="4" t="str">
        <f ca="1">IFERROR(__xludf.DUMMYFUNCTION("""COMPUTED_VALUE"""),"ZESTAW NATRYSKOWY JET CZARNY TERMOSTAT")</f>
        <v>ZESTAW NATRYSKOWY JET CZARNY TERMOSTAT</v>
      </c>
      <c r="E1972" s="31">
        <v>230.1219512195122</v>
      </c>
      <c r="F1972" s="31">
        <f t="shared" si="30"/>
        <v>283.05</v>
      </c>
    </row>
    <row r="1973" spans="1:6" ht="18.75" customHeight="1" x14ac:dyDescent="0.25">
      <c r="A1973" s="2" t="str">
        <f ca="1">IFERROR(__xludf.DUMMYFUNCTION("""COMPUTED_VALUE"""),"REA-P7810")</f>
        <v>REA-P7810</v>
      </c>
      <c r="B1973" s="3">
        <f ca="1">IFERROR(__xludf.DUMMYFUNCTION("""COMPUTED_VALUE"""),54340)</f>
        <v>54340</v>
      </c>
      <c r="C1973" s="3">
        <f ca="1">IFERROR(__xludf.DUMMYFUNCTION("""COMPUTED_VALUE"""),5906366007637)</f>
        <v>5906366007637</v>
      </c>
      <c r="D1973" s="4" t="str">
        <f ca="1">IFERROR(__xludf.DUMMYFUNCTION("""COMPUTED_VALUE"""),"ZESTAW NATRYSKOWY JS-622711BG ARGON ZŁOTY SZCZOTKO")</f>
        <v>ZESTAW NATRYSKOWY JS-622711BG ARGON ZŁOTY SZCZOTKO</v>
      </c>
      <c r="E1973" s="31">
        <v>212.07317073170734</v>
      </c>
      <c r="F1973" s="31">
        <f t="shared" si="30"/>
        <v>260.85000000000002</v>
      </c>
    </row>
    <row r="1974" spans="1:6" ht="18.75" customHeight="1" x14ac:dyDescent="0.25">
      <c r="A1974" s="2" t="str">
        <f ca="1">IFERROR(__xludf.DUMMYFUNCTION("""COMPUTED_VALUE"""),"REA-P0223")</f>
        <v>REA-P0223</v>
      </c>
      <c r="B1974" s="3">
        <f ca="1">IFERROR(__xludf.DUMMYFUNCTION("""COMPUTED_VALUE"""),7332)</f>
        <v>7332</v>
      </c>
      <c r="C1974" s="3">
        <f ca="1">IFERROR(__xludf.DUMMYFUNCTION("""COMPUTED_VALUE"""),5902557324880)</f>
        <v>5902557324880</v>
      </c>
      <c r="D1974" s="4" t="str">
        <f ca="1">IFERROR(__xludf.DUMMYFUNCTION("""COMPUTED_VALUE"""),"ZESTAW NATRYSKOWY LOFT NEW")</f>
        <v>ZESTAW NATRYSKOWY LOFT NEW</v>
      </c>
      <c r="E1974" s="31">
        <v>86.634146341463421</v>
      </c>
      <c r="F1974" s="31">
        <f t="shared" si="30"/>
        <v>106.56</v>
      </c>
    </row>
    <row r="1975" spans="1:6" ht="18.75" customHeight="1" x14ac:dyDescent="0.25">
      <c r="A1975" s="2" t="str">
        <f ca="1">IFERROR(__xludf.DUMMYFUNCTION("""COMPUTED_VALUE"""),"REA-P0221")</f>
        <v>REA-P0221</v>
      </c>
      <c r="B1975" s="3">
        <f ca="1">IFERROR(__xludf.DUMMYFUNCTION("""COMPUTED_VALUE"""),7358)</f>
        <v>7358</v>
      </c>
      <c r="C1975" s="3">
        <f ca="1">IFERROR(__xludf.DUMMYFUNCTION("""COMPUTED_VALUE"""),5902557324828)</f>
        <v>5902557324828</v>
      </c>
      <c r="D1975" s="4" t="str">
        <f ca="1">IFERROR(__xludf.DUMMYFUNCTION("""COMPUTED_VALUE"""),"ZESTAW NATRYSKOWY LUCAS CHROM")</f>
        <v>ZESTAW NATRYSKOWY LUCAS CHROM</v>
      </c>
      <c r="E1975" s="31">
        <v>118.21951219512195</v>
      </c>
      <c r="F1975" s="31">
        <f t="shared" si="30"/>
        <v>145.41</v>
      </c>
    </row>
    <row r="1976" spans="1:6" ht="18.75" customHeight="1" x14ac:dyDescent="0.25">
      <c r="A1976" s="2" t="str">
        <f ca="1">IFERROR(__xludf.DUMMYFUNCTION("""COMPUTED_VALUE"""),"REA-P9301")</f>
        <v>REA-P9301</v>
      </c>
      <c r="B1976" s="3">
        <f ca="1">IFERROR(__xludf.DUMMYFUNCTION("""COMPUTED_VALUE"""),33661)</f>
        <v>33661</v>
      </c>
      <c r="C1976" s="3">
        <f ca="1">IFERROR(__xludf.DUMMYFUNCTION("""COMPUTED_VALUE"""),5902557344741)</f>
        <v>5902557344741</v>
      </c>
      <c r="D1976" s="4" t="str">
        <f ca="1">IFERROR(__xludf.DUMMYFUNCTION("""COMPUTED_VALUE"""),"ZESTAW NATRYSKOWY LUGANO CZARNY")</f>
        <v>ZESTAW NATRYSKOWY LUGANO CZARNY</v>
      </c>
      <c r="E1976" s="31">
        <v>79.41463414634147</v>
      </c>
      <c r="F1976" s="31">
        <f t="shared" si="30"/>
        <v>97.68</v>
      </c>
    </row>
    <row r="1977" spans="1:6" ht="18.75" customHeight="1" x14ac:dyDescent="0.25">
      <c r="A1977" s="2" t="str">
        <f ca="1">IFERROR(__xludf.DUMMYFUNCTION("""COMPUTED_VALUE"""),"REA-P7007")</f>
        <v>REA-P7007</v>
      </c>
      <c r="B1977" s="3">
        <f ca="1">IFERROR(__xludf.DUMMYFUNCTION("""COMPUTED_VALUE"""),37475)</f>
        <v>37475</v>
      </c>
      <c r="C1977" s="3">
        <f ca="1">IFERROR(__xludf.DUMMYFUNCTION("""COMPUTED_VALUE"""),5902557349180)</f>
        <v>5902557349180</v>
      </c>
      <c r="D1977" s="4" t="str">
        <f ca="1">IFERROR(__xludf.DUMMYFUNCTION("""COMPUTED_VALUE"""),"ZESTAW NATRYSKOWY LUIS CHROM")</f>
        <v>ZESTAW NATRYSKOWY LUIS CHROM</v>
      </c>
      <c r="E1977" s="31">
        <v>92.048780487804876</v>
      </c>
      <c r="F1977" s="31">
        <f t="shared" si="30"/>
        <v>113.22</v>
      </c>
    </row>
    <row r="1978" spans="1:6" ht="18.75" customHeight="1" x14ac:dyDescent="0.25">
      <c r="A1978" s="2" t="str">
        <f ca="1">IFERROR(__xludf.DUMMYFUNCTION("""COMPUTED_VALUE"""),"REA-P7005")</f>
        <v>REA-P7005</v>
      </c>
      <c r="B1978" s="3">
        <f ca="1">IFERROR(__xludf.DUMMYFUNCTION("""COMPUTED_VALUE"""),37474)</f>
        <v>37474</v>
      </c>
      <c r="C1978" s="3">
        <f ca="1">IFERROR(__xludf.DUMMYFUNCTION("""COMPUTED_VALUE"""),5902557349173)</f>
        <v>5902557349173</v>
      </c>
      <c r="D1978" s="4" t="str">
        <f ca="1">IFERROR(__xludf.DUMMYFUNCTION("""COMPUTED_VALUE"""),"ZESTAW NATRYSKOWY LUIS CZARNY")</f>
        <v>ZESTAW NATRYSKOWY LUIS CZARNY</v>
      </c>
      <c r="E1978" s="31">
        <v>89.341463414634148</v>
      </c>
      <c r="F1978" s="31">
        <f t="shared" si="30"/>
        <v>109.89</v>
      </c>
    </row>
    <row r="1979" spans="1:6" ht="18.75" customHeight="1" x14ac:dyDescent="0.25">
      <c r="A1979" s="2" t="str">
        <f ca="1">IFERROR(__xludf.DUMMYFUNCTION("""COMPUTED_VALUE"""),"REA-P7006")</f>
        <v>REA-P7006</v>
      </c>
      <c r="B1979" s="3">
        <f ca="1">IFERROR(__xludf.DUMMYFUNCTION("""COMPUTED_VALUE"""),37476)</f>
        <v>37476</v>
      </c>
      <c r="C1979" s="3">
        <f ca="1">IFERROR(__xludf.DUMMYFUNCTION("""COMPUTED_VALUE"""),5902557349166)</f>
        <v>5902557349166</v>
      </c>
      <c r="D1979" s="4" t="str">
        <f ca="1">IFERROR(__xludf.DUMMYFUNCTION("""COMPUTED_VALUE"""),"ZESTAW NATRYSKOWY LUIS ZŁOTY")</f>
        <v>ZESTAW NATRYSKOWY LUIS ZŁOTY</v>
      </c>
      <c r="E1979" s="31">
        <v>105.58536585365854</v>
      </c>
      <c r="F1979" s="31">
        <f t="shared" si="30"/>
        <v>129.87</v>
      </c>
    </row>
    <row r="1980" spans="1:6" ht="18.75" customHeight="1" x14ac:dyDescent="0.25">
      <c r="A1980" s="2" t="str">
        <f ca="1">IFERROR(__xludf.DUMMYFUNCTION("""COMPUTED_VALUE"""),"REA-P7051")</f>
        <v>REA-P7051</v>
      </c>
      <c r="B1980" s="3">
        <f ca="1">IFERROR(__xludf.DUMMYFUNCTION("""COMPUTED_VALUE"""),50120)</f>
        <v>50120</v>
      </c>
      <c r="C1980" s="3">
        <f ca="1">IFERROR(__xludf.DUMMYFUNCTION("""COMPUTED_VALUE"""),5902557383351)</f>
        <v>5902557383351</v>
      </c>
      <c r="D1980" s="4" t="str">
        <f ca="1">IFERROR(__xludf.DUMMYFUNCTION("""COMPUTED_VALUE"""),"ZESTAW NATRYSKOWY LUIS ZŁOTY SZCZOTKOWANY")</f>
        <v>ZESTAW NATRYSKOWY LUIS ZŁOTY SZCZOTKOWANY</v>
      </c>
      <c r="E1980" s="31">
        <v>114.60975609756099</v>
      </c>
      <c r="F1980" s="31">
        <f t="shared" si="30"/>
        <v>140.97000000000003</v>
      </c>
    </row>
    <row r="1981" spans="1:6" ht="18.75" customHeight="1" x14ac:dyDescent="0.25">
      <c r="A1981" s="2" t="str">
        <f ca="1">IFERROR(__xludf.DUMMYFUNCTION("""COMPUTED_VALUE"""),"REA-P8549")</f>
        <v>REA-P8549</v>
      </c>
      <c r="B1981" s="3">
        <f ca="1">IFERROR(__xludf.DUMMYFUNCTION("""COMPUTED_VALUE"""),43550)</f>
        <v>43550</v>
      </c>
      <c r="C1981" s="3">
        <f ca="1">IFERROR(__xludf.DUMMYFUNCTION("""COMPUTED_VALUE"""),5902557397662)</f>
        <v>5902557397662</v>
      </c>
      <c r="D1981" s="4" t="str">
        <f ca="1">IFERROR(__xludf.DUMMYFUNCTION("""COMPUTED_VALUE"""),"ZESTAW NATRYSKOWY LUNGO CZARNY TERMOSTAT")</f>
        <v>ZESTAW NATRYSKOWY LUNGO CZARNY TERMOSTAT</v>
      </c>
      <c r="E1981" s="31">
        <v>229.21951219512198</v>
      </c>
      <c r="F1981" s="31">
        <f t="shared" si="30"/>
        <v>281.94000000000005</v>
      </c>
    </row>
    <row r="1982" spans="1:6" ht="18.75" customHeight="1" x14ac:dyDescent="0.25">
      <c r="A1982" s="2" t="str">
        <f ca="1">IFERROR(__xludf.DUMMYFUNCTION("""COMPUTED_VALUE"""),"REA-P6614")</f>
        <v>REA-P6614</v>
      </c>
      <c r="B1982" s="3">
        <f ca="1">IFERROR(__xludf.DUMMYFUNCTION("""COMPUTED_VALUE"""),49721)</f>
        <v>49721</v>
      </c>
      <c r="C1982" s="3">
        <f ca="1">IFERROR(__xludf.DUMMYFUNCTION("""COMPUTED_VALUE"""),5902557377886)</f>
        <v>5902557377886</v>
      </c>
      <c r="D1982" s="4" t="str">
        <f ca="1">IFERROR(__xludf.DUMMYFUNCTION("""COMPUTED_VALUE"""),"ZESTAW NATRYSKOWY LUNGO-MILER BIAŁY TERMOSTAT")</f>
        <v>ZESTAW NATRYSKOWY LUNGO-MILER BIAŁY TERMOSTAT</v>
      </c>
      <c r="E1982" s="31">
        <v>288.78048780487808</v>
      </c>
      <c r="F1982" s="31">
        <f t="shared" si="30"/>
        <v>355.20000000000005</v>
      </c>
    </row>
    <row r="1983" spans="1:6" ht="18.75" customHeight="1" x14ac:dyDescent="0.25">
      <c r="A1983" s="2" t="str">
        <f ca="1">IFERROR(__xludf.DUMMYFUNCTION("""COMPUTED_VALUE"""),"REA-P6715")</f>
        <v>REA-P6715</v>
      </c>
      <c r="B1983" s="3">
        <f ca="1">IFERROR(__xludf.DUMMYFUNCTION("""COMPUTED_VALUE"""),46331)</f>
        <v>46331</v>
      </c>
      <c r="C1983" s="3">
        <f ca="1">IFERROR(__xludf.DUMMYFUNCTION("""COMPUTED_VALUE"""),5902557375516)</f>
        <v>5902557375516</v>
      </c>
      <c r="D1983" s="4" t="str">
        <f ca="1">IFERROR(__xludf.DUMMYFUNCTION("""COMPUTED_VALUE"""),"ZESTAW NATRYSKOWY LUNGO-MILER CHROM TERMOSTAT")</f>
        <v>ZESTAW NATRYSKOWY LUNGO-MILER CHROM TERMOSTAT</v>
      </c>
      <c r="E1983" s="31">
        <v>286.07317073170736</v>
      </c>
      <c r="F1983" s="31">
        <f t="shared" si="30"/>
        <v>351.87000000000006</v>
      </c>
    </row>
    <row r="1984" spans="1:6" ht="18.75" customHeight="1" x14ac:dyDescent="0.25">
      <c r="A1984" s="2" t="str">
        <f ca="1">IFERROR(__xludf.DUMMYFUNCTION("""COMPUTED_VALUE"""),"REA-P6713")</f>
        <v>REA-P6713</v>
      </c>
      <c r="B1984" s="3"/>
      <c r="C1984" s="3">
        <f ca="1">IFERROR(__xludf.DUMMYFUNCTION("""COMPUTED_VALUE"""),5902557366774)</f>
        <v>5902557366774</v>
      </c>
      <c r="D1984" s="4" t="str">
        <f ca="1">IFERROR(__xludf.DUMMYFUNCTION("""COMPUTED_VALUE"""),"ZESTAW NATRYSKOWY LUNGO-MILER CZARNY TERMOSTAT")</f>
        <v>ZESTAW NATRYSKOWY LUNGO-MILER CZARNY TERMOSTAT</v>
      </c>
      <c r="E1984" s="31">
        <v>280.65853658536588</v>
      </c>
      <c r="F1984" s="31">
        <f t="shared" si="30"/>
        <v>345.21000000000004</v>
      </c>
    </row>
    <row r="1985" spans="1:6" ht="18.75" customHeight="1" x14ac:dyDescent="0.25">
      <c r="A1985" s="2" t="str">
        <f ca="1">IFERROR(__xludf.DUMMYFUNCTION("""COMPUTED_VALUE"""),"REA-P6613")</f>
        <v>REA-P6613</v>
      </c>
      <c r="B1985" s="3">
        <f ca="1">IFERROR(__xludf.DUMMYFUNCTION("""COMPUTED_VALUE"""),49761)</f>
        <v>49761</v>
      </c>
      <c r="C1985" s="3">
        <f ca="1">IFERROR(__xludf.DUMMYFUNCTION("""COMPUTED_VALUE"""),5902557377879)</f>
        <v>5902557377879</v>
      </c>
      <c r="D1985" s="4" t="str">
        <f ca="1">IFERROR(__xludf.DUMMYFUNCTION("""COMPUTED_VALUE"""),"ZESTAW NATRYSKOWY LUNGO-MILER RÓŻOWE ZŁOTO TERMOST")</f>
        <v>ZESTAW NATRYSKOWY LUNGO-MILER RÓŻOWE ZŁOTO TERMOST</v>
      </c>
      <c r="E1985" s="31">
        <v>314.04878048780489</v>
      </c>
      <c r="F1985" s="31">
        <f t="shared" ref="F1985:F2048" si="31">E1985*1.23</f>
        <v>386.28000000000003</v>
      </c>
    </row>
    <row r="1986" spans="1:6" ht="18.75" customHeight="1" x14ac:dyDescent="0.25">
      <c r="A1986" s="2" t="str">
        <f ca="1">IFERROR(__xludf.DUMMYFUNCTION("""COMPUTED_VALUE"""),"REA-P6716")</f>
        <v>REA-P6716</v>
      </c>
      <c r="B1986" s="3"/>
      <c r="C1986" s="3">
        <f ca="1">IFERROR(__xludf.DUMMYFUNCTION("""COMPUTED_VALUE"""),5902557375530)</f>
        <v>5902557375530</v>
      </c>
      <c r="D1986" s="4" t="str">
        <f ca="1">IFERROR(__xludf.DUMMYFUNCTION("""COMPUTED_VALUE"""),"ZESTAW NATRYSKOWY LUNGO-MILER ZŁOTY SZCZO TERMOSTA")</f>
        <v>ZESTAW NATRYSKOWY LUNGO-MILER ZŁOTY SZCZO TERMOSTA</v>
      </c>
      <c r="E1986" s="31">
        <v>310.43902439024396</v>
      </c>
      <c r="F1986" s="31">
        <f t="shared" si="31"/>
        <v>381.84000000000009</v>
      </c>
    </row>
    <row r="1987" spans="1:6" ht="18.75" customHeight="1" x14ac:dyDescent="0.25">
      <c r="A1987" s="2" t="str">
        <f ca="1">IFERROR(__xludf.DUMMYFUNCTION("""COMPUTED_VALUE"""),"REA-P6714")</f>
        <v>REA-P6714</v>
      </c>
      <c r="B1987" s="3">
        <f ca="1">IFERROR(__xludf.DUMMYFUNCTION("""COMPUTED_VALUE"""),53704)</f>
        <v>53704</v>
      </c>
      <c r="C1987" s="3">
        <f ca="1">IFERROR(__xludf.DUMMYFUNCTION("""COMPUTED_VALUE"""),5902557375523)</f>
        <v>5902557375523</v>
      </c>
      <c r="D1987" s="4" t="str">
        <f ca="1">IFERROR(__xludf.DUMMYFUNCTION("""COMPUTED_VALUE"""),"ZESTAW NATRYSKOWY LUNGO-MILER ZŁOTY TERMOSTAT")</f>
        <v>ZESTAW NATRYSKOWY LUNGO-MILER ZŁOTY TERMOSTAT</v>
      </c>
      <c r="E1987" s="31">
        <v>307.73170731707319</v>
      </c>
      <c r="F1987" s="31">
        <f t="shared" si="31"/>
        <v>378.51</v>
      </c>
    </row>
    <row r="1988" spans="1:6" ht="18.75" customHeight="1" x14ac:dyDescent="0.25">
      <c r="A1988" s="2" t="str">
        <f ca="1">IFERROR(__xludf.DUMMYFUNCTION("""COMPUTED_VALUE"""),"REA-P8545")</f>
        <v>REA-P8545</v>
      </c>
      <c r="B1988" s="3">
        <f ca="1">IFERROR(__xludf.DUMMYFUNCTION("""COMPUTED_VALUE"""),53857)</f>
        <v>53857</v>
      </c>
      <c r="C1988" s="3">
        <f ca="1">IFERROR(__xludf.DUMMYFUNCTION("""COMPUTED_VALUE"""),5906366003677)</f>
        <v>5906366003677</v>
      </c>
      <c r="D1988" s="4" t="str">
        <f ca="1">IFERROR(__xludf.DUMMYFUNCTION("""COMPUTED_VALUE"""),"ZESTAW NATRYSKOWY MARCO CZARNY")</f>
        <v>ZESTAW NATRYSKOWY MARCO CZARNY</v>
      </c>
      <c r="E1988" s="31">
        <v>148.00000000000003</v>
      </c>
      <c r="F1988" s="31">
        <f t="shared" si="31"/>
        <v>182.04000000000002</v>
      </c>
    </row>
    <row r="1989" spans="1:6" ht="18.75" customHeight="1" x14ac:dyDescent="0.25">
      <c r="A1989" s="2" t="str">
        <f ca="1">IFERROR(__xludf.DUMMYFUNCTION("""COMPUTED_VALUE"""),"REA-P8548")</f>
        <v>REA-P8548</v>
      </c>
      <c r="B1989" s="3">
        <f ca="1">IFERROR(__xludf.DUMMYFUNCTION("""COMPUTED_VALUE"""),53858)</f>
        <v>53858</v>
      </c>
      <c r="C1989" s="3">
        <f ca="1">IFERROR(__xludf.DUMMYFUNCTION("""COMPUTED_VALUE"""),5906366003660)</f>
        <v>5906366003660</v>
      </c>
      <c r="D1989" s="4" t="str">
        <f ca="1">IFERROR(__xludf.DUMMYFUNCTION("""COMPUTED_VALUE"""),"ZESTAW NATRYSKOWY MARCO ZŁOTY SZCZOTKOWANY")</f>
        <v>ZESTAW NATRYSKOWY MARCO ZŁOTY SZCZOTKOWANY</v>
      </c>
      <c r="E1989" s="31">
        <v>188.60975609756099</v>
      </c>
      <c r="F1989" s="31">
        <f t="shared" si="31"/>
        <v>231.99</v>
      </c>
    </row>
    <row r="1990" spans="1:6" ht="18.75" customHeight="1" x14ac:dyDescent="0.25">
      <c r="A1990" s="2" t="str">
        <f ca="1">IFERROR(__xludf.DUMMYFUNCTION("""COMPUTED_VALUE"""),"REA-P6616")</f>
        <v>REA-P6616</v>
      </c>
      <c r="B1990" s="3">
        <f ca="1">IFERROR(__xludf.DUMMYFUNCTION("""COMPUTED_VALUE"""),49007)</f>
        <v>49007</v>
      </c>
      <c r="C1990" s="3">
        <f ca="1">IFERROR(__xludf.DUMMYFUNCTION("""COMPUTED_VALUE"""),5902557376896)</f>
        <v>5902557376896</v>
      </c>
      <c r="D1990" s="4" t="str">
        <f ca="1">IFERROR(__xludf.DUMMYFUNCTION("""COMPUTED_VALUE"""),"ZESTAW NATRYSKOWY MAX CHROM")</f>
        <v>ZESTAW NATRYSKOWY MAX CHROM</v>
      </c>
      <c r="E1990" s="31">
        <v>130.85365853658539</v>
      </c>
      <c r="F1990" s="31">
        <f t="shared" si="31"/>
        <v>160.95000000000002</v>
      </c>
    </row>
    <row r="1991" spans="1:6" ht="18.75" customHeight="1" x14ac:dyDescent="0.25">
      <c r="A1991" s="2" t="str">
        <f ca="1">IFERROR(__xludf.DUMMYFUNCTION("""COMPUTED_VALUE"""),"REA-P6615")</f>
        <v>REA-P6615</v>
      </c>
      <c r="B1991" s="3">
        <f ca="1">IFERROR(__xludf.DUMMYFUNCTION("""COMPUTED_VALUE"""),49004)</f>
        <v>49004</v>
      </c>
      <c r="C1991" s="3">
        <f ca="1">IFERROR(__xludf.DUMMYFUNCTION("""COMPUTED_VALUE"""),5902557376889)</f>
        <v>5902557376889</v>
      </c>
      <c r="D1991" s="4" t="str">
        <f ca="1">IFERROR(__xludf.DUMMYFUNCTION("""COMPUTED_VALUE"""),"ZESTAW NATRYSKOWY MAX CZARNY")</f>
        <v>ZESTAW NATRYSKOWY MAX CZARNY</v>
      </c>
      <c r="E1991" s="31">
        <v>137.17073170731709</v>
      </c>
      <c r="F1991" s="31">
        <f t="shared" si="31"/>
        <v>168.72000000000003</v>
      </c>
    </row>
    <row r="1992" spans="1:6" ht="18.75" customHeight="1" x14ac:dyDescent="0.25">
      <c r="A1992" s="2" t="str">
        <f ca="1">IFERROR(__xludf.DUMMYFUNCTION("""COMPUTED_VALUE"""),"REA-P6617")</f>
        <v>REA-P6617</v>
      </c>
      <c r="B1992" s="3">
        <f ca="1">IFERROR(__xludf.DUMMYFUNCTION("""COMPUTED_VALUE"""),49008)</f>
        <v>49008</v>
      </c>
      <c r="C1992" s="3">
        <f ca="1">IFERROR(__xludf.DUMMYFUNCTION("""COMPUTED_VALUE"""),5902557376902)</f>
        <v>5902557376902</v>
      </c>
      <c r="D1992" s="4" t="str">
        <f ca="1">IFERROR(__xludf.DUMMYFUNCTION("""COMPUTED_VALUE"""),"ZESTAW NATRYSKOWY MAX ZŁOTY")</f>
        <v>ZESTAW NATRYSKOWY MAX ZŁOTY</v>
      </c>
      <c r="E1992" s="31">
        <v>154.31707317073173</v>
      </c>
      <c r="F1992" s="31">
        <f t="shared" si="31"/>
        <v>189.81000000000003</v>
      </c>
    </row>
    <row r="1993" spans="1:6" ht="18.75" customHeight="1" x14ac:dyDescent="0.25">
      <c r="A1993" s="2" t="str">
        <f ca="1">IFERROR(__xludf.DUMMYFUNCTION("""COMPUTED_VALUE"""),"REA-P2411")</f>
        <v>REA-P2411</v>
      </c>
      <c r="B1993" s="3">
        <f ca="1">IFERROR(__xludf.DUMMYFUNCTION("""COMPUTED_VALUE"""),52210)</f>
        <v>52210</v>
      </c>
      <c r="C1993" s="3">
        <f ca="1">IFERROR(__xludf.DUMMYFUNCTION("""COMPUTED_VALUE"""),5902557392094)</f>
        <v>5902557392094</v>
      </c>
      <c r="D1993" s="4" t="str">
        <f ca="1">IFERROR(__xludf.DUMMYFUNCTION("""COMPUTED_VALUE"""),"ZESTAW NATRYSKOWY MAXIMUS CHROM")</f>
        <v>ZESTAW NATRYSKOWY MAXIMUS CHROM</v>
      </c>
      <c r="E1993" s="31">
        <v>105.58536585365854</v>
      </c>
      <c r="F1993" s="31">
        <f t="shared" si="31"/>
        <v>129.87</v>
      </c>
    </row>
    <row r="1994" spans="1:6" ht="18.75" customHeight="1" x14ac:dyDescent="0.25">
      <c r="A1994" s="2" t="str">
        <f ca="1">IFERROR(__xludf.DUMMYFUNCTION("""COMPUTED_VALUE"""),"REA-P2412")</f>
        <v>REA-P2412</v>
      </c>
      <c r="B1994" s="3">
        <f ca="1">IFERROR(__xludf.DUMMYFUNCTION("""COMPUTED_VALUE"""),52213)</f>
        <v>52213</v>
      </c>
      <c r="C1994" s="3">
        <f ca="1">IFERROR(__xludf.DUMMYFUNCTION("""COMPUTED_VALUE"""),5902557392100)</f>
        <v>5902557392100</v>
      </c>
      <c r="D1994" s="4" t="str">
        <f ca="1">IFERROR(__xludf.DUMMYFUNCTION("""COMPUTED_VALUE"""),"ZESTAW NATRYSKOWY MAXIMUS CZARNY")</f>
        <v>ZESTAW NATRYSKOWY MAXIMUS CZARNY</v>
      </c>
      <c r="E1994" s="31">
        <v>111.90243902439025</v>
      </c>
      <c r="F1994" s="31">
        <f t="shared" si="31"/>
        <v>137.64000000000001</v>
      </c>
    </row>
    <row r="1995" spans="1:6" ht="18.75" customHeight="1" x14ac:dyDescent="0.25">
      <c r="A1995" s="2" t="str">
        <f ca="1">IFERROR(__xludf.DUMMYFUNCTION("""COMPUTED_VALUE"""),"REA-P2410")</f>
        <v>REA-P2410</v>
      </c>
      <c r="B1995" s="3">
        <f ca="1">IFERROR(__xludf.DUMMYFUNCTION("""COMPUTED_VALUE"""),52209)</f>
        <v>52209</v>
      </c>
      <c r="C1995" s="3">
        <f ca="1">IFERROR(__xludf.DUMMYFUNCTION("""COMPUTED_VALUE"""),5902557392117)</f>
        <v>5902557392117</v>
      </c>
      <c r="D1995" s="4" t="str">
        <f ca="1">IFERROR(__xludf.DUMMYFUNCTION("""COMPUTED_VALUE"""),"ZESTAW NATRYSKOWY MAXIMUS ZŁOTY")</f>
        <v>ZESTAW NATRYSKOWY MAXIMUS ZŁOTY</v>
      </c>
      <c r="E1995" s="31">
        <v>135.36585365853659</v>
      </c>
      <c r="F1995" s="31">
        <f t="shared" si="31"/>
        <v>166.5</v>
      </c>
    </row>
    <row r="1996" spans="1:6" ht="18.75" customHeight="1" x14ac:dyDescent="0.25">
      <c r="A1996" s="2" t="str">
        <f ca="1">IFERROR(__xludf.DUMMYFUNCTION("""COMPUTED_VALUE"""),"REA-P2406")</f>
        <v>REA-P2406</v>
      </c>
      <c r="B1996" s="3">
        <f ca="1">IFERROR(__xludf.DUMMYFUNCTION("""COMPUTED_VALUE"""),52225)</f>
        <v>52225</v>
      </c>
      <c r="C1996" s="3">
        <f ca="1">IFERROR(__xludf.DUMMYFUNCTION("""COMPUTED_VALUE"""),5902557392056)</f>
        <v>5902557392056</v>
      </c>
      <c r="D1996" s="4" t="str">
        <f ca="1">IFERROR(__xludf.DUMMYFUNCTION("""COMPUTED_VALUE"""),"ZESTAW NATRYSKOWY MELIA BIAŁY/ZŁOTY")</f>
        <v>ZESTAW NATRYSKOWY MELIA BIAŁY/ZŁOTY</v>
      </c>
      <c r="E1996" s="31">
        <v>188.60975609756099</v>
      </c>
      <c r="F1996" s="31">
        <f t="shared" si="31"/>
        <v>231.99</v>
      </c>
    </row>
    <row r="1997" spans="1:6" ht="18.75" customHeight="1" x14ac:dyDescent="0.25">
      <c r="A1997" s="2" t="str">
        <f ca="1">IFERROR(__xludf.DUMMYFUNCTION("""COMPUTED_VALUE"""),"REA-P0550")</f>
        <v>REA-P0550</v>
      </c>
      <c r="B1997" s="3">
        <f ca="1">IFERROR(__xludf.DUMMYFUNCTION("""COMPUTED_VALUE"""),32418)</f>
        <v>32418</v>
      </c>
      <c r="C1997" s="3">
        <f ca="1">IFERROR(__xludf.DUMMYFUNCTION("""COMPUTED_VALUE"""),5902557343348)</f>
        <v>5902557343348</v>
      </c>
      <c r="D1997" s="4" t="str">
        <f ca="1">IFERROR(__xludf.DUMMYFUNCTION("""COMPUTED_VALUE"""),"ZESTAW NATRYSKOWY MIKE CZARNY")</f>
        <v>ZESTAW NATRYSKOWY MIKE CZARNY</v>
      </c>
      <c r="E1997" s="31">
        <v>138.07317073170734</v>
      </c>
      <c r="F1997" s="31">
        <f t="shared" si="31"/>
        <v>169.83</v>
      </c>
    </row>
    <row r="1998" spans="1:6" ht="18.75" customHeight="1" x14ac:dyDescent="0.25">
      <c r="A1998" s="2" t="str">
        <f ca="1">IFERROR(__xludf.DUMMYFUNCTION("""COMPUTED_VALUE"""),"REA-P0222")</f>
        <v>REA-P0222</v>
      </c>
      <c r="B1998" s="3">
        <f ca="1">IFERROR(__xludf.DUMMYFUNCTION("""COMPUTED_VALUE"""),7279)</f>
        <v>7279</v>
      </c>
      <c r="C1998" s="3">
        <f ca="1">IFERROR(__xludf.DUMMYFUNCTION("""COMPUTED_VALUE"""),5902557324835)</f>
        <v>5902557324835</v>
      </c>
      <c r="D1998" s="4" t="str">
        <f ca="1">IFERROR(__xludf.DUMMYFUNCTION("""COMPUTED_VALUE"""),"ZESTAW NATRYSKOWY MILAN CHROM")</f>
        <v>ZESTAW NATRYSKOWY MILAN CHROM</v>
      </c>
      <c r="E1998" s="31">
        <v>188.60975609756099</v>
      </c>
      <c r="F1998" s="31">
        <f t="shared" si="31"/>
        <v>231.99</v>
      </c>
    </row>
    <row r="1999" spans="1:6" ht="18.75" customHeight="1" x14ac:dyDescent="0.25">
      <c r="A1999" s="2" t="str">
        <f ca="1">IFERROR(__xludf.DUMMYFUNCTION("""COMPUTED_VALUE"""),"REA-P7000")</f>
        <v>REA-P7000</v>
      </c>
      <c r="B1999" s="3">
        <f ca="1">IFERROR(__xludf.DUMMYFUNCTION("""COMPUTED_VALUE"""),33676)</f>
        <v>33676</v>
      </c>
      <c r="C1999" s="3">
        <f ca="1">IFERROR(__xludf.DUMMYFUNCTION("""COMPUTED_VALUE"""),5902557345151)</f>
        <v>5902557345151</v>
      </c>
      <c r="D1999" s="4" t="str">
        <f ca="1">IFERROR(__xludf.DUMMYFUNCTION("""COMPUTED_VALUE"""),"ZESTAW NATRYSKOWY MILAN CZARNY")</f>
        <v>ZESTAW NATRYSKOWY MILAN CZARNY</v>
      </c>
      <c r="E1999" s="31">
        <v>202.14634146341467</v>
      </c>
      <c r="F1999" s="31">
        <f t="shared" si="31"/>
        <v>248.64000000000004</v>
      </c>
    </row>
    <row r="2000" spans="1:6" ht="18.75" customHeight="1" x14ac:dyDescent="0.25">
      <c r="A2000" s="2" t="str">
        <f ca="1">IFERROR(__xludf.DUMMYFUNCTION("""COMPUTED_VALUE"""),"REA-B9976")</f>
        <v>REA-B9976</v>
      </c>
      <c r="B2000" s="3">
        <f ca="1">IFERROR(__xludf.DUMMYFUNCTION("""COMPUTED_VALUE"""),44660)</f>
        <v>44660</v>
      </c>
      <c r="C2000" s="3">
        <f ca="1">IFERROR(__xludf.DUMMYFUNCTION("""COMPUTED_VALUE"""),5902557369386)</f>
        <v>5902557369386</v>
      </c>
      <c r="D2000" s="4" t="str">
        <f ca="1">IFERROR(__xludf.DUMMYFUNCTION("""COMPUTED_VALUE"""),"ZESTAW NATRYSKOWY MY1803-77DBR BLADE CZARNY PRZECI")</f>
        <v>ZESTAW NATRYSKOWY MY1803-77DBR BLADE CZARNY PRZECI</v>
      </c>
      <c r="E2000" s="31">
        <v>138.07317073170734</v>
      </c>
      <c r="F2000" s="31">
        <f t="shared" si="31"/>
        <v>169.83</v>
      </c>
    </row>
    <row r="2001" spans="1:6" ht="18.75" customHeight="1" x14ac:dyDescent="0.25">
      <c r="A2001" s="2" t="str">
        <f ca="1">IFERROR(__xludf.DUMMYFUNCTION("""COMPUTED_VALUE"""),"REA-P9527")</f>
        <v>REA-P9527</v>
      </c>
      <c r="B2001" s="3">
        <f ca="1">IFERROR(__xludf.DUMMYFUNCTION("""COMPUTED_VALUE"""),51063)</f>
        <v>51063</v>
      </c>
      <c r="C2001" s="3">
        <f ca="1">IFERROR(__xludf.DUMMYFUNCTION("""COMPUTED_VALUE"""),5902557392872)</f>
        <v>5902557392872</v>
      </c>
      <c r="D2001" s="4" t="str">
        <f ca="1">IFERROR(__xludf.DUMMYFUNCTION("""COMPUTED_VALUE"""),"ZESTAW NATRYSKOWY MY1805-77CW BLOOM BIAŁY/CHROM")</f>
        <v>ZESTAW NATRYSKOWY MY1805-77CW BLOOM BIAŁY/CHROM</v>
      </c>
      <c r="E2001" s="31">
        <v>122.73170731707319</v>
      </c>
      <c r="F2001" s="31">
        <f t="shared" si="31"/>
        <v>150.96</v>
      </c>
    </row>
    <row r="2002" spans="1:6" ht="18.75" customHeight="1" x14ac:dyDescent="0.25">
      <c r="A2002" s="2" t="str">
        <f ca="1">IFERROR(__xludf.DUMMYFUNCTION("""COMPUTED_VALUE"""),"REA-P9528")</f>
        <v>REA-P9528</v>
      </c>
      <c r="B2002" s="3">
        <f ca="1">IFERROR(__xludf.DUMMYFUNCTION("""COMPUTED_VALUE"""),51066)</f>
        <v>51066</v>
      </c>
      <c r="C2002" s="3">
        <f ca="1">IFERROR(__xludf.DUMMYFUNCTION("""COMPUTED_VALUE"""),5902557392889)</f>
        <v>5902557392889</v>
      </c>
      <c r="D2002" s="4" t="str">
        <f ca="1">IFERROR(__xludf.DUMMYFUNCTION("""COMPUTED_VALUE"""),"ZESTAW NATRYSKOWY MY1805-77G BLOOM ZŁOTY POŁYSK")</f>
        <v>ZESTAW NATRYSKOWY MY1805-77G BLOOM ZŁOTY POŁYSK</v>
      </c>
      <c r="E2002" s="31">
        <v>135.36585365853659</v>
      </c>
      <c r="F2002" s="31">
        <f t="shared" si="31"/>
        <v>166.5</v>
      </c>
    </row>
    <row r="2003" spans="1:6" ht="18.75" customHeight="1" x14ac:dyDescent="0.25">
      <c r="A2003" s="2" t="str">
        <f ca="1">IFERROR(__xludf.DUMMYFUNCTION("""COMPUTED_VALUE"""),"REA-P9529")</f>
        <v>REA-P9529</v>
      </c>
      <c r="B2003" s="3">
        <f ca="1">IFERROR(__xludf.DUMMYFUNCTION("""COMPUTED_VALUE"""),51069)</f>
        <v>51069</v>
      </c>
      <c r="C2003" s="3">
        <f ca="1">IFERROR(__xludf.DUMMYFUNCTION("""COMPUTED_VALUE"""),5902557392896)</f>
        <v>5902557392896</v>
      </c>
      <c r="D2003" s="4" t="str">
        <f ca="1">IFERROR(__xludf.DUMMYFUNCTION("""COMPUTED_VALUE"""),"ZESTAW NATRYSKOWY MY1805-77WG BLOOM BIAŁY/ZŁOTY")</f>
        <v>ZESTAW NATRYSKOWY MY1805-77WG BLOOM BIAŁY/ZŁOTY</v>
      </c>
      <c r="E2003" s="31">
        <v>148.90243902439028</v>
      </c>
      <c r="F2003" s="31">
        <f t="shared" si="31"/>
        <v>183.15000000000003</v>
      </c>
    </row>
    <row r="2004" spans="1:6" ht="18.75" customHeight="1" x14ac:dyDescent="0.25">
      <c r="A2004" s="2" t="str">
        <f ca="1">IFERROR(__xludf.DUMMYFUNCTION("""COMPUTED_VALUE"""),"REA-P9532")</f>
        <v>REA-P9532</v>
      </c>
      <c r="B2004" s="3">
        <f ca="1">IFERROR(__xludf.DUMMYFUNCTION("""COMPUTED_VALUE"""),51070)</f>
        <v>51070</v>
      </c>
      <c r="C2004" s="3">
        <f ca="1">IFERROR(__xludf.DUMMYFUNCTION("""COMPUTED_VALUE"""),5902557392933)</f>
        <v>5902557392933</v>
      </c>
      <c r="D2004" s="4" t="str">
        <f ca="1">IFERROR(__xludf.DUMMYFUNCTION("""COMPUTED_VALUE"""),"ZESTAW NATRYSKOWY MY1902-77B STORM CZARNY")</f>
        <v>ZESTAW NATRYSKOWY MY1902-77B STORM CZARNY</v>
      </c>
      <c r="E2004" s="31">
        <v>111.90243902439025</v>
      </c>
      <c r="F2004" s="31">
        <f t="shared" si="31"/>
        <v>137.64000000000001</v>
      </c>
    </row>
    <row r="2005" spans="1:6" ht="18.75" customHeight="1" x14ac:dyDescent="0.25">
      <c r="A2005" s="2" t="str">
        <f ca="1">IFERROR(__xludf.DUMMYFUNCTION("""COMPUTED_VALUE"""),"REA-P9530")</f>
        <v>REA-P9530</v>
      </c>
      <c r="B2005" s="3">
        <f ca="1">IFERROR(__xludf.DUMMYFUNCTION("""COMPUTED_VALUE"""),51065)</f>
        <v>51065</v>
      </c>
      <c r="C2005" s="3">
        <f ca="1">IFERROR(__xludf.DUMMYFUNCTION("""COMPUTED_VALUE"""),5902557392926)</f>
        <v>5902557392926</v>
      </c>
      <c r="D2005" s="4" t="str">
        <f ca="1">IFERROR(__xludf.DUMMYFUNCTION("""COMPUTED_VALUE"""),"ZESTAW NATRYSKOWY MY1902-77G STORM ZŁOTY")</f>
        <v>ZESTAW NATRYSKOWY MY1902-77G STORM ZŁOTY</v>
      </c>
      <c r="E2005" s="31">
        <v>131.75609756097563</v>
      </c>
      <c r="F2005" s="31">
        <f t="shared" si="31"/>
        <v>162.06000000000003</v>
      </c>
    </row>
    <row r="2006" spans="1:6" ht="18.75" customHeight="1" x14ac:dyDescent="0.25">
      <c r="A2006" s="2" t="str">
        <f ca="1">IFERROR(__xludf.DUMMYFUNCTION("""COMPUTED_VALUE"""),"REA-P9535")</f>
        <v>REA-P9535</v>
      </c>
      <c r="B2006" s="3">
        <f ca="1">IFERROR(__xludf.DUMMYFUNCTION("""COMPUTED_VALUE"""),54279)</f>
        <v>54279</v>
      </c>
      <c r="C2006" s="3">
        <f ca="1">IFERROR(__xludf.DUMMYFUNCTION("""COMPUTED_VALUE"""),5906366007859)</f>
        <v>5906366007859</v>
      </c>
      <c r="D2006" s="4" t="str">
        <f ca="1">IFERROR(__xludf.DUMMYFUNCTION("""COMPUTED_VALUE"""),"ZESTAW NATRYSKOWY MY1902-77GG STORM ZŁOTY SZCZOTKO")</f>
        <v>ZESTAW NATRYSKOWY MY1902-77GG STORM ZŁOTY SZCZOTKO</v>
      </c>
      <c r="E2006" s="31">
        <v>148.90243902439028</v>
      </c>
      <c r="F2006" s="31">
        <f t="shared" si="31"/>
        <v>183.15000000000003</v>
      </c>
    </row>
    <row r="2007" spans="1:6" ht="18.75" customHeight="1" x14ac:dyDescent="0.25">
      <c r="A2007" s="2" t="str">
        <f ca="1">IFERROR(__xludf.DUMMYFUNCTION("""COMPUTED_VALUE"""),"REA-P9533")</f>
        <v>REA-P9533</v>
      </c>
      <c r="B2007" s="3">
        <f ca="1">IFERROR(__xludf.DUMMYFUNCTION("""COMPUTED_VALUE"""),51068)</f>
        <v>51068</v>
      </c>
      <c r="C2007" s="3">
        <f ca="1">IFERROR(__xludf.DUMMYFUNCTION("""COMPUTED_VALUE"""),5902557392940)</f>
        <v>5902557392940</v>
      </c>
      <c r="D2007" s="4" t="str">
        <f ca="1">IFERROR(__xludf.DUMMYFUNCTION("""COMPUTED_VALUE"""),"ZESTAW NATRYSKOWY MY1902-78B STORM CZARNY")</f>
        <v>ZESTAW NATRYSKOWY MY1902-78B STORM CZARNY</v>
      </c>
      <c r="E2007" s="31">
        <v>133.5609756097561</v>
      </c>
      <c r="F2007" s="31">
        <f t="shared" si="31"/>
        <v>164.28</v>
      </c>
    </row>
    <row r="2008" spans="1:6" ht="18.75" customHeight="1" x14ac:dyDescent="0.25">
      <c r="A2008" s="2" t="str">
        <f ca="1">IFERROR(__xludf.DUMMYFUNCTION("""COMPUTED_VALUE"""),"REA-P9531")</f>
        <v>REA-P9531</v>
      </c>
      <c r="B2008" s="3">
        <f ca="1">IFERROR(__xludf.DUMMYFUNCTION("""COMPUTED_VALUE"""),51067)</f>
        <v>51067</v>
      </c>
      <c r="C2008" s="3">
        <f ca="1">IFERROR(__xludf.DUMMYFUNCTION("""COMPUTED_VALUE"""),5902557392902)</f>
        <v>5902557392902</v>
      </c>
      <c r="D2008" s="4" t="str">
        <f ca="1">IFERROR(__xludf.DUMMYFUNCTION("""COMPUTED_VALUE"""),"ZESTAW NATRYSKOWY MY1902-78G STORM ZŁOTY")</f>
        <v>ZESTAW NATRYSKOWY MY1902-78G STORM ZŁOTY</v>
      </c>
      <c r="E2008" s="31">
        <v>163.34146341463415</v>
      </c>
      <c r="F2008" s="31">
        <f t="shared" si="31"/>
        <v>200.91</v>
      </c>
    </row>
    <row r="2009" spans="1:6" ht="18.75" customHeight="1" x14ac:dyDescent="0.25">
      <c r="A2009" s="2" t="str">
        <f ca="1">IFERROR(__xludf.DUMMYFUNCTION("""COMPUTED_VALUE"""),"REA-P9536")</f>
        <v>REA-P9536</v>
      </c>
      <c r="B2009" s="3">
        <f ca="1">IFERROR(__xludf.DUMMYFUNCTION("""COMPUTED_VALUE"""),54278)</f>
        <v>54278</v>
      </c>
      <c r="C2009" s="3">
        <f ca="1">IFERROR(__xludf.DUMMYFUNCTION("""COMPUTED_VALUE"""),5906366007866)</f>
        <v>5906366007866</v>
      </c>
      <c r="D2009" s="4" t="str">
        <f ca="1">IFERROR(__xludf.DUMMYFUNCTION("""COMPUTED_VALUE"""),"ZESTAW NATRYSKOWY MY1902-78GG STORM ZŁOTY SZCZOTKO")</f>
        <v>ZESTAW NATRYSKOWY MY1902-78GG STORM ZŁOTY SZCZOTKO</v>
      </c>
      <c r="E2009" s="31">
        <v>175.97560975609758</v>
      </c>
      <c r="F2009" s="31">
        <f t="shared" si="31"/>
        <v>216.45000000000002</v>
      </c>
    </row>
    <row r="2010" spans="1:6" ht="18.75" customHeight="1" x14ac:dyDescent="0.25">
      <c r="A2010" s="2" t="str">
        <f ca="1">IFERROR(__xludf.DUMMYFUNCTION("""COMPUTED_VALUE"""),"REA-P9534")</f>
        <v>REA-P9534</v>
      </c>
      <c r="B2010" s="3">
        <f ca="1">IFERROR(__xludf.DUMMYFUNCTION("""COMPUTED_VALUE"""),51091)</f>
        <v>51091</v>
      </c>
      <c r="C2010" s="3">
        <f ca="1">IFERROR(__xludf.DUMMYFUNCTION("""COMPUTED_VALUE"""),5902557392957)</f>
        <v>5902557392957</v>
      </c>
      <c r="D2010" s="4" t="str">
        <f ca="1">IFERROR(__xludf.DUMMYFUNCTION("""COMPUTED_VALUE"""),"ZESTAW NATRYSKOWY MY1902-78H STORM GUN SZARY")</f>
        <v>ZESTAW NATRYSKOWY MY1902-78H STORM GUN SZARY</v>
      </c>
      <c r="E2010" s="31">
        <v>169.65853658536588</v>
      </c>
      <c r="F2010" s="31">
        <f t="shared" si="31"/>
        <v>208.68000000000004</v>
      </c>
    </row>
    <row r="2011" spans="1:6" ht="18.75" customHeight="1" x14ac:dyDescent="0.25">
      <c r="A2011" s="2" t="str">
        <f ca="1">IFERROR(__xludf.DUMMYFUNCTION("""COMPUTED_VALUE"""),"REA-B9998")</f>
        <v>REA-B9998</v>
      </c>
      <c r="B2011" s="3">
        <f ca="1">IFERROR(__xludf.DUMMYFUNCTION("""COMPUTED_VALUE"""),44668)</f>
        <v>44668</v>
      </c>
      <c r="C2011" s="3">
        <f ca="1">IFERROR(__xludf.DUMMYFUNCTION("""COMPUTED_VALUE"""),5902557370146)</f>
        <v>5902557370146</v>
      </c>
      <c r="D2011" s="4" t="str">
        <f ca="1">IFERROR(__xludf.DUMMYFUNCTION("""COMPUTED_VALUE"""),"ZESTAW NATRYSKOWY MY1906-77B SOUL CZARNY")</f>
        <v>ZESTAW NATRYSKOWY MY1906-77B SOUL CZARNY</v>
      </c>
      <c r="E2011" s="31">
        <v>124.53658536585368</v>
      </c>
      <c r="F2011" s="31">
        <f t="shared" si="31"/>
        <v>153.18000000000004</v>
      </c>
    </row>
    <row r="2012" spans="1:6" ht="18.75" customHeight="1" x14ac:dyDescent="0.25">
      <c r="A2012" s="2" t="str">
        <f ca="1">IFERROR(__xludf.DUMMYFUNCTION("""COMPUTED_VALUE"""),"REA-P2389")</f>
        <v>REA-P2389</v>
      </c>
      <c r="B2012" s="3">
        <f ca="1">IFERROR(__xludf.DUMMYFUNCTION("""COMPUTED_VALUE"""),51097)</f>
        <v>51097</v>
      </c>
      <c r="C2012" s="3">
        <f ca="1">IFERROR(__xludf.DUMMYFUNCTION("""COMPUTED_VALUE"""),5902557393046)</f>
        <v>5902557393046</v>
      </c>
      <c r="D2012" s="4" t="str">
        <f ca="1">IFERROR(__xludf.DUMMYFUNCTION("""COMPUTED_VALUE"""),"ZESTAW NATRYSKOWY MY2021-77B ARGUS CZARNY")</f>
        <v>ZESTAW NATRYSKOWY MY2021-77B ARGUS CZARNY</v>
      </c>
      <c r="E2012" s="31">
        <v>119.1219512195122</v>
      </c>
      <c r="F2012" s="31">
        <f t="shared" si="31"/>
        <v>146.52000000000001</v>
      </c>
    </row>
    <row r="2013" spans="1:6" ht="18.75" customHeight="1" x14ac:dyDescent="0.25">
      <c r="A2013" s="2" t="str">
        <f ca="1">IFERROR(__xludf.DUMMYFUNCTION("""COMPUTED_VALUE"""),"REA-P7840")</f>
        <v>REA-P7840</v>
      </c>
      <c r="B2013" s="3">
        <f ca="1">IFERROR(__xludf.DUMMYFUNCTION("""COMPUTED_VALUE"""),51100)</f>
        <v>51100</v>
      </c>
      <c r="C2013" s="3">
        <f ca="1">IFERROR(__xludf.DUMMYFUNCTION("""COMPUTED_VALUE"""),5902557393381)</f>
        <v>5902557393381</v>
      </c>
      <c r="D2013" s="4" t="str">
        <f ca="1">IFERROR(__xludf.DUMMYFUNCTION("""COMPUTED_VALUE"""),"ZESTAW NATRYSKOWY MY2021-77G ARGUS ZŁOTY POŁYSK")</f>
        <v>ZESTAW NATRYSKOWY MY2021-77G ARGUS ZŁOTY POŁYSK</v>
      </c>
      <c r="E2013" s="31">
        <v>141.6829268292683</v>
      </c>
      <c r="F2013" s="31">
        <f t="shared" si="31"/>
        <v>174.27</v>
      </c>
    </row>
    <row r="2014" spans="1:6" ht="18.75" customHeight="1" x14ac:dyDescent="0.25">
      <c r="A2014" s="2" t="str">
        <f ca="1">IFERROR(__xludf.DUMMYFUNCTION("""COMPUTED_VALUE"""),"REA-P7841")</f>
        <v>REA-P7841</v>
      </c>
      <c r="B2014" s="3">
        <f ca="1">IFERROR(__xludf.DUMMYFUNCTION("""COMPUTED_VALUE"""),51106)</f>
        <v>51106</v>
      </c>
      <c r="C2014" s="3">
        <f ca="1">IFERROR(__xludf.DUMMYFUNCTION("""COMPUTED_VALUE"""),5902557393138)</f>
        <v>5902557393138</v>
      </c>
      <c r="D2014" s="4" t="str">
        <f ca="1">IFERROR(__xludf.DUMMYFUNCTION("""COMPUTED_VALUE"""),"ZESTAW NATRYSKOWY MY2021-77GG ARGUS ZŁOTY SZCZOTKO")</f>
        <v>ZESTAW NATRYSKOWY MY2021-77GG ARGUS ZŁOTY SZCZOTKO</v>
      </c>
      <c r="E2014" s="31">
        <v>148.90243902439028</v>
      </c>
      <c r="F2014" s="31">
        <f t="shared" si="31"/>
        <v>183.15000000000003</v>
      </c>
    </row>
    <row r="2015" spans="1:6" ht="18.75" customHeight="1" x14ac:dyDescent="0.25">
      <c r="A2015" s="2" t="str">
        <f ca="1">IFERROR(__xludf.DUMMYFUNCTION("""COMPUTED_VALUE"""),"REA-B9968")</f>
        <v>REA-B9968</v>
      </c>
      <c r="B2015" s="3">
        <f ca="1">IFERROR(__xludf.DUMMYFUNCTION("""COMPUTED_VALUE"""),44657)</f>
        <v>44657</v>
      </c>
      <c r="C2015" s="3">
        <f ca="1">IFERROR(__xludf.DUMMYFUNCTION("""COMPUTED_VALUE"""),5902557369300)</f>
        <v>5902557369300</v>
      </c>
      <c r="D2015" s="4" t="str">
        <f ca="1">IFERROR(__xludf.DUMMYFUNCTION("""COMPUTED_VALUE"""),"ZESTAW NATRYSKOWY MY2061-77B HASS CZARNY")</f>
        <v>ZESTAW NATRYSKOWY MY2061-77B HASS CZARNY</v>
      </c>
      <c r="E2015" s="31">
        <v>143.48780487804882</v>
      </c>
      <c r="F2015" s="31">
        <f t="shared" si="31"/>
        <v>176.49000000000004</v>
      </c>
    </row>
    <row r="2016" spans="1:6" ht="18.75" customHeight="1" x14ac:dyDescent="0.25">
      <c r="A2016" s="2" t="str">
        <f ca="1">IFERROR(__xludf.DUMMYFUNCTION("""COMPUTED_VALUE"""),"REA-B9972")</f>
        <v>REA-B9972</v>
      </c>
      <c r="B2016" s="3">
        <f ca="1">IFERROR(__xludf.DUMMYFUNCTION("""COMPUTED_VALUE"""),44659)</f>
        <v>44659</v>
      </c>
      <c r="C2016" s="3">
        <f ca="1">IFERROR(__xludf.DUMMYFUNCTION("""COMPUTED_VALUE"""),5902557369348)</f>
        <v>5902557369348</v>
      </c>
      <c r="D2016" s="4" t="str">
        <f ca="1">IFERROR(__xludf.DUMMYFUNCTION("""COMPUTED_VALUE"""),"ZESTAW NATRYSKOWY MY2061-77GG HASS ZŁOTY SZCZOTKOW")</f>
        <v>ZESTAW NATRYSKOWY MY2061-77GG HASS ZŁOTY SZCZOTKOW</v>
      </c>
      <c r="E2016" s="31">
        <v>187.70731707317074</v>
      </c>
      <c r="F2016" s="31">
        <f t="shared" si="31"/>
        <v>230.88</v>
      </c>
    </row>
    <row r="2017" spans="1:6" ht="18.75" customHeight="1" x14ac:dyDescent="0.25">
      <c r="A2017" s="2" t="str">
        <f ca="1">IFERROR(__xludf.DUMMYFUNCTION("""COMPUTED_VALUE"""),"REA-P7843")</f>
        <v>REA-P7843</v>
      </c>
      <c r="B2017" s="3">
        <f ca="1">IFERROR(__xludf.DUMMYFUNCTION("""COMPUTED_VALUE"""),51105)</f>
        <v>51105</v>
      </c>
      <c r="C2017" s="3">
        <f ca="1">IFERROR(__xludf.DUMMYFUNCTION("""COMPUTED_VALUE"""),5902557393169)</f>
        <v>5902557393169</v>
      </c>
      <c r="D2017" s="4" t="str">
        <f ca="1">IFERROR(__xludf.DUMMYFUNCTION("""COMPUTED_VALUE"""),"ZESTAW NATRYSKOWY MY2102-78C VENETA CHROM")</f>
        <v>ZESTAW NATRYSKOWY MY2102-78C VENETA CHROM</v>
      </c>
      <c r="E2017" s="31">
        <v>131.75609756097563</v>
      </c>
      <c r="F2017" s="31">
        <f t="shared" si="31"/>
        <v>162.06000000000003</v>
      </c>
    </row>
    <row r="2018" spans="1:6" ht="18.75" customHeight="1" x14ac:dyDescent="0.25">
      <c r="A2018" s="2" t="str">
        <f ca="1">IFERROR(__xludf.DUMMYFUNCTION("""COMPUTED_VALUE"""),"REA-P7842")</f>
        <v>REA-P7842</v>
      </c>
      <c r="B2018" s="3">
        <f ca="1">IFERROR(__xludf.DUMMYFUNCTION("""COMPUTED_VALUE"""),51111)</f>
        <v>51111</v>
      </c>
      <c r="C2018" s="3">
        <f ca="1">IFERROR(__xludf.DUMMYFUNCTION("""COMPUTED_VALUE"""),5902557393176)</f>
        <v>5902557393176</v>
      </c>
      <c r="D2018" s="4" t="str">
        <f ca="1">IFERROR(__xludf.DUMMYFUNCTION("""COMPUTED_VALUE"""),"ZESTAW NATRYSKOWY MY2102-78G VENETA ZŁOTY")</f>
        <v>ZESTAW NATRYSKOWY MY2102-78G VENETA ZŁOTY</v>
      </c>
      <c r="E2018" s="31">
        <v>156.12195121951223</v>
      </c>
      <c r="F2018" s="31">
        <f t="shared" si="31"/>
        <v>192.03000000000003</v>
      </c>
    </row>
    <row r="2019" spans="1:6" ht="18.75" customHeight="1" x14ac:dyDescent="0.25">
      <c r="A2019" s="2" t="str">
        <f ca="1">IFERROR(__xludf.DUMMYFUNCTION("""COMPUTED_VALUE"""),"REA-P0802")</f>
        <v>REA-P0802</v>
      </c>
      <c r="B2019" s="3">
        <f ca="1">IFERROR(__xludf.DUMMYFUNCTION("""COMPUTED_VALUE"""),7283)</f>
        <v>7283</v>
      </c>
      <c r="C2019" s="3">
        <f ca="1">IFERROR(__xludf.DUMMYFUNCTION("""COMPUTED_VALUE"""),5902557315550)</f>
        <v>5902557315550</v>
      </c>
      <c r="D2019" s="4" t="str">
        <f ca="1">IFERROR(__xludf.DUMMYFUNCTION("""COMPUTED_VALUE"""),"ZESTAW NATRYSKOWY NAVARO CHROM")</f>
        <v>ZESTAW NATRYSKOWY NAVARO CHROM</v>
      </c>
      <c r="E2019" s="31">
        <v>161.53658536585368</v>
      </c>
      <c r="F2019" s="31">
        <f t="shared" si="31"/>
        <v>198.69000000000003</v>
      </c>
    </row>
    <row r="2020" spans="1:6" ht="18.75" customHeight="1" x14ac:dyDescent="0.25">
      <c r="A2020" s="2" t="str">
        <f ca="1">IFERROR(__xludf.DUMMYFUNCTION("""COMPUTED_VALUE"""),"REA-P8463")</f>
        <v>REA-P8463</v>
      </c>
      <c r="B2020" s="3">
        <f ca="1">IFERROR(__xludf.DUMMYFUNCTION("""COMPUTED_VALUE"""),44952)</f>
        <v>44952</v>
      </c>
      <c r="C2020" s="3">
        <f ca="1">IFERROR(__xludf.DUMMYFUNCTION("""COMPUTED_VALUE"""),5902557369652)</f>
        <v>5902557369652</v>
      </c>
      <c r="D2020" s="4" t="str">
        <f ca="1">IFERROR(__xludf.DUMMYFUNCTION("""COMPUTED_VALUE"""),"ZESTAW NATRYSKOWY ORIX CHROM + BOX")</f>
        <v>ZESTAW NATRYSKOWY ORIX CHROM + BOX</v>
      </c>
      <c r="E2020" s="31">
        <v>151.60975609756099</v>
      </c>
      <c r="F2020" s="31">
        <f t="shared" si="31"/>
        <v>186.48000000000002</v>
      </c>
    </row>
    <row r="2021" spans="1:6" ht="18.75" customHeight="1" x14ac:dyDescent="0.25">
      <c r="A2021" s="2" t="str">
        <f ca="1">IFERROR(__xludf.DUMMYFUNCTION("""COMPUTED_VALUE"""),"REA-P8465")</f>
        <v>REA-P8465</v>
      </c>
      <c r="B2021" s="3">
        <f ca="1">IFERROR(__xludf.DUMMYFUNCTION("""COMPUTED_VALUE"""),44941)</f>
        <v>44941</v>
      </c>
      <c r="C2021" s="3">
        <f ca="1">IFERROR(__xludf.DUMMYFUNCTION("""COMPUTED_VALUE"""),5902557369669)</f>
        <v>5902557369669</v>
      </c>
      <c r="D2021" s="4" t="str">
        <f ca="1">IFERROR(__xludf.DUMMYFUNCTION("""COMPUTED_VALUE"""),"ZESTAW NATRYSKOWY ORIX CZARNY + BOX")</f>
        <v>ZESTAW NATRYSKOWY ORIX CZARNY + BOX</v>
      </c>
      <c r="E2021" s="31">
        <v>166.95121951219514</v>
      </c>
      <c r="F2021" s="31">
        <f t="shared" si="31"/>
        <v>205.35000000000002</v>
      </c>
    </row>
    <row r="2022" spans="1:6" ht="18.75" customHeight="1" x14ac:dyDescent="0.25">
      <c r="A2022" s="2" t="str">
        <f ca="1">IFERROR(__xludf.DUMMYFUNCTION("""COMPUTED_VALUE"""),"REA-P8464")</f>
        <v>REA-P8464</v>
      </c>
      <c r="B2022" s="3">
        <f ca="1">IFERROR(__xludf.DUMMYFUNCTION("""COMPUTED_VALUE"""),44951)</f>
        <v>44951</v>
      </c>
      <c r="C2022" s="3">
        <f ca="1">IFERROR(__xludf.DUMMYFUNCTION("""COMPUTED_VALUE"""),5902557369676)</f>
        <v>5902557369676</v>
      </c>
      <c r="D2022" s="4" t="str">
        <f ca="1">IFERROR(__xludf.DUMMYFUNCTION("""COMPUTED_VALUE"""),"ZESTAW NATRYSKOWY ORIX ZŁOTY + BOX")</f>
        <v>ZESTAW NATRYSKOWY ORIX ZŁOTY + BOX</v>
      </c>
      <c r="E2022" s="31">
        <v>194.02439024390247</v>
      </c>
      <c r="F2022" s="31">
        <f t="shared" si="31"/>
        <v>238.65000000000003</v>
      </c>
    </row>
    <row r="2023" spans="1:6" ht="18.75" customHeight="1" x14ac:dyDescent="0.25">
      <c r="A2023" s="2" t="str">
        <f ca="1">IFERROR(__xludf.DUMMYFUNCTION("""COMPUTED_VALUE"""),"REA-P2323")</f>
        <v>REA-P2323</v>
      </c>
      <c r="B2023" s="3">
        <f ca="1">IFERROR(__xludf.DUMMYFUNCTION("""COMPUTED_VALUE"""),50706)</f>
        <v>50706</v>
      </c>
      <c r="C2023" s="3">
        <f ca="1">IFERROR(__xludf.DUMMYFUNCTION("""COMPUTED_VALUE"""),5902557386802)</f>
        <v>5902557386802</v>
      </c>
      <c r="D2023" s="4" t="str">
        <f ca="1">IFERROR(__xludf.DUMMYFUNCTION("""COMPUTED_VALUE"""),"ZESTAW NATRYSKOWY PAROT ZŁOTY SZCZOTKOWANY TERMOST")</f>
        <v>ZESTAW NATRYSKOWY PAROT ZŁOTY SZCZOTKOWANY TERMOST</v>
      </c>
      <c r="E2023" s="31">
        <v>203.04878048780492</v>
      </c>
      <c r="F2023" s="31">
        <f t="shared" si="31"/>
        <v>249.75000000000006</v>
      </c>
    </row>
    <row r="2024" spans="1:6" ht="18.75" customHeight="1" x14ac:dyDescent="0.25">
      <c r="A2024" s="2" t="str">
        <f ca="1">IFERROR(__xludf.DUMMYFUNCTION("""COMPUTED_VALUE"""),"REA-P8551")</f>
        <v>REA-P8551</v>
      </c>
      <c r="B2024" s="3">
        <f ca="1">IFERROR(__xludf.DUMMYFUNCTION("""COMPUTED_VALUE"""),46332)</f>
        <v>46332</v>
      </c>
      <c r="C2024" s="3">
        <f ca="1">IFERROR(__xludf.DUMMYFUNCTION("""COMPUTED_VALUE"""),5902557397686)</f>
        <v>5902557397686</v>
      </c>
      <c r="D2024" s="4" t="str">
        <f ca="1">IFERROR(__xludf.DUMMYFUNCTION("""COMPUTED_VALUE"""),"ZESTAW NATRYSKOWY PODTYN LUNGO ZŁOTY SZCZO TERMOST")</f>
        <v>ZESTAW NATRYSKOWY PODTYN LUNGO ZŁOTY SZCZO TERMOST</v>
      </c>
      <c r="E2024" s="31">
        <v>263.51219512195127</v>
      </c>
      <c r="F2024" s="31">
        <f t="shared" si="31"/>
        <v>324.12000000000006</v>
      </c>
    </row>
    <row r="2025" spans="1:6" ht="18.75" customHeight="1" x14ac:dyDescent="0.25">
      <c r="A2025" s="2" t="str">
        <f ca="1">IFERROR(__xludf.DUMMYFUNCTION("""COMPUTED_VALUE"""),"REA-P4111")</f>
        <v>REA-P4111</v>
      </c>
      <c r="B2025" s="3">
        <f ca="1">IFERROR(__xludf.DUMMYFUNCTION("""COMPUTED_VALUE"""),26996)</f>
        <v>26996</v>
      </c>
      <c r="C2025" s="3">
        <f ca="1">IFERROR(__xludf.DUMMYFUNCTION("""COMPUTED_VALUE"""),5902557335084)</f>
        <v>5902557335084</v>
      </c>
      <c r="D2025" s="4" t="str">
        <f ca="1">IFERROR(__xludf.DUMMYFUNCTION("""COMPUTED_VALUE"""),"ZESTAW NATRYSKOWY PODTYNK LUNGO RÓŻOWE ZŁOTO + BOX")</f>
        <v>ZESTAW NATRYSKOWY PODTYNK LUNGO RÓŻOWE ZŁOTO + BOX</v>
      </c>
      <c r="E2025" s="31">
        <v>231.92682926829269</v>
      </c>
      <c r="F2025" s="31">
        <f t="shared" si="31"/>
        <v>285.27</v>
      </c>
    </row>
    <row r="2026" spans="1:6" ht="18.75" customHeight="1" x14ac:dyDescent="0.25">
      <c r="A2026" s="2" t="str">
        <f ca="1">IFERROR(__xludf.DUMMYFUNCTION("""COMPUTED_VALUE"""),"REA-P9141")</f>
        <v>REA-P9141</v>
      </c>
      <c r="B2026" s="3">
        <f ca="1">IFERROR(__xludf.DUMMYFUNCTION("""COMPUTED_VALUE"""),47607)</f>
        <v>47607</v>
      </c>
      <c r="C2026" s="3">
        <f ca="1">IFERROR(__xludf.DUMMYFUNCTION("""COMPUTED_VALUE"""),5902557375240)</f>
        <v>5902557375240</v>
      </c>
      <c r="D2026" s="4" t="str">
        <f ca="1">IFERROR(__xludf.DUMMYFUNCTION("""COMPUTED_VALUE"""),"ZESTAW NATRYSKOWY PODTYNK PARKER ZŁOTY SZCZO + BOX")</f>
        <v>ZESTAW NATRYSKOWY PODTYNK PARKER ZŁOTY SZCZO + BOX</v>
      </c>
      <c r="E2026" s="31">
        <v>207.56097560975613</v>
      </c>
      <c r="F2026" s="31">
        <f t="shared" si="31"/>
        <v>255.30000000000004</v>
      </c>
    </row>
    <row r="2027" spans="1:6" ht="18.75" customHeight="1" x14ac:dyDescent="0.25">
      <c r="A2027" s="2" t="str">
        <f ca="1">IFERROR(__xludf.DUMMYFUNCTION("""COMPUTED_VALUE"""),"REA-P4800")</f>
        <v>REA-P4800</v>
      </c>
      <c r="B2027" s="3">
        <f ca="1">IFERROR(__xludf.DUMMYFUNCTION("""COMPUTED_VALUE"""),48726)</f>
        <v>48726</v>
      </c>
      <c r="C2027" s="3">
        <f ca="1">IFERROR(__xludf.DUMMYFUNCTION("""COMPUTED_VALUE"""),5902557375455)</f>
        <v>5902557375455</v>
      </c>
      <c r="D2027" s="4" t="str">
        <f ca="1">IFERROR(__xludf.DUMMYFUNCTION("""COMPUTED_VALUE"""),"ZESTAW NATRYSKOWY PODTYNK VERSO NIKIEL SZCZO + BOX")</f>
        <v>ZESTAW NATRYSKOWY PODTYNK VERSO NIKIEL SZCZO + BOX</v>
      </c>
      <c r="E2027" s="31">
        <v>265.31707317073176</v>
      </c>
      <c r="F2027" s="31">
        <f t="shared" si="31"/>
        <v>326.34000000000003</v>
      </c>
    </row>
    <row r="2028" spans="1:6" ht="18.75" customHeight="1" x14ac:dyDescent="0.25">
      <c r="A2028" s="2" t="str">
        <f ca="1">IFERROR(__xludf.DUMMYFUNCTION("""COMPUTED_VALUE"""),"REA-P4160")</f>
        <v>REA-P4160</v>
      </c>
      <c r="B2028" s="3">
        <f ca="1">IFERROR(__xludf.DUMMYFUNCTION("""COMPUTED_VALUE"""),44916)</f>
        <v>44916</v>
      </c>
      <c r="C2028" s="3">
        <f ca="1">IFERROR(__xludf.DUMMYFUNCTION("""COMPUTED_VALUE"""),5902557369966)</f>
        <v>5902557369966</v>
      </c>
      <c r="D2028" s="4" t="str">
        <f ca="1">IFERROR(__xludf.DUMMYFUNCTION("""COMPUTED_VALUE"""),"ZESTAW NATRYSKOWY PODTYNKO LUNGO ZŁOTY SZCZO + BOX")</f>
        <v>ZESTAW NATRYSKOWY PODTYNKO LUNGO ZŁOTY SZCZO + BOX</v>
      </c>
      <c r="E2028" s="31">
        <v>233.73170731707319</v>
      </c>
      <c r="F2028" s="31">
        <f t="shared" si="31"/>
        <v>287.49</v>
      </c>
    </row>
    <row r="2029" spans="1:6" ht="18.75" customHeight="1" x14ac:dyDescent="0.25">
      <c r="A2029" s="2" t="str">
        <f ca="1">IFERROR(__xludf.DUMMYFUNCTION("""COMPUTED_VALUE"""),"REA-P9150")</f>
        <v>REA-P9150</v>
      </c>
      <c r="B2029" s="3">
        <f ca="1">IFERROR(__xludf.DUMMYFUNCTION("""COMPUTED_VALUE"""),47614)</f>
        <v>47614</v>
      </c>
      <c r="C2029" s="3">
        <f ca="1">IFERROR(__xludf.DUMMYFUNCTION("""COMPUTED_VALUE"""),5902557375448)</f>
        <v>5902557375448</v>
      </c>
      <c r="D2029" s="4" t="str">
        <f ca="1">IFERROR(__xludf.DUMMYFUNCTION("""COMPUTED_VALUE"""),"ZESTAW NATRYSKOWY PODTYNKO VERSO ZŁOTY SZCZO+ BOX")</f>
        <v>ZESTAW NATRYSKOWY PODTYNKO VERSO ZŁOTY SZCZO+ BOX</v>
      </c>
      <c r="E2029" s="31">
        <v>226.51219512195124</v>
      </c>
      <c r="F2029" s="31">
        <f t="shared" si="31"/>
        <v>278.61</v>
      </c>
    </row>
    <row r="2030" spans="1:6" ht="18.75" customHeight="1" x14ac:dyDescent="0.25">
      <c r="A2030" s="2" t="str">
        <f ca="1">IFERROR(__xludf.DUMMYFUNCTION("""COMPUTED_VALUE"""),"REA-P8550")</f>
        <v>REA-P8550</v>
      </c>
      <c r="B2030" s="3">
        <f ca="1">IFERROR(__xludf.DUMMYFUNCTION("""COMPUTED_VALUE"""),46330)</f>
        <v>46330</v>
      </c>
      <c r="C2030" s="3">
        <f ca="1">IFERROR(__xludf.DUMMYFUNCTION("""COMPUTED_VALUE"""),5902557397679)</f>
        <v>5902557397679</v>
      </c>
      <c r="D2030" s="4" t="str">
        <f ca="1">IFERROR(__xludf.DUMMYFUNCTION("""COMPUTED_VALUE"""),"ZESTAW NATRYSKOWY PODTYNKOW LUNGO ZŁOTY TERMOSTAT")</f>
        <v>ZESTAW NATRYSKOWY PODTYNKOW LUNGO ZŁOTY TERMOSTAT</v>
      </c>
      <c r="E2030" s="31">
        <v>237.34146341463415</v>
      </c>
      <c r="F2030" s="31">
        <f t="shared" si="31"/>
        <v>291.93</v>
      </c>
    </row>
    <row r="2031" spans="1:6" ht="18.75" customHeight="1" x14ac:dyDescent="0.25">
      <c r="A2031" s="2" t="str">
        <f ca="1">IFERROR(__xludf.DUMMYFUNCTION("""COMPUTED_VALUE"""),"REA-P8000")</f>
        <v>REA-P8000</v>
      </c>
      <c r="B2031" s="3">
        <f ca="1">IFERROR(__xludf.DUMMYFUNCTION("""COMPUTED_VALUE"""),30338)</f>
        <v>30338</v>
      </c>
      <c r="C2031" s="3">
        <f ca="1">IFERROR(__xludf.DUMMYFUNCTION("""COMPUTED_VALUE"""),5902557338610)</f>
        <v>5902557338610</v>
      </c>
      <c r="D2031" s="4" t="str">
        <f ca="1">IFERROR(__xludf.DUMMYFUNCTION("""COMPUTED_VALUE"""),"ZESTAW NATRYSKOWY PODTYNKOWY EXIT CZARNY")</f>
        <v>ZESTAW NATRYSKOWY PODTYNKOWY EXIT CZARNY</v>
      </c>
      <c r="E2031" s="31">
        <v>233.73170731707319</v>
      </c>
      <c r="F2031" s="31">
        <f t="shared" si="31"/>
        <v>287.49</v>
      </c>
    </row>
    <row r="2032" spans="1:6" ht="18.75" customHeight="1" x14ac:dyDescent="0.25">
      <c r="A2032" s="2" t="str">
        <f ca="1">IFERROR(__xludf.DUMMYFUNCTION("""COMPUTED_VALUE"""),"REA-P2000")</f>
        <v>REA-P2000</v>
      </c>
      <c r="B2032" s="3">
        <f ca="1">IFERROR(__xludf.DUMMYFUNCTION("""COMPUTED_VALUE"""),45057)</f>
        <v>45057</v>
      </c>
      <c r="C2032" s="3">
        <f ca="1">IFERROR(__xludf.DUMMYFUNCTION("""COMPUTED_VALUE"""),5902557370733)</f>
        <v>5902557370733</v>
      </c>
      <c r="D2032" s="4" t="str">
        <f ca="1">IFERROR(__xludf.DUMMYFUNCTION("""COMPUTED_VALUE"""),"ZESTAW NATRYSKOWY PODTYNKOWY JS-W018 HYPER CHROM")</f>
        <v>ZESTAW NATRYSKOWY PODTYNKOWY JS-W018 HYPER CHROM</v>
      </c>
      <c r="E2032" s="31">
        <v>171.46341463414635</v>
      </c>
      <c r="F2032" s="31">
        <f t="shared" si="31"/>
        <v>210.9</v>
      </c>
    </row>
    <row r="2033" spans="1:6" ht="18.75" customHeight="1" x14ac:dyDescent="0.25">
      <c r="A2033" s="2" t="str">
        <f ca="1">IFERROR(__xludf.DUMMYFUNCTION("""COMPUTED_VALUE"""),"REA-P2002")</f>
        <v>REA-P2002</v>
      </c>
      <c r="B2033" s="3">
        <f ca="1">IFERROR(__xludf.DUMMYFUNCTION("""COMPUTED_VALUE"""),45054)</f>
        <v>45054</v>
      </c>
      <c r="C2033" s="3">
        <f ca="1">IFERROR(__xludf.DUMMYFUNCTION("""COMPUTED_VALUE"""),5902557370757)</f>
        <v>5902557370757</v>
      </c>
      <c r="D2033" s="4" t="str">
        <f ca="1">IFERROR(__xludf.DUMMYFUNCTION("""COMPUTED_VALUE"""),"ZESTAW NATRYSKOWY PODTYNKOWY JS-W018B HYPER CZARNY")</f>
        <v>ZESTAW NATRYSKOWY PODTYNKOWY JS-W018B HYPER CZARNY</v>
      </c>
      <c r="E2033" s="31">
        <v>194.02439024390247</v>
      </c>
      <c r="F2033" s="31">
        <f t="shared" si="31"/>
        <v>238.65000000000003</v>
      </c>
    </row>
    <row r="2034" spans="1:6" ht="18.75" customHeight="1" x14ac:dyDescent="0.25">
      <c r="A2034" s="2" t="str">
        <f ca="1">IFERROR(__xludf.DUMMYFUNCTION("""COMPUTED_VALUE"""),"REA-P2001")</f>
        <v>REA-P2001</v>
      </c>
      <c r="B2034" s="3">
        <f ca="1">IFERROR(__xludf.DUMMYFUNCTION("""COMPUTED_VALUE"""),45055)</f>
        <v>45055</v>
      </c>
      <c r="C2034" s="3">
        <f ca="1">IFERROR(__xludf.DUMMYFUNCTION("""COMPUTED_VALUE"""),5902557370740)</f>
        <v>5902557370740</v>
      </c>
      <c r="D2034" s="4" t="str">
        <f ca="1">IFERROR(__xludf.DUMMYFUNCTION("""COMPUTED_VALUE"""),"ZESTAW NATRYSKOWY PODTYNKOWY JS-W018G HYPER ZŁOTY")</f>
        <v>ZESTAW NATRYSKOWY PODTYNKOWY JS-W018G HYPER ZŁOTY</v>
      </c>
      <c r="E2034" s="31">
        <v>199.43902439024393</v>
      </c>
      <c r="F2034" s="31">
        <f t="shared" si="31"/>
        <v>245.31000000000003</v>
      </c>
    </row>
    <row r="2035" spans="1:6" ht="18.75" customHeight="1" x14ac:dyDescent="0.25">
      <c r="A2035" s="2" t="str">
        <f ca="1">IFERROR(__xludf.DUMMYFUNCTION("""COMPUTED_VALUE"""),"REA-P8540")</f>
        <v>REA-P8540</v>
      </c>
      <c r="B2035" s="3">
        <f ca="1">IFERROR(__xludf.DUMMYFUNCTION("""COMPUTED_VALUE"""),44870)</f>
        <v>44870</v>
      </c>
      <c r="C2035" s="3">
        <f ca="1">IFERROR(__xludf.DUMMYFUNCTION("""COMPUTED_VALUE"""),5902557369942)</f>
        <v>5902557369942</v>
      </c>
      <c r="D2035" s="4" t="str">
        <f ca="1">IFERROR(__xludf.DUMMYFUNCTION("""COMPUTED_VALUE"""),"ZESTAW NATRYSKOWY PODTYNKOWY LUNGO BIAŁY + BOX")</f>
        <v>ZESTAW NATRYSKOWY PODTYNKOWY LUNGO BIAŁY + BOX</v>
      </c>
      <c r="E2035" s="31">
        <v>208.46341463414637</v>
      </c>
      <c r="F2035" s="31">
        <f t="shared" si="31"/>
        <v>256.41000000000003</v>
      </c>
    </row>
    <row r="2036" spans="1:6" ht="18.75" customHeight="1" x14ac:dyDescent="0.25">
      <c r="A2036" s="2" t="str">
        <f ca="1">IFERROR(__xludf.DUMMYFUNCTION("""COMPUTED_VALUE"""),"REA-P8007")</f>
        <v>REA-P8007</v>
      </c>
      <c r="B2036" s="3">
        <f ca="1">IFERROR(__xludf.DUMMYFUNCTION("""COMPUTED_VALUE"""),30349)</f>
        <v>30349</v>
      </c>
      <c r="C2036" s="3">
        <f ca="1">IFERROR(__xludf.DUMMYFUNCTION("""COMPUTED_VALUE"""),5902557342013)</f>
        <v>5902557342013</v>
      </c>
      <c r="D2036" s="4" t="str">
        <f ca="1">IFERROR(__xludf.DUMMYFUNCTION("""COMPUTED_VALUE"""),"ZESTAW NATRYSKOWY PODTYNKOWY LUNGO CHROM + BOX")</f>
        <v>ZESTAW NATRYSKOWY PODTYNKOWY LUNGO CHROM + BOX</v>
      </c>
      <c r="E2036" s="31">
        <v>186.80487804878049</v>
      </c>
      <c r="F2036" s="31">
        <f t="shared" si="31"/>
        <v>229.77</v>
      </c>
    </row>
    <row r="2037" spans="1:6" ht="18.75" customHeight="1" x14ac:dyDescent="0.25">
      <c r="A2037" s="2" t="str">
        <f ca="1">IFERROR(__xludf.DUMMYFUNCTION("""COMPUTED_VALUE"""),"REA-P4100")</f>
        <v>REA-P4100</v>
      </c>
      <c r="B2037" s="3">
        <f ca="1">IFERROR(__xludf.DUMMYFUNCTION("""COMPUTED_VALUE"""),24115)</f>
        <v>24115</v>
      </c>
      <c r="C2037" s="3">
        <f ca="1">IFERROR(__xludf.DUMMYFUNCTION("""COMPUTED_VALUE"""),5902557332694)</f>
        <v>5902557332694</v>
      </c>
      <c r="D2037" s="4" t="str">
        <f ca="1">IFERROR(__xludf.DUMMYFUNCTION("""COMPUTED_VALUE"""),"ZESTAW NATRYSKOWY PODTYNKOWY LUNGO CZARNY + BOX")</f>
        <v>ZESTAW NATRYSKOWY PODTYNKOWY LUNGO CZARNY + BOX</v>
      </c>
      <c r="E2037" s="31">
        <v>191.31707317073173</v>
      </c>
      <c r="F2037" s="31">
        <f t="shared" si="31"/>
        <v>235.32000000000002</v>
      </c>
    </row>
    <row r="2038" spans="1:6" ht="18.75" customHeight="1" x14ac:dyDescent="0.25">
      <c r="A2038" s="2" t="str">
        <f ca="1">IFERROR(__xludf.DUMMYFUNCTION("""COMPUTED_VALUE"""),"REA-P4420")</f>
        <v>REA-P4420</v>
      </c>
      <c r="B2038" s="3">
        <f ca="1">IFERROR(__xludf.DUMMYFUNCTION("""COMPUTED_VALUE"""),51053)</f>
        <v>51053</v>
      </c>
      <c r="C2038" s="3">
        <f ca="1">IFERROR(__xludf.DUMMYFUNCTION("""COMPUTED_VALUE"""),5902557391738)</f>
        <v>5902557391738</v>
      </c>
      <c r="D2038" s="4" t="str">
        <f ca="1">IFERROR(__xludf.DUMMYFUNCTION("""COMPUTED_VALUE"""),"ZESTAW NATRYSKOWY PODTYNKOWY LUNGO CZARNY METALICZ")</f>
        <v>ZESTAW NATRYSKOWY PODTYNKOWY LUNGO CZARNY METALICZ</v>
      </c>
      <c r="E2038" s="31">
        <v>229.21951219512198</v>
      </c>
      <c r="F2038" s="31">
        <f t="shared" si="31"/>
        <v>281.94000000000005</v>
      </c>
    </row>
    <row r="2039" spans="1:6" ht="18.75" customHeight="1" x14ac:dyDescent="0.25">
      <c r="A2039" s="2" t="str">
        <f ca="1">IFERROR(__xludf.DUMMYFUNCTION("""COMPUTED_VALUE"""),"REA-P8958")</f>
        <v>REA-P8958</v>
      </c>
      <c r="B2039" s="3">
        <f ca="1">IFERROR(__xludf.DUMMYFUNCTION("""COMPUTED_VALUE"""),54276)</f>
        <v>54276</v>
      </c>
      <c r="C2039" s="3">
        <f ca="1">IFERROR(__xludf.DUMMYFUNCTION("""COMPUTED_VALUE"""),5906366007699)</f>
        <v>5906366007699</v>
      </c>
      <c r="D2039" s="4" t="str">
        <f ca="1">IFERROR(__xludf.DUMMYFUNCTION("""COMPUTED_VALUE"""),"ZESTAW NATRYSKOWY PODTYNKOWY LUNGO GRIP TYTAN+ BOX")</f>
        <v>ZESTAW NATRYSKOWY PODTYNKOWY LUNGO GRIP TYTAN+ BOX</v>
      </c>
      <c r="E2039" s="31">
        <v>212.07317073170734</v>
      </c>
      <c r="F2039" s="31">
        <f t="shared" si="31"/>
        <v>260.85000000000002</v>
      </c>
    </row>
    <row r="2040" spans="1:6" ht="18.75" customHeight="1" x14ac:dyDescent="0.25">
      <c r="A2040" s="2" t="str">
        <f ca="1">IFERROR(__xludf.DUMMYFUNCTION("""COMPUTED_VALUE"""),"REA-P7999")</f>
        <v>REA-P7999</v>
      </c>
      <c r="B2040" s="3">
        <f ca="1">IFERROR(__xludf.DUMMYFUNCTION("""COMPUTED_VALUE"""),54097)</f>
        <v>54097</v>
      </c>
      <c r="C2040" s="3">
        <f ca="1">IFERROR(__xludf.DUMMYFUNCTION("""COMPUTED_VALUE"""),5906366008702)</f>
        <v>5906366008702</v>
      </c>
      <c r="D2040" s="4" t="str">
        <f ca="1">IFERROR(__xludf.DUMMYFUNCTION("""COMPUTED_VALUE"""),"ZESTAW NATRYSKOWY PODTYNKOWY LUNGO MIEDŹ + BOX")</f>
        <v>ZESTAW NATRYSKOWY PODTYNKOWY LUNGO MIEDŹ + BOX</v>
      </c>
      <c r="E2040" s="31">
        <v>228.31707317073173</v>
      </c>
      <c r="F2040" s="31">
        <f t="shared" si="31"/>
        <v>280.83000000000004</v>
      </c>
    </row>
    <row r="2041" spans="1:6" ht="18.75" customHeight="1" x14ac:dyDescent="0.25">
      <c r="A2041" s="2" t="str">
        <f ca="1">IFERROR(__xludf.DUMMYFUNCTION("""COMPUTED_VALUE"""),"REA-P8808")</f>
        <v>REA-P8808</v>
      </c>
      <c r="B2041" s="3">
        <f ca="1">IFERROR(__xludf.DUMMYFUNCTION("""COMPUTED_VALUE"""),53889)</f>
        <v>53889</v>
      </c>
      <c r="C2041" s="3">
        <f ca="1">IFERROR(__xludf.DUMMYFUNCTION("""COMPUTED_VALUE"""),5906366006784)</f>
        <v>5906366006784</v>
      </c>
      <c r="D2041" s="4" t="str">
        <f ca="1">IFERROR(__xludf.DUMMYFUNCTION("""COMPUTED_VALUE"""),"ZESTAW NATRYSKOWY PODTYNKOWY LUNGO MIEDŹ SZCZ TERM")</f>
        <v>ZESTAW NATRYSKOWY PODTYNKOWY LUNGO MIEDŹ SZCZ TERM</v>
      </c>
      <c r="E2041" s="31">
        <v>260.80487804878049</v>
      </c>
      <c r="F2041" s="31">
        <f t="shared" si="31"/>
        <v>320.79000000000002</v>
      </c>
    </row>
    <row r="2042" spans="1:6" ht="18.75" customHeight="1" x14ac:dyDescent="0.25">
      <c r="A2042" s="2" t="str">
        <f ca="1">IFERROR(__xludf.DUMMYFUNCTION("""COMPUTED_VALUE"""),"REA-P8809")</f>
        <v>REA-P8809</v>
      </c>
      <c r="B2042" s="3">
        <f ca="1">IFERROR(__xludf.DUMMYFUNCTION("""COMPUTED_VALUE"""),53891)</f>
        <v>53891</v>
      </c>
      <c r="C2042" s="3">
        <f ca="1">IFERROR(__xludf.DUMMYFUNCTION("""COMPUTED_VALUE"""),5906366006753)</f>
        <v>5906366006753</v>
      </c>
      <c r="D2042" s="4" t="str">
        <f ca="1">IFERROR(__xludf.DUMMYFUNCTION("""COMPUTED_VALUE"""),"ZESTAW NATRYSKOWY PODTYNKOWY LUNGO MIEDŹ SZCZ+ BOX")</f>
        <v>ZESTAW NATRYSKOWY PODTYNKOWY LUNGO MIEDŹ SZCZ+ BOX</v>
      </c>
      <c r="E2042" s="31">
        <v>233.73170731707319</v>
      </c>
      <c r="F2042" s="31">
        <f t="shared" si="31"/>
        <v>287.49</v>
      </c>
    </row>
    <row r="2043" spans="1:6" ht="18.75" customHeight="1" x14ac:dyDescent="0.25">
      <c r="A2043" s="2" t="str">
        <f ca="1">IFERROR(__xludf.DUMMYFUNCTION("""COMPUTED_VALUE"""),"REA-P4110")</f>
        <v>REA-P4110</v>
      </c>
      <c r="B2043" s="3">
        <f ca="1">IFERROR(__xludf.DUMMYFUNCTION("""COMPUTED_VALUE"""),26994)</f>
        <v>26994</v>
      </c>
      <c r="C2043" s="3">
        <f ca="1">IFERROR(__xludf.DUMMYFUNCTION("""COMPUTED_VALUE"""),5902557335077)</f>
        <v>5902557335077</v>
      </c>
      <c r="D2043" s="4" t="str">
        <f ca="1">IFERROR(__xludf.DUMMYFUNCTION("""COMPUTED_VALUE"""),"ZESTAW NATRYSKOWY PODTYNKOWY LUNGO ZŁOTY + BOX")</f>
        <v>ZESTAW NATRYSKOWY PODTYNKOWY LUNGO ZŁOTY + BOX</v>
      </c>
      <c r="E2043" s="31">
        <v>205.75609756097563</v>
      </c>
      <c r="F2043" s="31">
        <f t="shared" si="31"/>
        <v>253.08</v>
      </c>
    </row>
    <row r="2044" spans="1:6" ht="18.75" customHeight="1" x14ac:dyDescent="0.25">
      <c r="A2044" s="2" t="str">
        <f ca="1">IFERROR(__xludf.DUMMYFUNCTION("""COMPUTED_VALUE"""),"REA-P2404")</f>
        <v>REA-P2404</v>
      </c>
      <c r="B2044" s="3">
        <f ca="1">IFERROR(__xludf.DUMMYFUNCTION("""COMPUTED_VALUE"""),52215)</f>
        <v>52215</v>
      </c>
      <c r="C2044" s="3">
        <f ca="1">IFERROR(__xludf.DUMMYFUNCTION("""COMPUTED_VALUE"""),5902557391981)</f>
        <v>5902557391981</v>
      </c>
      <c r="D2044" s="4" t="str">
        <f ca="1">IFERROR(__xludf.DUMMYFUNCTION("""COMPUTED_VALUE"""),"ZESTAW NATRYSKOWY PODTYNKOWY MOBY CHROM + BOX")</f>
        <v>ZESTAW NATRYSKOWY PODTYNKOWY MOBY CHROM + BOX</v>
      </c>
      <c r="E2044" s="31">
        <v>111.90243902439025</v>
      </c>
      <c r="F2044" s="31">
        <f t="shared" si="31"/>
        <v>137.64000000000001</v>
      </c>
    </row>
    <row r="2045" spans="1:6" ht="18.75" customHeight="1" x14ac:dyDescent="0.25">
      <c r="A2045" s="2" t="str">
        <f ca="1">IFERROR(__xludf.DUMMYFUNCTION("""COMPUTED_VALUE"""),"REA-P2402")</f>
        <v>REA-P2402</v>
      </c>
      <c r="B2045" s="3">
        <f ca="1">IFERROR(__xludf.DUMMYFUNCTION("""COMPUTED_VALUE"""),52211)</f>
        <v>52211</v>
      </c>
      <c r="C2045" s="3">
        <f ca="1">IFERROR(__xludf.DUMMYFUNCTION("""COMPUTED_VALUE"""),5902557391998)</f>
        <v>5902557391998</v>
      </c>
      <c r="D2045" s="4" t="str">
        <f ca="1">IFERROR(__xludf.DUMMYFUNCTION("""COMPUTED_VALUE"""),"ZESTAW NATRYSKOWY PODTYNKOWY MOBY CZARNY + BOX")</f>
        <v>ZESTAW NATRYSKOWY PODTYNKOWY MOBY CZARNY + BOX</v>
      </c>
      <c r="E2045" s="31">
        <v>119.1219512195122</v>
      </c>
      <c r="F2045" s="31">
        <f t="shared" si="31"/>
        <v>146.52000000000001</v>
      </c>
    </row>
    <row r="2046" spans="1:6" ht="18.75" customHeight="1" x14ac:dyDescent="0.25">
      <c r="A2046" s="2" t="str">
        <f ca="1">IFERROR(__xludf.DUMMYFUNCTION("""COMPUTED_VALUE"""),"REA-P2405")</f>
        <v>REA-P2405</v>
      </c>
      <c r="B2046" s="3">
        <f ca="1">IFERROR(__xludf.DUMMYFUNCTION("""COMPUTED_VALUE"""),52214)</f>
        <v>52214</v>
      </c>
      <c r="C2046" s="3">
        <f ca="1">IFERROR(__xludf.DUMMYFUNCTION("""COMPUTED_VALUE"""),5902557392018)</f>
        <v>5902557392018</v>
      </c>
      <c r="D2046" s="4" t="str">
        <f ca="1">IFERROR(__xludf.DUMMYFUNCTION("""COMPUTED_VALUE"""),"ZESTAW NATRYSKOWY PODTYNKOWY MOBY ZŁOTY + BOX")</f>
        <v>ZESTAW NATRYSKOWY PODTYNKOWY MOBY ZŁOTY + BOX</v>
      </c>
      <c r="E2046" s="31">
        <v>143.48780487804882</v>
      </c>
      <c r="F2046" s="31">
        <f t="shared" si="31"/>
        <v>176.49000000000004</v>
      </c>
    </row>
    <row r="2047" spans="1:6" ht="18.75" customHeight="1" x14ac:dyDescent="0.25">
      <c r="A2047" s="2" t="str">
        <f ca="1">IFERROR(__xludf.DUMMYFUNCTION("""COMPUTED_VALUE"""),"REA-P8415")</f>
        <v>REA-P8415</v>
      </c>
      <c r="B2047" s="3">
        <f ca="1">IFERROR(__xludf.DUMMYFUNCTION("""COMPUTED_VALUE"""),45062)</f>
        <v>45062</v>
      </c>
      <c r="C2047" s="3">
        <f ca="1">IFERROR(__xludf.DUMMYFUNCTION("""COMPUTED_VALUE"""),5902557369881)</f>
        <v>5902557369881</v>
      </c>
      <c r="D2047" s="4" t="str">
        <f ca="1">IFERROR(__xludf.DUMMYFUNCTION("""COMPUTED_VALUE"""),"ZESTAW NATRYSKOWY PODTYNKOWY OVAL CHROM + ECO BOX")</f>
        <v>ZESTAW NATRYSKOWY PODTYNKOWY OVAL CHROM + ECO BOX</v>
      </c>
      <c r="E2047" s="31">
        <v>172.36585365853659</v>
      </c>
      <c r="F2047" s="31">
        <f t="shared" si="31"/>
        <v>212.01000000000002</v>
      </c>
    </row>
    <row r="2048" spans="1:6" ht="18.75" customHeight="1" x14ac:dyDescent="0.25">
      <c r="A2048" s="2" t="str">
        <f ca="1">IFERROR(__xludf.DUMMYFUNCTION("""COMPUTED_VALUE"""),"REA-P8467")</f>
        <v>REA-P8467</v>
      </c>
      <c r="B2048" s="3">
        <f ca="1">IFERROR(__xludf.DUMMYFUNCTION("""COMPUTED_VALUE"""),44943)</f>
        <v>44943</v>
      </c>
      <c r="C2048" s="3">
        <f ca="1">IFERROR(__xludf.DUMMYFUNCTION("""COMPUTED_VALUE"""),5902557369898)</f>
        <v>5902557369898</v>
      </c>
      <c r="D2048" s="4" t="str">
        <f ca="1">IFERROR(__xludf.DUMMYFUNCTION("""COMPUTED_VALUE"""),"ZESTAW NATRYSKOWY PODTYNKOWY OVAL CZARNY + ECO BOX")</f>
        <v>ZESTAW NATRYSKOWY PODTYNKOWY OVAL CZARNY + ECO BOX</v>
      </c>
      <c r="E2048" s="31">
        <v>169.65853658536588</v>
      </c>
      <c r="F2048" s="31">
        <f t="shared" si="31"/>
        <v>208.68000000000004</v>
      </c>
    </row>
    <row r="2049" spans="1:6" ht="18.75" customHeight="1" x14ac:dyDescent="0.25">
      <c r="A2049" s="2" t="str">
        <f ca="1">IFERROR(__xludf.DUMMYFUNCTION("""COMPUTED_VALUE"""),"REA-P8466")</f>
        <v>REA-P8466</v>
      </c>
      <c r="B2049" s="3">
        <f ca="1">IFERROR(__xludf.DUMMYFUNCTION("""COMPUTED_VALUE"""),44953)</f>
        <v>44953</v>
      </c>
      <c r="C2049" s="3">
        <f ca="1">IFERROR(__xludf.DUMMYFUNCTION("""COMPUTED_VALUE"""),5902557369904)</f>
        <v>5902557369904</v>
      </c>
      <c r="D2049" s="4" t="str">
        <f ca="1">IFERROR(__xludf.DUMMYFUNCTION("""COMPUTED_VALUE"""),"ZESTAW NATRYSKOWY PODTYNKOWY OVAL ZŁOTY + ECO BOX")</f>
        <v>ZESTAW NATRYSKOWY PODTYNKOWY OVAL ZŁOTY + ECO BOX</v>
      </c>
      <c r="E2049" s="31">
        <v>229.21951219512198</v>
      </c>
      <c r="F2049" s="31">
        <f t="shared" ref="F2049:F2112" si="32">E2049*1.23</f>
        <v>281.94000000000005</v>
      </c>
    </row>
    <row r="2050" spans="1:6" ht="18.75" customHeight="1" x14ac:dyDescent="0.25">
      <c r="A2050" s="2" t="str">
        <f ca="1">IFERROR(__xludf.DUMMYFUNCTION("""COMPUTED_VALUE"""),"REA-B1143")</f>
        <v>REA-B1143</v>
      </c>
      <c r="B2050" s="3">
        <f ca="1">IFERROR(__xludf.DUMMYFUNCTION("""COMPUTED_VALUE"""),53904)</f>
        <v>53904</v>
      </c>
      <c r="C2050" s="3">
        <f ca="1">IFERROR(__xludf.DUMMYFUNCTION("""COMPUTED_VALUE"""),5906366002861)</f>
        <v>5906366002861</v>
      </c>
      <c r="D2050" s="4" t="str">
        <f ca="1">IFERROR(__xludf.DUMMYFUNCTION("""COMPUTED_VALUE"""),"ZESTAW NATRYSKOWY PODTYNKOWY SERRA CZARNY + BOX")</f>
        <v>ZESTAW NATRYSKOWY PODTYNKOWY SERRA CZARNY + BOX</v>
      </c>
      <c r="E2050" s="31">
        <v>212.07317073170734</v>
      </c>
      <c r="F2050" s="31">
        <f t="shared" si="32"/>
        <v>260.85000000000002</v>
      </c>
    </row>
    <row r="2051" spans="1:6" ht="18.75" customHeight="1" x14ac:dyDescent="0.25">
      <c r="A2051" s="2" t="str">
        <f ca="1">IFERROR(__xludf.DUMMYFUNCTION("""COMPUTED_VALUE"""),"REA-B1149")</f>
        <v>REA-B1149</v>
      </c>
      <c r="B2051" s="3">
        <f ca="1">IFERROR(__xludf.DUMMYFUNCTION("""COMPUTED_VALUE"""),53903)</f>
        <v>53903</v>
      </c>
      <c r="C2051" s="3">
        <f ca="1">IFERROR(__xludf.DUMMYFUNCTION("""COMPUTED_VALUE"""),5906366002878)</f>
        <v>5906366002878</v>
      </c>
      <c r="D2051" s="4" t="str">
        <f ca="1">IFERROR(__xludf.DUMMYFUNCTION("""COMPUTED_VALUE"""),"ZESTAW NATRYSKOWY PODTYNKOWY SERRA ZŁOTY SZC + BOX")</f>
        <v>ZESTAW NATRYSKOWY PODTYNKOWY SERRA ZŁOTY SZC + BOX</v>
      </c>
      <c r="E2051" s="31">
        <v>252.68292682926833</v>
      </c>
      <c r="F2051" s="31">
        <f t="shared" si="32"/>
        <v>310.8</v>
      </c>
    </row>
    <row r="2052" spans="1:6" ht="18.75" customHeight="1" x14ac:dyDescent="0.25">
      <c r="A2052" s="2" t="str">
        <f ca="1">IFERROR(__xludf.DUMMYFUNCTION("""COMPUTED_VALUE"""),"REA-P0369")</f>
        <v>REA-P0369</v>
      </c>
      <c r="B2052" s="3">
        <f ca="1">IFERROR(__xludf.DUMMYFUNCTION("""COMPUTED_VALUE"""),7197)</f>
        <v>7197</v>
      </c>
      <c r="C2052" s="3">
        <f ca="1">IFERROR(__xludf.DUMMYFUNCTION("""COMPUTED_VALUE"""),5902557305735)</f>
        <v>5902557305735</v>
      </c>
      <c r="D2052" s="4" t="str">
        <f ca="1">IFERROR(__xludf.DUMMYFUNCTION("""COMPUTED_VALUE"""),"ZESTAW NATRYSKOWY PODTYNKOWY SONIC CZARNY + BOX")</f>
        <v>ZESTAW NATRYSKOWY PODTYNKOWY SONIC CZARNY + BOX</v>
      </c>
      <c r="E2052" s="31">
        <v>212.07317073170734</v>
      </c>
      <c r="F2052" s="31">
        <f t="shared" si="32"/>
        <v>260.85000000000002</v>
      </c>
    </row>
    <row r="2053" spans="1:6" ht="18.75" customHeight="1" x14ac:dyDescent="0.25">
      <c r="A2053" s="2" t="str">
        <f ca="1">IFERROR(__xludf.DUMMYFUNCTION("""COMPUTED_VALUE"""),"REA-P2415")</f>
        <v>REA-P2415</v>
      </c>
      <c r="B2053" s="3">
        <f ca="1">IFERROR(__xludf.DUMMYFUNCTION("""COMPUTED_VALUE"""),52102)</f>
        <v>52102</v>
      </c>
      <c r="C2053" s="3">
        <f ca="1">IFERROR(__xludf.DUMMYFUNCTION("""COMPUTED_VALUE"""),5902557390823)</f>
        <v>5902557390823</v>
      </c>
      <c r="D2053" s="4" t="str">
        <f ca="1">IFERROR(__xludf.DUMMYFUNCTION("""COMPUTED_VALUE"""),"ZESTAW NATRYSKOWY REBEL CHROM")</f>
        <v>ZESTAW NATRYSKOWY REBEL CHROM</v>
      </c>
      <c r="E2053" s="31">
        <v>187.70731707317074</v>
      </c>
      <c r="F2053" s="31">
        <f t="shared" si="32"/>
        <v>230.88</v>
      </c>
    </row>
    <row r="2054" spans="1:6" ht="18.75" customHeight="1" x14ac:dyDescent="0.25">
      <c r="A2054" s="2" t="str">
        <f ca="1">IFERROR(__xludf.DUMMYFUNCTION("""COMPUTED_VALUE"""),"REA-P2416")</f>
        <v>REA-P2416</v>
      </c>
      <c r="B2054" s="3">
        <f ca="1">IFERROR(__xludf.DUMMYFUNCTION("""COMPUTED_VALUE"""),52101)</f>
        <v>52101</v>
      </c>
      <c r="C2054" s="3">
        <f ca="1">IFERROR(__xludf.DUMMYFUNCTION("""COMPUTED_VALUE"""),5902557390830)</f>
        <v>5902557390830</v>
      </c>
      <c r="D2054" s="4" t="str">
        <f ca="1">IFERROR(__xludf.DUMMYFUNCTION("""COMPUTED_VALUE"""),"ZESTAW NATRYSKOWY REBEL CZARNY")</f>
        <v>ZESTAW NATRYSKOWY REBEL CZARNY</v>
      </c>
      <c r="E2054" s="31">
        <v>208.46341463414637</v>
      </c>
      <c r="F2054" s="31">
        <f t="shared" si="32"/>
        <v>256.41000000000003</v>
      </c>
    </row>
    <row r="2055" spans="1:6" ht="18.75" customHeight="1" x14ac:dyDescent="0.25">
      <c r="A2055" s="2" t="str">
        <f ca="1">IFERROR(__xludf.DUMMYFUNCTION("""COMPUTED_VALUE"""),"REA-P2413")</f>
        <v>REA-P2413</v>
      </c>
      <c r="B2055" s="3">
        <f ca="1">IFERROR(__xludf.DUMMYFUNCTION("""COMPUTED_VALUE"""),52103)</f>
        <v>52103</v>
      </c>
      <c r="C2055" s="3">
        <f ca="1">IFERROR(__xludf.DUMMYFUNCTION("""COMPUTED_VALUE"""),5902557390847)</f>
        <v>5902557390847</v>
      </c>
      <c r="D2055" s="4" t="str">
        <f ca="1">IFERROR(__xludf.DUMMYFUNCTION("""COMPUTED_VALUE"""),"ZESTAW NATRYSKOWY REBEL ZŁOTY")</f>
        <v>ZESTAW NATRYSKOWY REBEL ZŁOTY</v>
      </c>
      <c r="E2055" s="31">
        <v>219.29268292682929</v>
      </c>
      <c r="F2055" s="31">
        <f t="shared" si="32"/>
        <v>269.73</v>
      </c>
    </row>
    <row r="2056" spans="1:6" ht="18.75" customHeight="1" x14ac:dyDescent="0.25">
      <c r="A2056" s="2" t="str">
        <f ca="1">IFERROR(__xludf.DUMMYFUNCTION("""COMPUTED_VALUE"""),"REA-P2414")</f>
        <v>REA-P2414</v>
      </c>
      <c r="B2056" s="3">
        <f ca="1">IFERROR(__xludf.DUMMYFUNCTION("""COMPUTED_VALUE"""),52104)</f>
        <v>52104</v>
      </c>
      <c r="C2056" s="3">
        <f ca="1">IFERROR(__xludf.DUMMYFUNCTION("""COMPUTED_VALUE"""),5902557390854)</f>
        <v>5902557390854</v>
      </c>
      <c r="D2056" s="4" t="str">
        <f ca="1">IFERROR(__xludf.DUMMYFUNCTION("""COMPUTED_VALUE"""),"ZESTAW NATRYSKOWY REBEL ZŁOTY SZCZOTKOWANY")</f>
        <v>ZESTAW NATRYSKOWY REBEL ZŁOTY SZCZOTKOWANY</v>
      </c>
      <c r="E2056" s="31">
        <v>249.97560975609761</v>
      </c>
      <c r="F2056" s="31">
        <f t="shared" si="32"/>
        <v>307.47000000000008</v>
      </c>
    </row>
    <row r="2057" spans="1:6" ht="18.75" customHeight="1" x14ac:dyDescent="0.25">
      <c r="A2057" s="2" t="str">
        <f ca="1">IFERROR(__xludf.DUMMYFUNCTION("""COMPUTED_VALUE"""),"REA-P2366")</f>
        <v>REA-P2366</v>
      </c>
      <c r="B2057" s="3">
        <f ca="1">IFERROR(__xludf.DUMMYFUNCTION("""COMPUTED_VALUE"""),18986)</f>
        <v>18986</v>
      </c>
      <c r="C2057" s="3">
        <f ca="1">IFERROR(__xludf.DUMMYFUNCTION("""COMPUTED_VALUE"""),5902557331666)</f>
        <v>5902557331666</v>
      </c>
      <c r="D2057" s="4" t="str">
        <f ca="1">IFERROR(__xludf.DUMMYFUNCTION("""COMPUTED_VALUE"""),"ZESTAW NATRYSKOWY RETRO CZARNY PRZECIERANY")</f>
        <v>ZESTAW NATRYSKOWY RETRO CZARNY PRZECIERANY</v>
      </c>
      <c r="E2057" s="31">
        <v>208.46341463414637</v>
      </c>
      <c r="F2057" s="31">
        <f t="shared" si="32"/>
        <v>256.41000000000003</v>
      </c>
    </row>
    <row r="2058" spans="1:6" ht="18.75" customHeight="1" x14ac:dyDescent="0.25">
      <c r="A2058" s="2" t="str">
        <f ca="1">IFERROR(__xludf.DUMMYFUNCTION("""COMPUTED_VALUE"""),"REA-P6626")</f>
        <v>REA-P6626</v>
      </c>
      <c r="B2058" s="3">
        <f ca="1">IFERROR(__xludf.DUMMYFUNCTION("""COMPUTED_VALUE"""),49762)</f>
        <v>49762</v>
      </c>
      <c r="C2058" s="3">
        <f ca="1">IFERROR(__xludf.DUMMYFUNCTION("""COMPUTED_VALUE"""),5902557377947)</f>
        <v>5902557377947</v>
      </c>
      <c r="D2058" s="4" t="str">
        <f ca="1">IFERROR(__xludf.DUMMYFUNCTION("""COMPUTED_VALUE"""),"ZESTAW NATRYSKOWY ROB CHROM TERMOSTAT")</f>
        <v>ZESTAW NATRYSKOWY ROB CHROM TERMOSTAT</v>
      </c>
      <c r="E2058" s="31">
        <v>203.04878048780492</v>
      </c>
      <c r="F2058" s="31">
        <f t="shared" si="32"/>
        <v>249.75000000000006</v>
      </c>
    </row>
    <row r="2059" spans="1:6" ht="18.75" customHeight="1" x14ac:dyDescent="0.25">
      <c r="A2059" s="2" t="str">
        <f ca="1">IFERROR(__xludf.DUMMYFUNCTION("""COMPUTED_VALUE"""),"REA-P6627")</f>
        <v>REA-P6627</v>
      </c>
      <c r="B2059" s="3">
        <f ca="1">IFERROR(__xludf.DUMMYFUNCTION("""COMPUTED_VALUE"""),49456)</f>
        <v>49456</v>
      </c>
      <c r="C2059" s="3">
        <f ca="1">IFERROR(__xludf.DUMMYFUNCTION("""COMPUTED_VALUE"""),5902557377954)</f>
        <v>5902557377954</v>
      </c>
      <c r="D2059" s="4" t="str">
        <f ca="1">IFERROR(__xludf.DUMMYFUNCTION("""COMPUTED_VALUE"""),"ZESTAW NATRYSKOWY ROB CZARNY TERMOSTAT")</f>
        <v>ZESTAW NATRYSKOWY ROB CZARNY TERMOSTAT</v>
      </c>
      <c r="E2059" s="31">
        <v>216.58536585365857</v>
      </c>
      <c r="F2059" s="31">
        <f t="shared" si="32"/>
        <v>266.40000000000003</v>
      </c>
    </row>
    <row r="2060" spans="1:6" ht="18.75" customHeight="1" x14ac:dyDescent="0.25">
      <c r="A2060" s="2" t="str">
        <f ca="1">IFERROR(__xludf.DUMMYFUNCTION("""COMPUTED_VALUE"""),"REA-P6624")</f>
        <v>REA-P6624</v>
      </c>
      <c r="B2060" s="3">
        <f ca="1">IFERROR(__xludf.DUMMYFUNCTION("""COMPUTED_VALUE"""),49463)</f>
        <v>49463</v>
      </c>
      <c r="C2060" s="3">
        <f ca="1">IFERROR(__xludf.DUMMYFUNCTION("""COMPUTED_VALUE"""),5902557377978)</f>
        <v>5902557377978</v>
      </c>
      <c r="D2060" s="4" t="str">
        <f ca="1">IFERROR(__xludf.DUMMYFUNCTION("""COMPUTED_VALUE"""),"ZESTAW NATRYSKOWY ROB NIKIEL SZCZOTKOWANY TERMOSTA")</f>
        <v>ZESTAW NATRYSKOWY ROB NIKIEL SZCZOTKOWANY TERMOSTA</v>
      </c>
      <c r="E2060" s="31">
        <v>240.04878048780489</v>
      </c>
      <c r="F2060" s="31">
        <f t="shared" si="32"/>
        <v>295.26</v>
      </c>
    </row>
    <row r="2061" spans="1:6" ht="18.75" customHeight="1" x14ac:dyDescent="0.25">
      <c r="A2061" s="2" t="str">
        <f ca="1">IFERROR(__xludf.DUMMYFUNCTION("""COMPUTED_VALUE"""),"REA-P6623")</f>
        <v>REA-P6623</v>
      </c>
      <c r="B2061" s="3">
        <f ca="1">IFERROR(__xludf.DUMMYFUNCTION("""COMPUTED_VALUE"""),49464)</f>
        <v>49464</v>
      </c>
      <c r="C2061" s="3">
        <f ca="1">IFERROR(__xludf.DUMMYFUNCTION("""COMPUTED_VALUE"""),5902557377985)</f>
        <v>5902557377985</v>
      </c>
      <c r="D2061" s="4" t="str">
        <f ca="1">IFERROR(__xludf.DUMMYFUNCTION("""COMPUTED_VALUE"""),"ZESTAW NATRYSKOWY ROB ZŁOTY SZCZOTKOWANY TERMOSTAT")</f>
        <v>ZESTAW NATRYSKOWY ROB ZŁOTY SZCZOTKOWANY TERMOSTAT</v>
      </c>
      <c r="E2061" s="31">
        <v>254.48780487804882</v>
      </c>
      <c r="F2061" s="31">
        <f t="shared" si="32"/>
        <v>313.02000000000004</v>
      </c>
    </row>
    <row r="2062" spans="1:6" ht="18.75" customHeight="1" x14ac:dyDescent="0.25">
      <c r="A2062" s="2" t="str">
        <f ca="1">IFERROR(__xludf.DUMMYFUNCTION("""COMPUTED_VALUE"""),"REA-P6625")</f>
        <v>REA-P6625</v>
      </c>
      <c r="B2062" s="3">
        <f ca="1">IFERROR(__xludf.DUMMYFUNCTION("""COMPUTED_VALUE"""),49764)</f>
        <v>49764</v>
      </c>
      <c r="C2062" s="3">
        <f ca="1">IFERROR(__xludf.DUMMYFUNCTION("""COMPUTED_VALUE"""),5902557377961)</f>
        <v>5902557377961</v>
      </c>
      <c r="D2062" s="4" t="str">
        <f ca="1">IFERROR(__xludf.DUMMYFUNCTION("""COMPUTED_VALUE"""),"ZESTAW NATRYSKOWY ROB ZŁOTY TERMOSTAT")</f>
        <v>ZESTAW NATRYSKOWY ROB ZŁOTY TERMOSTAT</v>
      </c>
      <c r="E2062" s="31">
        <v>231.02439024390245</v>
      </c>
      <c r="F2062" s="31">
        <f t="shared" si="32"/>
        <v>284.16000000000003</v>
      </c>
    </row>
    <row r="2063" spans="1:6" ht="18.75" customHeight="1" x14ac:dyDescent="0.25">
      <c r="A2063" s="2" t="str">
        <f ca="1">IFERROR(__xludf.DUMMYFUNCTION("""COMPUTED_VALUE"""),"REA-P8003")</f>
        <v>REA-P8003</v>
      </c>
      <c r="B2063" s="3">
        <f ca="1">IFERROR(__xludf.DUMMYFUNCTION("""COMPUTED_VALUE"""),30269)</f>
        <v>30269</v>
      </c>
      <c r="C2063" s="3">
        <f ca="1">IFERROR(__xludf.DUMMYFUNCTION("""COMPUTED_VALUE"""),5902557338917)</f>
        <v>5902557338917</v>
      </c>
      <c r="D2063" s="4" t="str">
        <f ca="1">IFERROR(__xludf.DUMMYFUNCTION("""COMPUTED_VALUE"""),"ZESTAW NATRYSKOWY ROGER CZARNY")</f>
        <v>ZESTAW NATRYSKOWY ROGER CZARNY</v>
      </c>
      <c r="E2063" s="31">
        <v>187.70731707317074</v>
      </c>
      <c r="F2063" s="31">
        <f t="shared" si="32"/>
        <v>230.88</v>
      </c>
    </row>
    <row r="2064" spans="1:6" ht="18.75" customHeight="1" x14ac:dyDescent="0.25">
      <c r="A2064" s="2" t="str">
        <f ca="1">IFERROR(__xludf.DUMMYFUNCTION("""COMPUTED_VALUE"""),"REA-P0692")</f>
        <v>REA-P0692</v>
      </c>
      <c r="B2064" s="3">
        <f ca="1">IFERROR(__xludf.DUMMYFUNCTION("""COMPUTED_VALUE"""),41743)</f>
        <v>41743</v>
      </c>
      <c r="C2064" s="3">
        <f ca="1">IFERROR(__xludf.DUMMYFUNCTION("""COMPUTED_VALUE"""),5902557356973)</f>
        <v>5902557356973</v>
      </c>
      <c r="D2064" s="4" t="str">
        <f ca="1">IFERROR(__xludf.DUMMYFUNCTION("""COMPUTED_VALUE"""),"ZESTAW NATRYSKOWY ROGER ZŁOTY")</f>
        <v>ZESTAW NATRYSKOWY ROGER ZŁOTY</v>
      </c>
      <c r="E2064" s="31">
        <v>240.95121951219514</v>
      </c>
      <c r="F2064" s="31">
        <f t="shared" si="32"/>
        <v>296.37</v>
      </c>
    </row>
    <row r="2065" spans="1:6" ht="18.75" customHeight="1" x14ac:dyDescent="0.25">
      <c r="A2065" s="2" t="str">
        <f ca="1">IFERROR(__xludf.DUMMYFUNCTION("""COMPUTED_VALUE"""),"REA-P2408")</f>
        <v>REA-P2408</v>
      </c>
      <c r="B2065" s="3">
        <f ca="1">IFERROR(__xludf.DUMMYFUNCTION("""COMPUTED_VALUE"""),52175)</f>
        <v>52175</v>
      </c>
      <c r="C2065" s="3">
        <f ca="1">IFERROR(__xludf.DUMMYFUNCTION("""COMPUTED_VALUE"""),5902557392063)</f>
        <v>5902557392063</v>
      </c>
      <c r="D2065" s="4" t="str">
        <f ca="1">IFERROR(__xludf.DUMMYFUNCTION("""COMPUTED_VALUE"""),"ZESTAW NATRYSKOWY SALTON CHROM")</f>
        <v>ZESTAW NATRYSKOWY SALTON CHROM</v>
      </c>
      <c r="E2065" s="31">
        <v>105.58536585365854</v>
      </c>
      <c r="F2065" s="31">
        <f t="shared" si="32"/>
        <v>129.87</v>
      </c>
    </row>
    <row r="2066" spans="1:6" ht="18.75" customHeight="1" x14ac:dyDescent="0.25">
      <c r="A2066" s="2" t="str">
        <f ca="1">IFERROR(__xludf.DUMMYFUNCTION("""COMPUTED_VALUE"""),"REA-P2409")</f>
        <v>REA-P2409</v>
      </c>
      <c r="B2066" s="3">
        <f ca="1">IFERROR(__xludf.DUMMYFUNCTION("""COMPUTED_VALUE"""),52173)</f>
        <v>52173</v>
      </c>
      <c r="C2066" s="3">
        <f ca="1">IFERROR(__xludf.DUMMYFUNCTION("""COMPUTED_VALUE"""),5902557392070)</f>
        <v>5902557392070</v>
      </c>
      <c r="D2066" s="4" t="str">
        <f ca="1">IFERROR(__xludf.DUMMYFUNCTION("""COMPUTED_VALUE"""),"ZESTAW NATRYSKOWY SALTON CZARNY")</f>
        <v>ZESTAW NATRYSKOWY SALTON CZARNY</v>
      </c>
      <c r="E2066" s="31">
        <v>95.658536585365866</v>
      </c>
      <c r="F2066" s="31">
        <f t="shared" si="32"/>
        <v>117.66000000000001</v>
      </c>
    </row>
    <row r="2067" spans="1:6" ht="18.75" customHeight="1" x14ac:dyDescent="0.25">
      <c r="A2067" s="2" t="str">
        <f ca="1">IFERROR(__xludf.DUMMYFUNCTION("""COMPUTED_VALUE"""),"REA-P2407")</f>
        <v>REA-P2407</v>
      </c>
      <c r="B2067" s="3">
        <f ca="1">IFERROR(__xludf.DUMMYFUNCTION("""COMPUTED_VALUE"""),52174)</f>
        <v>52174</v>
      </c>
      <c r="C2067" s="3">
        <f ca="1">IFERROR(__xludf.DUMMYFUNCTION("""COMPUTED_VALUE"""),5902557392087)</f>
        <v>5902557392087</v>
      </c>
      <c r="D2067" s="4" t="str">
        <f ca="1">IFERROR(__xludf.DUMMYFUNCTION("""COMPUTED_VALUE"""),"ZESTAW NATRYSKOWY SALTON ZŁOTY")</f>
        <v>ZESTAW NATRYSKOWY SALTON ZŁOTY</v>
      </c>
      <c r="E2067" s="31">
        <v>125.43902439024392</v>
      </c>
      <c r="F2067" s="31">
        <f t="shared" si="32"/>
        <v>154.29000000000002</v>
      </c>
    </row>
    <row r="2068" spans="1:6" ht="18.75" customHeight="1" x14ac:dyDescent="0.25">
      <c r="A2068" s="2" t="str">
        <f ca="1">IFERROR(__xludf.DUMMYFUNCTION("""COMPUTED_VALUE"""),"REA-P8803")</f>
        <v>REA-P8803</v>
      </c>
      <c r="B2068" s="3">
        <f ca="1">IFERROR(__xludf.DUMMYFUNCTION("""COMPUTED_VALUE"""),44473)</f>
        <v>44473</v>
      </c>
      <c r="C2068" s="3">
        <f ca="1">IFERROR(__xludf.DUMMYFUNCTION("""COMPUTED_VALUE"""),5902557369485)</f>
        <v>5902557369485</v>
      </c>
      <c r="D2068" s="4" t="str">
        <f ca="1">IFERROR(__xludf.DUMMYFUNCTION("""COMPUTED_VALUE"""),"ZESTAW NATRYSKOWY SANTOS CZARNY")</f>
        <v>ZESTAW NATRYSKOWY SANTOS CZARNY</v>
      </c>
      <c r="E2068" s="31">
        <v>111.90243902439025</v>
      </c>
      <c r="F2068" s="31">
        <f t="shared" si="32"/>
        <v>137.64000000000001</v>
      </c>
    </row>
    <row r="2069" spans="1:6" ht="18.75" customHeight="1" x14ac:dyDescent="0.25">
      <c r="A2069" s="2" t="str">
        <f ca="1">IFERROR(__xludf.DUMMYFUNCTION("""COMPUTED_VALUE"""),"REA-P8544")</f>
        <v>REA-P8544</v>
      </c>
      <c r="B2069" s="3">
        <f ca="1">IFERROR(__xludf.DUMMYFUNCTION("""COMPUTED_VALUE"""),53752)</f>
        <v>53752</v>
      </c>
      <c r="C2069" s="3">
        <f ca="1">IFERROR(__xludf.DUMMYFUNCTION("""COMPUTED_VALUE"""),5906366003684)</f>
        <v>5906366003684</v>
      </c>
      <c r="D2069" s="4" t="str">
        <f ca="1">IFERROR(__xludf.DUMMYFUNCTION("""COMPUTED_VALUE"""),"ZESTAW NATRYSKOWY SAVIO LED CHROM")</f>
        <v>ZESTAW NATRYSKOWY SAVIO LED CHROM</v>
      </c>
      <c r="E2069" s="31">
        <v>167.85365853658539</v>
      </c>
      <c r="F2069" s="31">
        <f t="shared" si="32"/>
        <v>206.46</v>
      </c>
    </row>
    <row r="2070" spans="1:6" ht="18.75" customHeight="1" x14ac:dyDescent="0.25">
      <c r="A2070" s="2" t="str">
        <f ca="1">IFERROR(__xludf.DUMMYFUNCTION("""COMPUTED_VALUE"""),"REA-P8410")</f>
        <v>REA-P8410</v>
      </c>
      <c r="B2070" s="3">
        <f ca="1">IFERROR(__xludf.DUMMYFUNCTION("""COMPUTED_VALUE"""),53782)</f>
        <v>53782</v>
      </c>
      <c r="C2070" s="3">
        <f ca="1">IFERROR(__xludf.DUMMYFUNCTION("""COMPUTED_VALUE"""),5906366003691)</f>
        <v>5906366003691</v>
      </c>
      <c r="D2070" s="4" t="str">
        <f ca="1">IFERROR(__xludf.DUMMYFUNCTION("""COMPUTED_VALUE"""),"ZESTAW NATRYSKOWY SAVIO LED CZARNY")</f>
        <v>ZESTAW NATRYSKOWY SAVIO LED CZARNY</v>
      </c>
      <c r="E2070" s="31">
        <v>169.65853658536588</v>
      </c>
      <c r="F2070" s="31">
        <f t="shared" si="32"/>
        <v>208.68000000000004</v>
      </c>
    </row>
    <row r="2071" spans="1:6" ht="18.75" customHeight="1" x14ac:dyDescent="0.25">
      <c r="A2071" s="2" t="str">
        <f ca="1">IFERROR(__xludf.DUMMYFUNCTION("""COMPUTED_VALUE"""),"REA-P8412")</f>
        <v>REA-P8412</v>
      </c>
      <c r="B2071" s="3">
        <f ca="1">IFERROR(__xludf.DUMMYFUNCTION("""COMPUTED_VALUE"""),53783)</f>
        <v>53783</v>
      </c>
      <c r="C2071" s="3">
        <f ca="1">IFERROR(__xludf.DUMMYFUNCTION("""COMPUTED_VALUE"""),5906366003707)</f>
        <v>5906366003707</v>
      </c>
      <c r="D2071" s="4" t="str">
        <f ca="1">IFERROR(__xludf.DUMMYFUNCTION("""COMPUTED_VALUE"""),"ZESTAW NATRYSKOWY SAVIO LED TYTAN")</f>
        <v>ZESTAW NATRYSKOWY SAVIO LED TYTAN</v>
      </c>
      <c r="E2071" s="31">
        <v>191.31707317073173</v>
      </c>
      <c r="F2071" s="31">
        <f t="shared" si="32"/>
        <v>235.32000000000002</v>
      </c>
    </row>
    <row r="2072" spans="1:6" ht="18.75" customHeight="1" x14ac:dyDescent="0.25">
      <c r="A2072" s="2" t="str">
        <f ca="1">IFERROR(__xludf.DUMMYFUNCTION("""COMPUTED_VALUE"""),"REA-P5632")</f>
        <v>REA-P5632</v>
      </c>
      <c r="B2072" s="3"/>
      <c r="C2072" s="3">
        <f ca="1">IFERROR(__xludf.DUMMYFUNCTION("""COMPUTED_VALUE"""),5902557328789)</f>
        <v>5902557328789</v>
      </c>
      <c r="D2072" s="4" t="str">
        <f ca="1">IFERROR(__xludf.DUMMYFUNCTION("""COMPUTED_VALUE"""),"ZESTAW NATRYSKOWY SOHO BLACK")</f>
        <v>ZESTAW NATRYSKOWY SOHO BLACK</v>
      </c>
      <c r="E2072" s="31">
        <v>181.39024390243904</v>
      </c>
      <c r="F2072" s="31">
        <f t="shared" si="32"/>
        <v>223.11</v>
      </c>
    </row>
    <row r="2073" spans="1:6" ht="18.75" customHeight="1" x14ac:dyDescent="0.25">
      <c r="A2073" s="2" t="str">
        <f ca="1">IFERROR(__xludf.DUMMYFUNCTION("""COMPUTED_VALUE"""),"REA-P7100")</f>
        <v>REA-P7100</v>
      </c>
      <c r="B2073" s="3">
        <f ca="1">IFERROR(__xludf.DUMMYFUNCTION("""COMPUTED_VALUE"""),46427)</f>
        <v>46427</v>
      </c>
      <c r="C2073" s="3">
        <f ca="1">IFERROR(__xludf.DUMMYFUNCTION("""COMPUTED_VALUE"""),5902557375127)</f>
        <v>5902557375127</v>
      </c>
      <c r="D2073" s="4" t="str">
        <f ca="1">IFERROR(__xludf.DUMMYFUNCTION("""COMPUTED_VALUE"""),"ZESTAW NATRYSKOWY TOM CHROM")</f>
        <v>ZESTAW NATRYSKOWY TOM CHROM</v>
      </c>
      <c r="E2073" s="31">
        <v>144.39024390243904</v>
      </c>
      <c r="F2073" s="31">
        <f t="shared" si="32"/>
        <v>177.60000000000002</v>
      </c>
    </row>
    <row r="2074" spans="1:6" ht="18.75" customHeight="1" x14ac:dyDescent="0.25">
      <c r="A2074" s="2" t="str">
        <f ca="1">IFERROR(__xludf.DUMMYFUNCTION("""COMPUTED_VALUE"""),"REA-P7101")</f>
        <v>REA-P7101</v>
      </c>
      <c r="B2074" s="3">
        <f ca="1">IFERROR(__xludf.DUMMYFUNCTION("""COMPUTED_VALUE"""),46425)</f>
        <v>46425</v>
      </c>
      <c r="C2074" s="3">
        <f ca="1">IFERROR(__xludf.DUMMYFUNCTION("""COMPUTED_VALUE"""),5902557375141)</f>
        <v>5902557375141</v>
      </c>
      <c r="D2074" s="4" t="str">
        <f ca="1">IFERROR(__xludf.DUMMYFUNCTION("""COMPUTED_VALUE"""),"ZESTAW NATRYSKOWY TOM CZARNY")</f>
        <v>ZESTAW NATRYSKOWY TOM CZARNY</v>
      </c>
      <c r="E2074" s="31">
        <v>152.51219512195124</v>
      </c>
      <c r="F2074" s="31">
        <f t="shared" si="32"/>
        <v>187.59000000000003</v>
      </c>
    </row>
    <row r="2075" spans="1:6" ht="18.75" customHeight="1" x14ac:dyDescent="0.25">
      <c r="A2075" s="2" t="str">
        <f ca="1">IFERROR(__xludf.DUMMYFUNCTION("""COMPUTED_VALUE"""),"REA-P7102")</f>
        <v>REA-P7102</v>
      </c>
      <c r="B2075" s="3">
        <f ca="1">IFERROR(__xludf.DUMMYFUNCTION("""COMPUTED_VALUE"""),46426)</f>
        <v>46426</v>
      </c>
      <c r="C2075" s="3">
        <f ca="1">IFERROR(__xludf.DUMMYFUNCTION("""COMPUTED_VALUE"""),5902557375134)</f>
        <v>5902557375134</v>
      </c>
      <c r="D2075" s="4" t="str">
        <f ca="1">IFERROR(__xludf.DUMMYFUNCTION("""COMPUTED_VALUE"""),"ZESTAW NATRYSKOWY TOM ZŁOTY")</f>
        <v>ZESTAW NATRYSKOWY TOM ZŁOTY</v>
      </c>
      <c r="E2075" s="31">
        <v>175.07317073170734</v>
      </c>
      <c r="F2075" s="31">
        <f t="shared" si="32"/>
        <v>215.34000000000003</v>
      </c>
    </row>
    <row r="2076" spans="1:6" ht="18.75" customHeight="1" x14ac:dyDescent="0.25">
      <c r="A2076" s="2" t="str">
        <f ca="1">IFERROR(__xludf.DUMMYFUNCTION("""COMPUTED_VALUE"""),"REA-P5004")</f>
        <v>REA-P5004</v>
      </c>
      <c r="B2076" s="3">
        <f ca="1">IFERROR(__xludf.DUMMYFUNCTION("""COMPUTED_VALUE"""),52819)</f>
        <v>52819</v>
      </c>
      <c r="C2076" s="3">
        <f ca="1">IFERROR(__xludf.DUMMYFUNCTION("""COMPUTED_VALUE"""),5902557398324)</f>
        <v>5902557398324</v>
      </c>
      <c r="D2076" s="4" t="str">
        <f ca="1">IFERROR(__xludf.DUMMYFUNCTION("""COMPUTED_VALUE"""),"ZESTAW NATRYSKOWY TOM ZŁOTY SZCZOTKOWANY")</f>
        <v>ZESTAW NATRYSKOWY TOM ZŁOTY SZCZOTKOWANY</v>
      </c>
      <c r="E2076" s="31">
        <v>183.19512195121951</v>
      </c>
      <c r="F2076" s="31">
        <f t="shared" si="32"/>
        <v>225.32999999999998</v>
      </c>
    </row>
    <row r="2077" spans="1:6" ht="18.75" customHeight="1" x14ac:dyDescent="0.25">
      <c r="A2077" s="2" t="str">
        <f ca="1">IFERROR(__xludf.DUMMYFUNCTION("""COMPUTED_VALUE"""),"REA-P9145")</f>
        <v>REA-P9145</v>
      </c>
      <c r="B2077" s="3">
        <f ca="1">IFERROR(__xludf.DUMMYFUNCTION("""COMPUTED_VALUE"""),50122)</f>
        <v>50122</v>
      </c>
      <c r="C2077" s="3">
        <f ca="1">IFERROR(__xludf.DUMMYFUNCTION("""COMPUTED_VALUE"""),5902557385836)</f>
        <v>5902557385836</v>
      </c>
      <c r="D2077" s="4" t="str">
        <f ca="1">IFERROR(__xludf.DUMMYFUNCTION("""COMPUTED_VALUE"""),"ZESTAW NATRYSKOWY VERSO CZARNY")</f>
        <v>ZESTAW NATRYSKOWY VERSO CZARNY</v>
      </c>
      <c r="E2077" s="31">
        <v>119.1219512195122</v>
      </c>
      <c r="F2077" s="31">
        <f t="shared" si="32"/>
        <v>146.52000000000001</v>
      </c>
    </row>
    <row r="2078" spans="1:6" ht="18.75" customHeight="1" x14ac:dyDescent="0.25">
      <c r="A2078" s="2" t="str">
        <f ca="1">IFERROR(__xludf.DUMMYFUNCTION("""COMPUTED_VALUE"""),"REA-P9146")</f>
        <v>REA-P9146</v>
      </c>
      <c r="B2078" s="3">
        <f ca="1">IFERROR(__xludf.DUMMYFUNCTION("""COMPUTED_VALUE"""),50123)</f>
        <v>50123</v>
      </c>
      <c r="C2078" s="3">
        <f ca="1">IFERROR(__xludf.DUMMYFUNCTION("""COMPUTED_VALUE"""),5902557385829)</f>
        <v>5902557385829</v>
      </c>
      <c r="D2078" s="4" t="str">
        <f ca="1">IFERROR(__xludf.DUMMYFUNCTION("""COMPUTED_VALUE"""),"ZESTAW NATRYSKOWY VERSO ZŁOTY SZCZOTKOWANY")</f>
        <v>ZESTAW NATRYSKOWY VERSO ZŁOTY SZCZOTKOWANY</v>
      </c>
      <c r="E2078" s="31">
        <v>165.14634146341464</v>
      </c>
      <c r="F2078" s="31">
        <f t="shared" si="32"/>
        <v>203.13</v>
      </c>
    </row>
    <row r="2079" spans="1:6" ht="18.75" customHeight="1" x14ac:dyDescent="0.25">
      <c r="A2079" s="2" t="str">
        <f ca="1">IFERROR(__xludf.DUMMYFUNCTION("""COMPUTED_VALUE"""),"REA-P7001")</f>
        <v>REA-P7001</v>
      </c>
      <c r="B2079" s="3">
        <f ca="1">IFERROR(__xludf.DUMMYFUNCTION("""COMPUTED_VALUE"""),33693)</f>
        <v>33693</v>
      </c>
      <c r="C2079" s="3">
        <f ca="1">IFERROR(__xludf.DUMMYFUNCTION("""COMPUTED_VALUE"""),5902557345168)</f>
        <v>5902557345168</v>
      </c>
      <c r="D2079" s="4" t="str">
        <f ca="1">IFERROR(__xludf.DUMMYFUNCTION("""COMPUTED_VALUE"""),"ZESTAW NATRYSKOWY VIGO CZARNY")</f>
        <v>ZESTAW NATRYSKOWY VIGO CZARNY</v>
      </c>
      <c r="E2079" s="31">
        <v>107.39024390243904</v>
      </c>
      <c r="F2079" s="31">
        <f t="shared" si="32"/>
        <v>132.09</v>
      </c>
    </row>
    <row r="2080" spans="1:6" ht="18.75" customHeight="1" x14ac:dyDescent="0.25">
      <c r="A2080" s="2" t="str">
        <f ca="1">IFERROR(__xludf.DUMMYFUNCTION("""COMPUTED_VALUE"""),"REA-P6600")</f>
        <v>REA-P6600</v>
      </c>
      <c r="B2080" s="3">
        <f ca="1">IFERROR(__xludf.DUMMYFUNCTION("""COMPUTED_VALUE"""),49366)</f>
        <v>49366</v>
      </c>
      <c r="C2080" s="3">
        <f ca="1">IFERROR(__xludf.DUMMYFUNCTION("""COMPUTED_VALUE"""),5902557377923)</f>
        <v>5902557377923</v>
      </c>
      <c r="D2080" s="4" t="str">
        <f ca="1">IFERROR(__xludf.DUMMYFUNCTION("""COMPUTED_VALUE"""),"ZESTAW NATRYSKOWY VINCENT CZARNY TERMOSTAT")</f>
        <v>ZESTAW NATRYSKOWY VINCENT CZARNY TERMOSTAT</v>
      </c>
      <c r="E2080" s="31">
        <v>166.95121951219514</v>
      </c>
      <c r="F2080" s="31">
        <f t="shared" si="32"/>
        <v>205.35000000000002</v>
      </c>
    </row>
    <row r="2081" spans="1:6" ht="18.75" customHeight="1" x14ac:dyDescent="0.25">
      <c r="A2081" s="2" t="str">
        <f ca="1">IFERROR(__xludf.DUMMYFUNCTION("""COMPUTED_VALUE"""),"REA-P6603")</f>
        <v>REA-P6603</v>
      </c>
      <c r="B2081" s="3">
        <f ca="1">IFERROR(__xludf.DUMMYFUNCTION("""COMPUTED_VALUE"""),49371)</f>
        <v>49371</v>
      </c>
      <c r="C2081" s="3">
        <f ca="1">IFERROR(__xludf.DUMMYFUNCTION("""COMPUTED_VALUE"""),5902557377930)</f>
        <v>5902557377930</v>
      </c>
      <c r="D2081" s="4" t="str">
        <f ca="1">IFERROR(__xludf.DUMMYFUNCTION("""COMPUTED_VALUE"""),"ZESTAW NATRYSKOWY VINCENT NIKIEL SZCZOTKOWANY TERM")</f>
        <v>ZESTAW NATRYSKOWY VINCENT NIKIEL SZCZOTKOWANY TERM</v>
      </c>
      <c r="E2081" s="31">
        <v>191.31707317073173</v>
      </c>
      <c r="F2081" s="31">
        <f t="shared" si="32"/>
        <v>235.32000000000002</v>
      </c>
    </row>
    <row r="2082" spans="1:6" ht="18.75" customHeight="1" x14ac:dyDescent="0.25">
      <c r="A2082" s="2" t="str">
        <f ca="1">IFERROR(__xludf.DUMMYFUNCTION("""COMPUTED_VALUE"""),"REA-P6602")</f>
        <v>REA-P6602</v>
      </c>
      <c r="B2082" s="3">
        <f ca="1">IFERROR(__xludf.DUMMYFUNCTION("""COMPUTED_VALUE"""),49370)</f>
        <v>49370</v>
      </c>
      <c r="C2082" s="3">
        <f ca="1">IFERROR(__xludf.DUMMYFUNCTION("""COMPUTED_VALUE"""),5902557377916)</f>
        <v>5902557377916</v>
      </c>
      <c r="D2082" s="4" t="str">
        <f ca="1">IFERROR(__xludf.DUMMYFUNCTION("""COMPUTED_VALUE"""),"ZESTAW NATRYSKOWY VINCENT ZŁOTY SZCZOTKOWANY TERMO")</f>
        <v>ZESTAW NATRYSKOWY VINCENT ZŁOTY SZCZOTKOWANY TERMO</v>
      </c>
      <c r="E2082" s="31">
        <v>224.70731707317074</v>
      </c>
      <c r="F2082" s="31">
        <f t="shared" si="32"/>
        <v>276.39</v>
      </c>
    </row>
    <row r="2083" spans="1:6" ht="18.75" customHeight="1" x14ac:dyDescent="0.25">
      <c r="A2083" s="2" t="str">
        <f ca="1">IFERROR(__xludf.DUMMYFUNCTION("""COMPUTED_VALUE"""),"REA-P8005")</f>
        <v>REA-P8005</v>
      </c>
      <c r="B2083" s="3">
        <f ca="1">IFERROR(__xludf.DUMMYFUNCTION("""COMPUTED_VALUE"""),30284)</f>
        <v>30284</v>
      </c>
      <c r="C2083" s="3">
        <f ca="1">IFERROR(__xludf.DUMMYFUNCTION("""COMPUTED_VALUE"""),5902557339006)</f>
        <v>5902557339006</v>
      </c>
      <c r="D2083" s="4" t="str">
        <f ca="1">IFERROR(__xludf.DUMMYFUNCTION("""COMPUTED_VALUE"""),"ZESTAW NATRYSKOWY VINCENT ZŁOTY TERMOSTAT")</f>
        <v>ZESTAW NATRYSKOWY VINCENT ZŁOTY TERMOSTAT</v>
      </c>
      <c r="E2083" s="31">
        <v>212.07317073170734</v>
      </c>
      <c r="F2083" s="31">
        <f t="shared" si="32"/>
        <v>260.85000000000002</v>
      </c>
    </row>
    <row r="2084" spans="1:6" ht="18.75" customHeight="1" x14ac:dyDescent="0.25">
      <c r="A2084" s="2" t="str">
        <f ca="1">IFERROR(__xludf.DUMMYFUNCTION("""COMPUTED_VALUE"""),"REA-P2367")</f>
        <v>REA-P2367</v>
      </c>
      <c r="B2084" s="3">
        <f ca="1">IFERROR(__xludf.DUMMYFUNCTION("""COMPUTED_VALUE"""),18984)</f>
        <v>18984</v>
      </c>
      <c r="C2084" s="3">
        <f ca="1">IFERROR(__xludf.DUMMYFUNCTION("""COMPUTED_VALUE"""),5902557331727)</f>
        <v>5902557331727</v>
      </c>
      <c r="D2084" s="4" t="str">
        <f ca="1">IFERROR(__xludf.DUMMYFUNCTION("""COMPUTED_VALUE"""),"ZESTAW NATRYSKOWY VINTAGE CZARNY PRZECIERANY")</f>
        <v>ZESTAW NATRYSKOWY VINTAGE CZARNY PRZECIERANY</v>
      </c>
      <c r="E2084" s="31">
        <v>272.53658536585368</v>
      </c>
      <c r="F2084" s="31">
        <f t="shared" si="32"/>
        <v>335.22</v>
      </c>
    </row>
    <row r="2085" spans="1:6" ht="18.75" customHeight="1" x14ac:dyDescent="0.25">
      <c r="A2085" s="2" t="str">
        <f ca="1">IFERROR(__xludf.DUMMYFUNCTION("""COMPUTED_VALUE"""),"REA-B6440")</f>
        <v>REA-B6440</v>
      </c>
      <c r="B2085" s="3">
        <f ca="1">IFERROR(__xludf.DUMMYFUNCTION("""COMPUTED_VALUE"""),49720)</f>
        <v>49720</v>
      </c>
      <c r="C2085" s="3">
        <f ca="1">IFERROR(__xludf.DUMMYFUNCTION("""COMPUTED_VALUE"""),5902557377848)</f>
        <v>5902557377848</v>
      </c>
      <c r="D2085" s="4" t="str">
        <f ca="1">IFERROR(__xludf.DUMMYFUNCTION("""COMPUTED_VALUE"""),"ZESTAW WANNOWY PODTYNKOWY LUNGO BIAŁY + BOX")</f>
        <v>ZESTAW WANNOWY PODTYNKOWY LUNGO BIAŁY + BOX</v>
      </c>
      <c r="E2085" s="31">
        <v>150.70731707317074</v>
      </c>
      <c r="F2085" s="31">
        <f t="shared" si="32"/>
        <v>185.37</v>
      </c>
    </row>
    <row r="2086" spans="1:6" ht="18.75" customHeight="1" x14ac:dyDescent="0.25">
      <c r="A2086" s="2" t="str">
        <f ca="1">IFERROR(__xludf.DUMMYFUNCTION("""COMPUTED_VALUE"""),"REA-B6990")</f>
        <v>REA-B6990</v>
      </c>
      <c r="B2086" s="3">
        <f ca="1">IFERROR(__xludf.DUMMYFUNCTION("""COMPUTED_VALUE"""),49378)</f>
        <v>49378</v>
      </c>
      <c r="C2086" s="3">
        <f ca="1">IFERROR(__xludf.DUMMYFUNCTION("""COMPUTED_VALUE"""),5902557377855)</f>
        <v>5902557377855</v>
      </c>
      <c r="D2086" s="4" t="str">
        <f ca="1">IFERROR(__xludf.DUMMYFUNCTION("""COMPUTED_VALUE"""),"ZESTAW WANNOWY PODTYNKOWY LUNGO CHROM + BOX")</f>
        <v>ZESTAW WANNOWY PODTYNKOWY LUNGO CHROM + BOX</v>
      </c>
      <c r="E2086" s="31">
        <v>146.19512195121953</v>
      </c>
      <c r="F2086" s="31">
        <f t="shared" si="32"/>
        <v>179.82000000000002</v>
      </c>
    </row>
    <row r="2087" spans="1:6" ht="18.75" customHeight="1" x14ac:dyDescent="0.25">
      <c r="A2087" s="2" t="str">
        <f ca="1">IFERROR(__xludf.DUMMYFUNCTION("""COMPUTED_VALUE"""),"REA-P6300")</f>
        <v>REA-P6300</v>
      </c>
      <c r="B2087" s="3">
        <f ca="1">IFERROR(__xludf.DUMMYFUNCTION("""COMPUTED_VALUE"""),26275)</f>
        <v>26275</v>
      </c>
      <c r="C2087" s="3">
        <f ca="1">IFERROR(__xludf.DUMMYFUNCTION("""COMPUTED_VALUE"""),5902557335046)</f>
        <v>5902557335046</v>
      </c>
      <c r="D2087" s="4" t="str">
        <f ca="1">IFERROR(__xludf.DUMMYFUNCTION("""COMPUTED_VALUE"""),"ZESTAW WANNOWY PODTYNKOWY LUNGO CZARNY + BOX")</f>
        <v>ZESTAW WANNOWY PODTYNKOWY LUNGO CZARNY + BOX</v>
      </c>
      <c r="E2087" s="31">
        <v>161.53658536585368</v>
      </c>
      <c r="F2087" s="31">
        <f t="shared" si="32"/>
        <v>198.69000000000003</v>
      </c>
    </row>
    <row r="2088" spans="1:6" ht="18.75" customHeight="1" x14ac:dyDescent="0.25">
      <c r="A2088" s="2" t="str">
        <f ca="1">IFERROR(__xludf.DUMMYFUNCTION("""COMPUTED_VALUE"""),"REA-B6930")</f>
        <v>REA-B6930</v>
      </c>
      <c r="B2088" s="3">
        <f ca="1">IFERROR(__xludf.DUMMYFUNCTION("""COMPUTED_VALUE"""),49377)</f>
        <v>49377</v>
      </c>
      <c r="C2088" s="3">
        <f ca="1">IFERROR(__xludf.DUMMYFUNCTION("""COMPUTED_VALUE"""),5902557377862)</f>
        <v>5902557377862</v>
      </c>
      <c r="D2088" s="4" t="str">
        <f ca="1">IFERROR(__xludf.DUMMYFUNCTION("""COMPUTED_VALUE"""),"ZESTAW WANNOWY PODTYNKOWY LUNGO RÓŻOWE ZŁOTO + BOX")</f>
        <v>ZESTAW WANNOWY PODTYNKOWY LUNGO RÓŻOWE ZŁOTO + BOX</v>
      </c>
      <c r="E2088" s="31">
        <v>165.14634146341464</v>
      </c>
      <c r="F2088" s="31">
        <f t="shared" si="32"/>
        <v>203.13</v>
      </c>
    </row>
    <row r="2089" spans="1:6" ht="18.75" customHeight="1" x14ac:dyDescent="0.25">
      <c r="A2089" s="2" t="str">
        <f ca="1">IFERROR(__xludf.DUMMYFUNCTION("""COMPUTED_VALUE"""),"REA-P4563")</f>
        <v>REA-P4563</v>
      </c>
      <c r="B2089" s="3">
        <f ca="1">IFERROR(__xludf.DUMMYFUNCTION("""COMPUTED_VALUE"""),37986)</f>
        <v>37986</v>
      </c>
      <c r="C2089" s="3">
        <f ca="1">IFERROR(__xludf.DUMMYFUNCTION("""COMPUTED_VALUE"""),5902557350018)</f>
        <v>5902557350018</v>
      </c>
      <c r="D2089" s="4" t="str">
        <f ca="1">IFERROR(__xludf.DUMMYFUNCTION("""COMPUTED_VALUE"""),"ZESTAW WANNOWY PODTYNKOWY LUNGO ZŁOTY + BOX")</f>
        <v>ZESTAW WANNOWY PODTYNKOWY LUNGO ZŁOTY + BOX</v>
      </c>
      <c r="E2089" s="31">
        <v>162.43902439024393</v>
      </c>
      <c r="F2089" s="31">
        <f t="shared" si="32"/>
        <v>199.80000000000004</v>
      </c>
    </row>
    <row r="2090" spans="1:6" ht="18.75" customHeight="1" x14ac:dyDescent="0.25">
      <c r="A2090" s="2" t="str">
        <f ca="1">IFERROR(__xludf.DUMMYFUNCTION("""COMPUTED_VALUE"""),"REA-B7503")</f>
        <v>REA-B7503</v>
      </c>
      <c r="B2090" s="3">
        <f ca="1">IFERROR(__xludf.DUMMYFUNCTION("""COMPUTED_VALUE"""),49459)</f>
        <v>49459</v>
      </c>
      <c r="C2090" s="3">
        <f ca="1">IFERROR(__xludf.DUMMYFUNCTION("""COMPUTED_VALUE"""),5902557377831)</f>
        <v>5902557377831</v>
      </c>
      <c r="D2090" s="4" t="str">
        <f ca="1">IFERROR(__xludf.DUMMYFUNCTION("""COMPUTED_VALUE"""),"ZESTAW WANNOWY PODTYNKOWY LUNGO ZŁOTY SZCZOT + BOX")</f>
        <v>ZESTAW WANNOWY PODTYNKOWY LUNGO ZŁOTY SZCZOT + BOX</v>
      </c>
      <c r="E2090" s="31">
        <v>169.65853658536588</v>
      </c>
      <c r="F2090" s="31">
        <f t="shared" si="32"/>
        <v>208.68000000000004</v>
      </c>
    </row>
    <row r="2091" spans="1:6" ht="18.75" customHeight="1" x14ac:dyDescent="0.25">
      <c r="A2091" s="2" t="str">
        <f ca="1">IFERROR(__xludf.DUMMYFUNCTION("""COMPUTED_VALUE"""),"ZLE-09084")</f>
        <v>ZLE-09084</v>
      </c>
      <c r="B2091" s="3">
        <f ca="1">IFERROR(__xludf.DUMMYFUNCTION("""COMPUTED_VALUE"""),52939)</f>
        <v>52939</v>
      </c>
      <c r="C2091" s="3"/>
      <c r="D2091" s="4" t="str">
        <f ca="1">IFERROR(__xludf.DUMMYFUNCTION("""COMPUTED_VALUE"""),"ZLEW ZH4045BS -  LUKE 90")</f>
        <v>ZLEW ZH4045BS -  LUKE 90</v>
      </c>
      <c r="E2091" s="31">
        <v>85.731707317073173</v>
      </c>
      <c r="F2091" s="31">
        <f t="shared" si="32"/>
        <v>105.45</v>
      </c>
    </row>
    <row r="2092" spans="1:6" ht="18.75" customHeight="1" x14ac:dyDescent="0.25">
      <c r="A2092" s="2" t="str">
        <f ca="1">IFERROR(__xludf.DUMMYFUNCTION("""COMPUTED_VALUE"""),"ZLE-09035")</f>
        <v>ZLE-09035</v>
      </c>
      <c r="B2092" s="3">
        <f ca="1">IFERROR(__xludf.DUMMYFUNCTION("""COMPUTED_VALUE"""),52943)</f>
        <v>52943</v>
      </c>
      <c r="C2092" s="3">
        <f ca="1">IFERROR(__xludf.DUMMYFUNCTION("""COMPUTED_VALUE"""),5905505503054)</f>
        <v>5905505503054</v>
      </c>
      <c r="D2092" s="4" t="str">
        <f ca="1">IFERROR(__xludf.DUMMYFUNCTION("""COMPUTED_VALUE"""),"ZLEW ZH4045PVDBLM_3323503PVDB -   LUKE 90 BLACK")</f>
        <v>ZLEW ZH4045PVDBLM_3323503PVDB -   LUKE 90 BLACK</v>
      </c>
      <c r="E2092" s="31">
        <v>143.48780487804882</v>
      </c>
      <c r="F2092" s="31">
        <f t="shared" si="32"/>
        <v>176.49000000000004</v>
      </c>
    </row>
    <row r="2093" spans="1:6" ht="18.75" customHeight="1" x14ac:dyDescent="0.25">
      <c r="A2093" s="2" t="str">
        <f ca="1">IFERROR(__xludf.DUMMYFUNCTION("""COMPUTED_VALUE"""),"ZLE-09008")</f>
        <v>ZLE-09008</v>
      </c>
      <c r="B2093" s="3">
        <f ca="1">IFERROR(__xludf.DUMMYFUNCTION("""COMPUTED_VALUE"""),52950)</f>
        <v>52950</v>
      </c>
      <c r="C2093" s="3"/>
      <c r="D2093" s="4" t="str">
        <f ca="1">IFERROR(__xludf.DUMMYFUNCTION("""COMPUTED_VALUE"""),"ZLEW ZH5045PVDBLM_3323503PVDB - LUKE 100 BLACK")</f>
        <v>ZLEW ZH5045PVDBLM_3323503PVDB - LUKE 100 BLACK</v>
      </c>
      <c r="E2093" s="31">
        <v>146.19512195121953</v>
      </c>
      <c r="F2093" s="31">
        <f t="shared" si="32"/>
        <v>179.82000000000002</v>
      </c>
    </row>
    <row r="2094" spans="1:6" ht="18.75" customHeight="1" x14ac:dyDescent="0.25">
      <c r="A2094" s="2" t="str">
        <f ca="1">IFERROR(__xludf.DUMMYFUNCTION("""COMPUTED_VALUE"""),"ZLE-09011")</f>
        <v>ZLE-09011</v>
      </c>
      <c r="B2094" s="3">
        <f ca="1">IFERROR(__xludf.DUMMYFUNCTION("""COMPUTED_VALUE"""),52963)</f>
        <v>52963</v>
      </c>
      <c r="C2094" s="3"/>
      <c r="D2094" s="4" t="str">
        <f ca="1">IFERROR(__xludf.DUMMYFUNCTION("""COMPUTED_VALUE"""),"ZLEW ZH5845PVDBLM_3323503PVDB LUKE 110 BLACK METAL")</f>
        <v>ZLEW ZH5845PVDBLM_3323503PVDB LUKE 110 BLACK METAL</v>
      </c>
      <c r="E2094" s="31">
        <v>227.41463414634148</v>
      </c>
      <c r="F2094" s="31">
        <f t="shared" si="32"/>
        <v>279.72000000000003</v>
      </c>
    </row>
    <row r="2095" spans="1:6" ht="18.75" customHeight="1" x14ac:dyDescent="0.25">
      <c r="A2095" s="2" t="str">
        <f ca="1">IFERROR(__xludf.DUMMYFUNCTION("""COMPUTED_VALUE"""),"ZLE-00133")</f>
        <v>ZLE-00133</v>
      </c>
      <c r="B2095" s="3">
        <f ca="1">IFERROR(__xludf.DUMMYFUNCTION("""COMPUTED_VALUE"""),46413)</f>
        <v>46413</v>
      </c>
      <c r="C2095" s="3">
        <f ca="1">IFERROR(__xludf.DUMMYFUNCTION("""COMPUTED_VALUE"""),5902557375776)</f>
        <v>5902557375776</v>
      </c>
      <c r="D2095" s="4" t="str">
        <f ca="1">IFERROR(__xludf.DUMMYFUNCTION("""COMPUTED_VALUE"""),"ZLEWOZMYWAK CADDY BIAŁY+ SYFON")</f>
        <v>ZLEWOZMYWAK CADDY BIAŁY+ SYFON</v>
      </c>
      <c r="E2095" s="31">
        <v>150.70731707317074</v>
      </c>
      <c r="F2095" s="31">
        <f t="shared" si="32"/>
        <v>185.37</v>
      </c>
    </row>
    <row r="2096" spans="1:6" ht="18.75" customHeight="1" x14ac:dyDescent="0.25">
      <c r="A2096" s="2" t="str">
        <f ca="1">IFERROR(__xludf.DUMMYFUNCTION("""COMPUTED_VALUE"""),"ZLE-00132")</f>
        <v>ZLE-00132</v>
      </c>
      <c r="B2096" s="3">
        <f ca="1">IFERROR(__xludf.DUMMYFUNCTION("""COMPUTED_VALUE"""),46412)</f>
        <v>46412</v>
      </c>
      <c r="C2096" s="3">
        <f ca="1">IFERROR(__xludf.DUMMYFUNCTION("""COMPUTED_VALUE"""),5902557375769)</f>
        <v>5902557375769</v>
      </c>
      <c r="D2096" s="4" t="str">
        <f ca="1">IFERROR(__xludf.DUMMYFUNCTION("""COMPUTED_VALUE"""),"ZLEWOZMYWAK CADDY CZARNY+ SYFON")</f>
        <v>ZLEWOZMYWAK CADDY CZARNY+ SYFON</v>
      </c>
      <c r="E2096" s="31">
        <v>150.70731707317074</v>
      </c>
      <c r="F2096" s="31">
        <f t="shared" si="32"/>
        <v>185.37</v>
      </c>
    </row>
    <row r="2097" spans="1:6" ht="18.75" customHeight="1" x14ac:dyDescent="0.25">
      <c r="A2097" s="2" t="str">
        <f ca="1">IFERROR(__xludf.DUMMYFUNCTION("""COMPUTED_VALUE"""),"ZLE-00134")</f>
        <v>ZLE-00134</v>
      </c>
      <c r="B2097" s="3">
        <f ca="1">IFERROR(__xludf.DUMMYFUNCTION("""COMPUTED_VALUE"""),45331)</f>
        <v>45331</v>
      </c>
      <c r="C2097" s="3">
        <f ca="1">IFERROR(__xludf.DUMMYFUNCTION("""COMPUTED_VALUE"""),5902557375783)</f>
        <v>5902557375783</v>
      </c>
      <c r="D2097" s="4" t="str">
        <f ca="1">IFERROR(__xludf.DUMMYFUNCTION("""COMPUTED_VALUE"""),"ZLEWOZMYWAK FOX CZARNY + SYFON")</f>
        <v>ZLEWOZMYWAK FOX CZARNY + SYFON</v>
      </c>
      <c r="E2097" s="31">
        <v>157.92682926829269</v>
      </c>
      <c r="F2097" s="31">
        <f t="shared" si="32"/>
        <v>194.25</v>
      </c>
    </row>
    <row r="2098" spans="1:6" ht="18.75" customHeight="1" x14ac:dyDescent="0.25">
      <c r="A2098" s="2" t="str">
        <f ca="1">IFERROR(__xludf.DUMMYFUNCTION("""COMPUTED_VALUE"""),"ZLE-00135")</f>
        <v>ZLE-00135</v>
      </c>
      <c r="B2098" s="3">
        <f ca="1">IFERROR(__xludf.DUMMYFUNCTION("""COMPUTED_VALUE"""),46443)</f>
        <v>46443</v>
      </c>
      <c r="C2098" s="3">
        <f ca="1">IFERROR(__xludf.DUMMYFUNCTION("""COMPUTED_VALUE"""),5902557375790)</f>
        <v>5902557375790</v>
      </c>
      <c r="D2098" s="4" t="str">
        <f ca="1">IFERROR(__xludf.DUMMYFUNCTION("""COMPUTED_VALUE"""),"ZLEWOZMYWAK FOX CZARNY METALIK+ SYFON")</f>
        <v>ZLEWOZMYWAK FOX CZARNY METALIK+ SYFON</v>
      </c>
      <c r="E2098" s="31">
        <v>157.92682926829269</v>
      </c>
      <c r="F2098" s="31">
        <f t="shared" si="32"/>
        <v>194.25</v>
      </c>
    </row>
    <row r="2099" spans="1:6" ht="18.75" customHeight="1" x14ac:dyDescent="0.25">
      <c r="A2099" s="2" t="str">
        <f ca="1">IFERROR(__xludf.DUMMYFUNCTION("""COMPUTED_VALUE"""),"ZLE-00105")</f>
        <v>ZLE-00105</v>
      </c>
      <c r="B2099" s="3">
        <f ca="1">IFERROR(__xludf.DUMMYFUNCTION("""COMPUTED_VALUE"""),45279)</f>
        <v>45279</v>
      </c>
      <c r="C2099" s="3">
        <f ca="1">IFERROR(__xludf.DUMMYFUNCTION("""COMPUTED_VALUE"""),5902557375592)</f>
        <v>5902557375592</v>
      </c>
      <c r="D2099" s="4" t="str">
        <f ca="1">IFERROR(__xludf.DUMMYFUNCTION("""COMPUTED_VALUE"""),"ZLEWOZMYWAK GRANITOWY  RINO BEŻ 52X49+SYFON")</f>
        <v>ZLEWOZMYWAK GRANITOWY  RINO BEŻ 52X49+SYFON</v>
      </c>
      <c r="E2099" s="31">
        <v>95.658536585365866</v>
      </c>
      <c r="F2099" s="31">
        <f t="shared" si="32"/>
        <v>117.66000000000001</v>
      </c>
    </row>
    <row r="2100" spans="1:6" ht="18.75" customHeight="1" x14ac:dyDescent="0.25">
      <c r="A2100" s="2" t="str">
        <f ca="1">IFERROR(__xludf.DUMMYFUNCTION("""COMPUTED_VALUE"""),"ZLE-00113")</f>
        <v>ZLE-00113</v>
      </c>
      <c r="B2100" s="3">
        <f ca="1">IFERROR(__xludf.DUMMYFUNCTION("""COMPUTED_VALUE"""),45283)</f>
        <v>45283</v>
      </c>
      <c r="C2100" s="3">
        <f ca="1">IFERROR(__xludf.DUMMYFUNCTION("""COMPUTED_VALUE"""),5902557375677)</f>
        <v>5902557375677</v>
      </c>
      <c r="D2100" s="4" t="str">
        <f ca="1">IFERROR(__xludf.DUMMYFUNCTION("""COMPUTED_VALUE"""),"ZLEWOZMYWAK GRANITOWY DAG BEŻ 75X44+SYFON")</f>
        <v>ZLEWOZMYWAK GRANITOWY DAG BEŻ 75X44+SYFON</v>
      </c>
      <c r="E2100" s="31">
        <v>107.39024390243904</v>
      </c>
      <c r="F2100" s="31">
        <f t="shared" si="32"/>
        <v>132.09</v>
      </c>
    </row>
    <row r="2101" spans="1:6" ht="18.75" customHeight="1" x14ac:dyDescent="0.25">
      <c r="A2101" s="2" t="str">
        <f ca="1">IFERROR(__xludf.DUMMYFUNCTION("""COMPUTED_VALUE"""),"ZLE-00111")</f>
        <v>ZLE-00111</v>
      </c>
      <c r="B2101" s="3">
        <f ca="1">IFERROR(__xludf.DUMMYFUNCTION("""COMPUTED_VALUE"""),45282)</f>
        <v>45282</v>
      </c>
      <c r="C2101" s="3">
        <f ca="1">IFERROR(__xludf.DUMMYFUNCTION("""COMPUTED_VALUE"""),5902557375653)</f>
        <v>5902557375653</v>
      </c>
      <c r="D2101" s="4" t="str">
        <f ca="1">IFERROR(__xludf.DUMMYFUNCTION("""COMPUTED_VALUE"""),"ZLEWOZMYWAK GRANITOWY DAG CZARNY 75X44+SYFON")</f>
        <v>ZLEWOZMYWAK GRANITOWY DAG CZARNY 75X44+SYFON</v>
      </c>
      <c r="E2101" s="31">
        <v>124.53658536585368</v>
      </c>
      <c r="F2101" s="31">
        <f t="shared" si="32"/>
        <v>153.18000000000004</v>
      </c>
    </row>
    <row r="2102" spans="1:6" ht="18.75" customHeight="1" x14ac:dyDescent="0.25">
      <c r="A2102" s="2" t="str">
        <f ca="1">IFERROR(__xludf.DUMMYFUNCTION("""COMPUTED_VALUE"""),"ZLE-00112")</f>
        <v>ZLE-00112</v>
      </c>
      <c r="B2102" s="3">
        <f ca="1">IFERROR(__xludf.DUMMYFUNCTION("""COMPUTED_VALUE"""),45281)</f>
        <v>45281</v>
      </c>
      <c r="C2102" s="3">
        <f ca="1">IFERROR(__xludf.DUMMYFUNCTION("""COMPUTED_VALUE"""),5902557375660)</f>
        <v>5902557375660</v>
      </c>
      <c r="D2102" s="4" t="str">
        <f ca="1">IFERROR(__xludf.DUMMYFUNCTION("""COMPUTED_VALUE"""),"ZLEWOZMYWAK GRANITOWY DAG CZARNY NAKR.75X44+SYFON")</f>
        <v>ZLEWOZMYWAK GRANITOWY DAG CZARNY NAKR.75X44+SYFON</v>
      </c>
      <c r="E2102" s="31">
        <v>124.53658536585368</v>
      </c>
      <c r="F2102" s="31">
        <f t="shared" si="32"/>
        <v>153.18000000000004</v>
      </c>
    </row>
    <row r="2103" spans="1:6" ht="18.75" customHeight="1" x14ac:dyDescent="0.25">
      <c r="A2103" s="2" t="str">
        <f ca="1">IFERROR(__xludf.DUMMYFUNCTION("""COMPUTED_VALUE"""),"HQD5542U1-BS")</f>
        <v>HQD5542U1-BS</v>
      </c>
      <c r="B2103" s="3">
        <f ca="1">IFERROR(__xludf.DUMMYFUNCTION("""COMPUTED_VALUE"""),53111)</f>
        <v>53111</v>
      </c>
      <c r="C2103" s="3"/>
      <c r="D2103" s="4" t="str">
        <f ca="1">IFERROR(__xludf.DUMMYFUNCTION("""COMPUTED_VALUE"""),"Zlewozmywak granitowy DAVID 50 Biały")</f>
        <v>Zlewozmywak granitowy DAVID 50 Biały</v>
      </c>
      <c r="E2103" s="31">
        <v>257.19512195121956</v>
      </c>
      <c r="F2103" s="31">
        <f t="shared" si="32"/>
        <v>316.35000000000008</v>
      </c>
    </row>
    <row r="2104" spans="1:6" ht="18.75" customHeight="1" x14ac:dyDescent="0.25">
      <c r="A2104" s="2" t="str">
        <f ca="1">IFERROR(__xludf.DUMMYFUNCTION("""COMPUTED_VALUE"""),"HQD5542U1-C1")</f>
        <v>HQD5542U1-C1</v>
      </c>
      <c r="B2104" s="3">
        <f ca="1">IFERROR(__xludf.DUMMYFUNCTION("""COMPUTED_VALUE"""),53113)</f>
        <v>53113</v>
      </c>
      <c r="C2104" s="3"/>
      <c r="D2104" s="4" t="str">
        <f ca="1">IFERROR(__xludf.DUMMYFUNCTION("""COMPUTED_VALUE"""),"Zlewozmywak granitowy DAVID 50 Biały")</f>
        <v>Zlewozmywak granitowy DAVID 50 Biały</v>
      </c>
      <c r="E2104" s="31">
        <v>349.2439024390244</v>
      </c>
      <c r="F2104" s="31">
        <f t="shared" si="32"/>
        <v>429.57</v>
      </c>
    </row>
    <row r="2105" spans="1:6" ht="18.75" customHeight="1" x14ac:dyDescent="0.25">
      <c r="A2105" s="2" t="str">
        <f ca="1">IFERROR(__xludf.DUMMYFUNCTION("""COMPUTED_VALUE"""),"HQD5542U7-BS")</f>
        <v>HQD5542U7-BS</v>
      </c>
      <c r="B2105" s="3">
        <f ca="1">IFERROR(__xludf.DUMMYFUNCTION("""COMPUTED_VALUE"""),53101)</f>
        <v>53101</v>
      </c>
      <c r="C2105" s="3"/>
      <c r="D2105" s="4" t="str">
        <f ca="1">IFERROR(__xludf.DUMMYFUNCTION("""COMPUTED_VALUE"""),"Zlewozmywak granitowy DAVID 50 Czarny")</f>
        <v>Zlewozmywak granitowy DAVID 50 Czarny</v>
      </c>
      <c r="E2105" s="31">
        <v>286.07317073170736</v>
      </c>
      <c r="F2105" s="31">
        <f t="shared" si="32"/>
        <v>351.87000000000006</v>
      </c>
    </row>
    <row r="2106" spans="1:6" ht="18.75" customHeight="1" x14ac:dyDescent="0.25">
      <c r="A2106" s="2" t="str">
        <f ca="1">IFERROR(__xludf.DUMMYFUNCTION("""COMPUTED_VALUE"""),"HQD5542U7-G1")</f>
        <v>HQD5542U7-G1</v>
      </c>
      <c r="B2106" s="3">
        <f ca="1">IFERROR(__xludf.DUMMYFUNCTION("""COMPUTED_VALUE"""),53099)</f>
        <v>53099</v>
      </c>
      <c r="C2106" s="3"/>
      <c r="D2106" s="4" t="str">
        <f ca="1">IFERROR(__xludf.DUMMYFUNCTION("""COMPUTED_VALUE"""),"Zlewozmywak granitowy DAVID 50 Czarny")</f>
        <v>Zlewozmywak granitowy DAVID 50 Czarny</v>
      </c>
      <c r="E2106" s="31">
        <v>376.3170731707317</v>
      </c>
      <c r="F2106" s="31">
        <f t="shared" si="32"/>
        <v>462.87</v>
      </c>
    </row>
    <row r="2107" spans="1:6" ht="18.75" customHeight="1" x14ac:dyDescent="0.25">
      <c r="A2107" s="2" t="str">
        <f ca="1">IFERROR(__xludf.DUMMYFUNCTION("""COMPUTED_VALUE"""),"HQD5542U7-C1")</f>
        <v>HQD5542U7-C1</v>
      </c>
      <c r="B2107" s="3">
        <f ca="1">IFERROR(__xludf.DUMMYFUNCTION("""COMPUTED_VALUE"""),53100)</f>
        <v>53100</v>
      </c>
      <c r="C2107" s="3"/>
      <c r="D2107" s="4" t="str">
        <f ca="1">IFERROR(__xludf.DUMMYFUNCTION("""COMPUTED_VALUE"""),"Zlewozmywak granitowy DAVID 50 Czarny")</f>
        <v>Zlewozmywak granitowy DAVID 50 Czarny</v>
      </c>
      <c r="E2107" s="31">
        <v>376.3170731707317</v>
      </c>
      <c r="F2107" s="31">
        <f t="shared" si="32"/>
        <v>462.87</v>
      </c>
    </row>
    <row r="2108" spans="1:6" ht="18.75" customHeight="1" x14ac:dyDescent="0.25">
      <c r="A2108" s="2" t="str">
        <f ca="1">IFERROR(__xludf.DUMMYFUNCTION("""COMPUTED_VALUE"""),"HQD5542U8-C1")</f>
        <v>HQD5542U8-C1</v>
      </c>
      <c r="B2108" s="3">
        <f ca="1">IFERROR(__xludf.DUMMYFUNCTION("""COMPUTED_VALUE"""),53105)</f>
        <v>53105</v>
      </c>
      <c r="C2108" s="3"/>
      <c r="D2108" s="4" t="str">
        <f ca="1">IFERROR(__xludf.DUMMYFUNCTION("""COMPUTED_VALUE"""),"Zlewozmywak granitowy DAVID 50 Czarny Metalik z miedzianym korkiem")</f>
        <v>Zlewozmywak granitowy DAVID 50 Czarny Metalik z miedzianym korkiem</v>
      </c>
      <c r="E2108" s="31">
        <v>349.2439024390244</v>
      </c>
      <c r="F2108" s="31">
        <f t="shared" si="32"/>
        <v>429.57</v>
      </c>
    </row>
    <row r="2109" spans="1:6" ht="18.75" customHeight="1" x14ac:dyDescent="0.25">
      <c r="A2109" s="2" t="str">
        <f ca="1">IFERROR(__xludf.DUMMYFUNCTION("""COMPUTED_VALUE"""),"HQD5542U8-BS")</f>
        <v>HQD5542U8-BS</v>
      </c>
      <c r="B2109" s="3">
        <f ca="1">IFERROR(__xludf.DUMMYFUNCTION("""COMPUTED_VALUE"""),53103)</f>
        <v>53103</v>
      </c>
      <c r="C2109" s="3"/>
      <c r="D2109" s="4" t="str">
        <f ca="1">IFERROR(__xludf.DUMMYFUNCTION("""COMPUTED_VALUE"""),"Zlewozmywak granitowy DAVID 50 Czarny Metalik ze stalowym korkiem")</f>
        <v>Zlewozmywak granitowy DAVID 50 Czarny Metalik ze stalowym korkiem</v>
      </c>
      <c r="E2109" s="31">
        <v>257.19512195121956</v>
      </c>
      <c r="F2109" s="31">
        <f t="shared" si="32"/>
        <v>316.35000000000008</v>
      </c>
    </row>
    <row r="2110" spans="1:6" ht="18.75" customHeight="1" x14ac:dyDescent="0.25">
      <c r="A2110" s="2" t="str">
        <f ca="1">IFERROR(__xludf.DUMMYFUNCTION("""COMPUTED_VALUE"""),"HQD5542U8-G1")</f>
        <v>HQD5542U8-G1</v>
      </c>
      <c r="B2110" s="3">
        <f ca="1">IFERROR(__xludf.DUMMYFUNCTION("""COMPUTED_VALUE"""),53104)</f>
        <v>53104</v>
      </c>
      <c r="C2110" s="3"/>
      <c r="D2110" s="4" t="str">
        <f ca="1">IFERROR(__xludf.DUMMYFUNCTION("""COMPUTED_VALUE"""),"Zlewozmywak granitowy DAVID 50 Czarny Metalik ze złotym korkiem")</f>
        <v>Zlewozmywak granitowy DAVID 50 Czarny Metalik ze złotym korkiem</v>
      </c>
      <c r="E2110" s="31">
        <v>349.2439024390244</v>
      </c>
      <c r="F2110" s="31">
        <f t="shared" si="32"/>
        <v>429.57</v>
      </c>
    </row>
    <row r="2111" spans="1:6" ht="18.75" customHeight="1" x14ac:dyDescent="0.25">
      <c r="A2111" s="2" t="str">
        <f ca="1">IFERROR(__xludf.DUMMYFUNCTION("""COMPUTED_VALUE"""),"HQD5542U5-G1")</f>
        <v>HQD5542U5-G1</v>
      </c>
      <c r="B2111" s="3">
        <f ca="1">IFERROR(__xludf.DUMMYFUNCTION("""COMPUTED_VALUE"""),53108)</f>
        <v>53108</v>
      </c>
      <c r="C2111" s="3"/>
      <c r="D2111" s="4" t="str">
        <f ca="1">IFERROR(__xludf.DUMMYFUNCTION("""COMPUTED_VALUE"""),"Zlewozmywak granitowy DAVID 50 Szary Metalik")</f>
        <v>Zlewozmywak granitowy DAVID 50 Szary Metalik</v>
      </c>
      <c r="E2111" s="31">
        <v>349.2439024390244</v>
      </c>
      <c r="F2111" s="31">
        <f t="shared" si="32"/>
        <v>429.57</v>
      </c>
    </row>
    <row r="2112" spans="1:6" ht="18.75" customHeight="1" x14ac:dyDescent="0.25">
      <c r="A2112" s="2" t="str">
        <f ca="1">IFERROR(__xludf.DUMMYFUNCTION("""COMPUTED_VALUE"""),"HQD5542U5-C1")</f>
        <v>HQD5542U5-C1</v>
      </c>
      <c r="B2112" s="3">
        <f ca="1">IFERROR(__xludf.DUMMYFUNCTION("""COMPUTED_VALUE"""),53109)</f>
        <v>53109</v>
      </c>
      <c r="C2112" s="3"/>
      <c r="D2112" s="4" t="str">
        <f ca="1">IFERROR(__xludf.DUMMYFUNCTION("""COMPUTED_VALUE"""),"Zlewozmywak granitowy DAVID 50 Szary Metalik")</f>
        <v>Zlewozmywak granitowy DAVID 50 Szary Metalik</v>
      </c>
      <c r="E2112" s="31">
        <v>349.2439024390244</v>
      </c>
      <c r="F2112" s="31">
        <f t="shared" si="32"/>
        <v>429.57</v>
      </c>
    </row>
    <row r="2113" spans="1:6" ht="18.75" customHeight="1" x14ac:dyDescent="0.25">
      <c r="A2113" s="2" t="str">
        <f ca="1">IFERROR(__xludf.DUMMYFUNCTION("""COMPUTED_VALUE"""),"HCQK5052ST")</f>
        <v>HCQK5052ST</v>
      </c>
      <c r="B2113" s="3">
        <f ca="1">IFERROR(__xludf.DUMMYFUNCTION("""COMPUTED_VALUE"""),53095)</f>
        <v>53095</v>
      </c>
      <c r="C2113" s="3"/>
      <c r="D2113" s="4" t="str">
        <f ca="1">IFERROR(__xludf.DUMMYFUNCTION("""COMPUTED_VALUE"""),"Zlewozmywak granitowy KURT 110 WORKSTATION BEŻ")</f>
        <v>Zlewozmywak granitowy KURT 110 WORKSTATION BEŻ</v>
      </c>
      <c r="E2113" s="31">
        <v>261.70731707317077</v>
      </c>
      <c r="F2113" s="31">
        <f t="shared" ref="F2113:F2176" si="33">E2113*1.23</f>
        <v>321.90000000000003</v>
      </c>
    </row>
    <row r="2114" spans="1:6" ht="18.75" customHeight="1" x14ac:dyDescent="0.25">
      <c r="A2114" s="2" t="str">
        <f ca="1">IFERROR(__xludf.DUMMYFUNCTION("""COMPUTED_VALUE"""),"HCQK5052BIK")</f>
        <v>HCQK5052BIK</v>
      </c>
      <c r="B2114" s="3">
        <f ca="1">IFERROR(__xludf.DUMMYFUNCTION("""COMPUTED_VALUE"""),53097)</f>
        <v>53097</v>
      </c>
      <c r="C2114" s="3"/>
      <c r="D2114" s="4" t="str">
        <f ca="1">IFERROR(__xludf.DUMMYFUNCTION("""COMPUTED_VALUE"""),"Zlewozmywak granitowy KURT 110 WORKSTATION Biały")</f>
        <v>Zlewozmywak granitowy KURT 110 WORKSTATION Biały</v>
      </c>
      <c r="E2114" s="31">
        <v>261.70731707317077</v>
      </c>
      <c r="F2114" s="31">
        <f t="shared" si="33"/>
        <v>321.90000000000003</v>
      </c>
    </row>
    <row r="2115" spans="1:6" ht="18.75" customHeight="1" x14ac:dyDescent="0.25">
      <c r="A2115" s="2" t="str">
        <f ca="1">IFERROR(__xludf.DUMMYFUNCTION("""COMPUTED_VALUE"""),"HCQK5052BLM_PC")</f>
        <v>HCQK5052BLM_PC</v>
      </c>
      <c r="B2115" s="3">
        <f ca="1">IFERROR(__xludf.DUMMYFUNCTION("""COMPUTED_VALUE"""),53093)</f>
        <v>53093</v>
      </c>
      <c r="C2115" s="3"/>
      <c r="D2115" s="4" t="str">
        <f ca="1">IFERROR(__xludf.DUMMYFUNCTION("""COMPUTED_VALUE"""),"Zlewozmywak granitowy KURT 110 WORKSTATION Czarny")</f>
        <v>Zlewozmywak granitowy KURT 110 WORKSTATION Czarny</v>
      </c>
      <c r="E2115" s="31">
        <v>287.87804878048786</v>
      </c>
      <c r="F2115" s="31">
        <f t="shared" si="33"/>
        <v>354.09000000000009</v>
      </c>
    </row>
    <row r="2116" spans="1:6" ht="18.75" customHeight="1" x14ac:dyDescent="0.25">
      <c r="A2116" s="2" t="str">
        <f ca="1">IFERROR(__xludf.DUMMYFUNCTION("""COMPUTED_VALUE"""),"HCQK5052CZK")</f>
        <v>HCQK5052CZK</v>
      </c>
      <c r="B2116" s="3">
        <f ca="1">IFERROR(__xludf.DUMMYFUNCTION("""COMPUTED_VALUE"""),53096)</f>
        <v>53096</v>
      </c>
      <c r="C2116" s="3"/>
      <c r="D2116" s="4" t="str">
        <f ca="1">IFERROR(__xludf.DUMMYFUNCTION("""COMPUTED_VALUE"""),"Zlewozmywak granitowy KURT 110 WORKSTATION Czarny Nakrapiany")</f>
        <v>Zlewozmywak granitowy KURT 110 WORKSTATION Czarny Nakrapiany</v>
      </c>
      <c r="E2116" s="31">
        <v>261.70731707317077</v>
      </c>
      <c r="F2116" s="31">
        <f t="shared" si="33"/>
        <v>321.90000000000003</v>
      </c>
    </row>
    <row r="2117" spans="1:6" ht="18.75" customHeight="1" x14ac:dyDescent="0.25">
      <c r="A2117" s="2" t="str">
        <f ca="1">IFERROR(__xludf.DUMMYFUNCTION("""COMPUTED_VALUE"""),"HCQK5052SZK")</f>
        <v>HCQK5052SZK</v>
      </c>
      <c r="B2117" s="3">
        <f ca="1">IFERROR(__xludf.DUMMYFUNCTION("""COMPUTED_VALUE"""),53094)</f>
        <v>53094</v>
      </c>
      <c r="C2117" s="3"/>
      <c r="D2117" s="4" t="str">
        <f ca="1">IFERROR(__xludf.DUMMYFUNCTION("""COMPUTED_VALUE"""),"Zlewozmywak granitowy KURT 110 WORKSTATION SZARY Metalik")</f>
        <v>Zlewozmywak granitowy KURT 110 WORKSTATION SZARY Metalik</v>
      </c>
      <c r="E2117" s="31">
        <v>261.70731707317077</v>
      </c>
      <c r="F2117" s="31">
        <f t="shared" si="33"/>
        <v>321.90000000000003</v>
      </c>
    </row>
    <row r="2118" spans="1:6" ht="18.75" customHeight="1" x14ac:dyDescent="0.25">
      <c r="A2118" s="2" t="str">
        <f ca="1">IFERROR(__xludf.DUMMYFUNCTION("""COMPUTED_VALUE"""),"HQJ6045U4_BS_U")</f>
        <v>HQJ6045U4_BS_U</v>
      </c>
      <c r="B2118" s="3">
        <f ca="1">IFERROR(__xludf.DUMMYFUNCTION("""COMPUTED_VALUE"""),53147)</f>
        <v>53147</v>
      </c>
      <c r="C2118" s="3"/>
      <c r="D2118" s="4" t="str">
        <f ca="1">IFERROR(__xludf.DUMMYFUNCTION("""COMPUTED_VALUE"""),"Zlewozmywak granitowy Logan 100 Beż")</f>
        <v>Zlewozmywak granitowy Logan 100 Beż</v>
      </c>
      <c r="E2118" s="31">
        <v>243.65853658536591</v>
      </c>
      <c r="F2118" s="31">
        <f t="shared" si="33"/>
        <v>299.70000000000005</v>
      </c>
    </row>
    <row r="2119" spans="1:6" ht="18.75" customHeight="1" x14ac:dyDescent="0.25">
      <c r="A2119" s="2" t="str">
        <f ca="1">IFERROR(__xludf.DUMMYFUNCTION("""COMPUTED_VALUE"""),"HQJ6045U4_PVDG1_U")</f>
        <v>HQJ6045U4_PVDG1_U</v>
      </c>
      <c r="B2119" s="3">
        <f ca="1">IFERROR(__xludf.DUMMYFUNCTION("""COMPUTED_VALUE"""),53148)</f>
        <v>53148</v>
      </c>
      <c r="C2119" s="3"/>
      <c r="D2119" s="4" t="str">
        <f ca="1">IFERROR(__xludf.DUMMYFUNCTION("""COMPUTED_VALUE"""),"Zlewozmywak granitowy Logan 100 Beż")</f>
        <v>Zlewozmywak granitowy Logan 100 Beż</v>
      </c>
      <c r="E2119" s="31">
        <v>288.78048780487808</v>
      </c>
      <c r="F2119" s="31">
        <f t="shared" si="33"/>
        <v>355.20000000000005</v>
      </c>
    </row>
    <row r="2120" spans="1:6" ht="18.75" customHeight="1" x14ac:dyDescent="0.25">
      <c r="A2120" s="2" t="str">
        <f ca="1">IFERROR(__xludf.DUMMYFUNCTION("""COMPUTED_VALUE"""),"HQJ6045U4_PVDC1_U")</f>
        <v>HQJ6045U4_PVDC1_U</v>
      </c>
      <c r="B2120" s="3">
        <f ca="1">IFERROR(__xludf.DUMMYFUNCTION("""COMPUTED_VALUE"""),53149)</f>
        <v>53149</v>
      </c>
      <c r="C2120" s="3"/>
      <c r="D2120" s="4" t="str">
        <f ca="1">IFERROR(__xludf.DUMMYFUNCTION("""COMPUTED_VALUE"""),"Zlewozmywak granitowy Logan 100 Beż")</f>
        <v>Zlewozmywak granitowy Logan 100 Beż</v>
      </c>
      <c r="E2120" s="31">
        <v>288.78048780487808</v>
      </c>
      <c r="F2120" s="31">
        <f t="shared" si="33"/>
        <v>355.20000000000005</v>
      </c>
    </row>
    <row r="2121" spans="1:6" ht="18.75" customHeight="1" x14ac:dyDescent="0.25">
      <c r="A2121" s="2" t="str">
        <f ca="1">IFERROR(__xludf.DUMMYFUNCTION("""COMPUTED_VALUE"""),"HQJ6045U1_BS_U")</f>
        <v>HQJ6045U1_BS_U</v>
      </c>
      <c r="B2121" s="3">
        <f ca="1">IFERROR(__xludf.DUMMYFUNCTION("""COMPUTED_VALUE"""),53151)</f>
        <v>53151</v>
      </c>
      <c r="C2121" s="3"/>
      <c r="D2121" s="4" t="str">
        <f ca="1">IFERROR(__xludf.DUMMYFUNCTION("""COMPUTED_VALUE"""),"Zlewozmywak granitowy Logan 100 Biały")</f>
        <v>Zlewozmywak granitowy Logan 100 Biały</v>
      </c>
      <c r="E2121" s="31">
        <v>243.65853658536591</v>
      </c>
      <c r="F2121" s="31">
        <f t="shared" si="33"/>
        <v>299.70000000000005</v>
      </c>
    </row>
    <row r="2122" spans="1:6" ht="18.75" customHeight="1" x14ac:dyDescent="0.25">
      <c r="A2122" s="2" t="str">
        <f ca="1">IFERROR(__xludf.DUMMYFUNCTION("""COMPUTED_VALUE"""),"HQJ6045U1_PVDG1_U")</f>
        <v>HQJ6045U1_PVDG1_U</v>
      </c>
      <c r="B2122" s="3">
        <f ca="1">IFERROR(__xludf.DUMMYFUNCTION("""COMPUTED_VALUE"""),53152)</f>
        <v>53152</v>
      </c>
      <c r="C2122" s="3"/>
      <c r="D2122" s="4" t="str">
        <f ca="1">IFERROR(__xludf.DUMMYFUNCTION("""COMPUTED_VALUE"""),"Zlewozmywak granitowy Logan 100 Biały")</f>
        <v>Zlewozmywak granitowy Logan 100 Biały</v>
      </c>
      <c r="E2122" s="31">
        <v>288.78048780487808</v>
      </c>
      <c r="F2122" s="31">
        <f t="shared" si="33"/>
        <v>355.20000000000005</v>
      </c>
    </row>
    <row r="2123" spans="1:6" ht="18.75" customHeight="1" x14ac:dyDescent="0.25">
      <c r="A2123" s="2" t="str">
        <f ca="1">IFERROR(__xludf.DUMMYFUNCTION("""COMPUTED_VALUE"""),"HQJ6045U1_PVDC1_U")</f>
        <v>HQJ6045U1_PVDC1_U</v>
      </c>
      <c r="B2123" s="3">
        <f ca="1">IFERROR(__xludf.DUMMYFUNCTION("""COMPUTED_VALUE"""),53153)</f>
        <v>53153</v>
      </c>
      <c r="C2123" s="3"/>
      <c r="D2123" s="4" t="str">
        <f ca="1">IFERROR(__xludf.DUMMYFUNCTION("""COMPUTED_VALUE"""),"Zlewozmywak granitowy Logan 100 Biały")</f>
        <v>Zlewozmywak granitowy Logan 100 Biały</v>
      </c>
      <c r="E2123" s="31">
        <v>288.78048780487808</v>
      </c>
      <c r="F2123" s="31">
        <f t="shared" si="33"/>
        <v>355.20000000000005</v>
      </c>
    </row>
    <row r="2124" spans="1:6" ht="18.75" customHeight="1" x14ac:dyDescent="0.25">
      <c r="A2124" s="2" t="str">
        <f ca="1">IFERROR(__xludf.DUMMYFUNCTION("""COMPUTED_VALUE"""),"HQJ6045U7_PVDG1_U")</f>
        <v>HQJ6045U7_PVDG1_U</v>
      </c>
      <c r="B2124" s="3">
        <f ca="1">IFERROR(__xludf.DUMMYFUNCTION("""COMPUTED_VALUE"""),53160)</f>
        <v>53160</v>
      </c>
      <c r="C2124" s="3"/>
      <c r="D2124" s="4" t="str">
        <f ca="1">IFERROR(__xludf.DUMMYFUNCTION("""COMPUTED_VALUE"""),"Zlewozmywak granitowy Logan 100 Czarny")</f>
        <v>Zlewozmywak granitowy Logan 100 Czarny</v>
      </c>
      <c r="E2124" s="31">
        <v>307.73170731707319</v>
      </c>
      <c r="F2124" s="31">
        <f t="shared" si="33"/>
        <v>378.51</v>
      </c>
    </row>
    <row r="2125" spans="1:6" ht="18.75" customHeight="1" x14ac:dyDescent="0.25">
      <c r="A2125" s="2" t="str">
        <f ca="1">IFERROR(__xludf.DUMMYFUNCTION("""COMPUTED_VALUE"""),"HQJ6045U7_PVDC1_U")</f>
        <v>HQJ6045U7_PVDC1_U</v>
      </c>
      <c r="B2125" s="3">
        <f ca="1">IFERROR(__xludf.DUMMYFUNCTION("""COMPUTED_VALUE"""),53161)</f>
        <v>53161</v>
      </c>
      <c r="C2125" s="3"/>
      <c r="D2125" s="4" t="str">
        <f ca="1">IFERROR(__xludf.DUMMYFUNCTION("""COMPUTED_VALUE"""),"Zlewozmywak granitowy Logan 100 Czarny")</f>
        <v>Zlewozmywak granitowy Logan 100 Czarny</v>
      </c>
      <c r="E2125" s="31">
        <v>307.73170731707319</v>
      </c>
      <c r="F2125" s="31">
        <f t="shared" si="33"/>
        <v>378.51</v>
      </c>
    </row>
    <row r="2126" spans="1:6" ht="18.75" customHeight="1" x14ac:dyDescent="0.25">
      <c r="A2126" s="2" t="str">
        <f ca="1">IFERROR(__xludf.DUMMYFUNCTION("""COMPUTED_VALUE"""),"HQJ6045U7_BLM_U")</f>
        <v>HQJ6045U7_BLM_U</v>
      </c>
      <c r="B2126" s="3">
        <f ca="1">IFERROR(__xludf.DUMMYFUNCTION("""COMPUTED_VALUE"""),53162)</f>
        <v>53162</v>
      </c>
      <c r="C2126" s="3"/>
      <c r="D2126" s="4" t="str">
        <f ca="1">IFERROR(__xludf.DUMMYFUNCTION("""COMPUTED_VALUE"""),"Zlewozmywak granitowy Logan 100 Czarny")</f>
        <v>Zlewozmywak granitowy Logan 100 Czarny</v>
      </c>
      <c r="E2126" s="31">
        <v>307.73170731707319</v>
      </c>
      <c r="F2126" s="31">
        <f t="shared" si="33"/>
        <v>378.51</v>
      </c>
    </row>
    <row r="2127" spans="1:6" ht="18.75" customHeight="1" x14ac:dyDescent="0.25">
      <c r="A2127" s="2" t="str">
        <f ca="1">IFERROR(__xludf.DUMMYFUNCTION("""COMPUTED_VALUE"""),"HQJ6045U8_BS_U")</f>
        <v>HQJ6045U8_BS_U</v>
      </c>
      <c r="B2127" s="3">
        <f ca="1">IFERROR(__xludf.DUMMYFUNCTION("""COMPUTED_VALUE"""),53155)</f>
        <v>53155</v>
      </c>
      <c r="C2127" s="3"/>
      <c r="D2127" s="4" t="str">
        <f ca="1">IFERROR(__xludf.DUMMYFUNCTION("""COMPUTED_VALUE"""),"Zlewozmywak granitowy Logan 100 Czarny Metalik")</f>
        <v>Zlewozmywak granitowy Logan 100 Czarny Metalik</v>
      </c>
      <c r="E2127" s="31">
        <v>243.65853658536591</v>
      </c>
      <c r="F2127" s="31">
        <f t="shared" si="33"/>
        <v>299.70000000000005</v>
      </c>
    </row>
    <row r="2128" spans="1:6" ht="18.75" customHeight="1" x14ac:dyDescent="0.25">
      <c r="A2128" s="2" t="str">
        <f ca="1">IFERROR(__xludf.DUMMYFUNCTION("""COMPUTED_VALUE"""),"HQJ6045U8_PVDG1_U")</f>
        <v>HQJ6045U8_PVDG1_U</v>
      </c>
      <c r="B2128" s="3">
        <f ca="1">IFERROR(__xludf.DUMMYFUNCTION("""COMPUTED_VALUE"""),53156)</f>
        <v>53156</v>
      </c>
      <c r="C2128" s="3"/>
      <c r="D2128" s="4" t="str">
        <f ca="1">IFERROR(__xludf.DUMMYFUNCTION("""COMPUTED_VALUE"""),"Zlewozmywak granitowy Logan 100 Czarny Metalik")</f>
        <v>Zlewozmywak granitowy Logan 100 Czarny Metalik</v>
      </c>
      <c r="E2128" s="31">
        <v>288.78048780487808</v>
      </c>
      <c r="F2128" s="31">
        <f t="shared" si="33"/>
        <v>355.20000000000005</v>
      </c>
    </row>
    <row r="2129" spans="1:6" ht="18.75" customHeight="1" x14ac:dyDescent="0.25">
      <c r="A2129" s="2" t="str">
        <f ca="1">IFERROR(__xludf.DUMMYFUNCTION("""COMPUTED_VALUE"""),"HQJ6045U8_PVDC1_U")</f>
        <v>HQJ6045U8_PVDC1_U</v>
      </c>
      <c r="B2129" s="3">
        <f ca="1">IFERROR(__xludf.DUMMYFUNCTION("""COMPUTED_VALUE"""),53157)</f>
        <v>53157</v>
      </c>
      <c r="C2129" s="3"/>
      <c r="D2129" s="4" t="str">
        <f ca="1">IFERROR(__xludf.DUMMYFUNCTION("""COMPUTED_VALUE"""),"Zlewozmywak granitowy Logan 100 Czarny Metalik")</f>
        <v>Zlewozmywak granitowy Logan 100 Czarny Metalik</v>
      </c>
      <c r="E2129" s="31">
        <v>288.78048780487808</v>
      </c>
      <c r="F2129" s="31">
        <f t="shared" si="33"/>
        <v>355.20000000000005</v>
      </c>
    </row>
    <row r="2130" spans="1:6" ht="18.75" customHeight="1" x14ac:dyDescent="0.25">
      <c r="A2130" s="2" t="str">
        <f ca="1">IFERROR(__xludf.DUMMYFUNCTION("""COMPUTED_VALUE"""),"HQJ6045U5_BS_U")</f>
        <v>HQJ6045U5_BS_U</v>
      </c>
      <c r="B2130" s="3">
        <f ca="1">IFERROR(__xludf.DUMMYFUNCTION("""COMPUTED_VALUE"""),53143)</f>
        <v>53143</v>
      </c>
      <c r="C2130" s="3"/>
      <c r="D2130" s="4" t="str">
        <f ca="1">IFERROR(__xludf.DUMMYFUNCTION("""COMPUTED_VALUE"""),"Zlewozmywak granitowy Logan 100 Szary Metalik")</f>
        <v>Zlewozmywak granitowy Logan 100 Szary Metalik</v>
      </c>
      <c r="E2130" s="31">
        <v>243.65853658536591</v>
      </c>
      <c r="F2130" s="31">
        <f t="shared" si="33"/>
        <v>299.70000000000005</v>
      </c>
    </row>
    <row r="2131" spans="1:6" ht="18.75" customHeight="1" x14ac:dyDescent="0.25">
      <c r="A2131" s="2" t="str">
        <f ca="1">IFERROR(__xludf.DUMMYFUNCTION("""COMPUTED_VALUE"""),"HQJ6045U5_PVDG1_U")</f>
        <v>HQJ6045U5_PVDG1_U</v>
      </c>
      <c r="B2131" s="3">
        <f ca="1">IFERROR(__xludf.DUMMYFUNCTION("""COMPUTED_VALUE"""),53144)</f>
        <v>53144</v>
      </c>
      <c r="C2131" s="3"/>
      <c r="D2131" s="4" t="str">
        <f ca="1">IFERROR(__xludf.DUMMYFUNCTION("""COMPUTED_VALUE"""),"Zlewozmywak granitowy Logan 100 Szary Metalik")</f>
        <v>Zlewozmywak granitowy Logan 100 Szary Metalik</v>
      </c>
      <c r="E2131" s="31">
        <v>288.78048780487808</v>
      </c>
      <c r="F2131" s="31">
        <f t="shared" si="33"/>
        <v>355.20000000000005</v>
      </c>
    </row>
    <row r="2132" spans="1:6" ht="18.75" customHeight="1" x14ac:dyDescent="0.25">
      <c r="A2132" s="2" t="str">
        <f ca="1">IFERROR(__xludf.DUMMYFUNCTION("""COMPUTED_VALUE"""),"HQJ6045U5_PVDC1_U")</f>
        <v>HQJ6045U5_PVDC1_U</v>
      </c>
      <c r="B2132" s="3">
        <f ca="1">IFERROR(__xludf.DUMMYFUNCTION("""COMPUTED_VALUE"""),53145)</f>
        <v>53145</v>
      </c>
      <c r="C2132" s="3"/>
      <c r="D2132" s="4" t="str">
        <f ca="1">IFERROR(__xludf.DUMMYFUNCTION("""COMPUTED_VALUE"""),"Zlewozmywak granitowy Logan 100 Szary Metalik")</f>
        <v>Zlewozmywak granitowy Logan 100 Szary Metalik</v>
      </c>
      <c r="E2132" s="31">
        <v>288.78048780487808</v>
      </c>
      <c r="F2132" s="31">
        <f t="shared" si="33"/>
        <v>355.20000000000005</v>
      </c>
    </row>
    <row r="2133" spans="1:6" ht="18.75" customHeight="1" x14ac:dyDescent="0.25">
      <c r="A2133" s="2" t="str">
        <f ca="1">IFERROR(__xludf.DUMMYFUNCTION("""COMPUTED_VALUE"""),"HQD7644U4_BS_U")</f>
        <v>HQD7644U4_BS_U</v>
      </c>
      <c r="B2133" s="3">
        <f ca="1">IFERROR(__xludf.DUMMYFUNCTION("""COMPUTED_VALUE"""),53135)</f>
        <v>53135</v>
      </c>
      <c r="C2133" s="3"/>
      <c r="D2133" s="4" t="str">
        <f ca="1">IFERROR(__xludf.DUMMYFUNCTION("""COMPUTED_VALUE"""),"Zlewozmywak granitowy Logan 110 Beż")</f>
        <v>Zlewozmywak granitowy Logan 110 Beż</v>
      </c>
      <c r="E2133" s="31">
        <v>309.53658536585368</v>
      </c>
      <c r="F2133" s="31">
        <f t="shared" si="33"/>
        <v>380.73</v>
      </c>
    </row>
    <row r="2134" spans="1:6" ht="18.75" customHeight="1" x14ac:dyDescent="0.25">
      <c r="A2134" s="2" t="str">
        <f ca="1">IFERROR(__xludf.DUMMYFUNCTION("""COMPUTED_VALUE"""),"HQD7644U4_PVDG1_U")</f>
        <v>HQD7644U4_PVDG1_U</v>
      </c>
      <c r="B2134" s="3">
        <f ca="1">IFERROR(__xludf.DUMMYFUNCTION("""COMPUTED_VALUE"""),53136)</f>
        <v>53136</v>
      </c>
      <c r="C2134" s="3"/>
      <c r="D2134" s="4" t="str">
        <f ca="1">IFERROR(__xludf.DUMMYFUNCTION("""COMPUTED_VALUE"""),"Zlewozmywak granitowy Logan 110 Beż")</f>
        <v>Zlewozmywak granitowy Logan 110 Beż</v>
      </c>
      <c r="E2134" s="31">
        <v>353.7560975609756</v>
      </c>
      <c r="F2134" s="31">
        <f t="shared" si="33"/>
        <v>435.12</v>
      </c>
    </row>
    <row r="2135" spans="1:6" ht="18.75" customHeight="1" x14ac:dyDescent="0.25">
      <c r="A2135" s="2" t="str">
        <f ca="1">IFERROR(__xludf.DUMMYFUNCTION("""COMPUTED_VALUE"""),"HQD7644U4_PVDC1_U")</f>
        <v>HQD7644U4_PVDC1_U</v>
      </c>
      <c r="B2135" s="3">
        <f ca="1">IFERROR(__xludf.DUMMYFUNCTION("""COMPUTED_VALUE"""),53137)</f>
        <v>53137</v>
      </c>
      <c r="C2135" s="3"/>
      <c r="D2135" s="4" t="str">
        <f ca="1">IFERROR(__xludf.DUMMYFUNCTION("""COMPUTED_VALUE"""),"Zlewozmywak granitowy Logan 110 Beż")</f>
        <v>Zlewozmywak granitowy Logan 110 Beż</v>
      </c>
      <c r="E2135" s="31">
        <v>353.7560975609756</v>
      </c>
      <c r="F2135" s="31">
        <f t="shared" si="33"/>
        <v>435.12</v>
      </c>
    </row>
    <row r="2136" spans="1:6" ht="18.75" customHeight="1" x14ac:dyDescent="0.25">
      <c r="A2136" s="2" t="str">
        <f ca="1">IFERROR(__xludf.DUMMYFUNCTION("""COMPUTED_VALUE"""),"HQD7644U1_BS_U")</f>
        <v>HQD7644U1_BS_U</v>
      </c>
      <c r="B2136" s="3">
        <f ca="1">IFERROR(__xludf.DUMMYFUNCTION("""COMPUTED_VALUE"""),53139)</f>
        <v>53139</v>
      </c>
      <c r="C2136" s="3"/>
      <c r="D2136" s="4" t="str">
        <f ca="1">IFERROR(__xludf.DUMMYFUNCTION("""COMPUTED_VALUE"""),"Zlewozmywak granitowy Logan 110 Biały")</f>
        <v>Zlewozmywak granitowy Logan 110 Biały</v>
      </c>
      <c r="E2136" s="31">
        <v>309.53658536585368</v>
      </c>
      <c r="F2136" s="31">
        <f t="shared" si="33"/>
        <v>380.73</v>
      </c>
    </row>
    <row r="2137" spans="1:6" ht="18.75" customHeight="1" x14ac:dyDescent="0.25">
      <c r="A2137" s="2" t="str">
        <f ca="1">IFERROR(__xludf.DUMMYFUNCTION("""COMPUTED_VALUE"""),"HQD7644U1_PVDG1_U")</f>
        <v>HQD7644U1_PVDG1_U</v>
      </c>
      <c r="B2137" s="3">
        <f ca="1">IFERROR(__xludf.DUMMYFUNCTION("""COMPUTED_VALUE"""),53140)</f>
        <v>53140</v>
      </c>
      <c r="C2137" s="3"/>
      <c r="D2137" s="4" t="str">
        <f ca="1">IFERROR(__xludf.DUMMYFUNCTION("""COMPUTED_VALUE"""),"Zlewozmywak granitowy Logan 110 Biały")</f>
        <v>Zlewozmywak granitowy Logan 110 Biały</v>
      </c>
      <c r="E2137" s="31">
        <v>353.7560975609756</v>
      </c>
      <c r="F2137" s="31">
        <f t="shared" si="33"/>
        <v>435.12</v>
      </c>
    </row>
    <row r="2138" spans="1:6" ht="18.75" customHeight="1" x14ac:dyDescent="0.25">
      <c r="A2138" s="2" t="str">
        <f ca="1">IFERROR(__xludf.DUMMYFUNCTION("""COMPUTED_VALUE"""),"HQD7644U1_PVDC1_U")</f>
        <v>HQD7644U1_PVDC1_U</v>
      </c>
      <c r="B2138" s="3">
        <f ca="1">IFERROR(__xludf.DUMMYFUNCTION("""COMPUTED_VALUE"""),53141)</f>
        <v>53141</v>
      </c>
      <c r="C2138" s="3"/>
      <c r="D2138" s="4" t="str">
        <f ca="1">IFERROR(__xludf.DUMMYFUNCTION("""COMPUTED_VALUE"""),"Zlewozmywak granitowy Logan 110 Biały")</f>
        <v>Zlewozmywak granitowy Logan 110 Biały</v>
      </c>
      <c r="E2138" s="31">
        <v>353.7560975609756</v>
      </c>
      <c r="F2138" s="31">
        <f t="shared" si="33"/>
        <v>435.12</v>
      </c>
    </row>
    <row r="2139" spans="1:6" ht="18.75" customHeight="1" x14ac:dyDescent="0.25">
      <c r="A2139" s="2" t="str">
        <f ca="1">IFERROR(__xludf.DUMMYFUNCTION("""COMPUTED_VALUE"""),"HQD7644U7_PVDG1_U")</f>
        <v>HQD7644U7_PVDG1_U</v>
      </c>
      <c r="B2139" s="3">
        <f ca="1">IFERROR(__xludf.DUMMYFUNCTION("""COMPUTED_VALUE"""),53116)</f>
        <v>53116</v>
      </c>
      <c r="C2139" s="3"/>
      <c r="D2139" s="4" t="str">
        <f ca="1">IFERROR(__xludf.DUMMYFUNCTION("""COMPUTED_VALUE"""),"Zlewozmywak granitowy Logan 110 Czarny")</f>
        <v>Zlewozmywak granitowy Logan 110 Czarny</v>
      </c>
      <c r="E2139" s="31">
        <v>348.34146341463418</v>
      </c>
      <c r="F2139" s="31">
        <f t="shared" si="33"/>
        <v>428.46000000000004</v>
      </c>
    </row>
    <row r="2140" spans="1:6" ht="18.75" customHeight="1" x14ac:dyDescent="0.25">
      <c r="A2140" s="2" t="str">
        <f ca="1">IFERROR(__xludf.DUMMYFUNCTION("""COMPUTED_VALUE"""),"HQD7644U7_PVDC1_U")</f>
        <v>HQD7644U7_PVDC1_U</v>
      </c>
      <c r="B2140" s="3">
        <f ca="1">IFERROR(__xludf.DUMMYFUNCTION("""COMPUTED_VALUE"""),53117)</f>
        <v>53117</v>
      </c>
      <c r="C2140" s="3"/>
      <c r="D2140" s="4" t="str">
        <f ca="1">IFERROR(__xludf.DUMMYFUNCTION("""COMPUTED_VALUE"""),"Zlewozmywak granitowy Logan 110 Czarny")</f>
        <v>Zlewozmywak granitowy Logan 110 Czarny</v>
      </c>
      <c r="E2140" s="31">
        <v>348.34146341463418</v>
      </c>
      <c r="F2140" s="31">
        <f t="shared" si="33"/>
        <v>428.46000000000004</v>
      </c>
    </row>
    <row r="2141" spans="1:6" ht="18.75" customHeight="1" x14ac:dyDescent="0.25">
      <c r="A2141" s="2" t="str">
        <f ca="1">IFERROR(__xludf.DUMMYFUNCTION("""COMPUTED_VALUE"""),"HQD7644U7_BLM_U")</f>
        <v>HQD7644U7_BLM_U</v>
      </c>
      <c r="B2141" s="3">
        <f ca="1">IFERROR(__xludf.DUMMYFUNCTION("""COMPUTED_VALUE"""),53122)</f>
        <v>53122</v>
      </c>
      <c r="C2141" s="3"/>
      <c r="D2141" s="4" t="str">
        <f ca="1">IFERROR(__xludf.DUMMYFUNCTION("""COMPUTED_VALUE"""),"Zlewozmywak granitowy Logan 110 Czarny")</f>
        <v>Zlewozmywak granitowy Logan 110 Czarny</v>
      </c>
      <c r="E2141" s="31">
        <v>348.34146341463418</v>
      </c>
      <c r="F2141" s="31">
        <f t="shared" si="33"/>
        <v>428.46000000000004</v>
      </c>
    </row>
    <row r="2142" spans="1:6" ht="18.75" customHeight="1" x14ac:dyDescent="0.25">
      <c r="A2142" s="2" t="str">
        <f ca="1">IFERROR(__xludf.DUMMYFUNCTION("""COMPUTED_VALUE"""),"HQD7644U8_BS_U")</f>
        <v>HQD7644U8_BS_U</v>
      </c>
      <c r="B2142" s="3">
        <f ca="1">IFERROR(__xludf.DUMMYFUNCTION("""COMPUTED_VALUE"""),53129)</f>
        <v>53129</v>
      </c>
      <c r="C2142" s="3"/>
      <c r="D2142" s="4" t="str">
        <f ca="1">IFERROR(__xludf.DUMMYFUNCTION("""COMPUTED_VALUE"""),"Zlewozmywak granitowy Logan 110 Czarny Metalik")</f>
        <v>Zlewozmywak granitowy Logan 110 Czarny Metalik</v>
      </c>
      <c r="E2142" s="31">
        <v>309.53658536585368</v>
      </c>
      <c r="F2142" s="31">
        <f t="shared" si="33"/>
        <v>380.73</v>
      </c>
    </row>
    <row r="2143" spans="1:6" ht="18.75" customHeight="1" x14ac:dyDescent="0.25">
      <c r="A2143" s="2" t="str">
        <f ca="1">IFERROR(__xludf.DUMMYFUNCTION("""COMPUTED_VALUE"""),"HQD7644U8_PVDG1_U")</f>
        <v>HQD7644U8_PVDG1_U</v>
      </c>
      <c r="B2143" s="3">
        <f ca="1">IFERROR(__xludf.DUMMYFUNCTION("""COMPUTED_VALUE"""),53126)</f>
        <v>53126</v>
      </c>
      <c r="C2143" s="3"/>
      <c r="D2143" s="4" t="str">
        <f ca="1">IFERROR(__xludf.DUMMYFUNCTION("""COMPUTED_VALUE"""),"Zlewozmywak granitowy Logan 110 Czarny Metalik")</f>
        <v>Zlewozmywak granitowy Logan 110 Czarny Metalik</v>
      </c>
      <c r="E2143" s="31">
        <v>353.7560975609756</v>
      </c>
      <c r="F2143" s="31">
        <f t="shared" si="33"/>
        <v>435.12</v>
      </c>
    </row>
    <row r="2144" spans="1:6" ht="18.75" customHeight="1" x14ac:dyDescent="0.25">
      <c r="A2144" s="2" t="str">
        <f ca="1">IFERROR(__xludf.DUMMYFUNCTION("""COMPUTED_VALUE"""),"HQD7644U8_PVDC1_U")</f>
        <v>HQD7644U8_PVDC1_U</v>
      </c>
      <c r="B2144" s="3">
        <f ca="1">IFERROR(__xludf.DUMMYFUNCTION("""COMPUTED_VALUE"""),53127)</f>
        <v>53127</v>
      </c>
      <c r="C2144" s="3"/>
      <c r="D2144" s="4" t="str">
        <f ca="1">IFERROR(__xludf.DUMMYFUNCTION("""COMPUTED_VALUE"""),"Zlewozmywak granitowy Logan 110 Czarny Metalik")</f>
        <v>Zlewozmywak granitowy Logan 110 Czarny Metalik</v>
      </c>
      <c r="E2144" s="31">
        <v>353.7560975609756</v>
      </c>
      <c r="F2144" s="31">
        <f t="shared" si="33"/>
        <v>435.12</v>
      </c>
    </row>
    <row r="2145" spans="1:6" ht="18.75" customHeight="1" x14ac:dyDescent="0.25">
      <c r="A2145" s="2" t="str">
        <f ca="1">IFERROR(__xludf.DUMMYFUNCTION("""COMPUTED_VALUE"""),"HQD7644U5_BS_U")</f>
        <v>HQD7644U5_BS_U</v>
      </c>
      <c r="B2145" s="3">
        <f ca="1">IFERROR(__xludf.DUMMYFUNCTION("""COMPUTED_VALUE"""),53131)</f>
        <v>53131</v>
      </c>
      <c r="C2145" s="3"/>
      <c r="D2145" s="4" t="str">
        <f ca="1">IFERROR(__xludf.DUMMYFUNCTION("""COMPUTED_VALUE"""),"Zlewozmywak granitowy Logan 110 Szary Metalik")</f>
        <v>Zlewozmywak granitowy Logan 110 Szary Metalik</v>
      </c>
      <c r="E2145" s="31">
        <v>309.53658536585368</v>
      </c>
      <c r="F2145" s="31">
        <f t="shared" si="33"/>
        <v>380.73</v>
      </c>
    </row>
    <row r="2146" spans="1:6" ht="18.75" customHeight="1" x14ac:dyDescent="0.25">
      <c r="A2146" s="2" t="str">
        <f ca="1">IFERROR(__xludf.DUMMYFUNCTION("""COMPUTED_VALUE"""),"HQD7644U5_PVDG1_U")</f>
        <v>HQD7644U5_PVDG1_U</v>
      </c>
      <c r="B2146" s="3">
        <f ca="1">IFERROR(__xludf.DUMMYFUNCTION("""COMPUTED_VALUE"""),53132)</f>
        <v>53132</v>
      </c>
      <c r="C2146" s="3"/>
      <c r="D2146" s="4" t="str">
        <f ca="1">IFERROR(__xludf.DUMMYFUNCTION("""COMPUTED_VALUE"""),"Zlewozmywak granitowy Logan 110 Szary Metalik")</f>
        <v>Zlewozmywak granitowy Logan 110 Szary Metalik</v>
      </c>
      <c r="E2146" s="31">
        <v>353.7560975609756</v>
      </c>
      <c r="F2146" s="31">
        <f t="shared" si="33"/>
        <v>435.12</v>
      </c>
    </row>
    <row r="2147" spans="1:6" ht="18.75" customHeight="1" x14ac:dyDescent="0.25">
      <c r="A2147" s="2" t="str">
        <f ca="1">IFERROR(__xludf.DUMMYFUNCTION("""COMPUTED_VALUE"""),"HQD7644U5_PVDC1_U")</f>
        <v>HQD7644U5_PVDC1_U</v>
      </c>
      <c r="B2147" s="3">
        <f ca="1">IFERROR(__xludf.DUMMYFUNCTION("""COMPUTED_VALUE"""),53133)</f>
        <v>53133</v>
      </c>
      <c r="C2147" s="3"/>
      <c r="D2147" s="4" t="str">
        <f ca="1">IFERROR(__xludf.DUMMYFUNCTION("""COMPUTED_VALUE"""),"Zlewozmywak granitowy Logan 110 Szary Metalik")</f>
        <v>Zlewozmywak granitowy Logan 110 Szary Metalik</v>
      </c>
      <c r="E2147" s="31">
        <v>353.7560975609756</v>
      </c>
      <c r="F2147" s="31">
        <f t="shared" si="33"/>
        <v>435.12</v>
      </c>
    </row>
    <row r="2148" spans="1:6" ht="18.75" customHeight="1" x14ac:dyDescent="0.25">
      <c r="A2148" s="2" t="str">
        <f ca="1">IFERROR(__xludf.DUMMYFUNCTION("""COMPUTED_VALUE"""),"HCQL5646U4-BS_U")</f>
        <v>HCQL5646U4-BS_U</v>
      </c>
      <c r="B2148" s="3">
        <f ca="1">IFERROR(__xludf.DUMMYFUNCTION("""COMPUTED_VALUE"""),53168)</f>
        <v>53168</v>
      </c>
      <c r="C2148" s="3"/>
      <c r="D2148" s="4" t="str">
        <f ca="1">IFERROR(__xludf.DUMMYFUNCTION("""COMPUTED_VALUE"""),"Zlewozmywak granitowy Logan 150 Beż")</f>
        <v>Zlewozmywak granitowy Logan 150 Beż</v>
      </c>
      <c r="E2148" s="31">
        <v>270.73170731707319</v>
      </c>
      <c r="F2148" s="31">
        <f t="shared" si="33"/>
        <v>333</v>
      </c>
    </row>
    <row r="2149" spans="1:6" ht="18.75" customHeight="1" x14ac:dyDescent="0.25">
      <c r="A2149" s="2" t="str">
        <f ca="1">IFERROR(__xludf.DUMMYFUNCTION("""COMPUTED_VALUE"""),"HCQL5646U4-G1_U")</f>
        <v>HCQL5646U4-G1_U</v>
      </c>
      <c r="B2149" s="3">
        <f ca="1">IFERROR(__xludf.DUMMYFUNCTION("""COMPUTED_VALUE"""),53169)</f>
        <v>53169</v>
      </c>
      <c r="C2149" s="3"/>
      <c r="D2149" s="4" t="str">
        <f ca="1">IFERROR(__xludf.DUMMYFUNCTION("""COMPUTED_VALUE"""),"Zlewozmywak granitowy Logan 150 Beż")</f>
        <v>Zlewozmywak granitowy Logan 150 Beż</v>
      </c>
      <c r="E2149" s="31">
        <v>362.78048780487808</v>
      </c>
      <c r="F2149" s="31">
        <f t="shared" si="33"/>
        <v>446.22</v>
      </c>
    </row>
    <row r="2150" spans="1:6" ht="18.75" customHeight="1" x14ac:dyDescent="0.25">
      <c r="A2150" s="2" t="str">
        <f ca="1">IFERROR(__xludf.DUMMYFUNCTION("""COMPUTED_VALUE"""),"HCQL5646U4-C1_U")</f>
        <v>HCQL5646U4-C1_U</v>
      </c>
      <c r="B2150" s="3">
        <f ca="1">IFERROR(__xludf.DUMMYFUNCTION("""COMPUTED_VALUE"""),53170)</f>
        <v>53170</v>
      </c>
      <c r="C2150" s="3"/>
      <c r="D2150" s="4" t="str">
        <f ca="1">IFERROR(__xludf.DUMMYFUNCTION("""COMPUTED_VALUE"""),"Zlewozmywak granitowy Logan 150 Beż")</f>
        <v>Zlewozmywak granitowy Logan 150 Beż</v>
      </c>
      <c r="E2150" s="31">
        <v>362.78048780487808</v>
      </c>
      <c r="F2150" s="31">
        <f t="shared" si="33"/>
        <v>446.22</v>
      </c>
    </row>
    <row r="2151" spans="1:6" ht="18.75" customHeight="1" x14ac:dyDescent="0.25">
      <c r="A2151" s="2" t="str">
        <f ca="1">IFERROR(__xludf.DUMMYFUNCTION("""COMPUTED_VALUE"""),"HCQL5646U1-BS_U")</f>
        <v>HCQL5646U1-BS_U</v>
      </c>
      <c r="B2151" s="3">
        <f ca="1">IFERROR(__xludf.DUMMYFUNCTION("""COMPUTED_VALUE"""),53172)</f>
        <v>53172</v>
      </c>
      <c r="C2151" s="3"/>
      <c r="D2151" s="4" t="str">
        <f ca="1">IFERROR(__xludf.DUMMYFUNCTION("""COMPUTED_VALUE"""),"Zlewozmywak granitowy Logan 150 Biały")</f>
        <v>Zlewozmywak granitowy Logan 150 Biały</v>
      </c>
      <c r="E2151" s="31">
        <v>270.73170731707319</v>
      </c>
      <c r="F2151" s="31">
        <f t="shared" si="33"/>
        <v>333</v>
      </c>
    </row>
    <row r="2152" spans="1:6" ht="18.75" customHeight="1" x14ac:dyDescent="0.25">
      <c r="A2152" s="2" t="str">
        <f ca="1">IFERROR(__xludf.DUMMYFUNCTION("""COMPUTED_VALUE"""),"HCQL5646U1-G1_U")</f>
        <v>HCQL5646U1-G1_U</v>
      </c>
      <c r="B2152" s="3">
        <f ca="1">IFERROR(__xludf.DUMMYFUNCTION("""COMPUTED_VALUE"""),53173)</f>
        <v>53173</v>
      </c>
      <c r="C2152" s="3"/>
      <c r="D2152" s="4" t="str">
        <f ca="1">IFERROR(__xludf.DUMMYFUNCTION("""COMPUTED_VALUE"""),"Zlewozmywak granitowy Logan 150 Biały")</f>
        <v>Zlewozmywak granitowy Logan 150 Biały</v>
      </c>
      <c r="E2152" s="31">
        <v>362.78048780487808</v>
      </c>
      <c r="F2152" s="31">
        <f t="shared" si="33"/>
        <v>446.22</v>
      </c>
    </row>
    <row r="2153" spans="1:6" ht="18.75" customHeight="1" x14ac:dyDescent="0.25">
      <c r="A2153" s="2" t="str">
        <f ca="1">IFERROR(__xludf.DUMMYFUNCTION("""COMPUTED_VALUE"""),"HCQL5646U1-C1_U")</f>
        <v>HCQL5646U1-C1_U</v>
      </c>
      <c r="B2153" s="3">
        <f ca="1">IFERROR(__xludf.DUMMYFUNCTION("""COMPUTED_VALUE"""),53174)</f>
        <v>53174</v>
      </c>
      <c r="C2153" s="3"/>
      <c r="D2153" s="4" t="str">
        <f ca="1">IFERROR(__xludf.DUMMYFUNCTION("""COMPUTED_VALUE"""),"Zlewozmywak granitowy Logan 150 Biały")</f>
        <v>Zlewozmywak granitowy Logan 150 Biały</v>
      </c>
      <c r="E2153" s="31">
        <v>362.78048780487808</v>
      </c>
      <c r="F2153" s="31">
        <f t="shared" si="33"/>
        <v>446.22</v>
      </c>
    </row>
    <row r="2154" spans="1:6" ht="18.75" customHeight="1" x14ac:dyDescent="0.25">
      <c r="A2154" s="2" t="str">
        <f ca="1">IFERROR(__xludf.DUMMYFUNCTION("""COMPUTED_VALUE"""),"HCQL5646U7-G1_U")</f>
        <v>HCQL5646U7-G1_U</v>
      </c>
      <c r="B2154" s="3">
        <f ca="1">IFERROR(__xludf.DUMMYFUNCTION("""COMPUTED_VALUE"""),53181)</f>
        <v>53181</v>
      </c>
      <c r="C2154" s="3"/>
      <c r="D2154" s="4" t="str">
        <f ca="1">IFERROR(__xludf.DUMMYFUNCTION("""COMPUTED_VALUE"""),"Zlewozmywak granitowy Logan 150 Czarny")</f>
        <v>Zlewozmywak granitowy Logan 150 Czarny</v>
      </c>
      <c r="E2154" s="31">
        <v>362.78048780487808</v>
      </c>
      <c r="F2154" s="31">
        <f t="shared" si="33"/>
        <v>446.22</v>
      </c>
    </row>
    <row r="2155" spans="1:6" ht="18.75" customHeight="1" x14ac:dyDescent="0.25">
      <c r="A2155" s="2" t="str">
        <f ca="1">IFERROR(__xludf.DUMMYFUNCTION("""COMPUTED_VALUE"""),"HCQL5646U7-C1_U")</f>
        <v>HCQL5646U7-C1_U</v>
      </c>
      <c r="B2155" s="3">
        <f ca="1">IFERROR(__xludf.DUMMYFUNCTION("""COMPUTED_VALUE"""),53182)</f>
        <v>53182</v>
      </c>
      <c r="C2155" s="3"/>
      <c r="D2155" s="4" t="str">
        <f ca="1">IFERROR(__xludf.DUMMYFUNCTION("""COMPUTED_VALUE"""),"Zlewozmywak granitowy Logan 150 Czarny")</f>
        <v>Zlewozmywak granitowy Logan 150 Czarny</v>
      </c>
      <c r="E2155" s="31">
        <v>362.78048780487808</v>
      </c>
      <c r="F2155" s="31">
        <f t="shared" si="33"/>
        <v>446.22</v>
      </c>
    </row>
    <row r="2156" spans="1:6" ht="18.75" customHeight="1" x14ac:dyDescent="0.25">
      <c r="A2156" s="2" t="str">
        <f ca="1">IFERROR(__xludf.DUMMYFUNCTION("""COMPUTED_VALUE"""),"HCQL5646U7-BLM_U")</f>
        <v>HCQL5646U7-BLM_U</v>
      </c>
      <c r="B2156" s="3">
        <f ca="1">IFERROR(__xludf.DUMMYFUNCTION("""COMPUTED_VALUE"""),53183)</f>
        <v>53183</v>
      </c>
      <c r="C2156" s="3"/>
      <c r="D2156" s="4" t="str">
        <f ca="1">IFERROR(__xludf.DUMMYFUNCTION("""COMPUTED_VALUE"""),"Zlewozmywak granitowy Logan 150 Czarny")</f>
        <v>Zlewozmywak granitowy Logan 150 Czarny</v>
      </c>
      <c r="E2156" s="31">
        <v>388.95121951219517</v>
      </c>
      <c r="F2156" s="31">
        <f t="shared" si="33"/>
        <v>478.41</v>
      </c>
    </row>
    <row r="2157" spans="1:6" ht="18.75" customHeight="1" x14ac:dyDescent="0.25">
      <c r="A2157" s="2" t="str">
        <f ca="1">IFERROR(__xludf.DUMMYFUNCTION("""COMPUTED_VALUE"""),"HCQL5646U8-BS_U")</f>
        <v>HCQL5646U8-BS_U</v>
      </c>
      <c r="B2157" s="3">
        <f ca="1">IFERROR(__xludf.DUMMYFUNCTION("""COMPUTED_VALUE"""),53176)</f>
        <v>53176</v>
      </c>
      <c r="C2157" s="3"/>
      <c r="D2157" s="4" t="str">
        <f ca="1">IFERROR(__xludf.DUMMYFUNCTION("""COMPUTED_VALUE"""),"Zlewozmywak granitowy Logan 150 Czarny Metalik")</f>
        <v>Zlewozmywak granitowy Logan 150 Czarny Metalik</v>
      </c>
      <c r="E2157" s="31">
        <v>270.73170731707319</v>
      </c>
      <c r="F2157" s="31">
        <f t="shared" si="33"/>
        <v>333</v>
      </c>
    </row>
    <row r="2158" spans="1:6" ht="18.75" customHeight="1" x14ac:dyDescent="0.25">
      <c r="A2158" s="2" t="str">
        <f ca="1">IFERROR(__xludf.DUMMYFUNCTION("""COMPUTED_VALUE"""),"HCQL5646U8-G1_U")</f>
        <v>HCQL5646U8-G1_U</v>
      </c>
      <c r="B2158" s="3">
        <f ca="1">IFERROR(__xludf.DUMMYFUNCTION("""COMPUTED_VALUE"""),53177)</f>
        <v>53177</v>
      </c>
      <c r="C2158" s="3"/>
      <c r="D2158" s="4" t="str">
        <f ca="1">IFERROR(__xludf.DUMMYFUNCTION("""COMPUTED_VALUE"""),"Zlewozmywak granitowy Logan 150 Czarny Metalik")</f>
        <v>Zlewozmywak granitowy Logan 150 Czarny Metalik</v>
      </c>
      <c r="E2158" s="31">
        <v>362.78048780487808</v>
      </c>
      <c r="F2158" s="31">
        <f t="shared" si="33"/>
        <v>446.22</v>
      </c>
    </row>
    <row r="2159" spans="1:6" ht="18.75" customHeight="1" x14ac:dyDescent="0.25">
      <c r="A2159" s="2" t="str">
        <f ca="1">IFERROR(__xludf.DUMMYFUNCTION("""COMPUTED_VALUE"""),"HCQL5646U8-C1_U")</f>
        <v>HCQL5646U8-C1_U</v>
      </c>
      <c r="B2159" s="3">
        <f ca="1">IFERROR(__xludf.DUMMYFUNCTION("""COMPUTED_VALUE"""),53178)</f>
        <v>53178</v>
      </c>
      <c r="C2159" s="3"/>
      <c r="D2159" s="4" t="str">
        <f ca="1">IFERROR(__xludf.DUMMYFUNCTION("""COMPUTED_VALUE"""),"Zlewozmywak granitowy Logan 150 Czarny Metalik")</f>
        <v>Zlewozmywak granitowy Logan 150 Czarny Metalik</v>
      </c>
      <c r="E2159" s="31">
        <v>362.78048780487808</v>
      </c>
      <c r="F2159" s="31">
        <f t="shared" si="33"/>
        <v>446.22</v>
      </c>
    </row>
    <row r="2160" spans="1:6" ht="18.75" customHeight="1" x14ac:dyDescent="0.25">
      <c r="A2160" s="2" t="str">
        <f ca="1">IFERROR(__xludf.DUMMYFUNCTION("""COMPUTED_VALUE"""),"HCQL5646U5-BS_U")</f>
        <v>HCQL5646U5-BS_U</v>
      </c>
      <c r="B2160" s="3">
        <f ca="1">IFERROR(__xludf.DUMMYFUNCTION("""COMPUTED_VALUE"""),53164)</f>
        <v>53164</v>
      </c>
      <c r="C2160" s="3"/>
      <c r="D2160" s="4" t="str">
        <f ca="1">IFERROR(__xludf.DUMMYFUNCTION("""COMPUTED_VALUE"""),"Zlewozmywak granitowy Logan 150 Szary Metalik")</f>
        <v>Zlewozmywak granitowy Logan 150 Szary Metalik</v>
      </c>
      <c r="E2160" s="31">
        <v>270.73170731707319</v>
      </c>
      <c r="F2160" s="31">
        <f t="shared" si="33"/>
        <v>333</v>
      </c>
    </row>
    <row r="2161" spans="1:6" ht="18.75" customHeight="1" x14ac:dyDescent="0.25">
      <c r="A2161" s="2" t="str">
        <f ca="1">IFERROR(__xludf.DUMMYFUNCTION("""COMPUTED_VALUE"""),"HCQL5646U5-G1_U")</f>
        <v>HCQL5646U5-G1_U</v>
      </c>
      <c r="B2161" s="3">
        <f ca="1">IFERROR(__xludf.DUMMYFUNCTION("""COMPUTED_VALUE"""),53165)</f>
        <v>53165</v>
      </c>
      <c r="C2161" s="3"/>
      <c r="D2161" s="4" t="str">
        <f ca="1">IFERROR(__xludf.DUMMYFUNCTION("""COMPUTED_VALUE"""),"Zlewozmywak granitowy Logan 150 Szary Metalik")</f>
        <v>Zlewozmywak granitowy Logan 150 Szary Metalik</v>
      </c>
      <c r="E2161" s="31">
        <v>362.78048780487808</v>
      </c>
      <c r="F2161" s="31">
        <f t="shared" si="33"/>
        <v>446.22</v>
      </c>
    </row>
    <row r="2162" spans="1:6" ht="18.75" customHeight="1" x14ac:dyDescent="0.25">
      <c r="A2162" s="2" t="str">
        <f ca="1">IFERROR(__xludf.DUMMYFUNCTION("""COMPUTED_VALUE"""),"HCQL5646U5-C1_U")</f>
        <v>HCQL5646U5-C1_U</v>
      </c>
      <c r="B2162" s="3">
        <f ca="1">IFERROR(__xludf.DUMMYFUNCTION("""COMPUTED_VALUE"""),53166)</f>
        <v>53166</v>
      </c>
      <c r="C2162" s="3"/>
      <c r="D2162" s="4" t="str">
        <f ca="1">IFERROR(__xludf.DUMMYFUNCTION("""COMPUTED_VALUE"""),"Zlewozmywak granitowy Logan 150 Szary Metalik")</f>
        <v>Zlewozmywak granitowy Logan 150 Szary Metalik</v>
      </c>
      <c r="E2162" s="31">
        <v>362.78048780487808</v>
      </c>
      <c r="F2162" s="31">
        <f t="shared" si="33"/>
        <v>446.22</v>
      </c>
    </row>
    <row r="2163" spans="1:6" ht="18.75" customHeight="1" x14ac:dyDescent="0.25">
      <c r="A2163" s="2" t="str">
        <f ca="1">IFERROR(__xludf.DUMMYFUNCTION("""COMPUTED_VALUE"""),"HQM7650U4_BS")</f>
        <v>HQM7650U4_BS</v>
      </c>
      <c r="B2163" s="3">
        <f ca="1">IFERROR(__xludf.DUMMYFUNCTION("""COMPUTED_VALUE"""),53231)</f>
        <v>53231</v>
      </c>
      <c r="C2163" s="3"/>
      <c r="D2163" s="4" t="str">
        <f ca="1">IFERROR(__xludf.DUMMYFUNCTION("""COMPUTED_VALUE"""),"Zlewozmywak granitowy MARC 110 WORKSTATION beż")</f>
        <v>Zlewozmywak granitowy MARC 110 WORKSTATION beż</v>
      </c>
      <c r="E2163" s="31">
        <v>401.58536585365857</v>
      </c>
      <c r="F2163" s="31">
        <f t="shared" si="33"/>
        <v>493.95000000000005</v>
      </c>
    </row>
    <row r="2164" spans="1:6" ht="18.75" customHeight="1" x14ac:dyDescent="0.25">
      <c r="A2164" s="2" t="str">
        <f ca="1">IFERROR(__xludf.DUMMYFUNCTION("""COMPUTED_VALUE"""),"HQM7650U4_PVDG1")</f>
        <v>HQM7650U4_PVDG1</v>
      </c>
      <c r="B2164" s="3">
        <f ca="1">IFERROR(__xludf.DUMMYFUNCTION("""COMPUTED_VALUE"""),53232)</f>
        <v>53232</v>
      </c>
      <c r="C2164" s="3"/>
      <c r="D2164" s="4" t="str">
        <f ca="1">IFERROR(__xludf.DUMMYFUNCTION("""COMPUTED_VALUE"""),"Zlewozmywak granitowy MARC 110 WORKSTATION beż")</f>
        <v>Zlewozmywak granitowy MARC 110 WORKSTATION beż</v>
      </c>
      <c r="E2164" s="31">
        <v>454.82926829268297</v>
      </c>
      <c r="F2164" s="31">
        <f t="shared" si="33"/>
        <v>559.44000000000005</v>
      </c>
    </row>
    <row r="2165" spans="1:6" ht="18.75" customHeight="1" x14ac:dyDescent="0.25">
      <c r="A2165" s="2" t="str">
        <f ca="1">IFERROR(__xludf.DUMMYFUNCTION("""COMPUTED_VALUE"""),"HQM7650U4_PVDC1")</f>
        <v>HQM7650U4_PVDC1</v>
      </c>
      <c r="B2165" s="3">
        <f ca="1">IFERROR(__xludf.DUMMYFUNCTION("""COMPUTED_VALUE"""),53233)</f>
        <v>53233</v>
      </c>
      <c r="C2165" s="3"/>
      <c r="D2165" s="4" t="str">
        <f ca="1">IFERROR(__xludf.DUMMYFUNCTION("""COMPUTED_VALUE"""),"Zlewozmywak granitowy MARC 110 WORKSTATION beż")</f>
        <v>Zlewozmywak granitowy MARC 110 WORKSTATION beż</v>
      </c>
      <c r="E2165" s="31">
        <v>454.82926829268297</v>
      </c>
      <c r="F2165" s="31">
        <f t="shared" si="33"/>
        <v>559.44000000000005</v>
      </c>
    </row>
    <row r="2166" spans="1:6" ht="18.75" customHeight="1" x14ac:dyDescent="0.25">
      <c r="A2166" s="2" t="str">
        <f ca="1">IFERROR(__xludf.DUMMYFUNCTION("""COMPUTED_VALUE"""),"HQM7650U1_BS")</f>
        <v>HQM7650U1_BS</v>
      </c>
      <c r="B2166" s="3">
        <f ca="1">IFERROR(__xludf.DUMMYFUNCTION("""COMPUTED_VALUE"""),53239)</f>
        <v>53239</v>
      </c>
      <c r="C2166" s="3"/>
      <c r="D2166" s="4" t="str">
        <f ca="1">IFERROR(__xludf.DUMMYFUNCTION("""COMPUTED_VALUE"""),"Zlewozmywak granitowy MARC 110 WORKSTATION biały")</f>
        <v>Zlewozmywak granitowy MARC 110 WORKSTATION biały</v>
      </c>
      <c r="E2166" s="31">
        <v>401.58536585365857</v>
      </c>
      <c r="F2166" s="31">
        <f t="shared" si="33"/>
        <v>493.95000000000005</v>
      </c>
    </row>
    <row r="2167" spans="1:6" ht="18.75" customHeight="1" x14ac:dyDescent="0.25">
      <c r="A2167" s="2" t="str">
        <f ca="1">IFERROR(__xludf.DUMMYFUNCTION("""COMPUTED_VALUE"""),"HQM7650U1_PVDG1")</f>
        <v>HQM7650U1_PVDG1</v>
      </c>
      <c r="B2167" s="3">
        <f ca="1">IFERROR(__xludf.DUMMYFUNCTION("""COMPUTED_VALUE"""),53240)</f>
        <v>53240</v>
      </c>
      <c r="C2167" s="3"/>
      <c r="D2167" s="4" t="str">
        <f ca="1">IFERROR(__xludf.DUMMYFUNCTION("""COMPUTED_VALUE"""),"Zlewozmywak granitowy MARC 110 WORKSTATION biały")</f>
        <v>Zlewozmywak granitowy MARC 110 WORKSTATION biały</v>
      </c>
      <c r="E2167" s="31">
        <v>454.82926829268297</v>
      </c>
      <c r="F2167" s="31">
        <f t="shared" si="33"/>
        <v>559.44000000000005</v>
      </c>
    </row>
    <row r="2168" spans="1:6" ht="18.75" customHeight="1" x14ac:dyDescent="0.25">
      <c r="A2168" s="2" t="str">
        <f ca="1">IFERROR(__xludf.DUMMYFUNCTION("""COMPUTED_VALUE"""),"HQM7650U1_PVDC1")</f>
        <v>HQM7650U1_PVDC1</v>
      </c>
      <c r="B2168" s="3">
        <f ca="1">IFERROR(__xludf.DUMMYFUNCTION("""COMPUTED_VALUE"""),53241)</f>
        <v>53241</v>
      </c>
      <c r="C2168" s="3"/>
      <c r="D2168" s="4" t="str">
        <f ca="1">IFERROR(__xludf.DUMMYFUNCTION("""COMPUTED_VALUE"""),"Zlewozmywak granitowy MARC 110 WORKSTATION biały")</f>
        <v>Zlewozmywak granitowy MARC 110 WORKSTATION biały</v>
      </c>
      <c r="E2168" s="31">
        <v>401.58536585365857</v>
      </c>
      <c r="F2168" s="31">
        <f t="shared" si="33"/>
        <v>493.95000000000005</v>
      </c>
    </row>
    <row r="2169" spans="1:6" ht="18.75" customHeight="1" x14ac:dyDescent="0.25">
      <c r="A2169" s="2" t="str">
        <f ca="1">IFERROR(__xludf.DUMMYFUNCTION("""COMPUTED_VALUE"""),"HQM7650U7_BS")</f>
        <v>HQM7650U7_BS</v>
      </c>
      <c r="B2169" s="3">
        <f ca="1">IFERROR(__xludf.DUMMYFUNCTION("""COMPUTED_VALUE"""),53222)</f>
        <v>53222</v>
      </c>
      <c r="C2169" s="3"/>
      <c r="D2169" s="4" t="str">
        <f ca="1">IFERROR(__xludf.DUMMYFUNCTION("""COMPUTED_VALUE"""),"Zlewozmywak granitowy MARC 110 WORKSTATION Czarny")</f>
        <v>Zlewozmywak granitowy MARC 110 WORKSTATION Czarny</v>
      </c>
      <c r="E2169" s="31">
        <v>428.65853658536588</v>
      </c>
      <c r="F2169" s="31">
        <f t="shared" si="33"/>
        <v>527.25</v>
      </c>
    </row>
    <row r="2170" spans="1:6" ht="18.75" customHeight="1" x14ac:dyDescent="0.25">
      <c r="A2170" s="2" t="str">
        <f ca="1">IFERROR(__xludf.DUMMYFUNCTION("""COMPUTED_VALUE"""),"HQM7650U7_PVDG1")</f>
        <v>HQM7650U7_PVDG1</v>
      </c>
      <c r="B2170" s="3">
        <f ca="1">IFERROR(__xludf.DUMMYFUNCTION("""COMPUTED_VALUE"""),53223)</f>
        <v>53223</v>
      </c>
      <c r="C2170" s="3"/>
      <c r="D2170" s="4" t="str">
        <f ca="1">IFERROR(__xludf.DUMMYFUNCTION("""COMPUTED_VALUE"""),"Zlewozmywak granitowy MARC 110 WORKSTATION Czarny")</f>
        <v>Zlewozmywak granitowy MARC 110 WORKSTATION Czarny</v>
      </c>
      <c r="E2170" s="31">
        <v>481</v>
      </c>
      <c r="F2170" s="31">
        <f t="shared" si="33"/>
        <v>591.63</v>
      </c>
    </row>
    <row r="2171" spans="1:6" ht="18.75" customHeight="1" x14ac:dyDescent="0.25">
      <c r="A2171" s="2" t="str">
        <f ca="1">IFERROR(__xludf.DUMMYFUNCTION("""COMPUTED_VALUE"""),"HQM7650U7_PVDC1")</f>
        <v>HQM7650U7_PVDC1</v>
      </c>
      <c r="B2171" s="3">
        <f ca="1">IFERROR(__xludf.DUMMYFUNCTION("""COMPUTED_VALUE"""),53224)</f>
        <v>53224</v>
      </c>
      <c r="C2171" s="3"/>
      <c r="D2171" s="4" t="str">
        <f ca="1">IFERROR(__xludf.DUMMYFUNCTION("""COMPUTED_VALUE"""),"Zlewozmywak granitowy MARC 110 WORKSTATION Czarny")</f>
        <v>Zlewozmywak granitowy MARC 110 WORKSTATION Czarny</v>
      </c>
      <c r="E2171" s="31">
        <v>481</v>
      </c>
      <c r="F2171" s="31">
        <f t="shared" si="33"/>
        <v>591.63</v>
      </c>
    </row>
    <row r="2172" spans="1:6" ht="18.75" customHeight="1" x14ac:dyDescent="0.25">
      <c r="A2172" s="2" t="str">
        <f ca="1">IFERROR(__xludf.DUMMYFUNCTION("""COMPUTED_VALUE"""),"HQM7650U8_BS")</f>
        <v>HQM7650U8_BS</v>
      </c>
      <c r="B2172" s="3">
        <f ca="1">IFERROR(__xludf.DUMMYFUNCTION("""COMPUTED_VALUE"""),53227)</f>
        <v>53227</v>
      </c>
      <c r="C2172" s="3"/>
      <c r="D2172" s="4" t="str">
        <f ca="1">IFERROR(__xludf.DUMMYFUNCTION("""COMPUTED_VALUE"""),"Zlewozmywak granitowy MARC 110 WORKSTATION Czarny Metalik")</f>
        <v>Zlewozmywak granitowy MARC 110 WORKSTATION Czarny Metalik</v>
      </c>
      <c r="E2172" s="31">
        <v>401.58536585365857</v>
      </c>
      <c r="F2172" s="31">
        <f t="shared" si="33"/>
        <v>493.95000000000005</v>
      </c>
    </row>
    <row r="2173" spans="1:6" ht="18.75" customHeight="1" x14ac:dyDescent="0.25">
      <c r="A2173" s="2" t="str">
        <f ca="1">IFERROR(__xludf.DUMMYFUNCTION("""COMPUTED_VALUE"""),"HQM7650U8_PVDG1")</f>
        <v>HQM7650U8_PVDG1</v>
      </c>
      <c r="B2173" s="3">
        <f ca="1">IFERROR(__xludf.DUMMYFUNCTION("""COMPUTED_VALUE"""),53228)</f>
        <v>53228</v>
      </c>
      <c r="C2173" s="3"/>
      <c r="D2173" s="4" t="str">
        <f ca="1">IFERROR(__xludf.DUMMYFUNCTION("""COMPUTED_VALUE"""),"Zlewozmywak granitowy MARC 110 WORKSTATION Czarny Metalik")</f>
        <v>Zlewozmywak granitowy MARC 110 WORKSTATION Czarny Metalik</v>
      </c>
      <c r="E2173" s="31">
        <v>454.82926829268297</v>
      </c>
      <c r="F2173" s="31">
        <f t="shared" si="33"/>
        <v>559.44000000000005</v>
      </c>
    </row>
    <row r="2174" spans="1:6" ht="18.75" customHeight="1" x14ac:dyDescent="0.25">
      <c r="A2174" s="2" t="str">
        <f ca="1">IFERROR(__xludf.DUMMYFUNCTION("""COMPUTED_VALUE"""),"HQM7650U8_PVDC1")</f>
        <v>HQM7650U8_PVDC1</v>
      </c>
      <c r="B2174" s="3">
        <f ca="1">IFERROR(__xludf.DUMMYFUNCTION("""COMPUTED_VALUE"""),53229)</f>
        <v>53229</v>
      </c>
      <c r="C2174" s="3"/>
      <c r="D2174" s="4" t="str">
        <f ca="1">IFERROR(__xludf.DUMMYFUNCTION("""COMPUTED_VALUE"""),"Zlewozmywak granitowy MARC 110 WORKSTATION Czarny Metalik")</f>
        <v>Zlewozmywak granitowy MARC 110 WORKSTATION Czarny Metalik</v>
      </c>
      <c r="E2174" s="31">
        <v>454.82926829268297</v>
      </c>
      <c r="F2174" s="31">
        <f t="shared" si="33"/>
        <v>559.44000000000005</v>
      </c>
    </row>
    <row r="2175" spans="1:6" ht="18.75" customHeight="1" x14ac:dyDescent="0.25">
      <c r="A2175" s="2" t="str">
        <f ca="1">IFERROR(__xludf.DUMMYFUNCTION("""COMPUTED_VALUE"""),"HQM7650U5_PVDG1")</f>
        <v>HQM7650U5_PVDG1</v>
      </c>
      <c r="B2175" s="3">
        <f ca="1">IFERROR(__xludf.DUMMYFUNCTION("""COMPUTED_VALUE"""),53236)</f>
        <v>53236</v>
      </c>
      <c r="C2175" s="3"/>
      <c r="D2175" s="4" t="str">
        <f ca="1">IFERROR(__xludf.DUMMYFUNCTION("""COMPUTED_VALUE"""),"Zlewozmywak granitowy MARC 110 WORKSTATION Szary Metalik")</f>
        <v>Zlewozmywak granitowy MARC 110 WORKSTATION Szary Metalik</v>
      </c>
      <c r="E2175" s="31">
        <v>454.82926829268297</v>
      </c>
      <c r="F2175" s="31">
        <f t="shared" si="33"/>
        <v>559.44000000000005</v>
      </c>
    </row>
    <row r="2176" spans="1:6" ht="18.75" customHeight="1" x14ac:dyDescent="0.25">
      <c r="A2176" s="2" t="str">
        <f ca="1">IFERROR(__xludf.DUMMYFUNCTION("""COMPUTED_VALUE"""),"HQM7650U5_PVDC1")</f>
        <v>HQM7650U5_PVDC1</v>
      </c>
      <c r="B2176" s="3">
        <f ca="1">IFERROR(__xludf.DUMMYFUNCTION("""COMPUTED_VALUE"""),53237)</f>
        <v>53237</v>
      </c>
      <c r="C2176" s="3"/>
      <c r="D2176" s="4" t="str">
        <f ca="1">IFERROR(__xludf.DUMMYFUNCTION("""COMPUTED_VALUE"""),"Zlewozmywak granitowy MARC 110 WORKSTATION Szary Metalik")</f>
        <v>Zlewozmywak granitowy MARC 110 WORKSTATION Szary Metalik</v>
      </c>
      <c r="E2176" s="31">
        <v>454.82926829268297</v>
      </c>
      <c r="F2176" s="31">
        <f t="shared" si="33"/>
        <v>559.44000000000005</v>
      </c>
    </row>
    <row r="2177" spans="1:6" ht="18.75" customHeight="1" x14ac:dyDescent="0.25">
      <c r="A2177" s="2" t="str">
        <f ca="1">IFERROR(__xludf.DUMMYFUNCTION("""COMPUTED_VALUE"""),"ZLE-00110")</f>
        <v>ZLE-00110</v>
      </c>
      <c r="B2177" s="3">
        <f ca="1">IFERROR(__xludf.DUMMYFUNCTION("""COMPUTED_VALUE"""),45288)</f>
        <v>45288</v>
      </c>
      <c r="C2177" s="3">
        <f ca="1">IFERROR(__xludf.DUMMYFUNCTION("""COMPUTED_VALUE"""),5902557375646)</f>
        <v>5902557375646</v>
      </c>
      <c r="D2177" s="4" t="str">
        <f ca="1">IFERROR(__xludf.DUMMYFUNCTION("""COMPUTED_VALUE"""),"ZLEWOZMYWAK GRANITOWY NELS BIAŁY 56X46 +SYFON")</f>
        <v>ZLEWOZMYWAK GRANITOWY NELS BIAŁY 56X46 +SYFON</v>
      </c>
      <c r="E2177" s="31">
        <v>120.02439024390245</v>
      </c>
      <c r="F2177" s="31">
        <f t="shared" ref="F2177:F2240" si="34">E2177*1.23</f>
        <v>147.63</v>
      </c>
    </row>
    <row r="2178" spans="1:6" ht="18.75" customHeight="1" x14ac:dyDescent="0.25">
      <c r="A2178" s="2" t="str">
        <f ca="1">IFERROR(__xludf.DUMMYFUNCTION("""COMPUTED_VALUE"""),"ZLE-00109")</f>
        <v>ZLE-00109</v>
      </c>
      <c r="B2178" s="3">
        <f ca="1">IFERROR(__xludf.DUMMYFUNCTION("""COMPUTED_VALUE"""),45289)</f>
        <v>45289</v>
      </c>
      <c r="C2178" s="3">
        <f ca="1">IFERROR(__xludf.DUMMYFUNCTION("""COMPUTED_VALUE"""),5902557375639)</f>
        <v>5902557375639</v>
      </c>
      <c r="D2178" s="4" t="str">
        <f ca="1">IFERROR(__xludf.DUMMYFUNCTION("""COMPUTED_VALUE"""),"ZLEWOZMYWAK GRANITOWY NELS CZARNY 56X46 +SYFON")</f>
        <v>ZLEWOZMYWAK GRANITOWY NELS CZARNY 56X46 +SYFON</v>
      </c>
      <c r="E2178" s="31">
        <v>127.24390243902441</v>
      </c>
      <c r="F2178" s="31">
        <f t="shared" si="34"/>
        <v>156.51000000000002</v>
      </c>
    </row>
    <row r="2179" spans="1:6" ht="18.75" customHeight="1" x14ac:dyDescent="0.25">
      <c r="A2179" s="2" t="str">
        <f ca="1">IFERROR(__xludf.DUMMYFUNCTION("""COMPUTED_VALUE"""),"ZLE-00114")</f>
        <v>ZLE-00114</v>
      </c>
      <c r="B2179" s="3">
        <f ca="1">IFERROR(__xludf.DUMMYFUNCTION("""COMPUTED_VALUE"""),52342)</f>
        <v>52342</v>
      </c>
      <c r="C2179" s="3">
        <f ca="1">IFERROR(__xludf.DUMMYFUNCTION("""COMPUTED_VALUE"""),5902557398218)</f>
        <v>5902557398218</v>
      </c>
      <c r="D2179" s="4" t="str">
        <f ca="1">IFERROR(__xludf.DUMMYFUNCTION("""COMPUTED_VALUE"""),"ZLEWOZMYWAK GRANITOWY NELS CZARNY NAKR 56X46+SYFON")</f>
        <v>ZLEWOZMYWAK GRANITOWY NELS CZARNY NAKR 56X46+SYFON</v>
      </c>
      <c r="E2179" s="31">
        <v>111.90243902439025</v>
      </c>
      <c r="F2179" s="31">
        <f t="shared" si="34"/>
        <v>137.64000000000001</v>
      </c>
    </row>
    <row r="2180" spans="1:6" ht="18.75" customHeight="1" x14ac:dyDescent="0.25">
      <c r="A2180" s="2" t="str">
        <f ca="1">IFERROR(__xludf.DUMMYFUNCTION("""COMPUTED_VALUE"""),"ZLE-00118")</f>
        <v>ZLE-00118</v>
      </c>
      <c r="B2180" s="3">
        <f ca="1">IFERROR(__xludf.DUMMYFUNCTION("""COMPUTED_VALUE"""),52402)</f>
        <v>52402</v>
      </c>
      <c r="C2180" s="3">
        <f ca="1">IFERROR(__xludf.DUMMYFUNCTION("""COMPUTED_VALUE"""),5902557398546)</f>
        <v>5902557398546</v>
      </c>
      <c r="D2180" s="4" t="str">
        <f ca="1">IFERROR(__xludf.DUMMYFUNCTION("""COMPUTED_VALUE"""),"ZLEWOZMYWAK GRANITOWY NELS SZARY+SYFON")</f>
        <v>ZLEWOZMYWAK GRANITOWY NELS SZARY+SYFON</v>
      </c>
      <c r="E2180" s="31">
        <v>127.24390243902441</v>
      </c>
      <c r="F2180" s="31">
        <f t="shared" si="34"/>
        <v>156.51000000000002</v>
      </c>
    </row>
    <row r="2181" spans="1:6" ht="18.75" customHeight="1" x14ac:dyDescent="0.25">
      <c r="A2181" s="2" t="str">
        <f ca="1">IFERROR(__xludf.DUMMYFUNCTION("""COMPUTED_VALUE"""),"ZLE-00119")</f>
        <v>ZLE-00119</v>
      </c>
      <c r="B2181" s="3">
        <f ca="1">IFERROR(__xludf.DUMMYFUNCTION("""COMPUTED_VALUE"""),52403)</f>
        <v>52403</v>
      </c>
      <c r="C2181" s="3">
        <f ca="1">IFERROR(__xludf.DUMMYFUNCTION("""COMPUTED_VALUE"""),5902557375745)</f>
        <v>5902557375745</v>
      </c>
      <c r="D2181" s="4" t="str">
        <f ca="1">IFERROR(__xludf.DUMMYFUNCTION("""COMPUTED_VALUE"""),"ZLEWOZMYWAK GRANITOWY NORTH SZARY+ SYFON")</f>
        <v>ZLEWOZMYWAK GRANITOWY NORTH SZARY+ SYFON</v>
      </c>
      <c r="E2181" s="31">
        <v>124.53658536585368</v>
      </c>
      <c r="F2181" s="31">
        <f t="shared" si="34"/>
        <v>153.18000000000004</v>
      </c>
    </row>
    <row r="2182" spans="1:6" ht="18.75" customHeight="1" x14ac:dyDescent="0.25">
      <c r="A2182" s="2" t="str">
        <f ca="1">IFERROR(__xludf.DUMMYFUNCTION("""COMPUTED_VALUE"""),"ZLE-00103")</f>
        <v>ZLE-00103</v>
      </c>
      <c r="B2182" s="3">
        <f ca="1">IFERROR(__xludf.DUMMYFUNCTION("""COMPUTED_VALUE"""),45278)</f>
        <v>45278</v>
      </c>
      <c r="C2182" s="3">
        <f ca="1">IFERROR(__xludf.DUMMYFUNCTION("""COMPUTED_VALUE"""),5902557375578)</f>
        <v>5902557375578</v>
      </c>
      <c r="D2182" s="4" t="str">
        <f ca="1">IFERROR(__xludf.DUMMYFUNCTION("""COMPUTED_VALUE"""),"ZLEWOZMYWAK GRANITOWY RINO CZARNY 52X49+SYFON")</f>
        <v>ZLEWOZMYWAK GRANITOWY RINO CZARNY 52X49+SYFON</v>
      </c>
      <c r="E2182" s="31">
        <v>95.658536585365866</v>
      </c>
      <c r="F2182" s="31">
        <f t="shared" si="34"/>
        <v>117.66000000000001</v>
      </c>
    </row>
    <row r="2183" spans="1:6" ht="18.75" customHeight="1" x14ac:dyDescent="0.25">
      <c r="A2183" s="2" t="str">
        <f ca="1">IFERROR(__xludf.DUMMYFUNCTION("""COMPUTED_VALUE"""),"ZLE-00104")</f>
        <v>ZLE-00104</v>
      </c>
      <c r="B2183" s="3">
        <f ca="1">IFERROR(__xludf.DUMMYFUNCTION("""COMPUTED_VALUE"""),45280)</f>
        <v>45280</v>
      </c>
      <c r="C2183" s="3">
        <f ca="1">IFERROR(__xludf.DUMMYFUNCTION("""COMPUTED_VALUE"""),5902557375585)</f>
        <v>5902557375585</v>
      </c>
      <c r="D2183" s="4" t="str">
        <f ca="1">IFERROR(__xludf.DUMMYFUNCTION("""COMPUTED_VALUE"""),"ZLEWOZMYWAK GRANITOWY RINO CZARNY NAKR.52X49+SYFON")</f>
        <v>ZLEWOZMYWAK GRANITOWY RINO CZARNY NAKR.52X49+SYFON</v>
      </c>
      <c r="E2183" s="31">
        <v>95.658536585365866</v>
      </c>
      <c r="F2183" s="31">
        <f t="shared" si="34"/>
        <v>117.66000000000001</v>
      </c>
    </row>
    <row r="2184" spans="1:6" ht="18.75" customHeight="1" x14ac:dyDescent="0.25">
      <c r="A2184" s="2" t="str">
        <f ca="1">IFERROR(__xludf.DUMMYFUNCTION("""COMPUTED_VALUE"""),"ZLE-00108")</f>
        <v>ZLE-00108</v>
      </c>
      <c r="B2184" s="3">
        <f ca="1">IFERROR(__xludf.DUMMYFUNCTION("""COMPUTED_VALUE"""),45297)</f>
        <v>45297</v>
      </c>
      <c r="C2184" s="3">
        <f ca="1">IFERROR(__xludf.DUMMYFUNCTION("""COMPUTED_VALUE"""),5902557375622)</f>
        <v>5902557375622</v>
      </c>
      <c r="D2184" s="4" t="str">
        <f ca="1">IFERROR(__xludf.DUMMYFUNCTION("""COMPUTED_VALUE"""),"ZLEWOZMYWAK GRANITOWY STEN BEŻ 80X48 +SYFON")</f>
        <v>ZLEWOZMYWAK GRANITOWY STEN BEŻ 80X48 +SYFON</v>
      </c>
      <c r="E2184" s="31">
        <v>120.02439024390245</v>
      </c>
      <c r="F2184" s="31">
        <f t="shared" si="34"/>
        <v>147.63</v>
      </c>
    </row>
    <row r="2185" spans="1:6" ht="18.75" customHeight="1" x14ac:dyDescent="0.25">
      <c r="A2185" s="2" t="str">
        <f ca="1">IFERROR(__xludf.DUMMYFUNCTION("""COMPUTED_VALUE"""),"ZLE-00106")</f>
        <v>ZLE-00106</v>
      </c>
      <c r="B2185" s="3">
        <f ca="1">IFERROR(__xludf.DUMMYFUNCTION("""COMPUTED_VALUE"""),45298)</f>
        <v>45298</v>
      </c>
      <c r="C2185" s="3">
        <f ca="1">IFERROR(__xludf.DUMMYFUNCTION("""COMPUTED_VALUE"""),5902557375608)</f>
        <v>5902557375608</v>
      </c>
      <c r="D2185" s="4" t="str">
        <f ca="1">IFERROR(__xludf.DUMMYFUNCTION("""COMPUTED_VALUE"""),"ZLEWOZMYWAK GRANITOWY STEN CZARNY 80X48 +SYFON")</f>
        <v>ZLEWOZMYWAK GRANITOWY STEN CZARNY 80X48 +SYFON</v>
      </c>
      <c r="E2185" s="31">
        <v>120.02439024390245</v>
      </c>
      <c r="F2185" s="31">
        <f t="shared" si="34"/>
        <v>147.63</v>
      </c>
    </row>
    <row r="2186" spans="1:6" ht="18.75" customHeight="1" x14ac:dyDescent="0.25">
      <c r="A2186" s="2" t="str">
        <f ca="1">IFERROR(__xludf.DUMMYFUNCTION("""COMPUTED_VALUE"""),"ZLE-00107")</f>
        <v>ZLE-00107</v>
      </c>
      <c r="B2186" s="3">
        <f ca="1">IFERROR(__xludf.DUMMYFUNCTION("""COMPUTED_VALUE"""),45299)</f>
        <v>45299</v>
      </c>
      <c r="C2186" s="3">
        <f ca="1">IFERROR(__xludf.DUMMYFUNCTION("""COMPUTED_VALUE"""),5902557375615)</f>
        <v>5902557375615</v>
      </c>
      <c r="D2186" s="4" t="str">
        <f ca="1">IFERROR(__xludf.DUMMYFUNCTION("""COMPUTED_VALUE"""),"ZLEWOZMYWAK GRANITOWY STEN CZARNY NAKRAP.80X48+SYF")</f>
        <v>ZLEWOZMYWAK GRANITOWY STEN CZARNY NAKRAP.80X48+SYF</v>
      </c>
      <c r="E2186" s="31">
        <v>120.02439024390245</v>
      </c>
      <c r="F2186" s="31">
        <f t="shared" si="34"/>
        <v>147.63</v>
      </c>
    </row>
    <row r="2187" spans="1:6" ht="18.75" customHeight="1" x14ac:dyDescent="0.25">
      <c r="A2187" s="2" t="str">
        <f ca="1">IFERROR(__xludf.DUMMYFUNCTION("""COMPUTED_VALUE"""),"ZLE-00115")</f>
        <v>ZLE-00115</v>
      </c>
      <c r="B2187" s="3">
        <f ca="1">IFERROR(__xludf.DUMMYFUNCTION("""COMPUTED_VALUE"""),52343)</f>
        <v>52343</v>
      </c>
      <c r="C2187" s="3">
        <f ca="1">IFERROR(__xludf.DUMMYFUNCTION("""COMPUTED_VALUE"""),5902557398225)</f>
        <v>5902557398225</v>
      </c>
      <c r="D2187" s="4" t="str">
        <f ca="1">IFERROR(__xludf.DUMMYFUNCTION("""COMPUTED_VALUE"""),"ZLEWOZMYWAK GRANITOWY WEST CZARNY NAKR+ SYFON")</f>
        <v>ZLEWOZMYWAK GRANITOWY WEST CZARNY NAKR+ SYFON</v>
      </c>
      <c r="E2187" s="31">
        <v>95.658536585365866</v>
      </c>
      <c r="F2187" s="31">
        <f t="shared" si="34"/>
        <v>117.66000000000001</v>
      </c>
    </row>
    <row r="2188" spans="1:6" ht="18.75" customHeight="1" x14ac:dyDescent="0.25">
      <c r="A2188" s="2" t="str">
        <f ca="1">IFERROR(__xludf.DUMMYFUNCTION("""COMPUTED_VALUE"""),"ZLE-00136")</f>
        <v>ZLE-00136</v>
      </c>
      <c r="B2188" s="3">
        <f ca="1">IFERROR(__xludf.DUMMYFUNCTION("""COMPUTED_VALUE"""),52488)</f>
        <v>52488</v>
      </c>
      <c r="C2188" s="3">
        <f ca="1">IFERROR(__xludf.DUMMYFUNCTION("""COMPUTED_VALUE"""),5902557398249)</f>
        <v>5902557398249</v>
      </c>
      <c r="D2188" s="4" t="str">
        <f ca="1">IFERROR(__xludf.DUMMYFUNCTION("""COMPUTED_VALUE"""),"ZLEWOZMYWAK GRANITOWY WEST XL CZARNY METALIK+SYFON")</f>
        <v>ZLEWOZMYWAK GRANITOWY WEST XL CZARNY METALIK+SYFON</v>
      </c>
      <c r="E2188" s="31">
        <v>124.53658536585368</v>
      </c>
      <c r="F2188" s="31">
        <f t="shared" si="34"/>
        <v>153.18000000000004</v>
      </c>
    </row>
    <row r="2189" spans="1:6" ht="18.75" customHeight="1" x14ac:dyDescent="0.25">
      <c r="A2189" s="2" t="str">
        <f ca="1">IFERROR(__xludf.DUMMYFUNCTION("""COMPUTED_VALUE"""),"ZLE-00116")</f>
        <v>ZLE-00116</v>
      </c>
      <c r="B2189" s="3">
        <f ca="1">IFERROR(__xludf.DUMMYFUNCTION("""COMPUTED_VALUE"""),52400)</f>
        <v>52400</v>
      </c>
      <c r="C2189" s="3">
        <f ca="1">IFERROR(__xludf.DUMMYFUNCTION("""COMPUTED_VALUE"""),5902557398232)</f>
        <v>5902557398232</v>
      </c>
      <c r="D2189" s="4" t="str">
        <f ca="1">IFERROR(__xludf.DUMMYFUNCTION("""COMPUTED_VALUE"""),"ZLEWOZMYWAK GRANITOWY WEST XL CZARNY NAKRAP+SYFON")</f>
        <v>ZLEWOZMYWAK GRANITOWY WEST XL CZARNY NAKRAP+SYFON</v>
      </c>
      <c r="E2189" s="31">
        <v>124.53658536585368</v>
      </c>
      <c r="F2189" s="31">
        <f t="shared" si="34"/>
        <v>153.18000000000004</v>
      </c>
    </row>
    <row r="2190" spans="1:6" ht="18.75" customHeight="1" x14ac:dyDescent="0.25">
      <c r="A2190" s="2" t="str">
        <f ca="1">IFERROR(__xludf.DUMMYFUNCTION("""COMPUTED_VALUE"""),"ZLE-00117")</f>
        <v>ZLE-00117</v>
      </c>
      <c r="B2190" s="3">
        <f ca="1">IFERROR(__xludf.DUMMYFUNCTION("""COMPUTED_VALUE"""),52401)</f>
        <v>52401</v>
      </c>
      <c r="C2190" s="3">
        <f ca="1">IFERROR(__xludf.DUMMYFUNCTION("""COMPUTED_VALUE"""),5902557398553)</f>
        <v>5902557398553</v>
      </c>
      <c r="D2190" s="4" t="str">
        <f ca="1">IFERROR(__xludf.DUMMYFUNCTION("""COMPUTED_VALUE"""),"ZLEWOZMYWAK GRANITOWY WEST XL SZARY+SYFON")</f>
        <v>ZLEWOZMYWAK GRANITOWY WEST XL SZARY+SYFON</v>
      </c>
      <c r="E2190" s="31">
        <v>124.53658536585368</v>
      </c>
      <c r="F2190" s="31">
        <f t="shared" si="34"/>
        <v>153.18000000000004</v>
      </c>
    </row>
    <row r="2191" spans="1:6" ht="18.75" customHeight="1" x14ac:dyDescent="0.25">
      <c r="A2191" s="2" t="str">
        <f ca="1">IFERROR(__xludf.DUMMYFUNCTION("""COMPUTED_VALUE"""),"ZLE-09056")</f>
        <v>ZLE-09056</v>
      </c>
      <c r="B2191" s="3">
        <f ca="1">IFERROR(__xludf.DUMMYFUNCTION("""COMPUTED_VALUE"""),53080)</f>
        <v>53080</v>
      </c>
      <c r="C2191" s="3"/>
      <c r="D2191" s="4" t="str">
        <f ca="1">IFERROR(__xludf.DUMMYFUNCTION("""COMPUTED_VALUE"""),"ZLEWOZMYWAK HB4050BS - RUSSEL 90")</f>
        <v>ZLEWOZMYWAK HB4050BS - RUSSEL 90</v>
      </c>
      <c r="E2191" s="31">
        <v>217.48780487804879</v>
      </c>
      <c r="F2191" s="31">
        <f t="shared" si="34"/>
        <v>267.51</v>
      </c>
    </row>
    <row r="2192" spans="1:6" ht="18.75" customHeight="1" x14ac:dyDescent="0.25">
      <c r="A2192" s="2" t="str">
        <f ca="1">IFERROR(__xludf.DUMMYFUNCTION("""COMPUTED_VALUE"""),"ZLE-09032")</f>
        <v>ZLE-09032</v>
      </c>
      <c r="B2192" s="3">
        <f ca="1">IFERROR(__xludf.DUMMYFUNCTION("""COMPUTED_VALUE"""),53081)</f>
        <v>53081</v>
      </c>
      <c r="C2192" s="3"/>
      <c r="D2192" s="4" t="str">
        <f ca="1">IFERROR(__xludf.DUMMYFUNCTION("""COMPUTED_VALUE"""),"ZLEWOZMYWAK HB4050PVDBSG1 - RUSSEL 90")</f>
        <v>ZLEWOZMYWAK HB4050PVDBSG1 - RUSSEL 90</v>
      </c>
      <c r="E2192" s="31">
        <v>336.60975609756099</v>
      </c>
      <c r="F2192" s="31">
        <f t="shared" si="34"/>
        <v>414.03000000000003</v>
      </c>
    </row>
    <row r="2193" spans="1:6" ht="18.75" customHeight="1" x14ac:dyDescent="0.25">
      <c r="A2193" s="2" t="str">
        <f ca="1">IFERROR(__xludf.DUMMYFUNCTION("""COMPUTED_VALUE"""),"ZLE-09030")</f>
        <v>ZLE-09030</v>
      </c>
      <c r="B2193" s="3">
        <f ca="1">IFERROR(__xludf.DUMMYFUNCTION("""COMPUTED_VALUE"""),53077)</f>
        <v>53077</v>
      </c>
      <c r="C2193" s="3"/>
      <c r="D2193" s="4" t="str">
        <f ca="1">IFERROR(__xludf.DUMMYFUNCTION("""COMPUTED_VALUE"""),"ZLEWOZMYWAK HB7910BS - RUSSEL 110")</f>
        <v>ZLEWOZMYWAK HB7910BS - RUSSEL 110</v>
      </c>
      <c r="E2193" s="31">
        <v>270.73170731707319</v>
      </c>
      <c r="F2193" s="31">
        <f t="shared" si="34"/>
        <v>333</v>
      </c>
    </row>
    <row r="2194" spans="1:6" ht="18.75" customHeight="1" x14ac:dyDescent="0.25">
      <c r="A2194" s="2" t="str">
        <f ca="1">IFERROR(__xludf.DUMMYFUNCTION("""COMPUTED_VALUE"""),"ZLE-09052")</f>
        <v>ZLE-09052</v>
      </c>
      <c r="B2194" s="3">
        <f ca="1">IFERROR(__xludf.DUMMYFUNCTION("""COMPUTED_VALUE"""),53079)</f>
        <v>53079</v>
      </c>
      <c r="C2194" s="3"/>
      <c r="D2194" s="4" t="str">
        <f ca="1">IFERROR(__xludf.DUMMYFUNCTION("""COMPUTED_VALUE"""),"ZLEWOZMYWAK HB7910PVDBSC1 - RUSSEL 110 MIEDZIANY")</f>
        <v>ZLEWOZMYWAK HB7910PVDBSC1 - RUSSEL 110 MIEDZIANY</v>
      </c>
      <c r="E2194" s="31">
        <v>412.41463414634154</v>
      </c>
      <c r="F2194" s="31">
        <f t="shared" si="34"/>
        <v>507.2700000000001</v>
      </c>
    </row>
    <row r="2195" spans="1:6" ht="18.75" customHeight="1" x14ac:dyDescent="0.25">
      <c r="A2195" s="2" t="str">
        <f ca="1">IFERROR(__xludf.DUMMYFUNCTION("""COMPUTED_VALUE"""),"ZLE-09007")</f>
        <v>ZLE-09007</v>
      </c>
      <c r="B2195" s="3">
        <f ca="1">IFERROR(__xludf.DUMMYFUNCTION("""COMPUTED_VALUE"""),53078)</f>
        <v>53078</v>
      </c>
      <c r="C2195" s="3"/>
      <c r="D2195" s="4" t="str">
        <f ca="1">IFERROR(__xludf.DUMMYFUNCTION("""COMPUTED_VALUE"""),"ZLEWOZMYWAK HB7910PVDBSG1 - RUSSEL 110 ZŁOTY")</f>
        <v>ZLEWOZMYWAK HB7910PVDBSG1 - RUSSEL 110 ZŁOTY</v>
      </c>
      <c r="E2195" s="31">
        <v>412.41463414634154</v>
      </c>
      <c r="F2195" s="31">
        <f t="shared" si="34"/>
        <v>507.2700000000001</v>
      </c>
    </row>
    <row r="2196" spans="1:6" ht="18.75" customHeight="1" x14ac:dyDescent="0.25">
      <c r="A2196" s="2" t="str">
        <f ca="1">IFERROR(__xludf.DUMMYFUNCTION("""COMPUTED_VALUE"""),"ZLE-00969")</f>
        <v>ZLE-00969</v>
      </c>
      <c r="B2196" s="3">
        <f ca="1">IFERROR(__xludf.DUMMYFUNCTION("""COMPUTED_VALUE"""),53073)</f>
        <v>53073</v>
      </c>
      <c r="C2196" s="3"/>
      <c r="D2196" s="4" t="str">
        <f ca="1">IFERROR(__xludf.DUMMYFUNCTION("""COMPUTED_VALUE"""),"ZLEWOZMYWAK HB7911PVDBSC1 - RUSSEL 116")</f>
        <v>ZLEWOZMYWAK HB7911PVDBSC1 - RUSSEL 116</v>
      </c>
      <c r="E2196" s="31">
        <v>499.04878048780495</v>
      </c>
      <c r="F2196" s="31">
        <f t="shared" si="34"/>
        <v>613.83000000000004</v>
      </c>
    </row>
    <row r="2197" spans="1:6" ht="18.75" customHeight="1" x14ac:dyDescent="0.25">
      <c r="A2197" s="2" t="str">
        <f ca="1">IFERROR(__xludf.DUMMYFUNCTION("""COMPUTED_VALUE"""),"ZLE-09038")</f>
        <v>ZLE-09038</v>
      </c>
      <c r="B2197" s="3">
        <f ca="1">IFERROR(__xludf.DUMMYFUNCTION("""COMPUTED_VALUE"""),53064)</f>
        <v>53064</v>
      </c>
      <c r="C2197" s="3"/>
      <c r="D2197" s="4" t="str">
        <f ca="1">IFERROR(__xludf.DUMMYFUNCTION("""COMPUTED_VALUE"""),"ZLEWOZMYWAK HB7912PVDBSG1 - RUSSEL 111")</f>
        <v>ZLEWOZMYWAK HB7912PVDBSG1 - RUSSEL 111</v>
      </c>
      <c r="E2197" s="31">
        <v>586.58536585365869</v>
      </c>
      <c r="F2197" s="31">
        <f t="shared" si="34"/>
        <v>721.50000000000023</v>
      </c>
    </row>
    <row r="2198" spans="1:6" ht="18.75" customHeight="1" x14ac:dyDescent="0.25">
      <c r="A2198" s="2" t="str">
        <f ca="1">IFERROR(__xludf.DUMMYFUNCTION("""COMPUTED_VALUE"""),"ZLE-90063")</f>
        <v>ZLE-90063</v>
      </c>
      <c r="B2198" s="3">
        <f ca="1">IFERROR(__xludf.DUMMYFUNCTION("""COMPUTED_VALUE"""),53097)</f>
        <v>53097</v>
      </c>
      <c r="C2198" s="3"/>
      <c r="D2198" s="4" t="str">
        <f ca="1">IFERROR(__xludf.DUMMYFUNCTION("""COMPUTED_VALUE"""),"ZLEWOZMYWAK HCQK5052BIK - KURT 110 WHITE")</f>
        <v>ZLEWOZMYWAK HCQK5052BIK - KURT 110 WHITE</v>
      </c>
      <c r="E2198" s="31">
        <v>270.73170731707319</v>
      </c>
      <c r="F2198" s="31">
        <f t="shared" si="34"/>
        <v>333</v>
      </c>
    </row>
    <row r="2199" spans="1:6" ht="18.75" customHeight="1" x14ac:dyDescent="0.25">
      <c r="A2199" s="2" t="str">
        <f ca="1">IFERROR(__xludf.DUMMYFUNCTION("""COMPUTED_VALUE"""),"ZLE-09600")</f>
        <v>ZLE-09600</v>
      </c>
      <c r="B2199" s="3">
        <f ca="1">IFERROR(__xludf.DUMMYFUNCTION("""COMPUTED_VALUE"""),53093)</f>
        <v>53093</v>
      </c>
      <c r="C2199" s="3"/>
      <c r="D2199" s="4" t="str">
        <f ca="1">IFERROR(__xludf.DUMMYFUNCTION("""COMPUTED_VALUE"""),"ZLEWOZMYWAK HCQK5052BLM_PC- KURT 110 GRANIT")</f>
        <v>ZLEWOZMYWAK HCQK5052BLM_PC- KURT 110 GRANIT</v>
      </c>
      <c r="E2199" s="31">
        <v>296.90243902439028</v>
      </c>
      <c r="F2199" s="31">
        <f t="shared" si="34"/>
        <v>365.19000000000005</v>
      </c>
    </row>
    <row r="2200" spans="1:6" ht="18.75" customHeight="1" x14ac:dyDescent="0.25">
      <c r="A2200" s="2" t="str">
        <f ca="1">IFERROR(__xludf.DUMMYFUNCTION("""COMPUTED_VALUE"""),"ZLE-09010")</f>
        <v>ZLE-09010</v>
      </c>
      <c r="B2200" s="3">
        <f ca="1">IFERROR(__xludf.DUMMYFUNCTION("""COMPUTED_VALUE"""),53096)</f>
        <v>53096</v>
      </c>
      <c r="C2200" s="3"/>
      <c r="D2200" s="4" t="str">
        <f ca="1">IFERROR(__xludf.DUMMYFUNCTION("""COMPUTED_VALUE"""),"ZLEWOZMYWAK HCQK5052CZK- KURT 110 GRANIT")</f>
        <v>ZLEWOZMYWAK HCQK5052CZK- KURT 110 GRANIT</v>
      </c>
      <c r="E2200" s="31">
        <v>270.73170731707319</v>
      </c>
      <c r="F2200" s="31">
        <f t="shared" si="34"/>
        <v>333</v>
      </c>
    </row>
    <row r="2201" spans="1:6" ht="18.75" customHeight="1" x14ac:dyDescent="0.25">
      <c r="A2201" s="2" t="str">
        <f ca="1">IFERROR(__xludf.DUMMYFUNCTION("""COMPUTED_VALUE"""),"ZLE-09040")</f>
        <v>ZLE-09040</v>
      </c>
      <c r="B2201" s="3">
        <f ca="1">IFERROR(__xludf.DUMMYFUNCTION("""COMPUTED_VALUE"""),53095)</f>
        <v>53095</v>
      </c>
      <c r="C2201" s="3"/>
      <c r="D2201" s="4" t="str">
        <f ca="1">IFERROR(__xludf.DUMMYFUNCTION("""COMPUTED_VALUE"""),"ZLEWOZMYWAK HCQK5052ST - KURT 110 BEŻ")</f>
        <v>ZLEWOZMYWAK HCQK5052ST - KURT 110 BEŻ</v>
      </c>
      <c r="E2201" s="31">
        <v>270.73170731707319</v>
      </c>
      <c r="F2201" s="31">
        <f t="shared" si="34"/>
        <v>333</v>
      </c>
    </row>
    <row r="2202" spans="1:6" ht="18.75" customHeight="1" x14ac:dyDescent="0.25">
      <c r="A2202" s="2" t="str">
        <f ca="1">IFERROR(__xludf.DUMMYFUNCTION("""COMPUTED_VALUE"""),"ZLE-09004")</f>
        <v>ZLE-09004</v>
      </c>
      <c r="B2202" s="3">
        <f ca="1">IFERROR(__xludf.DUMMYFUNCTION("""COMPUTED_VALUE"""),53094)</f>
        <v>53094</v>
      </c>
      <c r="C2202" s="3"/>
      <c r="D2202" s="4" t="str">
        <f ca="1">IFERROR(__xludf.DUMMYFUNCTION("""COMPUTED_VALUE"""),"ZLEWOZMYWAK HCQK5052SZK- KURT 110")</f>
        <v>ZLEWOZMYWAK HCQK5052SZK- KURT 110</v>
      </c>
      <c r="E2202" s="31">
        <v>270.73170731707319</v>
      </c>
      <c r="F2202" s="31">
        <f t="shared" si="34"/>
        <v>333</v>
      </c>
    </row>
    <row r="2203" spans="1:6" ht="18.75" customHeight="1" x14ac:dyDescent="0.25">
      <c r="A2203" s="2" t="str">
        <f ca="1">IFERROR(__xludf.DUMMYFUNCTION("""COMPUTED_VALUE"""),"ZLE-09006")</f>
        <v>ZLE-09006</v>
      </c>
      <c r="B2203" s="3">
        <f ca="1">IFERROR(__xludf.DUMMYFUNCTION("""COMPUTED_VALUE"""),53112)</f>
        <v>53112</v>
      </c>
      <c r="C2203" s="3"/>
      <c r="D2203" s="4" t="str">
        <f ca="1">IFERROR(__xludf.DUMMYFUNCTION("""COMPUTED_VALUE"""),"ZLEWOZMYWAK HQD5542U1-G1 - DAVID 50 WHITE")</f>
        <v>ZLEWOZMYWAK HQD5542U1-G1 - DAVID 50 WHITE</v>
      </c>
      <c r="E2203" s="31">
        <v>349.2439024390244</v>
      </c>
      <c r="F2203" s="31">
        <f t="shared" si="34"/>
        <v>429.57</v>
      </c>
    </row>
    <row r="2204" spans="1:6" ht="18.75" customHeight="1" x14ac:dyDescent="0.25">
      <c r="A2204" s="2" t="str">
        <f ca="1">IFERROR(__xludf.DUMMYFUNCTION("""COMPUTED_VALUE"""),"ZLE-09057")</f>
        <v>ZLE-09057</v>
      </c>
      <c r="B2204" s="3">
        <f ca="1">IFERROR(__xludf.DUMMYFUNCTION("""COMPUTED_VALUE"""),53107)</f>
        <v>53107</v>
      </c>
      <c r="C2204" s="3"/>
      <c r="D2204" s="4" t="str">
        <f ca="1">IFERROR(__xludf.DUMMYFUNCTION("""COMPUTED_VALUE"""),"ZLEWOZMYWAK HQD5542U5-BS - DAVID 50 GRANIT")</f>
        <v>ZLEWOZMYWAK HQD5542U5-BS - DAVID 50 GRANIT</v>
      </c>
      <c r="E2204" s="31">
        <v>257.19512195121956</v>
      </c>
      <c r="F2204" s="31">
        <f t="shared" si="34"/>
        <v>316.35000000000008</v>
      </c>
    </row>
    <row r="2205" spans="1:6" ht="18.75" customHeight="1" x14ac:dyDescent="0.25">
      <c r="A2205" s="2" t="str">
        <f ca="1">IFERROR(__xludf.DUMMYFUNCTION("""COMPUTED_VALUE"""),"ZLE-09023")</f>
        <v>ZLE-09023</v>
      </c>
      <c r="B2205" s="3">
        <f ca="1">IFERROR(__xludf.DUMMYFUNCTION("""COMPUTED_VALUE"""),53235)</f>
        <v>53235</v>
      </c>
      <c r="C2205" s="3"/>
      <c r="D2205" s="4" t="str">
        <f ca="1">IFERROR(__xludf.DUMMYFUNCTION("""COMPUTED_VALUE"""),"ZLEWOZMYWAK HQM7650U5_BS - MARC 110 GRANIT")</f>
        <v>ZLEWOZMYWAK HQM7650U5_BS - MARC 110 GRANIT</v>
      </c>
      <c r="E2205" s="31">
        <v>401.58536585365857</v>
      </c>
      <c r="F2205" s="31">
        <f t="shared" si="34"/>
        <v>493.95000000000005</v>
      </c>
    </row>
    <row r="2206" spans="1:6" ht="18.75" customHeight="1" x14ac:dyDescent="0.25">
      <c r="A2206" s="2" t="str">
        <f ca="1">IFERROR(__xludf.DUMMYFUNCTION("""COMPUTED_VALUE"""),"ZLE-00130")</f>
        <v>ZLE-00130</v>
      </c>
      <c r="B2206" s="3">
        <f ca="1">IFERROR(__xludf.DUMMYFUNCTION("""COMPUTED_VALUE"""),46414)</f>
        <v>46414</v>
      </c>
      <c r="C2206" s="3">
        <f ca="1">IFERROR(__xludf.DUMMYFUNCTION("""COMPUTED_VALUE"""),5902557375813)</f>
        <v>5902557375813</v>
      </c>
      <c r="D2206" s="4" t="str">
        <f ca="1">IFERROR(__xludf.DUMMYFUNCTION("""COMPUTED_VALUE"""),"ZLEWOZMYWAK LIN BIAŁY+ SYFON")</f>
        <v>ZLEWOZMYWAK LIN BIAŁY+ SYFON</v>
      </c>
      <c r="E2206" s="31">
        <v>120.02439024390245</v>
      </c>
      <c r="F2206" s="31">
        <f t="shared" si="34"/>
        <v>147.63</v>
      </c>
    </row>
    <row r="2207" spans="1:6" ht="18.75" customHeight="1" x14ac:dyDescent="0.25">
      <c r="A2207" s="2" t="str">
        <f ca="1">IFERROR(__xludf.DUMMYFUNCTION("""COMPUTED_VALUE"""),"ZLE-00129")</f>
        <v>ZLE-00129</v>
      </c>
      <c r="B2207" s="3">
        <f ca="1">IFERROR(__xludf.DUMMYFUNCTION("""COMPUTED_VALUE"""),46415)</f>
        <v>46415</v>
      </c>
      <c r="C2207" s="3">
        <f ca="1">IFERROR(__xludf.DUMMYFUNCTION("""COMPUTED_VALUE"""),5902557375806)</f>
        <v>5902557375806</v>
      </c>
      <c r="D2207" s="4" t="str">
        <f ca="1">IFERROR(__xludf.DUMMYFUNCTION("""COMPUTED_VALUE"""),"ZLEWOZMYWAK LIN CZARNY+ SYFON")</f>
        <v>ZLEWOZMYWAK LIN CZARNY+ SYFON</v>
      </c>
      <c r="E2207" s="31">
        <v>120.02439024390245</v>
      </c>
      <c r="F2207" s="31">
        <f t="shared" si="34"/>
        <v>147.63</v>
      </c>
    </row>
    <row r="2208" spans="1:6" ht="18.75" customHeight="1" x14ac:dyDescent="0.25">
      <c r="A2208" s="2" t="str">
        <f ca="1">IFERROR(__xludf.DUMMYFUNCTION("""COMPUTED_VALUE"""),"ZLE-00131")</f>
        <v>ZLE-00131</v>
      </c>
      <c r="B2208" s="3">
        <f ca="1">IFERROR(__xludf.DUMMYFUNCTION("""COMPUTED_VALUE"""),46416)</f>
        <v>46416</v>
      </c>
      <c r="C2208" s="3">
        <f ca="1">IFERROR(__xludf.DUMMYFUNCTION("""COMPUTED_VALUE"""),5902557375820)</f>
        <v>5902557375820</v>
      </c>
      <c r="D2208" s="4" t="str">
        <f ca="1">IFERROR(__xludf.DUMMYFUNCTION("""COMPUTED_VALUE"""),"ZLEWOZMYWAK LIN SZARY+ SYFON")</f>
        <v>ZLEWOZMYWAK LIN SZARY+ SYFON</v>
      </c>
      <c r="E2208" s="31">
        <v>120.02439024390245</v>
      </c>
      <c r="F2208" s="31">
        <f t="shared" si="34"/>
        <v>147.63</v>
      </c>
    </row>
    <row r="2209" spans="1:6" ht="18.75" customHeight="1" x14ac:dyDescent="0.25">
      <c r="A2209" s="2" t="str">
        <f ca="1">IFERROR(__xludf.DUMMYFUNCTION("""COMPUTED_VALUE"""),"ZLE-06952")</f>
        <v>ZLE-06952</v>
      </c>
      <c r="B2209" s="3">
        <f ca="1">IFERROR(__xludf.DUMMYFUNCTION("""COMPUTED_VALUE"""),53092)</f>
        <v>53092</v>
      </c>
      <c r="C2209" s="3"/>
      <c r="D2209" s="4" t="str">
        <f ca="1">IFERROR(__xludf.DUMMYFUNCTION("""COMPUTED_VALUE"""),"ZLEWOZMYWAK MF4444PVDBSC1 -  ANTHONY 50 MIEDZIANY")</f>
        <v>ZLEWOZMYWAK MF4444PVDBSC1 -  ANTHONY 50 MIEDZIANY</v>
      </c>
      <c r="E2209" s="31">
        <v>412.41463414634154</v>
      </c>
      <c r="F2209" s="31">
        <f t="shared" si="34"/>
        <v>507.2700000000001</v>
      </c>
    </row>
    <row r="2210" spans="1:6" ht="18.75" customHeight="1" x14ac:dyDescent="0.25">
      <c r="A2210" s="2" t="str">
        <f ca="1">IFERROR(__xludf.DUMMYFUNCTION("""COMPUTED_VALUE"""),"ZLE-90024")</f>
        <v>ZLE-90024</v>
      </c>
      <c r="B2210" s="3">
        <f ca="1">IFERROR(__xludf.DUMMYFUNCTION("""COMPUTED_VALUE"""),53091)</f>
        <v>53091</v>
      </c>
      <c r="C2210" s="3"/>
      <c r="D2210" s="4" t="str">
        <f ca="1">IFERROR(__xludf.DUMMYFUNCTION("""COMPUTED_VALUE"""),"ZLEWOZMYWAK MF4444PVDBSG1 - ANTHONY 50")</f>
        <v>ZLEWOZMYWAK MF4444PVDBSG1 - ANTHONY 50</v>
      </c>
      <c r="E2210" s="31">
        <v>412.41463414634154</v>
      </c>
      <c r="F2210" s="31">
        <f t="shared" si="34"/>
        <v>507.2700000000001</v>
      </c>
    </row>
    <row r="2211" spans="1:6" ht="18.75" customHeight="1" x14ac:dyDescent="0.25">
      <c r="A2211" s="2" t="str">
        <f ca="1">IFERROR(__xludf.DUMMYFUNCTION("""COMPUTED_VALUE"""),"ZLE-09017")</f>
        <v>ZLE-09017</v>
      </c>
      <c r="B2211" s="3">
        <f ca="1">IFERROR(__xludf.DUMMYFUNCTION("""COMPUTED_VALUE"""),53086)</f>
        <v>53086</v>
      </c>
      <c r="C2211" s="3"/>
      <c r="D2211" s="4" t="str">
        <f ca="1">IFERROR(__xludf.DUMMYFUNCTION("""COMPUTED_VALUE"""),"ZLEWOZMYWAK MF5444BS ANTHONY 60")</f>
        <v>ZLEWOZMYWAK MF5444BS ANTHONY 60</v>
      </c>
      <c r="E2211" s="31">
        <v>246.36585365853662</v>
      </c>
      <c r="F2211" s="31">
        <f t="shared" si="34"/>
        <v>303.03000000000003</v>
      </c>
    </row>
    <row r="2212" spans="1:6" ht="18.75" customHeight="1" x14ac:dyDescent="0.25">
      <c r="A2212" s="2" t="str">
        <f ca="1">IFERROR(__xludf.DUMMYFUNCTION("""COMPUTED_VALUE"""),"ZLE-09037")</f>
        <v>ZLE-09037</v>
      </c>
      <c r="B2212" s="3">
        <f ca="1">IFERROR(__xludf.DUMMYFUNCTION("""COMPUTED_VALUE"""),53088)</f>
        <v>53088</v>
      </c>
      <c r="C2212" s="3"/>
      <c r="D2212" s="4" t="str">
        <f ca="1">IFERROR(__xludf.DUMMYFUNCTION("""COMPUTED_VALUE"""),"ZLEWOZMYWAK MF5444PVDBSC1 -  ANTHONY 60 MIEDZIANY")</f>
        <v>ZLEWOZMYWAK MF5444PVDBSC1 -  ANTHONY 60 MIEDZIANY</v>
      </c>
      <c r="E2212" s="31">
        <v>441.29268292682929</v>
      </c>
      <c r="F2212" s="31">
        <f t="shared" si="34"/>
        <v>542.79</v>
      </c>
    </row>
    <row r="2213" spans="1:6" ht="18.75" customHeight="1" x14ac:dyDescent="0.25">
      <c r="A2213" s="2" t="str">
        <f ca="1">IFERROR(__xludf.DUMMYFUNCTION("""COMPUTED_VALUE"""),"ZLE-09039")</f>
        <v>ZLE-09039</v>
      </c>
      <c r="B2213" s="3">
        <f ca="1">IFERROR(__xludf.DUMMYFUNCTION("""COMPUTED_VALUE"""),53087)</f>
        <v>53087</v>
      </c>
      <c r="C2213" s="3"/>
      <c r="D2213" s="4" t="str">
        <f ca="1">IFERROR(__xludf.DUMMYFUNCTION("""COMPUTED_VALUE"""),"ZLEWOZMYWAK MF5444PVDBSG1 -  ANTHONY 60")</f>
        <v>ZLEWOZMYWAK MF5444PVDBSG1 -  ANTHONY 60</v>
      </c>
      <c r="E2213" s="31">
        <v>402.48780487804885</v>
      </c>
      <c r="F2213" s="31">
        <f t="shared" si="34"/>
        <v>495.06000000000006</v>
      </c>
    </row>
    <row r="2214" spans="1:6" ht="18.75" customHeight="1" x14ac:dyDescent="0.25">
      <c r="A2214" s="2" t="str">
        <f ca="1">IFERROR(__xludf.DUMMYFUNCTION("""COMPUTED_VALUE"""),"ZLE-90056")</f>
        <v>ZLE-90056</v>
      </c>
      <c r="B2214" s="3">
        <f ca="1">IFERROR(__xludf.DUMMYFUNCTION("""COMPUTED_VALUE"""),53083)</f>
        <v>53083</v>
      </c>
      <c r="C2214" s="3"/>
      <c r="D2214" s="4" t="str">
        <f ca="1">IFERROR(__xludf.DUMMYFUNCTION("""COMPUTED_VALUE"""),"ZLEWOZMYWAK MF7444BS - ANTHONY 80")</f>
        <v>ZLEWOZMYWAK MF7444BS - ANTHONY 80</v>
      </c>
      <c r="E2214" s="31">
        <v>323.07317073170736</v>
      </c>
      <c r="F2214" s="31">
        <f t="shared" si="34"/>
        <v>397.38000000000005</v>
      </c>
    </row>
    <row r="2215" spans="1:6" ht="18.75" customHeight="1" x14ac:dyDescent="0.25">
      <c r="A2215" s="2" t="str">
        <f ca="1">IFERROR(__xludf.DUMMYFUNCTION("""COMPUTED_VALUE"""),"ZLE-09069")</f>
        <v>ZLE-09069</v>
      </c>
      <c r="B2215" s="3">
        <f ca="1">IFERROR(__xludf.DUMMYFUNCTION("""COMPUTED_VALUE"""),53085)</f>
        <v>53085</v>
      </c>
      <c r="C2215" s="3">
        <f ca="1">IFERROR(__xludf.DUMMYFUNCTION("""COMPUTED_VALUE"""),5905505502507)</f>
        <v>5905505502507</v>
      </c>
      <c r="D2215" s="4" t="str">
        <f ca="1">IFERROR(__xludf.DUMMYFUNCTION("""COMPUTED_VALUE"""),"ZLEWOZMYWAK MF7444PVDBSC1 -  ANTHONY 80 MIEDZIANY")</f>
        <v>ZLEWOZMYWAK MF7444PVDBSC1 -  ANTHONY 80 MIEDZIANY</v>
      </c>
      <c r="E2215" s="31">
        <v>507.17073170731715</v>
      </c>
      <c r="F2215" s="31">
        <f t="shared" si="34"/>
        <v>623.82000000000005</v>
      </c>
    </row>
    <row r="2216" spans="1:6" ht="18.75" customHeight="1" x14ac:dyDescent="0.25">
      <c r="A2216" s="2" t="str">
        <f ca="1">IFERROR(__xludf.DUMMYFUNCTION("""COMPUTED_VALUE"""),"ZLE-90054")</f>
        <v>ZLE-90054</v>
      </c>
      <c r="B2216" s="3">
        <f ca="1">IFERROR(__xludf.DUMMYFUNCTION("""COMPUTED_VALUE"""),53084)</f>
        <v>53084</v>
      </c>
      <c r="C2216" s="3"/>
      <c r="D2216" s="4" t="str">
        <f ca="1">IFERROR(__xludf.DUMMYFUNCTION("""COMPUTED_VALUE"""),"ZLEWOZMYWAK MF7444PVDBSG1 - ANTHONY 80")</f>
        <v>ZLEWOZMYWAK MF7444PVDBSG1 - ANTHONY 80</v>
      </c>
      <c r="E2216" s="31">
        <v>462.04878048780489</v>
      </c>
      <c r="F2216" s="31">
        <f t="shared" si="34"/>
        <v>568.32000000000005</v>
      </c>
    </row>
    <row r="2217" spans="1:6" ht="18.75" customHeight="1" x14ac:dyDescent="0.25">
      <c r="A2217" s="2" t="str">
        <f ca="1">IFERROR(__xludf.DUMMYFUNCTION("""COMPUTED_VALUE"""),"ZLE-09014")</f>
        <v>ZLE-09014</v>
      </c>
      <c r="B2217" s="3">
        <f ca="1">IFERROR(__xludf.DUMMYFUNCTION("""COMPUTED_VALUE"""),53049)</f>
        <v>53049</v>
      </c>
      <c r="C2217" s="3"/>
      <c r="D2217" s="4" t="str">
        <f ca="1">IFERROR(__xludf.DUMMYFUNCTION("""COMPUTED_VALUE"""),"ZLEWOZMYWAK MF76050BS - BURT 110 NIKIEL SZCZOT")</f>
        <v>ZLEWOZMYWAK MF76050BS - BURT 110 NIKIEL SZCZOT</v>
      </c>
      <c r="E2217" s="31">
        <v>454.82926829268297</v>
      </c>
      <c r="F2217" s="31">
        <f t="shared" si="34"/>
        <v>559.44000000000005</v>
      </c>
    </row>
    <row r="2218" spans="1:6" ht="18.75" customHeight="1" x14ac:dyDescent="0.25">
      <c r="A2218" s="2" t="str">
        <f ca="1">IFERROR(__xludf.DUMMYFUNCTION("""COMPUTED_VALUE"""),"ZLE-00102")</f>
        <v>ZLE-00102</v>
      </c>
      <c r="B2218" s="3">
        <f ca="1">IFERROR(__xludf.DUMMYFUNCTION("""COMPUTED_VALUE"""),45078)</f>
        <v>45078</v>
      </c>
      <c r="C2218" s="3">
        <f ca="1">IFERROR(__xludf.DUMMYFUNCTION("""COMPUTED_VALUE"""),5902557376117)</f>
        <v>5902557376117</v>
      </c>
      <c r="D2218" s="4" t="str">
        <f ca="1">IFERROR(__xludf.DUMMYFUNCTION("""COMPUTED_VALUE"""),"ZLEWOZMYWAK NILS BEŻ - ZESTAW")</f>
        <v>ZLEWOZMYWAK NILS BEŻ - ZESTAW</v>
      </c>
      <c r="E2218" s="31">
        <v>167.85365853658539</v>
      </c>
      <c r="F2218" s="31">
        <f t="shared" si="34"/>
        <v>206.46</v>
      </c>
    </row>
    <row r="2219" spans="1:6" ht="18.75" customHeight="1" x14ac:dyDescent="0.25">
      <c r="A2219" s="2" t="str">
        <f ca="1">IFERROR(__xludf.DUMMYFUNCTION("""COMPUTED_VALUE"""),"ZLE-00100")</f>
        <v>ZLE-00100</v>
      </c>
      <c r="B2219" s="3">
        <f ca="1">IFERROR(__xludf.DUMMYFUNCTION("""COMPUTED_VALUE"""),45079)</f>
        <v>45079</v>
      </c>
      <c r="C2219" s="3">
        <f ca="1">IFERROR(__xludf.DUMMYFUNCTION("""COMPUTED_VALUE"""),5902557376131)</f>
        <v>5902557376131</v>
      </c>
      <c r="D2219" s="4" t="str">
        <f ca="1">IFERROR(__xludf.DUMMYFUNCTION("""COMPUTED_VALUE"""),"ZLEWOZMYWAK NILS CZARNY NAKRAPIANY - ZESTAW")</f>
        <v>ZLEWOZMYWAK NILS CZARNY NAKRAPIANY - ZESTAW</v>
      </c>
      <c r="E2219" s="31">
        <v>167.85365853658539</v>
      </c>
      <c r="F2219" s="31">
        <f t="shared" si="34"/>
        <v>206.46</v>
      </c>
    </row>
    <row r="2220" spans="1:6" ht="18.75" customHeight="1" x14ac:dyDescent="0.25">
      <c r="A2220" s="2" t="str">
        <f ca="1">IFERROR(__xludf.DUMMYFUNCTION("""COMPUTED_VALUE"""),"ZLE-00101")</f>
        <v>ZLE-00101</v>
      </c>
      <c r="B2220" s="3">
        <f ca="1">IFERROR(__xludf.DUMMYFUNCTION("""COMPUTED_VALUE"""),45080)</f>
        <v>45080</v>
      </c>
      <c r="C2220" s="3">
        <f ca="1">IFERROR(__xludf.DUMMYFUNCTION("""COMPUTED_VALUE"""),5902557376124)</f>
        <v>5902557376124</v>
      </c>
      <c r="D2220" s="4" t="str">
        <f ca="1">IFERROR(__xludf.DUMMYFUNCTION("""COMPUTED_VALUE"""),"ZLEWOZMYWAK NILS SZARY METALIK - ZESTAW")</f>
        <v>ZLEWOZMYWAK NILS SZARY METALIK - ZESTAW</v>
      </c>
      <c r="E2220" s="31">
        <v>167.85365853658539</v>
      </c>
      <c r="F2220" s="31">
        <f t="shared" si="34"/>
        <v>206.46</v>
      </c>
    </row>
    <row r="2221" spans="1:6" ht="18.75" customHeight="1" x14ac:dyDescent="0.25">
      <c r="A2221" s="2" t="str">
        <f ca="1">IFERROR(__xludf.DUMMYFUNCTION("""COMPUTED_VALUE"""),"ZLE-00127")</f>
        <v>ZLE-00127</v>
      </c>
      <c r="B2221" s="3">
        <f ca="1">IFERROR(__xludf.DUMMYFUNCTION("""COMPUTED_VALUE"""),46074)</f>
        <v>46074</v>
      </c>
      <c r="C2221" s="3">
        <f ca="1">IFERROR(__xludf.DUMMYFUNCTION("""COMPUTED_VALUE"""),5902557375752)</f>
        <v>5902557375752</v>
      </c>
      <c r="D2221" s="4" t="str">
        <f ca="1">IFERROR(__xludf.DUMMYFUNCTION("""COMPUTED_VALUE"""),"ZLEWOZMYWAK NORTH BIAŁY+ SYFON")</f>
        <v>ZLEWOZMYWAK NORTH BIAŁY+ SYFON</v>
      </c>
      <c r="E2221" s="31">
        <v>95.658536585365866</v>
      </c>
      <c r="F2221" s="31">
        <f t="shared" si="34"/>
        <v>117.66000000000001</v>
      </c>
    </row>
    <row r="2222" spans="1:6" ht="18.75" customHeight="1" x14ac:dyDescent="0.25">
      <c r="A2222" s="2" t="str">
        <f ca="1">IFERROR(__xludf.DUMMYFUNCTION("""COMPUTED_VALUE"""),"ZLE-00126")</f>
        <v>ZLE-00126</v>
      </c>
      <c r="B2222" s="3">
        <f ca="1">IFERROR(__xludf.DUMMYFUNCTION("""COMPUTED_VALUE"""),46144)</f>
        <v>46144</v>
      </c>
      <c r="C2222" s="3">
        <f ca="1">IFERROR(__xludf.DUMMYFUNCTION("""COMPUTED_VALUE"""),5902557375738)</f>
        <v>5902557375738</v>
      </c>
      <c r="D2222" s="4" t="str">
        <f ca="1">IFERROR(__xludf.DUMMYFUNCTION("""COMPUTED_VALUE"""),"ZLEWOZMYWAK NORTH CZARNY METALIK+ SYFON")</f>
        <v>ZLEWOZMYWAK NORTH CZARNY METALIK+ SYFON</v>
      </c>
      <c r="E2222" s="31">
        <v>84.82926829268294</v>
      </c>
      <c r="F2222" s="31">
        <f t="shared" si="34"/>
        <v>104.34000000000002</v>
      </c>
    </row>
    <row r="2223" spans="1:6" ht="18.75" customHeight="1" x14ac:dyDescent="0.25">
      <c r="A2223" s="2" t="str">
        <f ca="1">IFERROR(__xludf.DUMMYFUNCTION("""COMPUTED_VALUE"""),"ZLE-00125")</f>
        <v>ZLE-00125</v>
      </c>
      <c r="B2223" s="3">
        <f ca="1">IFERROR(__xludf.DUMMYFUNCTION("""COMPUTED_VALUE"""),46397)</f>
        <v>46397</v>
      </c>
      <c r="C2223" s="3">
        <f ca="1">IFERROR(__xludf.DUMMYFUNCTION("""COMPUTED_VALUE"""),5902557375974)</f>
        <v>5902557375974</v>
      </c>
      <c r="D2223" s="4" t="str">
        <f ca="1">IFERROR(__xludf.DUMMYFUNCTION("""COMPUTED_VALUE"""),"ZLEWOZMYWAK NORTH CZARNY NAKRAPIANY+ SYFON")</f>
        <v>ZLEWOZMYWAK NORTH CZARNY NAKRAPIANY+ SYFON</v>
      </c>
      <c r="E2223" s="31">
        <v>84.82926829268294</v>
      </c>
      <c r="F2223" s="31">
        <f t="shared" si="34"/>
        <v>104.34000000000002</v>
      </c>
    </row>
    <row r="2224" spans="1:6" ht="18.75" customHeight="1" x14ac:dyDescent="0.25">
      <c r="A2224" s="2" t="str">
        <f ca="1">IFERROR(__xludf.DUMMYFUNCTION("""COMPUTED_VALUE"""),"ZLE-00124")</f>
        <v>ZLE-00124</v>
      </c>
      <c r="B2224" s="3">
        <f ca="1">IFERROR(__xludf.DUMMYFUNCTION("""COMPUTED_VALUE"""),45325)</f>
        <v>45325</v>
      </c>
      <c r="C2224" s="3">
        <f ca="1">IFERROR(__xludf.DUMMYFUNCTION("""COMPUTED_VALUE"""),5902557375721)</f>
        <v>5902557375721</v>
      </c>
      <c r="D2224" s="4" t="str">
        <f ca="1">IFERROR(__xludf.DUMMYFUNCTION("""COMPUTED_VALUE"""),"ZLEWOZMYWAK NORTH CZARNY+ SYFON")</f>
        <v>ZLEWOZMYWAK NORTH CZARNY+ SYFON</v>
      </c>
      <c r="E2224" s="31">
        <v>92.951219512195124</v>
      </c>
      <c r="F2224" s="31">
        <f t="shared" si="34"/>
        <v>114.33</v>
      </c>
    </row>
    <row r="2225" spans="1:6" ht="18.75" customHeight="1" x14ac:dyDescent="0.25">
      <c r="A2225" s="2" t="str">
        <f ca="1">IFERROR(__xludf.DUMMYFUNCTION("""COMPUTED_VALUE"""),"ZLE-00128")</f>
        <v>ZLE-00128</v>
      </c>
      <c r="B2225" s="3">
        <f ca="1">IFERROR(__xludf.DUMMYFUNCTION("""COMPUTED_VALUE"""),46348)</f>
        <v>46348</v>
      </c>
      <c r="C2225" s="3">
        <f ca="1">IFERROR(__xludf.DUMMYFUNCTION("""COMPUTED_VALUE"""),5902557375745)</f>
        <v>5902557375745</v>
      </c>
      <c r="D2225" s="4" t="str">
        <f ca="1">IFERROR(__xludf.DUMMYFUNCTION("""COMPUTED_VALUE"""),"ZLEWOZMYWAK NORTH SZARY+ SYFON")</f>
        <v>ZLEWOZMYWAK NORTH SZARY+ SYFON</v>
      </c>
      <c r="E2225" s="31">
        <v>95.658536585365866</v>
      </c>
      <c r="F2225" s="31">
        <f t="shared" si="34"/>
        <v>117.66000000000001</v>
      </c>
    </row>
    <row r="2226" spans="1:6" ht="18.75" customHeight="1" x14ac:dyDescent="0.25">
      <c r="A2226" s="2" t="str">
        <f ca="1">IFERROR(__xludf.DUMMYFUNCTION("""COMPUTED_VALUE"""),"MF4444PVDBSC1")</f>
        <v>MF4444PVDBSC1</v>
      </c>
      <c r="B2226" s="3">
        <f ca="1">IFERROR(__xludf.DUMMYFUNCTION("""COMPUTED_VALUE"""),53092)</f>
        <v>53092</v>
      </c>
      <c r="C2226" s="3"/>
      <c r="D2226" s="4" t="str">
        <f ca="1">IFERROR(__xludf.DUMMYFUNCTION("""COMPUTED_VALUE"""),"Zlewozmywak stalowy ANTHONY 50 Miedziany")</f>
        <v>Zlewozmywak stalowy ANTHONY 50 Miedziany</v>
      </c>
      <c r="E2226" s="31">
        <v>402.48780487804885</v>
      </c>
      <c r="F2226" s="31">
        <f t="shared" si="34"/>
        <v>495.06000000000006</v>
      </c>
    </row>
    <row r="2227" spans="1:6" ht="18.75" customHeight="1" x14ac:dyDescent="0.25">
      <c r="A2227" s="2" t="str">
        <f ca="1">IFERROR(__xludf.DUMMYFUNCTION("""COMPUTED_VALUE"""),"MF4444BS")</f>
        <v>MF4444BS</v>
      </c>
      <c r="B2227" s="3">
        <f ca="1">IFERROR(__xludf.DUMMYFUNCTION("""COMPUTED_VALUE"""),53090)</f>
        <v>53090</v>
      </c>
      <c r="C2227" s="3"/>
      <c r="D2227" s="4" t="str">
        <f ca="1">IFERROR(__xludf.DUMMYFUNCTION("""COMPUTED_VALUE"""),"Zlewozmywak stalowy ANTHONY 50 Nikiel szczotkowany")</f>
        <v>Zlewozmywak stalowy ANTHONY 50 Nikiel szczotkowany</v>
      </c>
      <c r="E2227" s="31">
        <v>243.65853658536591</v>
      </c>
      <c r="F2227" s="31">
        <f t="shared" si="34"/>
        <v>299.70000000000005</v>
      </c>
    </row>
    <row r="2228" spans="1:6" ht="18.75" customHeight="1" x14ac:dyDescent="0.25">
      <c r="A2228" s="2" t="str">
        <f ca="1">IFERROR(__xludf.DUMMYFUNCTION("""COMPUTED_VALUE"""),"MF4444PVDBSG1")</f>
        <v>MF4444PVDBSG1</v>
      </c>
      <c r="B2228" s="3">
        <f ca="1">IFERROR(__xludf.DUMMYFUNCTION("""COMPUTED_VALUE"""),53091)</f>
        <v>53091</v>
      </c>
      <c r="C2228" s="3"/>
      <c r="D2228" s="4" t="str">
        <f ca="1">IFERROR(__xludf.DUMMYFUNCTION("""COMPUTED_VALUE"""),"Zlewozmywak stalowy ANTHONY 50 Złoty")</f>
        <v>Zlewozmywak stalowy ANTHONY 50 Złoty</v>
      </c>
      <c r="E2228" s="31">
        <v>402.48780487804885</v>
      </c>
      <c r="F2228" s="31">
        <f t="shared" si="34"/>
        <v>495.06000000000006</v>
      </c>
    </row>
    <row r="2229" spans="1:6" ht="18.75" customHeight="1" x14ac:dyDescent="0.25">
      <c r="A2229" s="2" t="str">
        <f ca="1">IFERROR(__xludf.DUMMYFUNCTION("""COMPUTED_VALUE"""),"MF5444PVDBST1")</f>
        <v>MF5444PVDBST1</v>
      </c>
      <c r="B2229" s="3">
        <f ca="1">IFERROR(__xludf.DUMMYFUNCTION("""COMPUTED_VALUE"""),53089)</f>
        <v>53089</v>
      </c>
      <c r="C2229" s="3"/>
      <c r="D2229" s="4" t="str">
        <f ca="1">IFERROR(__xludf.DUMMYFUNCTION("""COMPUTED_VALUE"""),"Zlewozmywak stalowy ANTHONY 60 Grafitowy")</f>
        <v>Zlewozmywak stalowy ANTHONY 60 Grafitowy</v>
      </c>
      <c r="E2229" s="31">
        <v>441.29268292682929</v>
      </c>
      <c r="F2229" s="31">
        <f t="shared" si="34"/>
        <v>542.79</v>
      </c>
    </row>
    <row r="2230" spans="1:6" ht="18.75" customHeight="1" x14ac:dyDescent="0.25">
      <c r="A2230" s="2" t="str">
        <f ca="1">IFERROR(__xludf.DUMMYFUNCTION("""COMPUTED_VALUE"""),"MF5444PVDBSC1")</f>
        <v>MF5444PVDBSC1</v>
      </c>
      <c r="B2230" s="3">
        <f ca="1">IFERROR(__xludf.DUMMYFUNCTION("""COMPUTED_VALUE"""),53088)</f>
        <v>53088</v>
      </c>
      <c r="C2230" s="3"/>
      <c r="D2230" s="4" t="str">
        <f ca="1">IFERROR(__xludf.DUMMYFUNCTION("""COMPUTED_VALUE"""),"Zlewozmywak stalowy ANTHONY 60 Miedziany")</f>
        <v>Zlewozmywak stalowy ANTHONY 60 Miedziany</v>
      </c>
      <c r="E2230" s="31">
        <v>431.36585365853665</v>
      </c>
      <c r="F2230" s="31">
        <f t="shared" si="34"/>
        <v>530.58000000000004</v>
      </c>
    </row>
    <row r="2231" spans="1:6" ht="18.75" customHeight="1" x14ac:dyDescent="0.25">
      <c r="A2231" s="2" t="str">
        <f ca="1">IFERROR(__xludf.DUMMYFUNCTION("""COMPUTED_VALUE"""),"MF5444BS")</f>
        <v>MF5444BS</v>
      </c>
      <c r="B2231" s="3">
        <f ca="1">IFERROR(__xludf.DUMMYFUNCTION("""COMPUTED_VALUE"""),53086)</f>
        <v>53086</v>
      </c>
      <c r="C2231" s="3"/>
      <c r="D2231" s="4" t="str">
        <f ca="1">IFERROR(__xludf.DUMMYFUNCTION("""COMPUTED_VALUE"""),"Zlewozmywak stalowy ANTHONY 60 Nikiel szczotkowany")</f>
        <v>Zlewozmywak stalowy ANTHONY 60 Nikiel szczotkowany</v>
      </c>
      <c r="E2231" s="31">
        <v>261.70731707317077</v>
      </c>
      <c r="F2231" s="31">
        <f t="shared" si="34"/>
        <v>321.90000000000003</v>
      </c>
    </row>
    <row r="2232" spans="1:6" ht="18.75" customHeight="1" x14ac:dyDescent="0.25">
      <c r="A2232" s="2" t="str">
        <f ca="1">IFERROR(__xludf.DUMMYFUNCTION("""COMPUTED_VALUE"""),"MF5444PVDBSG1")</f>
        <v>MF5444PVDBSG1</v>
      </c>
      <c r="B2232" s="3">
        <f ca="1">IFERROR(__xludf.DUMMYFUNCTION("""COMPUTED_VALUE"""),53087)</f>
        <v>53087</v>
      </c>
      <c r="C2232" s="3"/>
      <c r="D2232" s="4" t="str">
        <f ca="1">IFERROR(__xludf.DUMMYFUNCTION("""COMPUTED_VALUE"""),"Zlewozmywak stalowy ANTHONY 60 Złoty")</f>
        <v>Zlewozmywak stalowy ANTHONY 60 Złoty</v>
      </c>
      <c r="E2232" s="31">
        <v>431.36585365853665</v>
      </c>
      <c r="F2232" s="31">
        <f t="shared" si="34"/>
        <v>530.58000000000004</v>
      </c>
    </row>
    <row r="2233" spans="1:6" ht="18.75" customHeight="1" x14ac:dyDescent="0.25">
      <c r="A2233" s="2" t="str">
        <f ca="1">IFERROR(__xludf.DUMMYFUNCTION("""COMPUTED_VALUE"""),"MF7444PVDBSC1")</f>
        <v>MF7444PVDBSC1</v>
      </c>
      <c r="B2233" s="3">
        <f ca="1">IFERROR(__xludf.DUMMYFUNCTION("""COMPUTED_VALUE"""),53085)</f>
        <v>53085</v>
      </c>
      <c r="C2233" s="3"/>
      <c r="D2233" s="4" t="str">
        <f ca="1">IFERROR(__xludf.DUMMYFUNCTION("""COMPUTED_VALUE"""),"Zlewozmywak stalowy ANTHONY 80 Miedziany")</f>
        <v>Zlewozmywak stalowy ANTHONY 80 Miedziany</v>
      </c>
      <c r="E2233" s="31">
        <v>497.24390243902445</v>
      </c>
      <c r="F2233" s="31">
        <f t="shared" si="34"/>
        <v>611.61</v>
      </c>
    </row>
    <row r="2234" spans="1:6" ht="18.75" customHeight="1" x14ac:dyDescent="0.25">
      <c r="A2234" s="2" t="str">
        <f ca="1">IFERROR(__xludf.DUMMYFUNCTION("""COMPUTED_VALUE"""),"MF7444BS")</f>
        <v>MF7444BS</v>
      </c>
      <c r="B2234" s="3">
        <f ca="1">IFERROR(__xludf.DUMMYFUNCTION("""COMPUTED_VALUE"""),53083)</f>
        <v>53083</v>
      </c>
      <c r="C2234" s="3"/>
      <c r="D2234" s="4" t="str">
        <f ca="1">IFERROR(__xludf.DUMMYFUNCTION("""COMPUTED_VALUE"""),"Zlewozmywak stalowy ANTHONY 80 Nikiel szczotkowany")</f>
        <v>Zlewozmywak stalowy ANTHONY 80 Nikiel szczotkowany</v>
      </c>
      <c r="E2234" s="31">
        <v>314.04878048780489</v>
      </c>
      <c r="F2234" s="31">
        <f t="shared" si="34"/>
        <v>386.28000000000003</v>
      </c>
    </row>
    <row r="2235" spans="1:6" ht="18.75" customHeight="1" x14ac:dyDescent="0.25">
      <c r="A2235" s="2" t="str">
        <f ca="1">IFERROR(__xludf.DUMMYFUNCTION("""COMPUTED_VALUE"""),"MF7444PVDBSG1")</f>
        <v>MF7444PVDBSG1</v>
      </c>
      <c r="B2235" s="3">
        <f ca="1">IFERROR(__xludf.DUMMYFUNCTION("""COMPUTED_VALUE"""),53084)</f>
        <v>53084</v>
      </c>
      <c r="C2235" s="3"/>
      <c r="D2235" s="4" t="str">
        <f ca="1">IFERROR(__xludf.DUMMYFUNCTION("""COMPUTED_VALUE"""),"Zlewozmywak stalowy ANTHONY 80 Złoty")</f>
        <v>Zlewozmywak stalowy ANTHONY 80 Złoty</v>
      </c>
      <c r="E2235" s="31">
        <v>497.24390243902445</v>
      </c>
      <c r="F2235" s="31">
        <f t="shared" si="34"/>
        <v>611.61</v>
      </c>
    </row>
    <row r="2236" spans="1:6" ht="18.75" customHeight="1" x14ac:dyDescent="0.25">
      <c r="A2236" s="2" t="str">
        <f ca="1">IFERROR(__xludf.DUMMYFUNCTION("""COMPUTED_VALUE"""),"MF76050BS")</f>
        <v>MF76050BS</v>
      </c>
      <c r="B2236" s="3">
        <f ca="1">IFERROR(__xludf.DUMMYFUNCTION("""COMPUTED_VALUE"""),53049)</f>
        <v>53049</v>
      </c>
      <c r="C2236" s="3"/>
      <c r="D2236" s="4" t="str">
        <f ca="1">IFERROR(__xludf.DUMMYFUNCTION("""COMPUTED_VALUE"""),"Zlewozmywak stalowy BURT 110 WORKSTATION Nikiel szczotkowany")</f>
        <v>Zlewozmywak stalowy BURT 110 WORKSTATION Nikiel szczotkowany</v>
      </c>
      <c r="E2236" s="31">
        <v>444.90243902439028</v>
      </c>
      <c r="F2236" s="31">
        <f t="shared" si="34"/>
        <v>547.23</v>
      </c>
    </row>
    <row r="2237" spans="1:6" ht="18.75" customHeight="1" x14ac:dyDescent="0.25">
      <c r="A2237" s="2" t="str">
        <f ca="1">IFERROR(__xludf.DUMMYFUNCTION("""COMPUTED_VALUE"""),"ZH5045PVDBLM")</f>
        <v>ZH5045PVDBLM</v>
      </c>
      <c r="B2237" s="3">
        <f ca="1">IFERROR(__xludf.DUMMYFUNCTION("""COMPUTED_VALUE"""),52949)</f>
        <v>52949</v>
      </c>
      <c r="C2237" s="3"/>
      <c r="D2237" s="4" t="str">
        <f ca="1">IFERROR(__xludf.DUMMYFUNCTION("""COMPUTED_VALUE"""),"Zlewozmywak stalowy LUKE 100 Czarny")</f>
        <v>Zlewozmywak stalowy LUKE 100 Czarny</v>
      </c>
      <c r="E2237" s="31">
        <v>106.48780487804879</v>
      </c>
      <c r="F2237" s="31">
        <f t="shared" si="34"/>
        <v>130.98000000000002</v>
      </c>
    </row>
    <row r="2238" spans="1:6" ht="18.75" customHeight="1" x14ac:dyDescent="0.25">
      <c r="A2238" s="2" t="str">
        <f ca="1">IFERROR(__xludf.DUMMYFUNCTION("""COMPUTED_VALUE"""),"ZH5045PVDBLM_3323503PVDBLM")</f>
        <v>ZH5045PVDBLM_3323503PVDBLM</v>
      </c>
      <c r="B2238" s="3">
        <f ca="1">IFERROR(__xludf.DUMMYFUNCTION("""COMPUTED_VALUE"""),52950)</f>
        <v>52950</v>
      </c>
      <c r="C2238" s="3"/>
      <c r="D2238" s="4" t="str">
        <f ca="1">IFERROR(__xludf.DUMMYFUNCTION("""COMPUTED_VALUE"""),"Zlewozmywak stalowy LUKE 100 Czarny z baterią kuchenną")</f>
        <v>Zlewozmywak stalowy LUKE 100 Czarny z baterią kuchenną</v>
      </c>
      <c r="E2238" s="31">
        <v>137.17073170731709</v>
      </c>
      <c r="F2238" s="31">
        <f t="shared" si="34"/>
        <v>168.72000000000003</v>
      </c>
    </row>
    <row r="2239" spans="1:6" ht="18.75" customHeight="1" x14ac:dyDescent="0.25">
      <c r="A2239" s="2" t="str">
        <f ca="1">IFERROR(__xludf.DUMMYFUNCTION("""COMPUTED_VALUE"""),"ZH5045BS")</f>
        <v>ZH5045BS</v>
      </c>
      <c r="B2239" s="3">
        <f ca="1">IFERROR(__xludf.DUMMYFUNCTION("""COMPUTED_VALUE"""),52946)</f>
        <v>52946</v>
      </c>
      <c r="C2239" s="3"/>
      <c r="D2239" s="4" t="str">
        <f ca="1">IFERROR(__xludf.DUMMYFUNCTION("""COMPUTED_VALUE"""),"Zlewozmywak stalowy LUKE 100 Nikiel szczotkowany")</f>
        <v>Zlewozmywak stalowy LUKE 100 Nikiel szczotkowany</v>
      </c>
      <c r="E2239" s="31">
        <v>80.317073170731717</v>
      </c>
      <c r="F2239" s="31">
        <f t="shared" si="34"/>
        <v>98.79</v>
      </c>
    </row>
    <row r="2240" spans="1:6" ht="18.75" customHeight="1" x14ac:dyDescent="0.25">
      <c r="A2240" s="2" t="str">
        <f ca="1">IFERROR(__xludf.DUMMYFUNCTION("""COMPUTED_VALUE"""),"ZH5045BS_3323503BL")</f>
        <v>ZH5045BS_3323503BL</v>
      </c>
      <c r="B2240" s="3">
        <f ca="1">IFERROR(__xludf.DUMMYFUNCTION("""COMPUTED_VALUE"""),52947)</f>
        <v>52947</v>
      </c>
      <c r="C2240" s="3"/>
      <c r="D2240" s="4" t="str">
        <f ca="1">IFERROR(__xludf.DUMMYFUNCTION("""COMPUTED_VALUE"""),"Zlewozmywak stalowy LUKE 100 Nikiel szczotkowany z baterią kuchenną")</f>
        <v>Zlewozmywak stalowy LUKE 100 Nikiel szczotkowany z baterią kuchenną</v>
      </c>
      <c r="E2240" s="31">
        <v>109.19512195121952</v>
      </c>
      <c r="F2240" s="31">
        <f t="shared" si="34"/>
        <v>134.31</v>
      </c>
    </row>
    <row r="2241" spans="1:6" ht="18.75" customHeight="1" x14ac:dyDescent="0.25">
      <c r="A2241" s="2" t="str">
        <f ca="1">IFERROR(__xludf.DUMMYFUNCTION("""COMPUTED_VALUE"""),"ZH5845PVDBLM")</f>
        <v>ZH5845PVDBLM</v>
      </c>
      <c r="B2241" s="3">
        <f ca="1">IFERROR(__xludf.DUMMYFUNCTION("""COMPUTED_VALUE"""),52962)</f>
        <v>52962</v>
      </c>
      <c r="C2241" s="3"/>
      <c r="D2241" s="4" t="str">
        <f ca="1">IFERROR(__xludf.DUMMYFUNCTION("""COMPUTED_VALUE"""),"Zlewozmywak stalowy LUKE 110 WORKSTATION Czarny")</f>
        <v>Zlewozmywak stalowy LUKE 110 WORKSTATION Czarny</v>
      </c>
      <c r="E2241" s="31">
        <v>179.58536585365854</v>
      </c>
      <c r="F2241" s="31">
        <f t="shared" ref="F2241:F2304" si="35">E2241*1.23</f>
        <v>220.89000000000001</v>
      </c>
    </row>
    <row r="2242" spans="1:6" ht="18.75" customHeight="1" x14ac:dyDescent="0.25">
      <c r="A2242" s="2" t="str">
        <f ca="1">IFERROR(__xludf.DUMMYFUNCTION("""COMPUTED_VALUE"""),"ZH5845PVDBLM_3323503PVDBLM")</f>
        <v>ZH5845PVDBLM_3323503PVDBLM</v>
      </c>
      <c r="B2242" s="3">
        <f ca="1">IFERROR(__xludf.DUMMYFUNCTION("""COMPUTED_VALUE"""),52963)</f>
        <v>52963</v>
      </c>
      <c r="C2242" s="3"/>
      <c r="D2242" s="4" t="str">
        <f ca="1">IFERROR(__xludf.DUMMYFUNCTION("""COMPUTED_VALUE"""),"Zlewozmywak stalowy LUKE 110 WORKSTATION Czarny z baterią kuchenną")</f>
        <v>Zlewozmywak stalowy LUKE 110 WORKSTATION Czarny z baterią kuchenną</v>
      </c>
      <c r="E2242" s="31">
        <v>218.39024390243904</v>
      </c>
      <c r="F2242" s="31">
        <f t="shared" si="35"/>
        <v>268.62</v>
      </c>
    </row>
    <row r="2243" spans="1:6" ht="18.75" customHeight="1" x14ac:dyDescent="0.25">
      <c r="A2243" s="2" t="str">
        <f ca="1">IFERROR(__xludf.DUMMYFUNCTION("""COMPUTED_VALUE"""),"ZH5845BS")</f>
        <v>ZH5845BS</v>
      </c>
      <c r="B2243" s="3">
        <f ca="1">IFERROR(__xludf.DUMMYFUNCTION("""COMPUTED_VALUE"""),52958)</f>
        <v>52958</v>
      </c>
      <c r="C2243" s="3"/>
      <c r="D2243" s="4" t="str">
        <f ca="1">IFERROR(__xludf.DUMMYFUNCTION("""COMPUTED_VALUE"""),"Zlewozmywak stalowy LUKE 110 WORKSTATION Nikiel szczotkowany")</f>
        <v>Zlewozmywak stalowy LUKE 110 WORKSTATION Nikiel szczotkowany</v>
      </c>
      <c r="E2243" s="31">
        <v>161.53658536585368</v>
      </c>
      <c r="F2243" s="31">
        <f t="shared" si="35"/>
        <v>198.69000000000003</v>
      </c>
    </row>
    <row r="2244" spans="1:6" ht="18.75" customHeight="1" x14ac:dyDescent="0.25">
      <c r="A2244" s="2" t="str">
        <f ca="1">IFERROR(__xludf.DUMMYFUNCTION("""COMPUTED_VALUE"""),"ZH5845BS_3323503BL")</f>
        <v>ZH5845BS_3323503BL</v>
      </c>
      <c r="B2244" s="3">
        <f ca="1">IFERROR(__xludf.DUMMYFUNCTION("""COMPUTED_VALUE"""),52959)</f>
        <v>52959</v>
      </c>
      <c r="C2244" s="3"/>
      <c r="D2244" s="4" t="str">
        <f ca="1">IFERROR(__xludf.DUMMYFUNCTION("""COMPUTED_VALUE"""),"Zlewozmywak stalowy LUKE 110 WORKSTATION Nikiel szczotkowany z baterią kuchenną")</f>
        <v>Zlewozmywak stalowy LUKE 110 WORKSTATION Nikiel szczotkowany z baterią kuchenną</v>
      </c>
      <c r="E2244" s="31">
        <v>192.21951219512198</v>
      </c>
      <c r="F2244" s="31">
        <f t="shared" si="35"/>
        <v>236.43000000000004</v>
      </c>
    </row>
    <row r="2245" spans="1:6" ht="18.75" customHeight="1" x14ac:dyDescent="0.25">
      <c r="A2245" s="2" t="str">
        <f ca="1">IFERROR(__xludf.DUMMYFUNCTION("""COMPUTED_VALUE"""),"ZH6048PVDBLM")</f>
        <v>ZH6048PVDBLM</v>
      </c>
      <c r="B2245" s="3">
        <f ca="1">IFERROR(__xludf.DUMMYFUNCTION("""COMPUTED_VALUE"""),52955)</f>
        <v>52955</v>
      </c>
      <c r="C2245" s="3"/>
      <c r="D2245" s="4" t="str">
        <f ca="1">IFERROR(__xludf.DUMMYFUNCTION("""COMPUTED_VALUE"""),"Zlewozmywak stalowy LUKE 116 Czarny")</f>
        <v>Zlewozmywak stalowy LUKE 116 Czarny</v>
      </c>
      <c r="E2245" s="31">
        <v>158.82926829268294</v>
      </c>
      <c r="F2245" s="31">
        <f t="shared" si="35"/>
        <v>195.36</v>
      </c>
    </row>
    <row r="2246" spans="1:6" ht="18.75" customHeight="1" x14ac:dyDescent="0.25">
      <c r="A2246" s="2" t="str">
        <f ca="1">IFERROR(__xludf.DUMMYFUNCTION("""COMPUTED_VALUE"""),"ZH6048PVDBLM_3323503PVDBLM")</f>
        <v>ZH6048PVDBLM_3323503PVDBLM</v>
      </c>
      <c r="B2246" s="3">
        <f ca="1">IFERROR(__xludf.DUMMYFUNCTION("""COMPUTED_VALUE"""),52956)</f>
        <v>52956</v>
      </c>
      <c r="C2246" s="3"/>
      <c r="D2246" s="4" t="str">
        <f ca="1">IFERROR(__xludf.DUMMYFUNCTION("""COMPUTED_VALUE"""),"Zlewozmywak stalowy LUKE 116 Czarny z baterią kuchenną")</f>
        <v>Zlewozmywak stalowy LUKE 116 Czarny z baterią kuchenną</v>
      </c>
      <c r="E2246" s="31">
        <v>203.04878048780492</v>
      </c>
      <c r="F2246" s="31">
        <f t="shared" si="35"/>
        <v>249.75000000000006</v>
      </c>
    </row>
    <row r="2247" spans="1:6" ht="18.75" customHeight="1" x14ac:dyDescent="0.25">
      <c r="A2247" s="2" t="str">
        <f ca="1">IFERROR(__xludf.DUMMYFUNCTION("""COMPUTED_VALUE"""),"ZH6048BS")</f>
        <v>ZH6048BS</v>
      </c>
      <c r="B2247" s="3">
        <f ca="1">IFERROR(__xludf.DUMMYFUNCTION("""COMPUTED_VALUE"""),52952)</f>
        <v>52952</v>
      </c>
      <c r="C2247" s="3"/>
      <c r="D2247" s="4" t="str">
        <f ca="1">IFERROR(__xludf.DUMMYFUNCTION("""COMPUTED_VALUE"""),"Zlewozmywak stalowy LUKE 116 Nikiel szczotkowany")</f>
        <v>Zlewozmywak stalowy LUKE 116 Nikiel szczotkowany</v>
      </c>
      <c r="E2247" s="31">
        <v>130.85365853658539</v>
      </c>
      <c r="F2247" s="31">
        <f t="shared" si="35"/>
        <v>160.95000000000002</v>
      </c>
    </row>
    <row r="2248" spans="1:6" ht="18.75" customHeight="1" x14ac:dyDescent="0.25">
      <c r="A2248" s="2" t="str">
        <f ca="1">IFERROR(__xludf.DUMMYFUNCTION("""COMPUTED_VALUE"""),"ZH6048BS_3323503BL")</f>
        <v>ZH6048BS_3323503BL</v>
      </c>
      <c r="B2248" s="3">
        <f ca="1">IFERROR(__xludf.DUMMYFUNCTION("""COMPUTED_VALUE"""),52953)</f>
        <v>52953</v>
      </c>
      <c r="C2248" s="3"/>
      <c r="D2248" s="4" t="str">
        <f ca="1">IFERROR(__xludf.DUMMYFUNCTION("""COMPUTED_VALUE"""),"Zlewozmywak stalowy LUKE 116 Nikiel szczotkowany z baterią kuchenną")</f>
        <v>Zlewozmywak stalowy LUKE 116 Nikiel szczotkowany z baterią kuchenną</v>
      </c>
      <c r="E2248" s="31">
        <v>161.53658536585368</v>
      </c>
      <c r="F2248" s="31">
        <f t="shared" si="35"/>
        <v>198.69000000000003</v>
      </c>
    </row>
    <row r="2249" spans="1:6" ht="18.75" customHeight="1" x14ac:dyDescent="0.25">
      <c r="A2249" s="2" t="str">
        <f ca="1">IFERROR(__xludf.DUMMYFUNCTION("""COMPUTED_VALUE"""),"ZH4045PVDBLM")</f>
        <v>ZH4045PVDBLM</v>
      </c>
      <c r="B2249" s="3">
        <f ca="1">IFERROR(__xludf.DUMMYFUNCTION("""COMPUTED_VALUE"""),52942)</f>
        <v>52942</v>
      </c>
      <c r="C2249" s="3"/>
      <c r="D2249" s="4" t="str">
        <f ca="1">IFERROR(__xludf.DUMMYFUNCTION("""COMPUTED_VALUE"""),"Zlewozmywak stalowy LUKE 90 czarny")</f>
        <v>Zlewozmywak stalowy LUKE 90 czarny</v>
      </c>
      <c r="E2249" s="31">
        <v>104.68292682926831</v>
      </c>
      <c r="F2249" s="31">
        <f t="shared" si="35"/>
        <v>128.76000000000002</v>
      </c>
    </row>
    <row r="2250" spans="1:6" ht="18.75" customHeight="1" x14ac:dyDescent="0.25">
      <c r="A2250" s="2" t="str">
        <f ca="1">IFERROR(__xludf.DUMMYFUNCTION("""COMPUTED_VALUE"""),"ZH4045PVDBLM_3323503PVDBLM")</f>
        <v>ZH4045PVDBLM_3323503PVDBLM</v>
      </c>
      <c r="B2250" s="3">
        <f ca="1">IFERROR(__xludf.DUMMYFUNCTION("""COMPUTED_VALUE"""),52943)</f>
        <v>52943</v>
      </c>
      <c r="C2250" s="3"/>
      <c r="D2250" s="4" t="str">
        <f ca="1">IFERROR(__xludf.DUMMYFUNCTION("""COMPUTED_VALUE"""),"Zlewozmywak stalowy LUKE 90 czarny z baterią kuchenną")</f>
        <v>Zlewozmywak stalowy LUKE 90 czarny z baterią kuchenną</v>
      </c>
      <c r="E2250" s="31">
        <v>135.36585365853659</v>
      </c>
      <c r="F2250" s="31">
        <f t="shared" si="35"/>
        <v>166.5</v>
      </c>
    </row>
    <row r="2251" spans="1:6" ht="18.75" customHeight="1" x14ac:dyDescent="0.25">
      <c r="A2251" s="2" t="str">
        <f ca="1">IFERROR(__xludf.DUMMYFUNCTION("""COMPUTED_VALUE"""),"ZH4045BS")</f>
        <v>ZH4045BS</v>
      </c>
      <c r="B2251" s="3">
        <f ca="1">IFERROR(__xludf.DUMMYFUNCTION("""COMPUTED_VALUE"""),52939)</f>
        <v>52939</v>
      </c>
      <c r="C2251" s="3"/>
      <c r="D2251" s="4" t="str">
        <f ca="1">IFERROR(__xludf.DUMMYFUNCTION("""COMPUTED_VALUE"""),"Zlewozmywak stalowy LUKE 90 Nikiel szczotkowany")</f>
        <v>Zlewozmywak stalowy LUKE 90 Nikiel szczotkowany</v>
      </c>
      <c r="E2251" s="31">
        <v>78.512195121951223</v>
      </c>
      <c r="F2251" s="31">
        <f t="shared" si="35"/>
        <v>96.570000000000007</v>
      </c>
    </row>
    <row r="2252" spans="1:6" ht="18.75" customHeight="1" x14ac:dyDescent="0.25">
      <c r="A2252" s="2" t="str">
        <f ca="1">IFERROR(__xludf.DUMMYFUNCTION("""COMPUTED_VALUE"""),"ZH4045BS_3323503BL")</f>
        <v>ZH4045BS_3323503BL</v>
      </c>
      <c r="B2252" s="3">
        <f ca="1">IFERROR(__xludf.DUMMYFUNCTION("""COMPUTED_VALUE"""),52940)</f>
        <v>52940</v>
      </c>
      <c r="C2252" s="3"/>
      <c r="D2252" s="4" t="str">
        <f ca="1">IFERROR(__xludf.DUMMYFUNCTION("""COMPUTED_VALUE"""),"Zlewozmywak stalowy LUKE 90 Nikiel szczotkowany z baterią kuchenną")</f>
        <v>Zlewozmywak stalowy LUKE 90 Nikiel szczotkowany z baterią kuchenną</v>
      </c>
      <c r="E2252" s="31">
        <v>106.48780487804879</v>
      </c>
      <c r="F2252" s="31">
        <f t="shared" si="35"/>
        <v>130.98000000000002</v>
      </c>
    </row>
    <row r="2253" spans="1:6" ht="18.75" customHeight="1" x14ac:dyDescent="0.25">
      <c r="A2253" s="2" t="str">
        <f ca="1">IFERROR(__xludf.DUMMYFUNCTION("""COMPUTED_VALUE"""),"HB7910PVDBSC1")</f>
        <v>HB7910PVDBSC1</v>
      </c>
      <c r="B2253" s="3">
        <f ca="1">IFERROR(__xludf.DUMMYFUNCTION("""COMPUTED_VALUE"""),53079)</f>
        <v>53079</v>
      </c>
      <c r="C2253" s="3"/>
      <c r="D2253" s="4" t="str">
        <f ca="1">IFERROR(__xludf.DUMMYFUNCTION("""COMPUTED_VALUE"""),"Zlewozmywak stalowy RUSSEL 110 Miedziany")</f>
        <v>Zlewozmywak stalowy RUSSEL 110 Miedziany</v>
      </c>
      <c r="E2253" s="31">
        <v>402.48780487804885</v>
      </c>
      <c r="F2253" s="31">
        <f t="shared" si="35"/>
        <v>495.06000000000006</v>
      </c>
    </row>
    <row r="2254" spans="1:6" ht="18.75" customHeight="1" x14ac:dyDescent="0.25">
      <c r="A2254" s="2" t="str">
        <f ca="1">IFERROR(__xludf.DUMMYFUNCTION("""COMPUTED_VALUE"""),"HB7910BS")</f>
        <v>HB7910BS</v>
      </c>
      <c r="B2254" s="3">
        <f ca="1">IFERROR(__xludf.DUMMYFUNCTION("""COMPUTED_VALUE"""),53077)</f>
        <v>53077</v>
      </c>
      <c r="C2254" s="3"/>
      <c r="D2254" s="4" t="str">
        <f ca="1">IFERROR(__xludf.DUMMYFUNCTION("""COMPUTED_VALUE"""),"Zlewozmywak stalowy RUSSEL 110 Nikiel szczotkowany")</f>
        <v>Zlewozmywak stalowy RUSSEL 110 Nikiel szczotkowany</v>
      </c>
      <c r="E2254" s="31">
        <v>261.70731707317077</v>
      </c>
      <c r="F2254" s="31">
        <f t="shared" si="35"/>
        <v>321.90000000000003</v>
      </c>
    </row>
    <row r="2255" spans="1:6" ht="18.75" customHeight="1" x14ac:dyDescent="0.25">
      <c r="A2255" s="2" t="str">
        <f ca="1">IFERROR(__xludf.DUMMYFUNCTION("""COMPUTED_VALUE"""),"HB7910PVDBSG1")</f>
        <v>HB7910PVDBSG1</v>
      </c>
      <c r="B2255" s="3">
        <f ca="1">IFERROR(__xludf.DUMMYFUNCTION("""COMPUTED_VALUE"""),53078)</f>
        <v>53078</v>
      </c>
      <c r="C2255" s="3"/>
      <c r="D2255" s="4" t="str">
        <f ca="1">IFERROR(__xludf.DUMMYFUNCTION("""COMPUTED_VALUE"""),"Zlewozmywak stalowy RUSSEL 110 Złoty")</f>
        <v>Zlewozmywak stalowy RUSSEL 110 Złoty</v>
      </c>
      <c r="E2255" s="31">
        <v>402.48780487804885</v>
      </c>
      <c r="F2255" s="31">
        <f t="shared" si="35"/>
        <v>495.06000000000006</v>
      </c>
    </row>
    <row r="2256" spans="1:6" ht="18.75" customHeight="1" x14ac:dyDescent="0.25">
      <c r="A2256" s="2" t="str">
        <f ca="1">IFERROR(__xludf.DUMMYFUNCTION("""COMPUTED_VALUE"""),"HB7912PVDBSC1")</f>
        <v>HB7912PVDBSC1</v>
      </c>
      <c r="B2256" s="3">
        <f ca="1">IFERROR(__xludf.DUMMYFUNCTION("""COMPUTED_VALUE"""),53065)</f>
        <v>53065</v>
      </c>
      <c r="C2256" s="3"/>
      <c r="D2256" s="4" t="str">
        <f ca="1">IFERROR(__xludf.DUMMYFUNCTION("""COMPUTED_VALUE"""),"Zlewozmywak stalowy RUSSEL 111 Miedziany")</f>
        <v>Zlewozmywak stalowy RUSSEL 111 Miedziany</v>
      </c>
      <c r="E2256" s="31">
        <v>586.58536585365869</v>
      </c>
      <c r="F2256" s="31">
        <f t="shared" si="35"/>
        <v>721.50000000000023</v>
      </c>
    </row>
    <row r="2257" spans="1:6" ht="18.75" customHeight="1" x14ac:dyDescent="0.25">
      <c r="A2257" s="2" t="str">
        <f ca="1">IFERROR(__xludf.DUMMYFUNCTION("""COMPUTED_VALUE"""),"HB7912BS")</f>
        <v>HB7912BS</v>
      </c>
      <c r="B2257" s="3">
        <f ca="1">IFERROR(__xludf.DUMMYFUNCTION("""COMPUTED_VALUE"""),53062)</f>
        <v>53062</v>
      </c>
      <c r="C2257" s="3"/>
      <c r="D2257" s="4" t="str">
        <f ca="1">IFERROR(__xludf.DUMMYFUNCTION("""COMPUTED_VALUE"""),"Zlewozmywak stalowy RUSSEL 111 Nikiel szczotkowany lewy")</f>
        <v>Zlewozmywak stalowy RUSSEL 111 Nikiel szczotkowany lewy</v>
      </c>
      <c r="E2257" s="31">
        <v>391.65853658536594</v>
      </c>
      <c r="F2257" s="31">
        <f t="shared" si="35"/>
        <v>481.74000000000012</v>
      </c>
    </row>
    <row r="2258" spans="1:6" ht="18.75" customHeight="1" x14ac:dyDescent="0.25">
      <c r="A2258" s="2" t="str">
        <f ca="1">IFERROR(__xludf.DUMMYFUNCTION("""COMPUTED_VALUE"""),"HB7912-RBS")</f>
        <v>HB7912-RBS</v>
      </c>
      <c r="B2258" s="3">
        <f ca="1">IFERROR(__xludf.DUMMYFUNCTION("""COMPUTED_VALUE"""),53063)</f>
        <v>53063</v>
      </c>
      <c r="C2258" s="3"/>
      <c r="D2258" s="4" t="str">
        <f ca="1">IFERROR(__xludf.DUMMYFUNCTION("""COMPUTED_VALUE"""),"Zlewozmywak stalowy RUSSEL 111 Nikiel szczotkowany prawy")</f>
        <v>Zlewozmywak stalowy RUSSEL 111 Nikiel szczotkowany prawy</v>
      </c>
      <c r="E2258" s="31">
        <v>391.65853658536594</v>
      </c>
      <c r="F2258" s="31">
        <f t="shared" si="35"/>
        <v>481.74000000000012</v>
      </c>
    </row>
    <row r="2259" spans="1:6" ht="18.75" customHeight="1" x14ac:dyDescent="0.25">
      <c r="A2259" s="2" t="str">
        <f ca="1">IFERROR(__xludf.DUMMYFUNCTION("""COMPUTED_VALUE"""),"HB7912PVDBSG1")</f>
        <v>HB7912PVDBSG1</v>
      </c>
      <c r="B2259" s="3">
        <f ca="1">IFERROR(__xludf.DUMMYFUNCTION("""COMPUTED_VALUE"""),53064)</f>
        <v>53064</v>
      </c>
      <c r="C2259" s="3"/>
      <c r="D2259" s="4" t="str">
        <f ca="1">IFERROR(__xludf.DUMMYFUNCTION("""COMPUTED_VALUE"""),"Zlewozmywak stalowy RUSSEL 111 Złoty")</f>
        <v>Zlewozmywak stalowy RUSSEL 111 Złoty</v>
      </c>
      <c r="E2259" s="31">
        <v>575.75609756097572</v>
      </c>
      <c r="F2259" s="31">
        <f t="shared" si="35"/>
        <v>708.18000000000018</v>
      </c>
    </row>
    <row r="2260" spans="1:6" ht="18.75" customHeight="1" x14ac:dyDescent="0.25">
      <c r="A2260" s="2" t="str">
        <f ca="1">IFERROR(__xludf.DUMMYFUNCTION("""COMPUTED_VALUE"""),"HB7911PVDBSC1")</f>
        <v>HB7911PVDBSC1</v>
      </c>
      <c r="B2260" s="3">
        <f ca="1">IFERROR(__xludf.DUMMYFUNCTION("""COMPUTED_VALUE"""),53073)</f>
        <v>53073</v>
      </c>
      <c r="C2260" s="3"/>
      <c r="D2260" s="4" t="str">
        <f ca="1">IFERROR(__xludf.DUMMYFUNCTION("""COMPUTED_VALUE"""),"Zlewozmywak stalowy RUSSEL 116 Miedziany")</f>
        <v>Zlewozmywak stalowy RUSSEL 116 Miedziany</v>
      </c>
      <c r="E2260" s="31">
        <v>489.12195121951225</v>
      </c>
      <c r="F2260" s="31">
        <f t="shared" si="35"/>
        <v>601.62000000000012</v>
      </c>
    </row>
    <row r="2261" spans="1:6" ht="18.75" customHeight="1" x14ac:dyDescent="0.25">
      <c r="A2261" s="2" t="str">
        <f ca="1">IFERROR(__xludf.DUMMYFUNCTION("""COMPUTED_VALUE"""),"HB7911BS")</f>
        <v>HB7911BS</v>
      </c>
      <c r="B2261" s="3">
        <f ca="1">IFERROR(__xludf.DUMMYFUNCTION("""COMPUTED_VALUE"""),53067)</f>
        <v>53067</v>
      </c>
      <c r="C2261" s="3"/>
      <c r="D2261" s="4" t="str">
        <f ca="1">IFERROR(__xludf.DUMMYFUNCTION("""COMPUTED_VALUE"""),"Zlewozmywak stalowy RUSSEL 116 Nikiel szczotkowany lewy")</f>
        <v>Zlewozmywak stalowy RUSSEL 116 Nikiel szczotkowany lewy</v>
      </c>
      <c r="E2261" s="31">
        <v>339.31707317073176</v>
      </c>
      <c r="F2261" s="31">
        <f t="shared" si="35"/>
        <v>417.36000000000007</v>
      </c>
    </row>
    <row r="2262" spans="1:6" ht="18.75" customHeight="1" x14ac:dyDescent="0.25">
      <c r="A2262" s="2" t="str">
        <f ca="1">IFERROR(__xludf.DUMMYFUNCTION("""COMPUTED_VALUE"""),"HB7911-RBS")</f>
        <v>HB7911-RBS</v>
      </c>
      <c r="B2262" s="3">
        <f ca="1">IFERROR(__xludf.DUMMYFUNCTION("""COMPUTED_VALUE"""),53068)</f>
        <v>53068</v>
      </c>
      <c r="C2262" s="3"/>
      <c r="D2262" s="4" t="str">
        <f ca="1">IFERROR(__xludf.DUMMYFUNCTION("""COMPUTED_VALUE"""),"Zlewozmywak stalowy RUSSEL 116 Nikiel szczotkowany prawy")</f>
        <v>Zlewozmywak stalowy RUSSEL 116 Nikiel szczotkowany prawy</v>
      </c>
      <c r="E2262" s="31">
        <v>339.31707317073176</v>
      </c>
      <c r="F2262" s="31">
        <f t="shared" si="35"/>
        <v>417.36000000000007</v>
      </c>
    </row>
    <row r="2263" spans="1:6" ht="18.75" customHeight="1" x14ac:dyDescent="0.25">
      <c r="A2263" s="2" t="str">
        <f ca="1">IFERROR(__xludf.DUMMYFUNCTION("""COMPUTED_VALUE"""),"HB7911PVDBSG1")</f>
        <v>HB7911PVDBSG1</v>
      </c>
      <c r="B2263" s="3">
        <f ca="1">IFERROR(__xludf.DUMMYFUNCTION("""COMPUTED_VALUE"""),53072)</f>
        <v>53072</v>
      </c>
      <c r="C2263" s="3"/>
      <c r="D2263" s="4" t="str">
        <f ca="1">IFERROR(__xludf.DUMMYFUNCTION("""COMPUTED_VALUE"""),"Zlewozmywak stalowy RUSSEL 116 Złoty")</f>
        <v>Zlewozmywak stalowy RUSSEL 116 Złoty</v>
      </c>
      <c r="E2263" s="31">
        <v>499.04878048780495</v>
      </c>
      <c r="F2263" s="31">
        <f t="shared" si="35"/>
        <v>613.83000000000004</v>
      </c>
    </row>
    <row r="2264" spans="1:6" ht="18.75" customHeight="1" x14ac:dyDescent="0.25">
      <c r="A2264" s="2" t="str">
        <f ca="1">IFERROR(__xludf.DUMMYFUNCTION("""COMPUTED_VALUE"""),"HB4050PVDBSC1")</f>
        <v>HB4050PVDBSC1</v>
      </c>
      <c r="B2264" s="3">
        <f ca="1">IFERROR(__xludf.DUMMYFUNCTION("""COMPUTED_VALUE"""),53082)</f>
        <v>53082</v>
      </c>
      <c r="C2264" s="3"/>
      <c r="D2264" s="4" t="str">
        <f ca="1">IFERROR(__xludf.DUMMYFUNCTION("""COMPUTED_VALUE"""),"Zlewozmywak stalowy RUSSEL 90 Miedziany")</f>
        <v>Zlewozmywak stalowy RUSSEL 90 Miedziany</v>
      </c>
      <c r="E2264" s="31">
        <v>336.60975609756099</v>
      </c>
      <c r="F2264" s="31">
        <f t="shared" si="35"/>
        <v>414.03000000000003</v>
      </c>
    </row>
    <row r="2265" spans="1:6" ht="18.75" customHeight="1" x14ac:dyDescent="0.25">
      <c r="A2265" s="2" t="str">
        <f ca="1">IFERROR(__xludf.DUMMYFUNCTION("""COMPUTED_VALUE"""),"HB4050BS")</f>
        <v>HB4050BS</v>
      </c>
      <c r="B2265" s="3">
        <f ca="1">IFERROR(__xludf.DUMMYFUNCTION("""COMPUTED_VALUE"""),53080)</f>
        <v>53080</v>
      </c>
      <c r="C2265" s="3"/>
      <c r="D2265" s="4" t="str">
        <f ca="1">IFERROR(__xludf.DUMMYFUNCTION("""COMPUTED_VALUE"""),"Zlewozmywak stalowy RUSSEL 90 Nikiel szczotkowany")</f>
        <v>Zlewozmywak stalowy RUSSEL 90 Nikiel szczotkowany</v>
      </c>
      <c r="E2265" s="31">
        <v>209.36585365853662</v>
      </c>
      <c r="F2265" s="31">
        <f t="shared" si="35"/>
        <v>257.52000000000004</v>
      </c>
    </row>
    <row r="2266" spans="1:6" ht="18.75" customHeight="1" x14ac:dyDescent="0.25">
      <c r="A2266" s="2" t="str">
        <f ca="1">IFERROR(__xludf.DUMMYFUNCTION("""COMPUTED_VALUE"""),"HB4050PVDBSG1")</f>
        <v>HB4050PVDBSG1</v>
      </c>
      <c r="B2266" s="3">
        <f ca="1">IFERROR(__xludf.DUMMYFUNCTION("""COMPUTED_VALUE"""),53081)</f>
        <v>53081</v>
      </c>
      <c r="C2266" s="3"/>
      <c r="D2266" s="4" t="str">
        <f ca="1">IFERROR(__xludf.DUMMYFUNCTION("""COMPUTED_VALUE"""),"Zlewozmywak stalowy RUSSEL 90 Złoty")</f>
        <v>Zlewozmywak stalowy RUSSEL 90 Złoty</v>
      </c>
      <c r="E2266" s="31">
        <v>326.6829268292683</v>
      </c>
      <c r="F2266" s="31">
        <f t="shared" si="35"/>
        <v>401.82</v>
      </c>
    </row>
    <row r="2267" spans="1:6" ht="18.75" customHeight="1" x14ac:dyDescent="0.25">
      <c r="A2267" s="2" t="str">
        <f ca="1">IFERROR(__xludf.DUMMYFUNCTION("""COMPUTED_VALUE"""),"ZLE-00123")</f>
        <v>ZLE-00123</v>
      </c>
      <c r="B2267" s="3">
        <f ca="1">IFERROR(__xludf.DUMMYFUNCTION("""COMPUTED_VALUE"""),45326)</f>
        <v>45326</v>
      </c>
      <c r="C2267" s="3">
        <f ca="1">IFERROR(__xludf.DUMMYFUNCTION("""COMPUTED_VALUE"""),5902557375714)</f>
        <v>5902557375714</v>
      </c>
      <c r="D2267" s="4" t="str">
        <f ca="1">IFERROR(__xludf.DUMMYFUNCTION("""COMPUTED_VALUE"""),"ZLEWOZMYWAK WEST BIAŁY+ SYFON")</f>
        <v>ZLEWOZMYWAK WEST BIAŁY+ SYFON</v>
      </c>
      <c r="E2267" s="31">
        <v>92.951219512195124</v>
      </c>
      <c r="F2267" s="31">
        <f t="shared" si="35"/>
        <v>114.33</v>
      </c>
    </row>
    <row r="2268" spans="1:6" ht="18.75" customHeight="1" x14ac:dyDescent="0.25">
      <c r="A2268" s="2" t="str">
        <f ca="1">IFERROR(__xludf.DUMMYFUNCTION("""COMPUTED_VALUE"""),"ZLE-00121")</f>
        <v>ZLE-00121</v>
      </c>
      <c r="B2268" s="3">
        <f ca="1">IFERROR(__xludf.DUMMYFUNCTION("""COMPUTED_VALUE"""),45330)</f>
        <v>45330</v>
      </c>
      <c r="C2268" s="3">
        <f ca="1">IFERROR(__xludf.DUMMYFUNCTION("""COMPUTED_VALUE"""),5902557375691)</f>
        <v>5902557375691</v>
      </c>
      <c r="D2268" s="4" t="str">
        <f ca="1">IFERROR(__xludf.DUMMYFUNCTION("""COMPUTED_VALUE"""),"ZLEWOZMYWAK WEST CZARNY METALIK + SYFON")</f>
        <v>ZLEWOZMYWAK WEST CZARNY METALIK + SYFON</v>
      </c>
      <c r="E2268" s="31">
        <v>84.82926829268294</v>
      </c>
      <c r="F2268" s="31">
        <f t="shared" si="35"/>
        <v>104.34000000000002</v>
      </c>
    </row>
    <row r="2269" spans="1:6" ht="18.75" customHeight="1" x14ac:dyDescent="0.25">
      <c r="A2269" s="2" t="str">
        <f ca="1">IFERROR(__xludf.DUMMYFUNCTION("""COMPUTED_VALUE"""),"ZLE-00120")</f>
        <v>ZLE-00120</v>
      </c>
      <c r="B2269" s="3">
        <f ca="1">IFERROR(__xludf.DUMMYFUNCTION("""COMPUTED_VALUE"""),45328)</f>
        <v>45328</v>
      </c>
      <c r="C2269" s="3">
        <f ca="1">IFERROR(__xludf.DUMMYFUNCTION("""COMPUTED_VALUE"""),5902557375684)</f>
        <v>5902557375684</v>
      </c>
      <c r="D2269" s="4" t="str">
        <f ca="1">IFERROR(__xludf.DUMMYFUNCTION("""COMPUTED_VALUE"""),"ZLEWOZMYWAK WEST CZARNY+ SYFON")</f>
        <v>ZLEWOZMYWAK WEST CZARNY+ SYFON</v>
      </c>
      <c r="E2269" s="31">
        <v>92.951219512195124</v>
      </c>
      <c r="F2269" s="31">
        <f t="shared" si="35"/>
        <v>114.33</v>
      </c>
    </row>
    <row r="2270" spans="1:6" ht="18.75" customHeight="1" x14ac:dyDescent="0.25">
      <c r="A2270" s="2" t="str">
        <f ca="1">IFERROR(__xludf.DUMMYFUNCTION("""COMPUTED_VALUE"""),"ZLE-00122")</f>
        <v>ZLE-00122</v>
      </c>
      <c r="B2270" s="3">
        <f ca="1">IFERROR(__xludf.DUMMYFUNCTION("""COMPUTED_VALUE"""),45327)</f>
        <v>45327</v>
      </c>
      <c r="C2270" s="3">
        <f ca="1">IFERROR(__xludf.DUMMYFUNCTION("""COMPUTED_VALUE"""),5902557375707)</f>
        <v>5902557375707</v>
      </c>
      <c r="D2270" s="4" t="str">
        <f ca="1">IFERROR(__xludf.DUMMYFUNCTION("""COMPUTED_VALUE"""),"ZLEWOZMYWAK WEST SZARY+ SYFON")</f>
        <v>ZLEWOZMYWAK WEST SZARY+ SYFON</v>
      </c>
      <c r="E2270" s="31">
        <v>95.658536585365866</v>
      </c>
      <c r="F2270" s="31">
        <f t="shared" si="35"/>
        <v>117.66000000000001</v>
      </c>
    </row>
    <row r="2271" spans="1:6" ht="18.75" customHeight="1" x14ac:dyDescent="0.25">
      <c r="A2271" s="2" t="str">
        <f ca="1">IFERROR(__xludf.DUMMYFUNCTION("""COMPUTED_VALUE"""),"ZLE-09012")</f>
        <v>ZLE-09012</v>
      </c>
      <c r="B2271" s="3">
        <f ca="1">IFERROR(__xludf.DUMMYFUNCTION("""COMPUTED_VALUE"""),52940)</f>
        <v>52940</v>
      </c>
      <c r="C2271" s="3"/>
      <c r="D2271" s="4" t="str">
        <f ca="1">IFERROR(__xludf.DUMMYFUNCTION("""COMPUTED_VALUE"""),"ZLEWOZMYWAK ZH4045BS_3323503BL -  LUKE 90 STAL")</f>
        <v>ZLEWOZMYWAK ZH4045BS_3323503BL -  LUKE 90 STAL</v>
      </c>
      <c r="E2271" s="31">
        <v>114.60975609756099</v>
      </c>
      <c r="F2271" s="31">
        <f t="shared" si="35"/>
        <v>140.97000000000003</v>
      </c>
    </row>
    <row r="2272" spans="1:6" ht="18.75" customHeight="1" x14ac:dyDescent="0.25">
      <c r="A2272" s="2" t="str">
        <f ca="1">IFERROR(__xludf.DUMMYFUNCTION("""COMPUTED_VALUE"""),"ZLE-09000")</f>
        <v>ZLE-09000</v>
      </c>
      <c r="B2272" s="3">
        <f ca="1">IFERROR(__xludf.DUMMYFUNCTION("""COMPUTED_VALUE"""),52942)</f>
        <v>52942</v>
      </c>
      <c r="C2272" s="3">
        <f ca="1">IFERROR(__xludf.DUMMYFUNCTION("""COMPUTED_VALUE"""),5905505503061)</f>
        <v>5905505503061</v>
      </c>
      <c r="D2272" s="4" t="str">
        <f ca="1">IFERROR(__xludf.DUMMYFUNCTION("""COMPUTED_VALUE"""),"ZLEWOZMYWAK ZH4045PVDBLM - LUKE 90 BLACK")</f>
        <v>ZLEWOZMYWAK ZH4045PVDBLM - LUKE 90 BLACK</v>
      </c>
      <c r="E2272" s="31">
        <v>112.80487804878049</v>
      </c>
      <c r="F2272" s="31">
        <f t="shared" si="35"/>
        <v>138.75</v>
      </c>
    </row>
    <row r="2273" spans="1:6" ht="18.75" customHeight="1" x14ac:dyDescent="0.25">
      <c r="A2273" s="2" t="str">
        <f ca="1">IFERROR(__xludf.DUMMYFUNCTION("""COMPUTED_VALUE"""),"ZLE-09005")</f>
        <v>ZLE-09005</v>
      </c>
      <c r="B2273" s="3">
        <f ca="1">IFERROR(__xludf.DUMMYFUNCTION("""COMPUTED_VALUE"""),52946)</f>
        <v>52946</v>
      </c>
      <c r="C2273" s="3"/>
      <c r="D2273" s="4" t="str">
        <f ca="1">IFERROR(__xludf.DUMMYFUNCTION("""COMPUTED_VALUE"""),"ZLEWOZMYWAK ZH5045BS - LUKE 100")</f>
        <v>ZLEWOZMYWAK ZH5045BS - LUKE 100</v>
      </c>
      <c r="E2273" s="31">
        <v>88.439024390243901</v>
      </c>
      <c r="F2273" s="31">
        <f t="shared" si="35"/>
        <v>108.78</v>
      </c>
    </row>
    <row r="2274" spans="1:6" ht="18.75" customHeight="1" x14ac:dyDescent="0.25">
      <c r="A2274" s="2" t="str">
        <f ca="1">IFERROR(__xludf.DUMMYFUNCTION("""COMPUTED_VALUE"""),"ZLE-09001")</f>
        <v>ZLE-09001</v>
      </c>
      <c r="B2274" s="3">
        <f ca="1">IFERROR(__xludf.DUMMYFUNCTION("""COMPUTED_VALUE"""),52947)</f>
        <v>52947</v>
      </c>
      <c r="C2274" s="3"/>
      <c r="D2274" s="4" t="str">
        <f ca="1">IFERROR(__xludf.DUMMYFUNCTION("""COMPUTED_VALUE"""),"ZLEWOZMYWAK ZH5045BS_3323503BL LUKE 100 STAL")</f>
        <v>ZLEWOZMYWAK ZH5045BS_3323503BL LUKE 100 STAL</v>
      </c>
      <c r="E2274" s="31">
        <v>117.31707317073172</v>
      </c>
      <c r="F2274" s="31">
        <f t="shared" si="35"/>
        <v>144.30000000000001</v>
      </c>
    </row>
    <row r="2275" spans="1:6" ht="18.75" customHeight="1" x14ac:dyDescent="0.25">
      <c r="A2275" s="2" t="str">
        <f ca="1">IFERROR(__xludf.DUMMYFUNCTION("""COMPUTED_VALUE"""),"ZLE-09015")</f>
        <v>ZLE-09015</v>
      </c>
      <c r="B2275" s="3">
        <f ca="1">IFERROR(__xludf.DUMMYFUNCTION("""COMPUTED_VALUE"""),52949)</f>
        <v>52949</v>
      </c>
      <c r="C2275" s="3"/>
      <c r="D2275" s="4" t="str">
        <f ca="1">IFERROR(__xludf.DUMMYFUNCTION("""COMPUTED_VALUE"""),"ZLEWOZMYWAK ZH5045PVDBLM - LUKE 100 BLACK")</f>
        <v>ZLEWOZMYWAK ZH5045PVDBLM - LUKE 100 BLACK</v>
      </c>
      <c r="E2275" s="31">
        <v>114.60975609756099</v>
      </c>
      <c r="F2275" s="31">
        <f t="shared" si="35"/>
        <v>140.97000000000003</v>
      </c>
    </row>
    <row r="2276" spans="1:6" ht="18.75" customHeight="1" x14ac:dyDescent="0.25">
      <c r="A2276" s="2" t="str">
        <f ca="1">IFERROR(__xludf.DUMMYFUNCTION("""COMPUTED_VALUE"""),"ZLE-09022")</f>
        <v>ZLE-09022</v>
      </c>
      <c r="B2276" s="3">
        <f ca="1">IFERROR(__xludf.DUMMYFUNCTION("""COMPUTED_VALUE"""),52958)</f>
        <v>52958</v>
      </c>
      <c r="C2276" s="3"/>
      <c r="D2276" s="4" t="str">
        <f ca="1">IFERROR(__xludf.DUMMYFUNCTION("""COMPUTED_VALUE"""),"ZLEWOZMYWAK ZH5845BS LUKE 110 WORKSTATION STAL")</f>
        <v>ZLEWOZMYWAK ZH5845BS LUKE 110 WORKSTATION STAL</v>
      </c>
      <c r="E2276" s="31">
        <v>169.65853658536588</v>
      </c>
      <c r="F2276" s="31">
        <f t="shared" si="35"/>
        <v>208.68000000000004</v>
      </c>
    </row>
    <row r="2277" spans="1:6" ht="18.75" customHeight="1" x14ac:dyDescent="0.25">
      <c r="A2277" s="2" t="str">
        <f ca="1">IFERROR(__xludf.DUMMYFUNCTION("""COMPUTED_VALUE"""),"ZLE-09009")</f>
        <v>ZLE-09009</v>
      </c>
      <c r="B2277" s="3">
        <f ca="1">IFERROR(__xludf.DUMMYFUNCTION("""COMPUTED_VALUE"""),52959)</f>
        <v>52959</v>
      </c>
      <c r="C2277" s="3">
        <f ca="1">IFERROR(__xludf.DUMMYFUNCTION("""COMPUTED_VALUE"""),5905505503214)</f>
        <v>5905505503214</v>
      </c>
      <c r="D2277" s="4" t="str">
        <f ca="1">IFERROR(__xludf.DUMMYFUNCTION("""COMPUTED_VALUE"""),"ZLEWOZMYWAK ZH5845BS_3323503BL - LUKE 110 STAL")</f>
        <v>ZLEWOZMYWAK ZH5845BS_3323503BL - LUKE 110 STAL</v>
      </c>
      <c r="E2277" s="31">
        <v>200.34146341463418</v>
      </c>
      <c r="F2277" s="31">
        <f t="shared" si="35"/>
        <v>246.42000000000004</v>
      </c>
    </row>
    <row r="2278" spans="1:6" ht="18.75" customHeight="1" x14ac:dyDescent="0.25">
      <c r="A2278" s="2" t="str">
        <f ca="1">IFERROR(__xludf.DUMMYFUNCTION("""COMPUTED_VALUE"""),"ZLE-09003")</f>
        <v>ZLE-09003</v>
      </c>
      <c r="B2278" s="3">
        <f ca="1">IFERROR(__xludf.DUMMYFUNCTION("""COMPUTED_VALUE"""),52962)</f>
        <v>52962</v>
      </c>
      <c r="C2278" s="3"/>
      <c r="D2278" s="4" t="str">
        <f ca="1">IFERROR(__xludf.DUMMYFUNCTION("""COMPUTED_VALUE"""),"ZLEWOZMYWAK ZH5845PVDBLM - LUKE 110 BLACK METAL")</f>
        <v>ZLEWOZMYWAK ZH5845PVDBLM - LUKE 110 BLACK METAL</v>
      </c>
      <c r="E2278" s="31">
        <v>198.53658536585368</v>
      </c>
      <c r="F2278" s="31">
        <f t="shared" si="35"/>
        <v>244.20000000000002</v>
      </c>
    </row>
    <row r="2279" spans="1:6" ht="18.75" customHeight="1" x14ac:dyDescent="0.25">
      <c r="A2279" s="2" t="str">
        <f ca="1">IFERROR(__xludf.DUMMYFUNCTION("""COMPUTED_VALUE"""),"ZLE-09013")</f>
        <v>ZLE-09013</v>
      </c>
      <c r="B2279" s="3">
        <f ca="1">IFERROR(__xludf.DUMMYFUNCTION("""COMPUTED_VALUE"""),52952)</f>
        <v>52952</v>
      </c>
      <c r="C2279" s="3">
        <f ca="1">IFERROR(__xludf.DUMMYFUNCTION("""COMPUTED_VALUE"""),5905505503115)</f>
        <v>5905505503115</v>
      </c>
      <c r="D2279" s="4" t="str">
        <f ca="1">IFERROR(__xludf.DUMMYFUNCTION("""COMPUTED_VALUE"""),"ZLEWOZMYWAK ZH6048BS - LUKE 116")</f>
        <v>ZLEWOZMYWAK ZH6048BS - LUKE 116</v>
      </c>
      <c r="E2279" s="31">
        <v>138.97560975609758</v>
      </c>
      <c r="F2279" s="31">
        <f t="shared" si="35"/>
        <v>170.94000000000003</v>
      </c>
    </row>
    <row r="2280" spans="1:6" ht="18.75" customHeight="1" x14ac:dyDescent="0.25">
      <c r="A2280" s="2" t="str">
        <f ca="1">IFERROR(__xludf.DUMMYFUNCTION("""COMPUTED_VALUE"""),"ZLE-09029")</f>
        <v>ZLE-09029</v>
      </c>
      <c r="B2280" s="3">
        <f ca="1">IFERROR(__xludf.DUMMYFUNCTION("""COMPUTED_VALUE"""),52953)</f>
        <v>52953</v>
      </c>
      <c r="C2280" s="3"/>
      <c r="D2280" s="4" t="str">
        <f ca="1">IFERROR(__xludf.DUMMYFUNCTION("""COMPUTED_VALUE"""),"ZLEWOZMYWAK ZH6048BS_3323503BL - LUKE 116 STAL")</f>
        <v>ZLEWOZMYWAK ZH6048BS_3323503BL - LUKE 116 STAL</v>
      </c>
      <c r="E2280" s="31">
        <v>169.65853658536588</v>
      </c>
      <c r="F2280" s="31">
        <f t="shared" si="35"/>
        <v>208.68000000000004</v>
      </c>
    </row>
    <row r="2281" spans="1:6" ht="18.75" customHeight="1" x14ac:dyDescent="0.25">
      <c r="A2281" s="2" t="str">
        <f ca="1">IFERROR(__xludf.DUMMYFUNCTION("""COMPUTED_VALUE"""),"ZLE-09633")</f>
        <v>ZLE-09633</v>
      </c>
      <c r="B2281" s="3">
        <f ca="1">IFERROR(__xludf.DUMMYFUNCTION("""COMPUTED_VALUE"""),52955)</f>
        <v>52955</v>
      </c>
      <c r="C2281" s="3"/>
      <c r="D2281" s="4" t="str">
        <f ca="1">IFERROR(__xludf.DUMMYFUNCTION("""COMPUTED_VALUE"""),"ZLEWOZMYWAK ZH6048PVDBLM_3323503PVDB - LUKE 116")</f>
        <v>ZLEWOZMYWAK ZH6048PVDBLM_3323503PVDB - LUKE 116</v>
      </c>
      <c r="E2281" s="31">
        <v>167.85365853658539</v>
      </c>
      <c r="F2281" s="31">
        <f t="shared" si="35"/>
        <v>206.46</v>
      </c>
    </row>
    <row r="2282" spans="1:6" ht="18.75" customHeight="1" x14ac:dyDescent="0.25">
      <c r="A2282" s="2" t="str">
        <f ca="1">IFERROR(__xludf.DUMMYFUNCTION("""COMPUTED_VALUE"""),"REA-47005")</f>
        <v>REA-47005</v>
      </c>
      <c r="B2282" s="3">
        <f ca="1">IFERROR(__xludf.DUMMYFUNCTION("""COMPUTED_VALUE"""),54432)</f>
        <v>54432</v>
      </c>
      <c r="C2282" s="3">
        <f ca="1">IFERROR(__xludf.DUMMYFUNCTION("""COMPUTED_VALUE"""),5906366007897)</f>
        <v>5906366007897</v>
      </c>
      <c r="D2282" s="4" t="str">
        <f ca="1">IFERROR(__xludf.DUMMYFUNCTION("""COMPUTED_VALUE"""),"PÓŁKA ŁAZIENKOWA SF07 BRUSH")</f>
        <v>PÓŁKA ŁAZIENKOWA SF07 BRUSH</v>
      </c>
      <c r="E2282" s="31">
        <v>29.780487804878049</v>
      </c>
      <c r="F2282" s="31">
        <f t="shared" si="35"/>
        <v>36.630000000000003</v>
      </c>
    </row>
    <row r="2283" spans="1:6" ht="18.75" customHeight="1" x14ac:dyDescent="0.25">
      <c r="A2283" s="2" t="str">
        <f ca="1">IFERROR(__xludf.DUMMYFUNCTION("""COMPUTED_VALUE"""),"REA-06013")</f>
        <v>REA-06013</v>
      </c>
      <c r="B2283" s="3">
        <f ca="1">IFERROR(__xludf.DUMMYFUNCTION("""COMPUTED_VALUE"""),52736)</f>
        <v>52736</v>
      </c>
      <c r="C2283" s="3">
        <f ca="1">IFERROR(__xludf.DUMMYFUNCTION("""COMPUTED_VALUE"""),5902557398485)</f>
        <v>5902557398485</v>
      </c>
      <c r="D2283" s="4" t="str">
        <f ca="1">IFERROR(__xludf.DUMMYFUNCTION("""COMPUTED_VALUE"""),"PÓŁKA ŁAZIENKOWA SF07-BG BRUSH GOLD")</f>
        <v>PÓŁKA ŁAZIENKOWA SF07-BG BRUSH GOLD</v>
      </c>
      <c r="E2283" s="31">
        <v>40.609756097560982</v>
      </c>
      <c r="F2283" s="31">
        <f t="shared" si="35"/>
        <v>49.95000000000001</v>
      </c>
    </row>
    <row r="2284" spans="1:6" ht="18.75" customHeight="1" x14ac:dyDescent="0.25">
      <c r="A2284" s="2" t="str">
        <f ca="1">IFERROR(__xludf.DUMMYFUNCTION("""COMPUTED_VALUE"""),"REA-06012")</f>
        <v>REA-06012</v>
      </c>
      <c r="B2284" s="3">
        <f ca="1">IFERROR(__xludf.DUMMYFUNCTION("""COMPUTED_VALUE"""),52735)</f>
        <v>52735</v>
      </c>
      <c r="C2284" s="3">
        <f ca="1">IFERROR(__xludf.DUMMYFUNCTION("""COMPUTED_VALUE"""),5902557398478)</f>
        <v>5902557398478</v>
      </c>
      <c r="D2284" s="4" t="str">
        <f ca="1">IFERROR(__xludf.DUMMYFUNCTION("""COMPUTED_VALUE"""),"PÓŁKA ŁAZIENKOWA SF07-B BLACK")</f>
        <v>PÓŁKA ŁAZIENKOWA SF07-B BLACK</v>
      </c>
      <c r="E2284" s="31">
        <v>31.585365853658541</v>
      </c>
      <c r="F2284" s="31">
        <f t="shared" si="35"/>
        <v>38.85</v>
      </c>
    </row>
    <row r="2285" spans="1:6" ht="18.75" customHeight="1" x14ac:dyDescent="0.25">
      <c r="A2285" s="2" t="str">
        <f ca="1">IFERROR(__xludf.DUMMYFUNCTION("""COMPUTED_VALUE"""),"REA-47004")</f>
        <v>REA-47004</v>
      </c>
      <c r="B2285" s="3">
        <f ca="1">IFERROR(__xludf.DUMMYFUNCTION("""COMPUTED_VALUE"""),54431)</f>
        <v>54431</v>
      </c>
      <c r="C2285" s="3">
        <f ca="1">IFERROR(__xludf.DUMMYFUNCTION("""COMPUTED_VALUE"""),5906366007880)</f>
        <v>5906366007880</v>
      </c>
      <c r="D2285" s="4" t="str">
        <f ca="1">IFERROR(__xludf.DUMMYFUNCTION("""COMPUTED_VALUE"""),"PÓŁKA ŁAZIENKOWA SF04-600 BRUSH")</f>
        <v>PÓŁKA ŁAZIENKOWA SF04-600 BRUSH</v>
      </c>
      <c r="E2285" s="31">
        <v>29.780487804878049</v>
      </c>
      <c r="F2285" s="31">
        <f t="shared" si="35"/>
        <v>36.630000000000003</v>
      </c>
    </row>
    <row r="2286" spans="1:6" ht="18.75" customHeight="1" x14ac:dyDescent="0.25">
      <c r="A2286" s="2" t="str">
        <f ca="1">IFERROR(__xludf.DUMMYFUNCTION("""COMPUTED_VALUE"""),"REA-06005")</f>
        <v>REA-06005</v>
      </c>
      <c r="B2286" s="3">
        <f ca="1">IFERROR(__xludf.DUMMYFUNCTION("""COMPUTED_VALUE"""),52732)</f>
        <v>52732</v>
      </c>
      <c r="C2286" s="3">
        <f ca="1">IFERROR(__xludf.DUMMYFUNCTION("""COMPUTED_VALUE"""),5902557398409)</f>
        <v>5902557398409</v>
      </c>
      <c r="D2286" s="4" t="str">
        <f ca="1">IFERROR(__xludf.DUMMYFUNCTION("""COMPUTED_VALUE"""),"PÓŁKA ŁAZIENKOWA SF04-600-BG BRUSH GOLD")</f>
        <v>PÓŁKA ŁAZIENKOWA SF04-600-BG BRUSH GOLD</v>
      </c>
      <c r="E2286" s="31">
        <v>40.609756097560982</v>
      </c>
      <c r="F2286" s="31">
        <f t="shared" si="35"/>
        <v>49.95000000000001</v>
      </c>
    </row>
    <row r="2287" spans="1:6" ht="18.75" customHeight="1" x14ac:dyDescent="0.25">
      <c r="A2287" s="2" t="str">
        <f ca="1">IFERROR(__xludf.DUMMYFUNCTION("""COMPUTED_VALUE"""),"REA-06004")</f>
        <v>REA-06004</v>
      </c>
      <c r="B2287" s="3">
        <f ca="1">IFERROR(__xludf.DUMMYFUNCTION("""COMPUTED_VALUE"""),52731)</f>
        <v>52731</v>
      </c>
      <c r="C2287" s="3">
        <f ca="1">IFERROR(__xludf.DUMMYFUNCTION("""COMPUTED_VALUE"""),5902557398393)</f>
        <v>5902557398393</v>
      </c>
      <c r="D2287" s="4" t="str">
        <f ca="1">IFERROR(__xludf.DUMMYFUNCTION("""COMPUTED_VALUE"""),"PÓŁKA ŁAZIENKOWA SF04-600-B BLACK")</f>
        <v>PÓŁKA ŁAZIENKOWA SF04-600-B BLACK</v>
      </c>
      <c r="E2287" s="31">
        <v>31.585365853658541</v>
      </c>
      <c r="F2287" s="31">
        <f t="shared" si="35"/>
        <v>38.85</v>
      </c>
    </row>
    <row r="2288" spans="1:6" ht="18.75" customHeight="1" x14ac:dyDescent="0.25">
      <c r="A2288" s="2" t="str">
        <f ca="1">IFERROR(__xludf.DUMMYFUNCTION("""COMPUTED_VALUE"""),"REA-47003")</f>
        <v>REA-47003</v>
      </c>
      <c r="B2288" s="3">
        <f ca="1">IFERROR(__xludf.DUMMYFUNCTION("""COMPUTED_VALUE"""),54430)</f>
        <v>54430</v>
      </c>
      <c r="C2288" s="3">
        <f ca="1">IFERROR(__xludf.DUMMYFUNCTION("""COMPUTED_VALUE"""),5906366007903)</f>
        <v>5906366007903</v>
      </c>
      <c r="D2288" s="4" t="str">
        <f ca="1">IFERROR(__xludf.DUMMYFUNCTION("""COMPUTED_VALUE"""),"PÓŁKA ŁAZIENKOWA SF03-600 BRUSH")</f>
        <v>PÓŁKA ŁAZIENKOWA SF03-600 BRUSH</v>
      </c>
      <c r="E2288" s="31">
        <v>29.780487804878049</v>
      </c>
      <c r="F2288" s="31">
        <f t="shared" si="35"/>
        <v>36.630000000000003</v>
      </c>
    </row>
    <row r="2289" spans="1:6" ht="18.75" customHeight="1" x14ac:dyDescent="0.25">
      <c r="A2289" s="2" t="str">
        <f ca="1">IFERROR(__xludf.DUMMYFUNCTION("""COMPUTED_VALUE"""),"REA-06009")</f>
        <v>REA-06009</v>
      </c>
      <c r="B2289" s="3">
        <f ca="1">IFERROR(__xludf.DUMMYFUNCTION("""COMPUTED_VALUE"""),52730)</f>
        <v>52730</v>
      </c>
      <c r="C2289" s="3">
        <f ca="1">IFERROR(__xludf.DUMMYFUNCTION("""COMPUTED_VALUE"""),5902557398447)</f>
        <v>5902557398447</v>
      </c>
      <c r="D2289" s="4" t="str">
        <f ca="1">IFERROR(__xludf.DUMMYFUNCTION("""COMPUTED_VALUE"""),"PÓŁKA ŁAZIENKOWA SF03-600-BG BRUSH GOLD")</f>
        <v>PÓŁKA ŁAZIENKOWA SF03-600-BG BRUSH GOLD</v>
      </c>
      <c r="E2289" s="31">
        <v>40.609756097560982</v>
      </c>
      <c r="F2289" s="31">
        <f t="shared" si="35"/>
        <v>49.95000000000001</v>
      </c>
    </row>
    <row r="2290" spans="1:6" ht="18.75" customHeight="1" x14ac:dyDescent="0.25">
      <c r="A2290" s="2" t="str">
        <f ca="1">IFERROR(__xludf.DUMMYFUNCTION("""COMPUTED_VALUE"""),"REA-06008")</f>
        <v>REA-06008</v>
      </c>
      <c r="B2290" s="3">
        <f ca="1">IFERROR(__xludf.DUMMYFUNCTION("""COMPUTED_VALUE"""),52728)</f>
        <v>52728</v>
      </c>
      <c r="C2290" s="3">
        <f ca="1">IFERROR(__xludf.DUMMYFUNCTION("""COMPUTED_VALUE"""),5902557398430)</f>
        <v>5902557398430</v>
      </c>
      <c r="D2290" s="4" t="str">
        <f ca="1">IFERROR(__xludf.DUMMYFUNCTION("""COMPUTED_VALUE"""),"PÓŁKA ŁAZIENKOWA SF03-600-B BLACK")</f>
        <v>PÓŁKA ŁAZIENKOWA SF03-600-B BLACK</v>
      </c>
      <c r="E2290" s="31">
        <v>31.585365853658541</v>
      </c>
      <c r="F2290" s="31">
        <f t="shared" si="35"/>
        <v>38.85</v>
      </c>
    </row>
    <row r="2291" spans="1:6" ht="18.75" customHeight="1" x14ac:dyDescent="0.25">
      <c r="A2291" s="2" t="str">
        <f ca="1">IFERROR(__xludf.DUMMYFUNCTION("""COMPUTED_VALUE"""),"REA-47002")</f>
        <v>REA-47002</v>
      </c>
      <c r="B2291" s="3">
        <f ca="1">IFERROR(__xludf.DUMMYFUNCTION("""COMPUTED_VALUE"""),54429)</f>
        <v>54429</v>
      </c>
      <c r="C2291" s="3">
        <f ca="1">IFERROR(__xludf.DUMMYFUNCTION("""COMPUTED_VALUE"""),5906366007927)</f>
        <v>5906366007927</v>
      </c>
      <c r="D2291" s="4" t="str">
        <f ca="1">IFERROR(__xludf.DUMMYFUNCTION("""COMPUTED_VALUE"""),"PÓŁKA ŁAZIENKOWA SF03-450 BRUSH")</f>
        <v>PÓŁKA ŁAZIENKOWA SF03-450 BRUSH</v>
      </c>
      <c r="E2291" s="31">
        <v>25.268292682926834</v>
      </c>
      <c r="F2291" s="31">
        <f t="shared" si="35"/>
        <v>31.080000000000005</v>
      </c>
    </row>
    <row r="2292" spans="1:6" ht="18.75" customHeight="1" x14ac:dyDescent="0.25">
      <c r="A2292" s="2" t="str">
        <f ca="1">IFERROR(__xludf.DUMMYFUNCTION("""COMPUTED_VALUE"""),"REA-06007")</f>
        <v>REA-06007</v>
      </c>
      <c r="B2292" s="3">
        <f ca="1">IFERROR(__xludf.DUMMYFUNCTION("""COMPUTED_VALUE"""),52729)</f>
        <v>52729</v>
      </c>
      <c r="C2292" s="3">
        <f ca="1">IFERROR(__xludf.DUMMYFUNCTION("""COMPUTED_VALUE"""),5902557398423)</f>
        <v>5902557398423</v>
      </c>
      <c r="D2292" s="4" t="str">
        <f ca="1">IFERROR(__xludf.DUMMYFUNCTION("""COMPUTED_VALUE"""),"PÓŁKA ŁAZIENKOWA SF03-450-BG BRUSH GOLD")</f>
        <v>PÓŁKA ŁAZIENKOWA SF03-450-BG BRUSH GOLD</v>
      </c>
      <c r="E2292" s="31">
        <v>29.780487804878049</v>
      </c>
      <c r="F2292" s="31">
        <f t="shared" si="35"/>
        <v>36.630000000000003</v>
      </c>
    </row>
    <row r="2293" spans="1:6" ht="18.75" customHeight="1" x14ac:dyDescent="0.25">
      <c r="A2293" s="2" t="str">
        <f ca="1">IFERROR(__xludf.DUMMYFUNCTION("""COMPUTED_VALUE"""),"REA-06006")</f>
        <v>REA-06006</v>
      </c>
      <c r="B2293" s="3">
        <f ca="1">IFERROR(__xludf.DUMMYFUNCTION("""COMPUTED_VALUE"""),52727)</f>
        <v>52727</v>
      </c>
      <c r="C2293" s="3">
        <f ca="1">IFERROR(__xludf.DUMMYFUNCTION("""COMPUTED_VALUE"""),5902557398416)</f>
        <v>5902557398416</v>
      </c>
      <c r="D2293" s="4" t="str">
        <f ca="1">IFERROR(__xludf.DUMMYFUNCTION("""COMPUTED_VALUE"""),"PÓŁKA ŁAZIENKOWA SF03-450-B BLACK")</f>
        <v>PÓŁKA ŁAZIENKOWA SF03-450-B BLACK</v>
      </c>
      <c r="E2293" s="31">
        <v>25.268292682926834</v>
      </c>
      <c r="F2293" s="31">
        <f t="shared" si="35"/>
        <v>31.080000000000005</v>
      </c>
    </row>
    <row r="2294" spans="1:6" ht="18.75" customHeight="1" x14ac:dyDescent="0.25">
      <c r="A2294" s="2" t="str">
        <f ca="1">IFERROR(__xludf.DUMMYFUNCTION("""COMPUTED_VALUE"""),"REA-47001")</f>
        <v>REA-47001</v>
      </c>
      <c r="B2294" s="3">
        <f ca="1">IFERROR(__xludf.DUMMYFUNCTION("""COMPUTED_VALUE"""),54428)</f>
        <v>54428</v>
      </c>
      <c r="C2294" s="3">
        <f ca="1">IFERROR(__xludf.DUMMYFUNCTION("""COMPUTED_VALUE"""),5906366007910)</f>
        <v>5906366007910</v>
      </c>
      <c r="D2294" s="4" t="str">
        <f ca="1">IFERROR(__xludf.DUMMYFUNCTION("""COMPUTED_VALUE"""),"PÓŁKA ŁAZIENKOWA SF02-600 BRUSH")</f>
        <v>PÓŁKA ŁAZIENKOWA SF02-600 BRUSH</v>
      </c>
      <c r="E2294" s="31">
        <v>31.585365853658541</v>
      </c>
      <c r="F2294" s="31">
        <f t="shared" si="35"/>
        <v>38.85</v>
      </c>
    </row>
    <row r="2295" spans="1:6" ht="18.75" customHeight="1" x14ac:dyDescent="0.25">
      <c r="A2295" s="2" t="str">
        <f ca="1">IFERROR(__xludf.DUMMYFUNCTION("""COMPUTED_VALUE"""),"REA-06011")</f>
        <v>REA-06011</v>
      </c>
      <c r="B2295" s="3">
        <f ca="1">IFERROR(__xludf.DUMMYFUNCTION("""COMPUTED_VALUE"""),52726)</f>
        <v>52726</v>
      </c>
      <c r="C2295" s="3">
        <f ca="1">IFERROR(__xludf.DUMMYFUNCTION("""COMPUTED_VALUE"""),5902557398461)</f>
        <v>5902557398461</v>
      </c>
      <c r="D2295" s="4" t="str">
        <f ca="1">IFERROR(__xludf.DUMMYFUNCTION("""COMPUTED_VALUE"""),"PÓŁKA ŁAZIENKOWA SF02-600-BG BRUSH GOLD")</f>
        <v>PÓŁKA ŁAZIENKOWA SF02-600-BG BRUSH GOLD</v>
      </c>
      <c r="E2295" s="31">
        <v>37.902439024390247</v>
      </c>
      <c r="F2295" s="31">
        <f t="shared" si="35"/>
        <v>46.620000000000005</v>
      </c>
    </row>
    <row r="2296" spans="1:6" ht="18.75" customHeight="1" x14ac:dyDescent="0.25">
      <c r="A2296" s="2" t="str">
        <f ca="1">IFERROR(__xludf.DUMMYFUNCTION("""COMPUTED_VALUE"""),"REA-06010")</f>
        <v>REA-06010</v>
      </c>
      <c r="B2296" s="3">
        <f ca="1">IFERROR(__xludf.DUMMYFUNCTION("""COMPUTED_VALUE"""),52725)</f>
        <v>52725</v>
      </c>
      <c r="C2296" s="3">
        <f ca="1">IFERROR(__xludf.DUMMYFUNCTION("""COMPUTED_VALUE"""),5902557398454)</f>
        <v>5902557398454</v>
      </c>
      <c r="D2296" s="4" t="str">
        <f ca="1">IFERROR(__xludf.DUMMYFUNCTION("""COMPUTED_VALUE"""),"PÓŁKA ŁAZIENKOWA SF02-600-B BLACK")</f>
        <v>PÓŁKA ŁAZIENKOWA SF02-600-B BLACK</v>
      </c>
      <c r="E2296" s="31">
        <v>31.585365853658541</v>
      </c>
      <c r="F2296" s="31">
        <f t="shared" si="35"/>
        <v>38.85</v>
      </c>
    </row>
    <row r="2297" spans="1:6" ht="18.75" customHeight="1" x14ac:dyDescent="0.25">
      <c r="A2297" s="2" t="str">
        <f ca="1">IFERROR(__xludf.DUMMYFUNCTION("""COMPUTED_VALUE"""),"REA-47000")</f>
        <v>REA-47000</v>
      </c>
      <c r="B2297" s="3">
        <f ca="1">IFERROR(__xludf.DUMMYFUNCTION("""COMPUTED_VALUE"""),54427)</f>
        <v>54427</v>
      </c>
      <c r="C2297" s="3">
        <f ca="1">IFERROR(__xludf.DUMMYFUNCTION("""COMPUTED_VALUE"""),5906366007934)</f>
        <v>5906366007934</v>
      </c>
      <c r="D2297" s="4" t="str">
        <f ca="1">IFERROR(__xludf.DUMMYFUNCTION("""COMPUTED_VALUE"""),"PÓŁKA ŁAZIENKOWA SF01-450 BRUSH")</f>
        <v>PÓŁKA ŁAZIENKOWA SF01-450 BRUSH</v>
      </c>
      <c r="E2297" s="31">
        <v>29.780487804878049</v>
      </c>
      <c r="F2297" s="31">
        <f t="shared" si="35"/>
        <v>36.630000000000003</v>
      </c>
    </row>
    <row r="2298" spans="1:6" ht="18.75" customHeight="1" x14ac:dyDescent="0.25">
      <c r="A2298" s="2" t="str">
        <f ca="1">IFERROR(__xludf.DUMMYFUNCTION("""COMPUTED_VALUE"""),"REA-06001")</f>
        <v>REA-06001</v>
      </c>
      <c r="B2298" s="3">
        <f ca="1">IFERROR(__xludf.DUMMYFUNCTION("""COMPUTED_VALUE"""),52722)</f>
        <v>52722</v>
      </c>
      <c r="C2298" s="3">
        <f ca="1">IFERROR(__xludf.DUMMYFUNCTION("""COMPUTED_VALUE"""),5902557398362)</f>
        <v>5902557398362</v>
      </c>
      <c r="D2298" s="4" t="str">
        <f ca="1">IFERROR(__xludf.DUMMYFUNCTION("""COMPUTED_VALUE"""),"PÓŁKA ŁAZIENKOWA SF01-450-BG BRUSH GOLD")</f>
        <v>PÓŁKA ŁAZIENKOWA SF01-450-BG BRUSH GOLD</v>
      </c>
      <c r="E2298" s="31">
        <v>36.09756097560976</v>
      </c>
      <c r="F2298" s="31">
        <f t="shared" si="35"/>
        <v>44.400000000000006</v>
      </c>
    </row>
    <row r="2299" spans="1:6" ht="18.75" customHeight="1" x14ac:dyDescent="0.25">
      <c r="A2299" s="2" t="str">
        <f ca="1">IFERROR(__xludf.DUMMYFUNCTION("""COMPUTED_VALUE"""),"REA-06000")</f>
        <v>REA-06000</v>
      </c>
      <c r="B2299" s="3">
        <f ca="1">IFERROR(__xludf.DUMMYFUNCTION("""COMPUTED_VALUE"""),52719)</f>
        <v>52719</v>
      </c>
      <c r="C2299" s="3">
        <f ca="1">IFERROR(__xludf.DUMMYFUNCTION("""COMPUTED_VALUE"""),5902557398355)</f>
        <v>5902557398355</v>
      </c>
      <c r="D2299" s="4" t="str">
        <f ca="1">IFERROR(__xludf.DUMMYFUNCTION("""COMPUTED_VALUE"""),"PÓŁKA ŁAZIENKOWA SF01-450-B BLACK")</f>
        <v>PÓŁKA ŁAZIENKOWA SF01-450-B BLACK</v>
      </c>
      <c r="E2299" s="31">
        <v>29.780487804878049</v>
      </c>
      <c r="F2299" s="31">
        <f t="shared" si="35"/>
        <v>36.630000000000003</v>
      </c>
    </row>
    <row r="2300" spans="1:6" ht="18.75" customHeight="1" x14ac:dyDescent="0.25">
      <c r="A2300" s="2" t="str">
        <f ca="1">IFERROR(__xludf.DUMMYFUNCTION("""COMPUTED_VALUE"""),"REA-B7596")</f>
        <v>REA-B7596</v>
      </c>
      <c r="B2300" s="3">
        <f ca="1">IFERROR(__xludf.DUMMYFUNCTION("""COMPUTED_VALUE"""),54407)</f>
        <v>54407</v>
      </c>
      <c r="C2300" s="3">
        <f ca="1">IFERROR(__xludf.DUMMYFUNCTION("""COMPUTED_VALUE"""),5906366008061)</f>
        <v>5906366008061</v>
      </c>
      <c r="D2300" s="4" t="str">
        <f ca="1">IFERROR(__xludf.DUMMYFUNCTION("""COMPUTED_VALUE"""),"BATERIA KUCHENNA ECO FRESH ZŁOTA SZCZOTKOWANA")</f>
        <v>BATERIA KUCHENNA ECO FRESH ZŁOTA SZCZOTKOWANA</v>
      </c>
      <c r="E2300" s="31">
        <v>74.000000000000014</v>
      </c>
      <c r="F2300" s="31">
        <f t="shared" si="35"/>
        <v>91.02000000000001</v>
      </c>
    </row>
    <row r="2301" spans="1:6" ht="18.75" customHeight="1" x14ac:dyDescent="0.25">
      <c r="A2301" s="2" t="str">
        <f ca="1">IFERROR(__xludf.DUMMYFUNCTION("""COMPUTED_VALUE"""),"REA-G4811")</f>
        <v>REA-G4811</v>
      </c>
      <c r="B2301" s="3">
        <f ca="1">IFERROR(__xludf.DUMMYFUNCTION("""COMPUTED_VALUE"""),54435)</f>
        <v>54435</v>
      </c>
      <c r="C2301" s="3">
        <f ca="1">IFERROR(__xludf.DUMMYFUNCTION("""COMPUTED_VALUE"""),5906366000270)</f>
        <v>5906366000270</v>
      </c>
      <c r="D2301" s="4" t="str">
        <f ca="1">IFERROR(__xludf.DUMMYFUNCTION("""COMPUTED_VALUE"""),"ODPŁYW NEOX SLIM PRO SZCZOTKOWANY 900")</f>
        <v>ODPŁYW NEOX SLIM PRO SZCZOTKOWANY 900</v>
      </c>
      <c r="E2301" s="31">
        <v>53.243902439024396</v>
      </c>
      <c r="F2301" s="31">
        <f t="shared" si="35"/>
        <v>65.490000000000009</v>
      </c>
    </row>
    <row r="2302" spans="1:6" ht="18.75" customHeight="1" x14ac:dyDescent="0.25">
      <c r="A2302" s="2" t="str">
        <f ca="1">IFERROR(__xludf.DUMMYFUNCTION("""COMPUTED_VALUE"""),"REA-G4810")</f>
        <v>REA-G4810</v>
      </c>
      <c r="B2302" s="3">
        <f ca="1">IFERROR(__xludf.DUMMYFUNCTION("""COMPUTED_VALUE"""),54434)</f>
        <v>54434</v>
      </c>
      <c r="C2302" s="3">
        <f ca="1">IFERROR(__xludf.DUMMYFUNCTION("""COMPUTED_VALUE"""),5906366000256)</f>
        <v>5906366000256</v>
      </c>
      <c r="D2302" s="4" t="str">
        <f ca="1">IFERROR(__xludf.DUMMYFUNCTION("""COMPUTED_VALUE"""),"ODPŁYW NEOX SLIM PRO SZCZOTKOWANY 700")</f>
        <v>ODPŁYW NEOX SLIM PRO SZCZOTKOWANY 700</v>
      </c>
      <c r="E2302" s="31">
        <v>48.73170731707318</v>
      </c>
      <c r="F2302" s="31">
        <f t="shared" si="35"/>
        <v>59.940000000000012</v>
      </c>
    </row>
    <row r="2303" spans="1:6" ht="18.75" customHeight="1" x14ac:dyDescent="0.25">
      <c r="A2303" s="2" t="str">
        <f ca="1">IFERROR(__xludf.DUMMYFUNCTION("""COMPUTED_VALUE"""),"REA-G4809")</f>
        <v>REA-G4809</v>
      </c>
      <c r="B2303" s="3">
        <f ca="1">IFERROR(__xludf.DUMMYFUNCTION("""COMPUTED_VALUE"""),54418)</f>
        <v>54418</v>
      </c>
      <c r="C2303" s="3">
        <f ca="1">IFERROR(__xludf.DUMMYFUNCTION("""COMPUTED_VALUE"""),5906366007408)</f>
        <v>5906366007408</v>
      </c>
      <c r="D2303" s="4" t="str">
        <f ca="1">IFERROR(__xludf.DUMMYFUNCTION("""COMPUTED_VALUE"""),"ODPŁYW NEOX SLIM PRO MIEDŹ SZCZOTKOWANA 1000")</f>
        <v>ODPŁYW NEOX SLIM PRO MIEDŹ SZCZOTKOWANA 1000</v>
      </c>
      <c r="E2303" s="31">
        <v>75.804878048780495</v>
      </c>
      <c r="F2303" s="31">
        <f t="shared" si="35"/>
        <v>93.240000000000009</v>
      </c>
    </row>
    <row r="2304" spans="1:6" ht="18.75" customHeight="1" x14ac:dyDescent="0.25">
      <c r="A2304" s="2" t="str">
        <f ca="1">IFERROR(__xludf.DUMMYFUNCTION("""COMPUTED_VALUE"""),"REA-G4808")</f>
        <v>REA-G4808</v>
      </c>
      <c r="B2304" s="3">
        <f ca="1">IFERROR(__xludf.DUMMYFUNCTION("""COMPUTED_VALUE"""),54419)</f>
        <v>54419</v>
      </c>
      <c r="C2304" s="3">
        <f ca="1">IFERROR(__xludf.DUMMYFUNCTION("""COMPUTED_VALUE"""),5906366007392)</f>
        <v>5906366007392</v>
      </c>
      <c r="D2304" s="4" t="str">
        <f ca="1">IFERROR(__xludf.DUMMYFUNCTION("""COMPUTED_VALUE"""),"ODPŁYW NEOX SLIM PRO MIEDŹ SZCZOTKOWANA 900")</f>
        <v>ODPŁYW NEOX SLIM PRO MIEDŹ SZCZOTKOWANA 900</v>
      </c>
      <c r="E2304" s="31">
        <v>69.487804878048792</v>
      </c>
      <c r="F2304" s="31">
        <f t="shared" si="35"/>
        <v>85.470000000000013</v>
      </c>
    </row>
    <row r="2305" spans="1:6" ht="18.75" customHeight="1" x14ac:dyDescent="0.25">
      <c r="A2305" s="2" t="str">
        <f ca="1">IFERROR(__xludf.DUMMYFUNCTION("""COMPUTED_VALUE"""),"REA-G4807")</f>
        <v>REA-G4807</v>
      </c>
      <c r="B2305" s="3">
        <f ca="1">IFERROR(__xludf.DUMMYFUNCTION("""COMPUTED_VALUE"""),54417)</f>
        <v>54417</v>
      </c>
      <c r="C2305" s="3">
        <f ca="1">IFERROR(__xludf.DUMMYFUNCTION("""COMPUTED_VALUE"""),5906366007385)</f>
        <v>5906366007385</v>
      </c>
      <c r="D2305" s="4" t="str">
        <f ca="1">IFERROR(__xludf.DUMMYFUNCTION("""COMPUTED_VALUE"""),"ODPŁYW NEOX SLIM PRO MIEDŹ SZCZOTKOWANA 800")</f>
        <v>ODPŁYW NEOX SLIM PRO MIEDŹ SZCZOTKOWANA 800</v>
      </c>
      <c r="E2305" s="31">
        <v>65.878048780487816</v>
      </c>
      <c r="F2305" s="31">
        <f t="shared" ref="F2305:F2368" si="36">E2305*1.23</f>
        <v>81.030000000000015</v>
      </c>
    </row>
    <row r="2306" spans="1:6" ht="18.75" customHeight="1" x14ac:dyDescent="0.25">
      <c r="A2306" s="2" t="str">
        <f ca="1">IFERROR(__xludf.DUMMYFUNCTION("""COMPUTED_VALUE"""),"REA-G4806")</f>
        <v>REA-G4806</v>
      </c>
      <c r="B2306" s="3">
        <f ca="1">IFERROR(__xludf.DUMMYFUNCTION("""COMPUTED_VALUE"""),54416)</f>
        <v>54416</v>
      </c>
      <c r="C2306" s="3">
        <f ca="1">IFERROR(__xludf.DUMMYFUNCTION("""COMPUTED_VALUE"""),5906366007378)</f>
        <v>5906366007378</v>
      </c>
      <c r="D2306" s="4" t="str">
        <f ca="1">IFERROR(__xludf.DUMMYFUNCTION("""COMPUTED_VALUE"""),"ODPŁYW NEOX SLIM PRO MIEDŹ SZCZOTKOWANA 700")</f>
        <v>ODPŁYW NEOX SLIM PRO MIEDŹ SZCZOTKOWANA 700</v>
      </c>
      <c r="E2306" s="31">
        <v>63.170731707317081</v>
      </c>
      <c r="F2306" s="31">
        <f t="shared" si="36"/>
        <v>77.7</v>
      </c>
    </row>
    <row r="2307" spans="1:6" ht="18.75" customHeight="1" x14ac:dyDescent="0.25">
      <c r="A2307" s="2" t="str">
        <f ca="1">IFERROR(__xludf.DUMMYFUNCTION("""COMPUTED_VALUE"""),"REA-G4805")</f>
        <v>REA-G4805</v>
      </c>
      <c r="B2307" s="3">
        <f ca="1">IFERROR(__xludf.DUMMYFUNCTION("""COMPUTED_VALUE"""),54415)</f>
        <v>54415</v>
      </c>
      <c r="C2307" s="3">
        <f ca="1">IFERROR(__xludf.DUMMYFUNCTION("""COMPUTED_VALUE"""),5906366007361)</f>
        <v>5906366007361</v>
      </c>
      <c r="D2307" s="4" t="str">
        <f ca="1">IFERROR(__xludf.DUMMYFUNCTION("""COMPUTED_VALUE"""),"ODPŁYW NEOX SLIM PRO MIEDŹ SZCZOTKOWANA 600")</f>
        <v>ODPŁYW NEOX SLIM PRO MIEDŹ SZCZOTKOWANA 600</v>
      </c>
      <c r="E2307" s="31">
        <v>59.560975609756099</v>
      </c>
      <c r="F2307" s="31">
        <f t="shared" si="36"/>
        <v>73.260000000000005</v>
      </c>
    </row>
    <row r="2308" spans="1:6" ht="18.75" customHeight="1" x14ac:dyDescent="0.25">
      <c r="A2308" s="2" t="str">
        <f ca="1">IFERROR(__xludf.DUMMYFUNCTION("""COMPUTED_VALUE"""),"REA-G4804")</f>
        <v>REA-G4804</v>
      </c>
      <c r="B2308" s="3">
        <f ca="1">IFERROR(__xludf.DUMMYFUNCTION("""COMPUTED_VALUE"""),54412)</f>
        <v>54412</v>
      </c>
      <c r="C2308" s="3">
        <f ca="1">IFERROR(__xludf.DUMMYFUNCTION("""COMPUTED_VALUE"""),5906366007507)</f>
        <v>5906366007507</v>
      </c>
      <c r="D2308" s="4" t="str">
        <f ca="1">IFERROR(__xludf.DUMMYFUNCTION("""COMPUTED_VALUE"""),"ODPŁYW NEOX PRO MIEDŹ SZCZOTKOWANA 1000")</f>
        <v>ODPŁYW NEOX PRO MIEDŹ SZCZOTKOWANA 1000</v>
      </c>
      <c r="E2308" s="31">
        <v>78.512195121951223</v>
      </c>
      <c r="F2308" s="31">
        <f t="shared" si="36"/>
        <v>96.570000000000007</v>
      </c>
    </row>
    <row r="2309" spans="1:6" ht="18.75" customHeight="1" x14ac:dyDescent="0.25">
      <c r="A2309" s="2" t="str">
        <f ca="1">IFERROR(__xludf.DUMMYFUNCTION("""COMPUTED_VALUE"""),"REA-G4803")</f>
        <v>REA-G4803</v>
      </c>
      <c r="B2309" s="3">
        <f ca="1">IFERROR(__xludf.DUMMYFUNCTION("""COMPUTED_VALUE"""),54411)</f>
        <v>54411</v>
      </c>
      <c r="C2309" s="3">
        <f ca="1">IFERROR(__xludf.DUMMYFUNCTION("""COMPUTED_VALUE"""),5906366007491)</f>
        <v>5906366007491</v>
      </c>
      <c r="D2309" s="4" t="str">
        <f ca="1">IFERROR(__xludf.DUMMYFUNCTION("""COMPUTED_VALUE"""),"ODPŁYW NEOX PRO MIEDŹ SZCZOTKOWANA 900")</f>
        <v>ODPŁYW NEOX PRO MIEDŹ SZCZOTKOWANA 900</v>
      </c>
      <c r="E2309" s="31">
        <v>72.195121951219519</v>
      </c>
      <c r="F2309" s="31">
        <f t="shared" si="36"/>
        <v>88.800000000000011</v>
      </c>
    </row>
    <row r="2310" spans="1:6" ht="18.75" customHeight="1" x14ac:dyDescent="0.25">
      <c r="A2310" s="2" t="str">
        <f ca="1">IFERROR(__xludf.DUMMYFUNCTION("""COMPUTED_VALUE"""),"REA-G4802")</f>
        <v>REA-G4802</v>
      </c>
      <c r="B2310" s="3">
        <f ca="1">IFERROR(__xludf.DUMMYFUNCTION("""COMPUTED_VALUE"""),54410)</f>
        <v>54410</v>
      </c>
      <c r="C2310" s="3">
        <f ca="1">IFERROR(__xludf.DUMMYFUNCTION("""COMPUTED_VALUE"""),5906366007484)</f>
        <v>5906366007484</v>
      </c>
      <c r="D2310" s="4" t="str">
        <f ca="1">IFERROR(__xludf.DUMMYFUNCTION("""COMPUTED_VALUE"""),"ODPŁYW NEOX PRO MIEDŹ SZCZOTKOWANA 800")</f>
        <v>ODPŁYW NEOX PRO MIEDŹ SZCZOTKOWANA 800</v>
      </c>
      <c r="E2310" s="31">
        <v>67.682926829268297</v>
      </c>
      <c r="F2310" s="31">
        <f t="shared" si="36"/>
        <v>83.25</v>
      </c>
    </row>
    <row r="2311" spans="1:6" ht="18.75" customHeight="1" x14ac:dyDescent="0.25">
      <c r="A2311" s="2" t="str">
        <f ca="1">IFERROR(__xludf.DUMMYFUNCTION("""COMPUTED_VALUE"""),"REA-G4801")</f>
        <v>REA-G4801</v>
      </c>
      <c r="B2311" s="3">
        <f ca="1">IFERROR(__xludf.DUMMYFUNCTION("""COMPUTED_VALUE"""),54409)</f>
        <v>54409</v>
      </c>
      <c r="C2311" s="3">
        <f ca="1">IFERROR(__xludf.DUMMYFUNCTION("""COMPUTED_VALUE"""),5906366007477)</f>
        <v>5906366007477</v>
      </c>
      <c r="D2311" s="4" t="str">
        <f ca="1">IFERROR(__xludf.DUMMYFUNCTION("""COMPUTED_VALUE"""),"ODPŁYW NEOX PRO MIEDŹ SZCZOTKOWANA 700")</f>
        <v>ODPŁYW NEOX PRO MIEDŹ SZCZOTKOWANA 700</v>
      </c>
      <c r="E2311" s="31">
        <v>65.878048780487816</v>
      </c>
      <c r="F2311" s="31">
        <f t="shared" si="36"/>
        <v>81.030000000000015</v>
      </c>
    </row>
    <row r="2312" spans="1:6" ht="18.75" customHeight="1" x14ac:dyDescent="0.25">
      <c r="A2312" s="2" t="str">
        <f ca="1">IFERROR(__xludf.DUMMYFUNCTION("""COMPUTED_VALUE"""),"REA-G4800")</f>
        <v>REA-G4800</v>
      </c>
      <c r="B2312" s="3">
        <f ca="1">IFERROR(__xludf.DUMMYFUNCTION("""COMPUTED_VALUE"""),54408)</f>
        <v>54408</v>
      </c>
      <c r="C2312" s="3">
        <f ca="1">IFERROR(__xludf.DUMMYFUNCTION("""COMPUTED_VALUE"""),5906366007460)</f>
        <v>5906366007460</v>
      </c>
      <c r="D2312" s="4" t="str">
        <f ca="1">IFERROR(__xludf.DUMMYFUNCTION("""COMPUTED_VALUE"""),"ODPŁYW NEOX PRO MIEDŹ SZCZOTKOWANA 600")</f>
        <v>ODPŁYW NEOX PRO MIEDŹ SZCZOTKOWANA 600</v>
      </c>
      <c r="E2312" s="31">
        <v>61.365853658536594</v>
      </c>
      <c r="F2312" s="31">
        <f t="shared" si="36"/>
        <v>75.48</v>
      </c>
    </row>
    <row r="2313" spans="1:6" ht="18.75" customHeight="1" x14ac:dyDescent="0.25">
      <c r="A2313" s="2" t="str">
        <f ca="1">IFERROR(__xludf.DUMMYFUNCTION("""COMPUTED_VALUE"""),"REA-U9237")</f>
        <v>REA-U9237</v>
      </c>
      <c r="B2313" s="3">
        <f ca="1">IFERROR(__xludf.DUMMYFUNCTION("""COMPUTED_VALUE"""),54286)</f>
        <v>54286</v>
      </c>
      <c r="C2313" s="3">
        <f ca="1">IFERROR(__xludf.DUMMYFUNCTION("""COMPUTED_VALUE"""),5906366007958)</f>
        <v>5906366007958</v>
      </c>
      <c r="D2313" s="4" t="str">
        <f ca="1">IFERROR(__xludf.DUMMYFUNCTION("""COMPUTED_VALUE"""),"UMYWALKA SOFIA MINI GRIGIO - NABLATOWA")</f>
        <v>UMYWALKA SOFIA MINI GRIGIO - NABLATOWA</v>
      </c>
      <c r="E2313" s="31">
        <v>74.902439024390262</v>
      </c>
      <c r="F2313" s="31">
        <f t="shared" si="36"/>
        <v>92.130000000000024</v>
      </c>
    </row>
    <row r="2314" spans="1:6" ht="18.75" customHeight="1" x14ac:dyDescent="0.25">
      <c r="A2314" s="2" t="str">
        <f ca="1">IFERROR(__xludf.DUMMYFUNCTION("""COMPUTED_VALUE"""),"REA-P0897")</f>
        <v>REA-P0897</v>
      </c>
      <c r="B2314" s="3">
        <f ca="1">IFERROR(__xludf.DUMMYFUNCTION("""COMPUTED_VALUE"""),54391)</f>
        <v>54391</v>
      </c>
      <c r="C2314" s="3">
        <f ca="1">IFERROR(__xludf.DUMMYFUNCTION("""COMPUTED_VALUE"""),5906366006647)</f>
        <v>5906366006647</v>
      </c>
      <c r="D2314" s="4" t="str">
        <f ca="1">IFERROR(__xludf.DUMMYFUNCTION("""COMPUTED_VALUE"""),"ZESTAW NATRYSKOWY PEDRO CZARNY")</f>
        <v>ZESTAW NATRYSKOWY PEDRO CZARNY</v>
      </c>
      <c r="E2314" s="31">
        <v>224.70731707317074</v>
      </c>
      <c r="F2314" s="31">
        <f t="shared" si="36"/>
        <v>276.39</v>
      </c>
    </row>
    <row r="2315" spans="1:6" ht="18.75" customHeight="1" x14ac:dyDescent="0.25">
      <c r="A2315" s="2" t="str">
        <f ca="1">IFERROR(__xludf.DUMMYFUNCTION("""COMPUTED_VALUE"""),"REA-P0896")</f>
        <v>REA-P0896</v>
      </c>
      <c r="B2315" s="3">
        <f ca="1">IFERROR(__xludf.DUMMYFUNCTION("""COMPUTED_VALUE"""),54393)</f>
        <v>54393</v>
      </c>
      <c r="C2315" s="3">
        <f ca="1">IFERROR(__xludf.DUMMYFUNCTION("""COMPUTED_VALUE"""),5906366006661)</f>
        <v>5906366006661</v>
      </c>
      <c r="D2315" s="4" t="str">
        <f ca="1">IFERROR(__xludf.DUMMYFUNCTION("""COMPUTED_VALUE"""),"ZESTAW NATRYSKOWY PEDRO TYTAN")</f>
        <v>ZESTAW NATRYSKOWY PEDRO TYTAN</v>
      </c>
      <c r="E2315" s="31">
        <v>233.73170731707319</v>
      </c>
      <c r="F2315" s="31">
        <f t="shared" si="36"/>
        <v>287.49</v>
      </c>
    </row>
    <row r="2316" spans="1:6" ht="18.75" customHeight="1" x14ac:dyDescent="0.25">
      <c r="A2316" s="2" t="str">
        <f ca="1">IFERROR(__xludf.DUMMYFUNCTION("""COMPUTED_VALUE"""),"REA-P0890")</f>
        <v>REA-P0890</v>
      </c>
      <c r="B2316" s="3">
        <f ca="1">IFERROR(__xludf.DUMMYFUNCTION("""COMPUTED_VALUE"""),54388)</f>
        <v>54388</v>
      </c>
      <c r="C2316" s="3">
        <f ca="1">IFERROR(__xludf.DUMMYFUNCTION("""COMPUTED_VALUE"""),5906366006616)</f>
        <v>5906366006616</v>
      </c>
      <c r="D2316" s="4" t="str">
        <f ca="1">IFERROR(__xludf.DUMMYFUNCTION("""COMPUTED_VALUE"""),"ZESTAW NATRYSKOWY BARI TYTAN")</f>
        <v>ZESTAW NATRYSKOWY BARI TYTAN</v>
      </c>
      <c r="E2316" s="31">
        <v>169.65853658536588</v>
      </c>
      <c r="F2316" s="31">
        <f t="shared" si="36"/>
        <v>208.68000000000004</v>
      </c>
    </row>
    <row r="2317" spans="1:6" ht="18.75" customHeight="1" x14ac:dyDescent="0.25">
      <c r="A2317" s="2" t="str">
        <f ca="1">IFERROR(__xludf.DUMMYFUNCTION("""COMPUTED_VALUE"""),"REA-P0891")</f>
        <v>REA-P0891</v>
      </c>
      <c r="B2317" s="3">
        <f ca="1">IFERROR(__xludf.DUMMYFUNCTION("""COMPUTED_VALUE"""),54387)</f>
        <v>54387</v>
      </c>
      <c r="C2317" s="3">
        <f ca="1">IFERROR(__xludf.DUMMYFUNCTION("""COMPUTED_VALUE"""),5906366006623)</f>
        <v>5906366006623</v>
      </c>
      <c r="D2317" s="4" t="str">
        <f ca="1">IFERROR(__xludf.DUMMYFUNCTION("""COMPUTED_VALUE"""),"ZESTAW NATRYSKOWY BARI CZARNY")</f>
        <v>ZESTAW NATRYSKOWY BARI CZARNY</v>
      </c>
      <c r="E2317" s="31">
        <v>161.53658536585368</v>
      </c>
      <c r="F2317" s="31">
        <f t="shared" si="36"/>
        <v>198.69000000000003</v>
      </c>
    </row>
    <row r="2318" spans="1:6" ht="18.75" customHeight="1" x14ac:dyDescent="0.25">
      <c r="A2318" s="2" t="str">
        <f ca="1">IFERROR(__xludf.DUMMYFUNCTION("""COMPUTED_VALUE"""),"REA-P0895")</f>
        <v>REA-P0895</v>
      </c>
      <c r="B2318" s="3">
        <f ca="1">IFERROR(__xludf.DUMMYFUNCTION("""COMPUTED_VALUE"""),54390)</f>
        <v>54390</v>
      </c>
      <c r="C2318" s="3">
        <f ca="1">IFERROR(__xludf.DUMMYFUNCTION("""COMPUTED_VALUE"""),5906366006630)</f>
        <v>5906366006630</v>
      </c>
      <c r="D2318" s="4" t="str">
        <f ca="1">IFERROR(__xludf.DUMMYFUNCTION("""COMPUTED_VALUE"""),"ZESTAW NATRYSKOWY BARI BIAŁY")</f>
        <v>ZESTAW NATRYSKOWY BARI BIAŁY</v>
      </c>
      <c r="E2318" s="31">
        <v>161.53658536585368</v>
      </c>
      <c r="F2318" s="31">
        <f t="shared" si="36"/>
        <v>198.69000000000003</v>
      </c>
    </row>
    <row r="2319" spans="1:6" ht="18.75" customHeight="1" x14ac:dyDescent="0.25">
      <c r="A2319" s="2" t="str">
        <f ca="1">IFERROR(__xludf.DUMMYFUNCTION("""COMPUTED_VALUE"""),"ZLE-06000")</f>
        <v>ZLE-06000</v>
      </c>
      <c r="B2319" s="3">
        <f ca="1">IFERROR(__xludf.DUMMYFUNCTION("""COMPUTED_VALUE"""),54442)</f>
        <v>54442</v>
      </c>
      <c r="C2319" s="3">
        <f ca="1">IFERROR(__xludf.DUMMYFUNCTION("""COMPUTED_VALUE"""),5906366006951)</f>
        <v>5906366006951</v>
      </c>
      <c r="D2319" s="4" t="str">
        <f ca="1">IFERROR(__xludf.DUMMYFUNCTION("""COMPUTED_VALUE"""),"ZLEWOZMYWAK LEO 40 BRUSH SS")</f>
        <v>ZLEWOZMYWAK LEO 40 BRUSH SS</v>
      </c>
      <c r="E2319" s="31">
        <v>74.000000000000014</v>
      </c>
      <c r="F2319" s="31">
        <f t="shared" si="36"/>
        <v>91.02000000000001</v>
      </c>
    </row>
    <row r="2320" spans="1:6" ht="18.75" customHeight="1" x14ac:dyDescent="0.25">
      <c r="A2320" s="2" t="str">
        <f ca="1">IFERROR(__xludf.DUMMYFUNCTION("""COMPUTED_VALUE"""),"ZLE-06001")</f>
        <v>ZLE-06001</v>
      </c>
      <c r="B2320" s="3">
        <f ca="1">IFERROR(__xludf.DUMMYFUNCTION("""COMPUTED_VALUE"""),54457)</f>
        <v>54457</v>
      </c>
      <c r="C2320" s="3">
        <f ca="1">IFERROR(__xludf.DUMMYFUNCTION("""COMPUTED_VALUE"""),5906366006999)</f>
        <v>5906366006999</v>
      </c>
      <c r="D2320" s="4" t="str">
        <f ca="1">IFERROR(__xludf.DUMMYFUNCTION("""COMPUTED_VALUE"""),"ZLEWOZMYWAK LEO 40 BRUSH GOLD")</f>
        <v>ZLEWOZMYWAK LEO 40 BRUSH GOLD</v>
      </c>
      <c r="E2320" s="31">
        <v>86.634146341463421</v>
      </c>
      <c r="F2320" s="31">
        <f t="shared" si="36"/>
        <v>106.56</v>
      </c>
    </row>
    <row r="2321" spans="1:6" ht="18.75" customHeight="1" x14ac:dyDescent="0.25">
      <c r="A2321" s="2" t="str">
        <f ca="1">IFERROR(__xludf.DUMMYFUNCTION("""COMPUTED_VALUE"""),"ZLE-06002")</f>
        <v>ZLE-06002</v>
      </c>
      <c r="B2321" s="3">
        <f ca="1">IFERROR(__xludf.DUMMYFUNCTION("""COMPUTED_VALUE"""),54461)</f>
        <v>54461</v>
      </c>
      <c r="C2321" s="3">
        <f ca="1">IFERROR(__xludf.DUMMYFUNCTION("""COMPUTED_VALUE"""),5906366006982)</f>
        <v>5906366006982</v>
      </c>
      <c r="D2321" s="4" t="str">
        <f ca="1">IFERROR(__xludf.DUMMYFUNCTION("""COMPUTED_VALUE"""),"ZLEWOZMYWAK LEO 40 BLACK")</f>
        <v>ZLEWOZMYWAK LEO 40 BLACK</v>
      </c>
      <c r="E2321" s="31">
        <v>75.804878048780495</v>
      </c>
      <c r="F2321" s="31">
        <f t="shared" si="36"/>
        <v>93.240000000000009</v>
      </c>
    </row>
    <row r="2322" spans="1:6" ht="18.75" customHeight="1" x14ac:dyDescent="0.25">
      <c r="A2322" s="2" t="str">
        <f ca="1">IFERROR(__xludf.DUMMYFUNCTION("""COMPUTED_VALUE"""),"ZLE-06003")</f>
        <v>ZLE-06003</v>
      </c>
      <c r="B2322" s="3">
        <f ca="1">IFERROR(__xludf.DUMMYFUNCTION("""COMPUTED_VALUE"""),54445)</f>
        <v>54445</v>
      </c>
      <c r="C2322" s="3">
        <f ca="1">IFERROR(__xludf.DUMMYFUNCTION("""COMPUTED_VALUE"""),5906366006968)</f>
        <v>5906366006968</v>
      </c>
      <c r="D2322" s="4" t="str">
        <f ca="1">IFERROR(__xludf.DUMMYFUNCTION("""COMPUTED_VALUE"""),"ZLEWOZMYWAK LEO 50 BRUSH SS")</f>
        <v>ZLEWOZMYWAK LEO 50 BRUSH SS</v>
      </c>
      <c r="E2322" s="31">
        <v>83.024390243902445</v>
      </c>
      <c r="F2322" s="31">
        <f t="shared" si="36"/>
        <v>102.12</v>
      </c>
    </row>
    <row r="2323" spans="1:6" ht="18.75" customHeight="1" x14ac:dyDescent="0.25">
      <c r="A2323" s="2" t="str">
        <f ca="1">IFERROR(__xludf.DUMMYFUNCTION("""COMPUTED_VALUE"""),"ZLE-06004")</f>
        <v>ZLE-06004</v>
      </c>
      <c r="B2323" s="3">
        <f ca="1">IFERROR(__xludf.DUMMYFUNCTION("""COMPUTED_VALUE"""),54455)</f>
        <v>54455</v>
      </c>
      <c r="C2323" s="3">
        <f ca="1">IFERROR(__xludf.DUMMYFUNCTION("""COMPUTED_VALUE"""),5906366007002)</f>
        <v>5906366007002</v>
      </c>
      <c r="D2323" s="4" t="str">
        <f ca="1">IFERROR(__xludf.DUMMYFUNCTION("""COMPUTED_VALUE"""),"ZLEWOZMYWAK LEO 50 BRUSH GOLD")</f>
        <v>ZLEWOZMYWAK LEO 50 BRUSH GOLD</v>
      </c>
      <c r="E2323" s="31">
        <v>91.146341463414643</v>
      </c>
      <c r="F2323" s="31">
        <f t="shared" si="36"/>
        <v>112.11000000000001</v>
      </c>
    </row>
    <row r="2324" spans="1:6" ht="18.75" customHeight="1" x14ac:dyDescent="0.25">
      <c r="A2324" s="2" t="str">
        <f ca="1">IFERROR(__xludf.DUMMYFUNCTION("""COMPUTED_VALUE"""),"ZLE-06005")</f>
        <v>ZLE-06005</v>
      </c>
      <c r="B2324" s="3">
        <f ca="1">IFERROR(__xludf.DUMMYFUNCTION("""COMPUTED_VALUE"""),54459)</f>
        <v>54459</v>
      </c>
      <c r="C2324" s="3">
        <f ca="1">IFERROR(__xludf.DUMMYFUNCTION("""COMPUTED_VALUE"""),5906366006975)</f>
        <v>5906366006975</v>
      </c>
      <c r="D2324" s="4" t="str">
        <f ca="1">IFERROR(__xludf.DUMMYFUNCTION("""COMPUTED_VALUE"""),"ZLEWOZMYWAK LEO 50 BLACK")</f>
        <v>ZLEWOZMYWAK LEO 50 BLACK</v>
      </c>
      <c r="E2324" s="31">
        <v>84.82926829268294</v>
      </c>
      <c r="F2324" s="31">
        <f t="shared" si="36"/>
        <v>104.34000000000002</v>
      </c>
    </row>
    <row r="2325" spans="1:6" ht="18.75" customHeight="1" x14ac:dyDescent="0.25">
      <c r="A2325" s="2" t="str">
        <f ca="1">IFERROR(__xludf.DUMMYFUNCTION("""COMPUTED_VALUE"""),"ZLE-06006")</f>
        <v>ZLE-06006</v>
      </c>
      <c r="B2325" s="3">
        <f ca="1">IFERROR(__xludf.DUMMYFUNCTION("""COMPUTED_VALUE"""),54447)</f>
        <v>54447</v>
      </c>
      <c r="C2325" s="3">
        <f ca="1">IFERROR(__xludf.DUMMYFUNCTION("""COMPUTED_VALUE"""),5906366007071)</f>
        <v>5906366007071</v>
      </c>
      <c r="D2325" s="4" t="str">
        <f ca="1">IFERROR(__xludf.DUMMYFUNCTION("""COMPUTED_VALUE"""),"ZLEWOZMYWAK LIAM BRUSH SS")</f>
        <v>ZLEWOZMYWAK LIAM BRUSH SS</v>
      </c>
      <c r="E2325" s="31">
        <v>91.146341463414643</v>
      </c>
      <c r="F2325" s="31">
        <f t="shared" si="36"/>
        <v>112.11000000000001</v>
      </c>
    </row>
    <row r="2326" spans="1:6" ht="18.75" customHeight="1" x14ac:dyDescent="0.25">
      <c r="A2326" s="2" t="str">
        <f ca="1">IFERROR(__xludf.DUMMYFUNCTION("""COMPUTED_VALUE"""),"ZLE-06007")</f>
        <v>ZLE-06007</v>
      </c>
      <c r="B2326" s="3">
        <f ca="1">IFERROR(__xludf.DUMMYFUNCTION("""COMPUTED_VALUE"""),54453)</f>
        <v>54453</v>
      </c>
      <c r="C2326" s="3">
        <f ca="1">IFERROR(__xludf.DUMMYFUNCTION("""COMPUTED_VALUE"""),5906366007019)</f>
        <v>5906366007019</v>
      </c>
      <c r="D2326" s="4" t="str">
        <f ca="1">IFERROR(__xludf.DUMMYFUNCTION("""COMPUTED_VALUE"""),"ZLEWOZMYWAK LIAM BRUSH GOLD")</f>
        <v>ZLEWOZMYWAK LIAM BRUSH GOLD</v>
      </c>
      <c r="E2326" s="31">
        <v>99.268292682926841</v>
      </c>
      <c r="F2326" s="31">
        <f t="shared" si="36"/>
        <v>122.10000000000001</v>
      </c>
    </row>
    <row r="2327" spans="1:6" ht="18.75" customHeight="1" x14ac:dyDescent="0.25">
      <c r="A2327" s="2" t="str">
        <f ca="1">IFERROR(__xludf.DUMMYFUNCTION("""COMPUTED_VALUE"""),"ZLE-06008")</f>
        <v>ZLE-06008</v>
      </c>
      <c r="B2327" s="3">
        <f ca="1">IFERROR(__xludf.DUMMYFUNCTION("""COMPUTED_VALUE"""),54463)</f>
        <v>54463</v>
      </c>
      <c r="C2327" s="3">
        <f ca="1">IFERROR(__xludf.DUMMYFUNCTION("""COMPUTED_VALUE"""),5906366007064)</f>
        <v>5906366007064</v>
      </c>
      <c r="D2327" s="4" t="str">
        <f ca="1">IFERROR(__xludf.DUMMYFUNCTION("""COMPUTED_VALUE"""),"ZLEWOZMYWAK LIAM BLACK")</f>
        <v>ZLEWOZMYWAK LIAM BLACK</v>
      </c>
      <c r="E2327" s="31">
        <v>92.951219512195124</v>
      </c>
      <c r="F2327" s="31">
        <f t="shared" si="36"/>
        <v>114.33</v>
      </c>
    </row>
    <row r="2328" spans="1:6" ht="18.75" customHeight="1" x14ac:dyDescent="0.25">
      <c r="A2328" s="2" t="str">
        <f ca="1">IFERROR(__xludf.DUMMYFUNCTION("""COMPUTED_VALUE"""),"ZLE-06009")</f>
        <v>ZLE-06009</v>
      </c>
      <c r="B2328" s="3">
        <f ca="1">IFERROR(__xludf.DUMMYFUNCTION("""COMPUTED_VALUE"""),54467)</f>
        <v>54467</v>
      </c>
      <c r="C2328" s="3">
        <f ca="1">IFERROR(__xludf.DUMMYFUNCTION("""COMPUTED_VALUE"""),5906366007088)</f>
        <v>5906366007088</v>
      </c>
      <c r="D2328" s="4" t="str">
        <f ca="1">IFERROR(__xludf.DUMMYFUNCTION("""COMPUTED_VALUE"""),"ZLEWOZMYWAK PAUL BRUSH SS")</f>
        <v>ZLEWOZMYWAK PAUL BRUSH SS</v>
      </c>
      <c r="E2328" s="31">
        <v>114.60975609756099</v>
      </c>
      <c r="F2328" s="31">
        <f t="shared" si="36"/>
        <v>140.97000000000003</v>
      </c>
    </row>
    <row r="2329" spans="1:6" ht="18.75" customHeight="1" x14ac:dyDescent="0.25">
      <c r="A2329" s="2" t="str">
        <f ca="1">IFERROR(__xludf.DUMMYFUNCTION("""COMPUTED_VALUE"""),"ZLE-06010")</f>
        <v>ZLE-06010</v>
      </c>
      <c r="B2329" s="3">
        <f ca="1">IFERROR(__xludf.DUMMYFUNCTION("""COMPUTED_VALUE"""),54469)</f>
        <v>54469</v>
      </c>
      <c r="C2329" s="3">
        <f ca="1">IFERROR(__xludf.DUMMYFUNCTION("""COMPUTED_VALUE"""),5906366007026)</f>
        <v>5906366007026</v>
      </c>
      <c r="D2329" s="4" t="str">
        <f ca="1">IFERROR(__xludf.DUMMYFUNCTION("""COMPUTED_VALUE"""),"ZLEWOZMYWAK PAUL BRUSH GOLD")</f>
        <v>ZLEWOZMYWAK PAUL BRUSH GOLD</v>
      </c>
      <c r="E2329" s="31">
        <v>122.73170731707319</v>
      </c>
      <c r="F2329" s="31">
        <f t="shared" si="36"/>
        <v>150.96</v>
      </c>
    </row>
    <row r="2330" spans="1:6" ht="18.75" customHeight="1" x14ac:dyDescent="0.25">
      <c r="A2330" s="2" t="str">
        <f ca="1">IFERROR(__xludf.DUMMYFUNCTION("""COMPUTED_VALUE"""),"ZLE-06011")</f>
        <v>ZLE-06011</v>
      </c>
      <c r="B2330" s="3">
        <f ca="1">IFERROR(__xludf.DUMMYFUNCTION("""COMPUTED_VALUE"""),54471)</f>
        <v>54471</v>
      </c>
      <c r="C2330" s="3">
        <f ca="1">IFERROR(__xludf.DUMMYFUNCTION("""COMPUTED_VALUE"""),5906366007057)</f>
        <v>5906366007057</v>
      </c>
      <c r="D2330" s="4" t="str">
        <f ca="1">IFERROR(__xludf.DUMMYFUNCTION("""COMPUTED_VALUE"""),"ZLEWOZMYWAK PAUL BLACK")</f>
        <v>ZLEWOZMYWAK PAUL BLACK</v>
      </c>
      <c r="E2330" s="31">
        <v>116.41463414634147</v>
      </c>
      <c r="F2330" s="31">
        <f t="shared" si="36"/>
        <v>143.19</v>
      </c>
    </row>
    <row r="2331" spans="1:6" ht="18.75" customHeight="1" x14ac:dyDescent="0.25">
      <c r="A2331" s="2" t="str">
        <f ca="1">IFERROR(__xludf.DUMMYFUNCTION("""COMPUTED_VALUE"""),"ZLE-06012")</f>
        <v>ZLE-06012</v>
      </c>
      <c r="B2331" s="3">
        <f ca="1">IFERROR(__xludf.DUMMYFUNCTION("""COMPUTED_VALUE"""),54449)</f>
        <v>54449</v>
      </c>
      <c r="C2331" s="3">
        <f ca="1">IFERROR(__xludf.DUMMYFUNCTION("""COMPUTED_VALUE"""),5906366007095)</f>
        <v>5906366007095</v>
      </c>
      <c r="D2331" s="4" t="str">
        <f ca="1">IFERROR(__xludf.DUMMYFUNCTION("""COMPUTED_VALUE"""),"ZLEWOZMYWAK FIN BRUSH SS")</f>
        <v>ZLEWOZMYWAK FIN BRUSH SS</v>
      </c>
      <c r="E2331" s="31">
        <v>122.73170731707319</v>
      </c>
      <c r="F2331" s="31">
        <f t="shared" si="36"/>
        <v>150.96</v>
      </c>
    </row>
    <row r="2332" spans="1:6" ht="18.75" customHeight="1" x14ac:dyDescent="0.25">
      <c r="A2332" s="2" t="str">
        <f ca="1">IFERROR(__xludf.DUMMYFUNCTION("""COMPUTED_VALUE"""),"ZLE-06013")</f>
        <v>ZLE-06013</v>
      </c>
      <c r="B2332" s="3">
        <f ca="1">IFERROR(__xludf.DUMMYFUNCTION("""COMPUTED_VALUE"""),54451)</f>
        <v>54451</v>
      </c>
      <c r="C2332" s="3">
        <f ca="1">IFERROR(__xludf.DUMMYFUNCTION("""COMPUTED_VALUE"""),5906366007033)</f>
        <v>5906366007033</v>
      </c>
      <c r="D2332" s="4" t="str">
        <f ca="1">IFERROR(__xludf.DUMMYFUNCTION("""COMPUTED_VALUE"""),"ZLEWOZMYWAK FIN BRUSH GOLD")</f>
        <v>ZLEWOZMYWAK FIN BRUSH GOLD</v>
      </c>
      <c r="E2332" s="31">
        <v>131.75609756097563</v>
      </c>
      <c r="F2332" s="31">
        <f t="shared" si="36"/>
        <v>162.06000000000003</v>
      </c>
    </row>
    <row r="2333" spans="1:6" ht="18.75" customHeight="1" x14ac:dyDescent="0.25">
      <c r="A2333" s="2" t="str">
        <f ca="1">IFERROR(__xludf.DUMMYFUNCTION("""COMPUTED_VALUE"""),"ZLE-06014")</f>
        <v>ZLE-06014</v>
      </c>
      <c r="B2333" s="3">
        <f ca="1">IFERROR(__xludf.DUMMYFUNCTION("""COMPUTED_VALUE"""),54465)</f>
        <v>54465</v>
      </c>
      <c r="C2333" s="3">
        <f ca="1">IFERROR(__xludf.DUMMYFUNCTION("""COMPUTED_VALUE"""),5906366007040)</f>
        <v>5906366007040</v>
      </c>
      <c r="D2333" s="4" t="str">
        <f ca="1">IFERROR(__xludf.DUMMYFUNCTION("""COMPUTED_VALUE"""),"ZLEWOZMYWAK FIN BLACK")</f>
        <v>ZLEWOZMYWAK FIN BLACK</v>
      </c>
      <c r="E2333" s="31">
        <v>125.43902439024392</v>
      </c>
      <c r="F2333" s="31">
        <f t="shared" si="36"/>
        <v>154.29000000000002</v>
      </c>
    </row>
    <row r="2334" spans="1:6" ht="18.75" customHeight="1" x14ac:dyDescent="0.25">
      <c r="A2334" s="2" t="str">
        <f ca="1">IFERROR(__xludf.DUMMYFUNCTION("""COMPUTED_VALUE"""),"REA-U4700")</f>
        <v>REA-U4700</v>
      </c>
      <c r="B2334" s="3">
        <f ca="1">IFERROR(__xludf.DUMMYFUNCTION("""COMPUTED_VALUE"""),54437)</f>
        <v>54437</v>
      </c>
      <c r="C2334" s="3">
        <f ca="1">IFERROR(__xludf.DUMMYFUNCTION("""COMPUTED_VALUE"""),5906366008078)</f>
        <v>5906366008078</v>
      </c>
      <c r="D2334" s="4" t="str">
        <f ca="1">IFERROR(__xludf.DUMMYFUNCTION("""COMPUTED_VALUE"""),"UMYWALKA BELINDA MINI TRAVERTINE MATT - NABLATOWA")</f>
        <v>UMYWALKA BELINDA MINI TRAVERTINE MATT - NABLATOWA</v>
      </c>
      <c r="E2334" s="31">
        <v>53.243902439024396</v>
      </c>
      <c r="F2334" s="31">
        <f t="shared" si="36"/>
        <v>65.490000000000009</v>
      </c>
    </row>
    <row r="2335" spans="1:6" ht="18.75" customHeight="1" x14ac:dyDescent="0.25">
      <c r="A2335" s="2" t="str">
        <f ca="1">IFERROR(__xludf.DUMMYFUNCTION("""COMPUTED_VALUE"""),"REA-W9803")</f>
        <v>REA-W9803</v>
      </c>
      <c r="B2335" s="3">
        <f ca="1">IFERROR(__xludf.DUMMYFUNCTION("""COMPUTED_VALUE"""),54433)</f>
        <v>54433</v>
      </c>
      <c r="C2335" s="3">
        <f ca="1">IFERROR(__xludf.DUMMYFUNCTION("""COMPUTED_VALUE"""),5906366007705)</f>
        <v>5906366007705</v>
      </c>
      <c r="D2335" s="4" t="str">
        <f ca="1">IFERROR(__xludf.DUMMYFUNCTION("""COMPUTED_VALUE"""),"WANNA CAPRI 160")</f>
        <v>WANNA CAPRI 160</v>
      </c>
      <c r="E2335" s="31">
        <v>679.53658536585374</v>
      </c>
      <c r="F2335" s="31">
        <f t="shared" si="36"/>
        <v>835.83</v>
      </c>
    </row>
    <row r="2336" spans="1:6" ht="18.75" customHeight="1" x14ac:dyDescent="0.25">
      <c r="A2336" s="2" t="str">
        <f ca="1">IFERROR(__xludf.DUMMYFUNCTION("""COMPUTED_VALUE"""),"REA-P4880")</f>
        <v>REA-P4880</v>
      </c>
      <c r="B2336" s="3">
        <f ca="1">IFERROR(__xludf.DUMMYFUNCTION("""COMPUTED_VALUE"""),54438)</f>
        <v>54438</v>
      </c>
      <c r="C2336" s="3">
        <f ca="1">IFERROR(__xludf.DUMMYFUNCTION("""COMPUTED_VALUE"""),5906366008184)</f>
        <v>5906366008184</v>
      </c>
      <c r="D2336" s="4" t="str">
        <f ca="1">IFERROR(__xludf.DUMMYFUNCTION("""COMPUTED_VALUE"""),"ZESTAW NATRYSKOWY KARL TYTAN")</f>
        <v>ZESTAW NATRYSKOWY KARL TYTAN</v>
      </c>
      <c r="E2336" s="31">
        <v>249.97560975609761</v>
      </c>
      <c r="F2336" s="31">
        <f t="shared" si="36"/>
        <v>307.47000000000008</v>
      </c>
    </row>
    <row r="2337" spans="1:6" ht="18.75" customHeight="1" x14ac:dyDescent="0.25">
      <c r="A2337" s="2" t="str">
        <f ca="1">IFERROR(__xludf.DUMMYFUNCTION("""COMPUTED_VALUE"""),"REA-B6102")</f>
        <v>REA-B6102</v>
      </c>
      <c r="B2337" s="3">
        <f ca="1">IFERROR(__xludf.DUMMYFUNCTION("""COMPUTED_VALUE"""),54440)</f>
        <v>54440</v>
      </c>
      <c r="C2337" s="3">
        <f ca="1">IFERROR(__xludf.DUMMYFUNCTION("""COMPUTED_VALUE"""),5906366008177)</f>
        <v>5906366008177</v>
      </c>
      <c r="D2337" s="4" t="str">
        <f ca="1">IFERROR(__xludf.DUMMYFUNCTION("""COMPUTED_VALUE"""),"BATERIA UMYWALKOWA LUNGIS TYTAN WYSOKA")</f>
        <v>BATERIA UMYWALKOWA LUNGIS TYTAN WYSOKA</v>
      </c>
      <c r="E2337" s="31">
        <v>63.170731707317081</v>
      </c>
      <c r="F2337" s="31">
        <f t="shared" si="36"/>
        <v>77.7</v>
      </c>
    </row>
    <row r="2338" spans="1:6" ht="18.75" customHeight="1" x14ac:dyDescent="0.25">
      <c r="A2338" s="2" t="str">
        <f ca="1">IFERROR(__xludf.DUMMYFUNCTION("""COMPUTED_VALUE"""),"REA-B6101")</f>
        <v>REA-B6101</v>
      </c>
      <c r="B2338" s="3">
        <f ca="1">IFERROR(__xludf.DUMMYFUNCTION("""COMPUTED_VALUE"""),54441)</f>
        <v>54441</v>
      </c>
      <c r="C2338" s="3">
        <f ca="1">IFERROR(__xludf.DUMMYFUNCTION("""COMPUTED_VALUE"""),5906366008153)</f>
        <v>5906366008153</v>
      </c>
      <c r="D2338" s="4" t="str">
        <f ca="1">IFERROR(__xludf.DUMMYFUNCTION("""COMPUTED_VALUE"""),"BATERIA UMYWALKOWA LUNGIS ZŁOTA SZCZOTKOWA WYSOKA")</f>
        <v>BATERIA UMYWALKOWA LUNGIS ZŁOTA SZCZOTKOWA WYSOKA</v>
      </c>
      <c r="E2338" s="31">
        <v>67.682926829268297</v>
      </c>
      <c r="F2338" s="31">
        <f t="shared" si="36"/>
        <v>83.25</v>
      </c>
    </row>
    <row r="2339" spans="1:6" ht="18.75" customHeight="1" x14ac:dyDescent="0.25">
      <c r="A2339" s="2" t="str">
        <f ca="1">IFERROR(__xludf.DUMMYFUNCTION("""COMPUTED_VALUE"""),"REA-B6100")</f>
        <v>REA-B6100</v>
      </c>
      <c r="B2339" s="3">
        <f ca="1">IFERROR(__xludf.DUMMYFUNCTION("""COMPUTED_VALUE"""),54439)</f>
        <v>54439</v>
      </c>
      <c r="C2339" s="3">
        <f ca="1">IFERROR(__xludf.DUMMYFUNCTION("""COMPUTED_VALUE"""),5906366008160)</f>
        <v>5906366008160</v>
      </c>
      <c r="D2339" s="4" t="str">
        <f ca="1">IFERROR(__xludf.DUMMYFUNCTION("""COMPUTED_VALUE"""),"BATERIA UMYWALKOWA LUNGIS CHROM WYSOKA")</f>
        <v>BATERIA UMYWALKOWA LUNGIS CHROM WYSOKA</v>
      </c>
      <c r="E2339" s="31">
        <v>53.243902439024396</v>
      </c>
      <c r="F2339" s="31">
        <f t="shared" si="36"/>
        <v>65.490000000000009</v>
      </c>
    </row>
    <row r="2340" spans="1:6" ht="18.75" customHeight="1" x14ac:dyDescent="0.25">
      <c r="A2340" s="2" t="str">
        <f ca="1">IFERROR(__xludf.DUMMYFUNCTION("""COMPUTED_VALUE"""),"REA-P4881")</f>
        <v>REA-P4881</v>
      </c>
      <c r="B2340" s="3">
        <f ca="1">IFERROR(__xludf.DUMMYFUNCTION("""COMPUTED_VALUE"""),54501)</f>
        <v>54501</v>
      </c>
      <c r="C2340" s="3">
        <f ca="1">IFERROR(__xludf.DUMMYFUNCTION("""COMPUTED_VALUE"""),5906366007774)</f>
        <v>5906366007774</v>
      </c>
      <c r="D2340" s="4" t="str">
        <f ca="1">IFERROR(__xludf.DUMMYFUNCTION("""COMPUTED_VALUE"""),"ZESTAW NATRYSKOWY MY1902-77C STORM CHROM")</f>
        <v>ZESTAW NATRYSKOWY MY1902-77C STORM CHROM</v>
      </c>
      <c r="E2340" s="31">
        <v>119.1219512195122</v>
      </c>
      <c r="F2340" s="31">
        <f t="shared" si="36"/>
        <v>146.52000000000001</v>
      </c>
    </row>
    <row r="2341" spans="1:6" ht="18.75" customHeight="1" x14ac:dyDescent="0.25">
      <c r="A2341" s="2" t="str">
        <f ca="1">IFERROR(__xludf.DUMMYFUNCTION("""COMPUTED_VALUE"""),"REA-P4882")</f>
        <v>REA-P4882</v>
      </c>
      <c r="B2341" s="3">
        <f ca="1">IFERROR(__xludf.DUMMYFUNCTION("""COMPUTED_VALUE"""),54488)</f>
        <v>54488</v>
      </c>
      <c r="C2341" s="3">
        <f ca="1">IFERROR(__xludf.DUMMYFUNCTION("""COMPUTED_VALUE"""),5906366007798)</f>
        <v>5906366007798</v>
      </c>
      <c r="D2341" s="4" t="str">
        <f ca="1">IFERROR(__xludf.DUMMYFUNCTION("""COMPUTED_VALUE"""),"ZESTAW NATRYSKOWY MY1902-78C STORM CHROM")</f>
        <v>ZESTAW NATRYSKOWY MY1902-78C STORM CHROM</v>
      </c>
      <c r="E2341" s="31">
        <v>141.6829268292683</v>
      </c>
      <c r="F2341" s="31">
        <f t="shared" si="36"/>
        <v>174.27</v>
      </c>
    </row>
    <row r="2342" spans="1:6" ht="18.75" customHeight="1" x14ac:dyDescent="0.25">
      <c r="A2342" s="2" t="str">
        <f ca="1">IFERROR(__xludf.DUMMYFUNCTION("""COMPUTED_VALUE"""),"REA-B6389")</f>
        <v>REA-B6389</v>
      </c>
      <c r="B2342" s="3">
        <f ca="1">IFERROR(__xludf.DUMMYFUNCTION("""COMPUTED_VALUE"""),54485)</f>
        <v>54485</v>
      </c>
      <c r="C2342" s="3">
        <f ca="1">IFERROR(__xludf.DUMMYFUNCTION("""COMPUTED_VALUE"""),5906366013560)</f>
        <v>5906366013560</v>
      </c>
      <c r="D2342" s="4" t="str">
        <f ca="1">IFERROR(__xludf.DUMMYFUNCTION("""COMPUTED_VALUE"""),"BATERIA WANNOWA MY1805-3G BLOOM ZŁOTA")</f>
        <v>BATERIA WANNOWA MY1805-3G BLOOM ZŁOTA</v>
      </c>
      <c r="E2342" s="31">
        <v>84.82926829268294</v>
      </c>
      <c r="F2342" s="31">
        <f t="shared" si="36"/>
        <v>104.34000000000002</v>
      </c>
    </row>
    <row r="2343" spans="1:6" ht="18.75" customHeight="1" x14ac:dyDescent="0.25">
      <c r="A2343" s="2" t="str">
        <f ca="1">IFERROR(__xludf.DUMMYFUNCTION("""COMPUTED_VALUE"""),"REA-U4702")</f>
        <v>REA-U4702</v>
      </c>
      <c r="B2343" s="3">
        <f ca="1">IFERROR(__xludf.DUMMYFUNCTION("""COMPUTED_VALUE"""),54484)</f>
        <v>54484</v>
      </c>
      <c r="C2343" s="3">
        <f ca="1">IFERROR(__xludf.DUMMYFUNCTION("""COMPUTED_VALUE"""),5906366007118)</f>
        <v>5906366007118</v>
      </c>
      <c r="D2343" s="4" t="str">
        <f ca="1">IFERROR(__xludf.DUMMYFUNCTION("""COMPUTED_VALUE"""),"UMYWALKA SUE TRANSPARENT - NABLATOWA")</f>
        <v>UMYWALKA SUE TRANSPARENT - NABLATOWA</v>
      </c>
      <c r="E2343" s="31">
        <v>127.24390243902441</v>
      </c>
      <c r="F2343" s="31">
        <f t="shared" si="36"/>
        <v>156.51000000000002</v>
      </c>
    </row>
    <row r="2344" spans="1:6" ht="18.75" customHeight="1" x14ac:dyDescent="0.25">
      <c r="A2344" s="2" t="str">
        <f ca="1">IFERROR(__xludf.DUMMYFUNCTION("""COMPUTED_VALUE"""),"REA-U4701")</f>
        <v>REA-U4701</v>
      </c>
      <c r="B2344" s="3">
        <f ca="1">IFERROR(__xludf.DUMMYFUNCTION("""COMPUTED_VALUE"""),54473)</f>
        <v>54473</v>
      </c>
      <c r="C2344" s="3">
        <f ca="1">IFERROR(__xludf.DUMMYFUNCTION("""COMPUTED_VALUE"""),5906366007101)</f>
        <v>5906366007101</v>
      </c>
      <c r="D2344" s="4" t="str">
        <f ca="1">IFERROR(__xludf.DUMMYFUNCTION("""COMPUTED_VALUE"""),"UMYWALKA NICOLE TRANSPARENT  - NABLATOWA")</f>
        <v>UMYWALKA NICOLE TRANSPARENT  - NABLATOWA</v>
      </c>
      <c r="E2344" s="31">
        <v>127.24390243902441</v>
      </c>
      <c r="F2344" s="31">
        <f t="shared" si="36"/>
        <v>156.51000000000002</v>
      </c>
    </row>
    <row r="2345" spans="1:6" ht="18.75" customHeight="1" x14ac:dyDescent="0.25">
      <c r="A2345" s="2" t="str">
        <f ca="1">IFERROR(__xludf.DUMMYFUNCTION("""COMPUTED_VALUE"""),"IMP-00001")</f>
        <v>IMP-00001</v>
      </c>
      <c r="B2345" s="3">
        <f ca="1">IFERROR(__xludf.DUMMYFUNCTION("""COMPUTED_VALUE"""),54503)</f>
        <v>54503</v>
      </c>
      <c r="C2345" s="3">
        <f ca="1">IFERROR(__xludf.DUMMYFUNCTION("""COMPUTED_VALUE"""),5907501821019)</f>
        <v>5907501821019</v>
      </c>
      <c r="D2345" s="4" t="str">
        <f ca="1">IFERROR(__xludf.DUMMYFUNCTION("""COMPUTED_VALUE"""),"ZESTAW HYDRO FIXER - SHOWER PLUS")</f>
        <v>ZESTAW HYDRO FIXER - SHOWER PLUS</v>
      </c>
      <c r="E2345" s="31">
        <v>16.243902439024392</v>
      </c>
      <c r="F2345" s="31">
        <f t="shared" si="36"/>
        <v>19.98</v>
      </c>
    </row>
    <row r="2346" spans="1:6" ht="18.75" customHeight="1" x14ac:dyDescent="0.25">
      <c r="A2346" s="2" t="str">
        <f ca="1">IFERROR(__xludf.DUMMYFUNCTION("""COMPUTED_VALUE"""),"REA-B7963")</f>
        <v>REA-B7963</v>
      </c>
      <c r="B2346" s="3">
        <f ca="1">IFERROR(__xludf.DUMMYFUNCTION("""COMPUTED_VALUE"""),54500)</f>
        <v>54500</v>
      </c>
      <c r="C2346" s="3">
        <f ca="1">IFERROR(__xludf.DUMMYFUNCTION("""COMPUTED_VALUE"""),5906366007842)</f>
        <v>5906366007842</v>
      </c>
      <c r="D2346" s="4" t="str">
        <f ca="1">IFERROR(__xludf.DUMMYFUNCTION("""COMPUTED_VALUE"""),"BATERIA WANNOWA MY1902-3GG STORM ZŁOTA SZCZOTKOWAN")</f>
        <v>BATERIA WANNOWA MY1902-3GG STORM ZŁOTA SZCZOTKOWAN</v>
      </c>
      <c r="E2346" s="31">
        <v>105.58536585365854</v>
      </c>
      <c r="F2346" s="31">
        <f t="shared" si="36"/>
        <v>129.87</v>
      </c>
    </row>
    <row r="2347" spans="1:6" ht="18.75" customHeight="1" x14ac:dyDescent="0.25">
      <c r="A2347" s="2" t="str">
        <f ca="1">IFERROR(__xludf.DUMMYFUNCTION("""COMPUTED_VALUE"""),"REA-B7962")</f>
        <v>REA-B7962</v>
      </c>
      <c r="B2347" s="3">
        <f ca="1">IFERROR(__xludf.DUMMYFUNCTION("""COMPUTED_VALUE"""),54498)</f>
        <v>54498</v>
      </c>
      <c r="C2347" s="3">
        <f ca="1">IFERROR(__xludf.DUMMYFUNCTION("""COMPUTED_VALUE"""),5906366007835)</f>
        <v>5906366007835</v>
      </c>
      <c r="D2347" s="4" t="str">
        <f ca="1">IFERROR(__xludf.DUMMYFUNCTION("""COMPUTED_VALUE"""),"BATERIA UMYWA MY1902-21GG STORM ZŁOTA SZCZO WYSOKA")</f>
        <v>BATERIA UMYWA MY1902-21GG STORM ZŁOTA SZCZO WYSOKA</v>
      </c>
      <c r="E2347" s="31">
        <v>91.146341463414643</v>
      </c>
      <c r="F2347" s="31">
        <f t="shared" si="36"/>
        <v>112.11000000000001</v>
      </c>
    </row>
    <row r="2348" spans="1:6" ht="18.75" customHeight="1" x14ac:dyDescent="0.25">
      <c r="A2348" s="2" t="str">
        <f ca="1">IFERROR(__xludf.DUMMYFUNCTION("""COMPUTED_VALUE"""),"REA-B7961")</f>
        <v>REA-B7961</v>
      </c>
      <c r="B2348" s="3">
        <f ca="1">IFERROR(__xludf.DUMMYFUNCTION("""COMPUTED_VALUE"""),54499)</f>
        <v>54499</v>
      </c>
      <c r="C2348" s="3">
        <f ca="1">IFERROR(__xludf.DUMMYFUNCTION("""COMPUTED_VALUE"""),5906366007873)</f>
        <v>5906366007873</v>
      </c>
      <c r="D2348" s="4" t="str">
        <f ca="1">IFERROR(__xludf.DUMMYFUNCTION("""COMPUTED_VALUE"""),"BATERIA BIDETOWA MY1902-9GG STORM ZŁOTA SZCZOTKOWA")</f>
        <v>BATERIA BIDETOWA MY1902-9GG STORM ZŁOTA SZCZOTKOWA</v>
      </c>
      <c r="E2348" s="31">
        <v>61.365853658536594</v>
      </c>
      <c r="F2348" s="31">
        <f t="shared" si="36"/>
        <v>75.48</v>
      </c>
    </row>
    <row r="2349" spans="1:6" ht="18.75" customHeight="1" x14ac:dyDescent="0.25">
      <c r="A2349" s="2" t="str">
        <f ca="1">IFERROR(__xludf.DUMMYFUNCTION("""COMPUTED_VALUE"""),"REA-B7960")</f>
        <v>REA-B7960</v>
      </c>
      <c r="B2349" s="3">
        <f ca="1">IFERROR(__xludf.DUMMYFUNCTION("""COMPUTED_VALUE"""),54486)</f>
        <v>54486</v>
      </c>
      <c r="C2349" s="3">
        <f ca="1">IFERROR(__xludf.DUMMYFUNCTION("""COMPUTED_VALUE"""),5906366007828)</f>
        <v>5906366007828</v>
      </c>
      <c r="D2349" s="4" t="str">
        <f ca="1">IFERROR(__xludf.DUMMYFUNCTION("""COMPUTED_VALUE"""),"BATERIA UMYWAL MY1902-2GG STORM ZŁOTA SZCZO NISKA")</f>
        <v>BATERIA UMYWAL MY1902-2GG STORM ZŁOTA SZCZO NISKA</v>
      </c>
      <c r="E2349" s="31">
        <v>63.170731707317081</v>
      </c>
      <c r="F2349" s="31">
        <f t="shared" si="36"/>
        <v>77.7</v>
      </c>
    </row>
    <row r="2350" spans="1:6" ht="18.75" customHeight="1" x14ac:dyDescent="0.25">
      <c r="A2350" s="2" t="str">
        <f ca="1">IFERROR(__xludf.DUMMYFUNCTION("""COMPUTED_VALUE"""),"REA-K9514")</f>
        <v>REA-K9514</v>
      </c>
      <c r="B2350" s="3">
        <f ca="1">IFERROR(__xludf.DUMMYFUNCTION("""COMPUTED_VALUE"""),54489)</f>
        <v>54489</v>
      </c>
      <c r="C2350" s="3">
        <f ca="1">IFERROR(__xludf.DUMMYFUNCTION("""COMPUTED_VALUE"""),5906366008146)</f>
        <v>5906366008146</v>
      </c>
      <c r="D2350" s="4" t="str">
        <f ca="1">IFERROR(__xludf.DUMMYFUNCTION("""COMPUTED_VALUE"""),"KABINA SOLAR BRUSH COPPER 90x120")</f>
        <v>KABINA SOLAR BRUSH COPPER 90x120</v>
      </c>
      <c r="E2350" s="31">
        <v>312.24390243902445</v>
      </c>
      <c r="F2350" s="31">
        <f t="shared" si="36"/>
        <v>384.06000000000006</v>
      </c>
    </row>
    <row r="2351" spans="1:6" ht="18.75" customHeight="1" x14ac:dyDescent="0.25">
      <c r="A2351" s="2" t="str">
        <f ca="1">IFERROR(__xludf.DUMMYFUNCTION("""COMPUTED_VALUE"""),"REA-K9513")</f>
        <v>REA-K9513</v>
      </c>
      <c r="B2351" s="3">
        <f ca="1">IFERROR(__xludf.DUMMYFUNCTION("""COMPUTED_VALUE"""),54495)</f>
        <v>54495</v>
      </c>
      <c r="C2351" s="3">
        <f ca="1">IFERROR(__xludf.DUMMYFUNCTION("""COMPUTED_VALUE"""),5906366008139)</f>
        <v>5906366008139</v>
      </c>
      <c r="D2351" s="4" t="str">
        <f ca="1">IFERROR(__xludf.DUMMYFUNCTION("""COMPUTED_VALUE"""),"KABINA SOLAR BRUSH COPPER 80x100")</f>
        <v>KABINA SOLAR BRUSH COPPER 80x100</v>
      </c>
      <c r="E2351" s="31">
        <v>279.75609756097566</v>
      </c>
      <c r="F2351" s="31">
        <f t="shared" si="36"/>
        <v>344.10000000000008</v>
      </c>
    </row>
    <row r="2352" spans="1:6" ht="18.75" customHeight="1" x14ac:dyDescent="0.25">
      <c r="A2352" s="2" t="str">
        <f ca="1">IFERROR(__xludf.DUMMYFUNCTION("""COMPUTED_VALUE"""),"REA-K9512")</f>
        <v>REA-K9512</v>
      </c>
      <c r="B2352" s="3">
        <f ca="1">IFERROR(__xludf.DUMMYFUNCTION("""COMPUTED_VALUE"""),54492)</f>
        <v>54492</v>
      </c>
      <c r="C2352" s="3">
        <f ca="1">IFERROR(__xludf.DUMMYFUNCTION("""COMPUTED_VALUE"""),5906366008122)</f>
        <v>5906366008122</v>
      </c>
      <c r="D2352" s="4" t="str">
        <f ca="1">IFERROR(__xludf.DUMMYFUNCTION("""COMPUTED_VALUE"""),"KABINA SOLAR BRUSH COPPER 90x90")</f>
        <v>KABINA SOLAR BRUSH COPPER 90x90</v>
      </c>
      <c r="E2352" s="31">
        <v>279.75609756097566</v>
      </c>
      <c r="F2352" s="31">
        <f t="shared" si="36"/>
        <v>344.10000000000008</v>
      </c>
    </row>
    <row r="2353" spans="1:6" ht="18.75" customHeight="1" x14ac:dyDescent="0.25">
      <c r="A2353" s="2" t="str">
        <f ca="1">IFERROR(__xludf.DUMMYFUNCTION("""COMPUTED_VALUE"""),"REA-K9511")</f>
        <v>REA-K9511</v>
      </c>
      <c r="B2353" s="3">
        <f ca="1">IFERROR(__xludf.DUMMYFUNCTION("""COMPUTED_VALUE"""),54476)</f>
        <v>54476</v>
      </c>
      <c r="C2353" s="3">
        <f ca="1">IFERROR(__xludf.DUMMYFUNCTION("""COMPUTED_VALUE"""),5906366008115)</f>
        <v>5906366008115</v>
      </c>
      <c r="D2353" s="4" t="str">
        <f ca="1">IFERROR(__xludf.DUMMYFUNCTION("""COMPUTED_VALUE"""),"KABINA SOLAR BRUSH GOLD 90x120")</f>
        <v>KABINA SOLAR BRUSH GOLD 90x120</v>
      </c>
      <c r="E2353" s="31">
        <v>307.73170731707319</v>
      </c>
      <c r="F2353" s="31">
        <f t="shared" si="36"/>
        <v>378.51</v>
      </c>
    </row>
    <row r="2354" spans="1:6" ht="18.75" customHeight="1" x14ac:dyDescent="0.25">
      <c r="A2354" s="2" t="str">
        <f ca="1">IFERROR(__xludf.DUMMYFUNCTION("""COMPUTED_VALUE"""),"REA-K9509")</f>
        <v>REA-K9509</v>
      </c>
      <c r="B2354" s="3">
        <f ca="1">IFERROR(__xludf.DUMMYFUNCTION("""COMPUTED_VALUE"""),54480)</f>
        <v>54480</v>
      </c>
      <c r="C2354" s="3">
        <f ca="1">IFERROR(__xludf.DUMMYFUNCTION("""COMPUTED_VALUE"""),5906366008108)</f>
        <v>5906366008108</v>
      </c>
      <c r="D2354" s="4" t="str">
        <f ca="1">IFERROR(__xludf.DUMMYFUNCTION("""COMPUTED_VALUE"""),"KABINA SOLAR BRUSH GOLD 80x100")</f>
        <v>KABINA SOLAR BRUSH GOLD 80x100</v>
      </c>
      <c r="E2354" s="31">
        <v>276.14634146341467</v>
      </c>
      <c r="F2354" s="31">
        <f t="shared" si="36"/>
        <v>339.66</v>
      </c>
    </row>
    <row r="2355" spans="1:6" ht="18.75" customHeight="1" x14ac:dyDescent="0.25">
      <c r="A2355" s="2" t="str">
        <f ca="1">IFERROR(__xludf.DUMMYFUNCTION("""COMPUTED_VALUE"""),"REA-K9500")</f>
        <v>REA-K9500</v>
      </c>
      <c r="B2355" s="3">
        <f ca="1">IFERROR(__xludf.DUMMYFUNCTION("""COMPUTED_VALUE"""),54477)</f>
        <v>54477</v>
      </c>
      <c r="C2355" s="3">
        <f ca="1">IFERROR(__xludf.DUMMYFUNCTION("""COMPUTED_VALUE"""),5906366008092)</f>
        <v>5906366008092</v>
      </c>
      <c r="D2355" s="4" t="str">
        <f ca="1">IFERROR(__xludf.DUMMYFUNCTION("""COMPUTED_VALUE"""),"KABINA SOLAR BRUSH GOLD 90x90")</f>
        <v>KABINA SOLAR BRUSH GOLD 90x90</v>
      </c>
      <c r="E2355" s="31">
        <v>276.14634146341467</v>
      </c>
      <c r="F2355" s="31">
        <f t="shared" si="36"/>
        <v>339.66</v>
      </c>
    </row>
    <row r="2356" spans="1:6" ht="18.75" customHeight="1" x14ac:dyDescent="0.25">
      <c r="A2356" s="2" t="str">
        <f ca="1">IFERROR(__xludf.DUMMYFUNCTION("""COMPUTED_VALUE"""),"REA-C4800")</f>
        <v>REA-C4800</v>
      </c>
      <c r="B2356" s="3">
        <f ca="1">IFERROR(__xludf.DUMMYFUNCTION("""COMPUTED_VALUE"""),54504)</f>
        <v>54504</v>
      </c>
      <c r="C2356" s="3">
        <f ca="1">IFERROR(__xludf.DUMMYFUNCTION("""COMPUTED_VALUE"""),5906366007712)</f>
        <v>5906366007712</v>
      </c>
      <c r="D2356" s="4" t="str">
        <f ca="1">IFERROR(__xludf.DUMMYFUNCTION("""COMPUTED_VALUE"""),"WC - CARLO MINI TORNADO/DUR/FLAT/ZM WHITE GOLD EDG")</f>
        <v>WC - CARLO MINI TORNADO/DUR/FLAT/ZM WHITE GOLD EDG</v>
      </c>
      <c r="E2356" s="31">
        <v>197.63414634146343</v>
      </c>
      <c r="F2356" s="31">
        <f t="shared" si="36"/>
        <v>243.09000000000003</v>
      </c>
    </row>
    <row r="2357" spans="1:6" ht="18.75" customHeight="1" x14ac:dyDescent="0.25">
      <c r="A2357" s="2" t="str">
        <f ca="1">IFERROR(__xludf.DUMMYFUNCTION("""COMPUTED_VALUE"""),"MCA-00012")</f>
        <v>MCA-00012</v>
      </c>
      <c r="B2357" s="3"/>
      <c r="C2357" s="3"/>
      <c r="D2357" s="4" t="str">
        <f ca="1">IFERROR(__xludf.DUMMYFUNCTION("""COMPUTED_VALUE"""),"SYFON UMYWALKOWY HC1L")</f>
        <v>SYFON UMYWALKOWY HC1L</v>
      </c>
      <c r="E2357" s="31">
        <v>8.1219512195121961</v>
      </c>
      <c r="F2357" s="31">
        <f t="shared" si="36"/>
        <v>9.99</v>
      </c>
    </row>
    <row r="2358" spans="1:6" ht="18.75" customHeight="1" x14ac:dyDescent="0.25">
      <c r="A2358" s="2" t="str">
        <f ca="1">IFERROR(__xludf.DUMMYFUNCTION("""COMPUTED_VALUE"""),"REA-U9239")</f>
        <v>REA-U9239</v>
      </c>
      <c r="B2358" s="3">
        <f ca="1">IFERROR(__xludf.DUMMYFUNCTION("""COMPUTED_VALUE"""),54287)</f>
        <v>54287</v>
      </c>
      <c r="C2358" s="3">
        <f ca="1">IFERROR(__xludf.DUMMYFUNCTION("""COMPUTED_VALUE"""),5906366007996)</f>
        <v>5906366007996</v>
      </c>
      <c r="D2358" s="4" t="str">
        <f ca="1">IFERROR(__xludf.DUMMYFUNCTION("""COMPUTED_VALUE"""),"UMYWALKA NADIA 60 MARRONE - NABLATOWA")</f>
        <v>UMYWALKA NADIA 60 MARRONE - NABLATOWA</v>
      </c>
      <c r="E2358" s="31">
        <v>87.536585365853668</v>
      </c>
      <c r="F2358" s="31">
        <f t="shared" si="36"/>
        <v>107.67000000000002</v>
      </c>
    </row>
    <row r="2359" spans="1:6" ht="18.75" customHeight="1" x14ac:dyDescent="0.25">
      <c r="A2359" s="2" t="str">
        <f ca="1">IFERROR(__xludf.DUMMYFUNCTION("""COMPUTED_VALUE"""),"REA-U9238")</f>
        <v>REA-U9238</v>
      </c>
      <c r="B2359" s="3">
        <f ca="1">IFERROR(__xludf.DUMMYFUNCTION("""COMPUTED_VALUE"""),54359)</f>
        <v>54359</v>
      </c>
      <c r="C2359" s="3">
        <f ca="1">IFERROR(__xludf.DUMMYFUNCTION("""COMPUTED_VALUE"""),5906366007965)</f>
        <v>5906366007965</v>
      </c>
      <c r="D2359" s="4" t="str">
        <f ca="1">IFERROR(__xludf.DUMMYFUNCTION("""COMPUTED_VALUE"""),"UMYWALKA SOFIA MINI KASHMIR - NABLATOWA")</f>
        <v>UMYWALKA SOFIA MINI KASHMIR - NABLATOWA</v>
      </c>
      <c r="E2359" s="31">
        <v>58.658536585365859</v>
      </c>
      <c r="F2359" s="31">
        <f t="shared" si="36"/>
        <v>72.150000000000006</v>
      </c>
    </row>
    <row r="2360" spans="1:6" ht="18.75" customHeight="1" x14ac:dyDescent="0.25">
      <c r="A2360" s="2" t="str">
        <f ca="1">IFERROR(__xludf.DUMMYFUNCTION("""COMPUTED_VALUE"""),"REA-U9236")</f>
        <v>REA-U9236</v>
      </c>
      <c r="B2360" s="3">
        <f ca="1">IFERROR(__xludf.DUMMYFUNCTION("""COMPUTED_VALUE"""),54285)</f>
        <v>54285</v>
      </c>
      <c r="C2360" s="3">
        <f ca="1">IFERROR(__xludf.DUMMYFUNCTION("""COMPUTED_VALUE"""),5906366007941)</f>
        <v>5906366007941</v>
      </c>
      <c r="D2360" s="4" t="str">
        <f ca="1">IFERROR(__xludf.DUMMYFUNCTION("""COMPUTED_VALUE"""),"UMYWALKA SOFIA MINI CLOUDY - NABLATOWA")</f>
        <v>UMYWALKA SOFIA MINI CLOUDY - NABLATOWA</v>
      </c>
      <c r="E2360" s="31">
        <v>58.658536585365859</v>
      </c>
      <c r="F2360" s="31">
        <f t="shared" si="36"/>
        <v>72.150000000000006</v>
      </c>
    </row>
    <row r="2361" spans="1:6" ht="18.75" customHeight="1" x14ac:dyDescent="0.25">
      <c r="A2361" s="2" t="str">
        <f ca="1">IFERROR(__xludf.DUMMYFUNCTION("""COMPUTED_VALUE"""),"REA-U9242")</f>
        <v>REA-U9242</v>
      </c>
      <c r="B2361" s="3">
        <f ca="1">IFERROR(__xludf.DUMMYFUNCTION("""COMPUTED_VALUE"""),54288)</f>
        <v>54288</v>
      </c>
      <c r="C2361" s="3">
        <f ca="1">IFERROR(__xludf.DUMMYFUNCTION("""COMPUTED_VALUE"""),5906366008009)</f>
        <v>5906366008009</v>
      </c>
      <c r="D2361" s="4" t="str">
        <f ca="1">IFERROR(__xludf.DUMMYFUNCTION("""COMPUTED_VALUE"""),"UMYWALKA ALTEA CLOUDY - NABLATOWA")</f>
        <v>UMYWALKA ALTEA CLOUDY - NABLATOWA</v>
      </c>
      <c r="E2361" s="31">
        <v>65.878048780487816</v>
      </c>
      <c r="F2361" s="31">
        <f t="shared" si="36"/>
        <v>81.030000000000015</v>
      </c>
    </row>
    <row r="2362" spans="1:6" ht="18.75" customHeight="1" x14ac:dyDescent="0.25">
      <c r="A2362" s="2" t="str">
        <f ca="1">IFERROR(__xludf.DUMMYFUNCTION("""COMPUTED_VALUE"""),"REA-P8699")</f>
        <v>REA-P8699</v>
      </c>
      <c r="B2362" s="3">
        <f ca="1">IFERROR(__xludf.DUMMYFUNCTION("""COMPUTED_VALUE"""),54528)</f>
        <v>54528</v>
      </c>
      <c r="C2362" s="3">
        <f ca="1">IFERROR(__xludf.DUMMYFUNCTION("""COMPUTED_VALUE"""),5906366012266)</f>
        <v>5906366012266</v>
      </c>
      <c r="D2362" s="4" t="str">
        <f ca="1">IFERROR(__xludf.DUMMYFUNCTION("""COMPUTED_VALUE"""),"ZESTAW NATRYSKOWY AVALON CHROM")</f>
        <v>ZESTAW NATRYSKOWY AVALON CHROM</v>
      </c>
      <c r="E2362" s="31">
        <v>180.48780487804879</v>
      </c>
      <c r="F2362" s="31">
        <f t="shared" si="36"/>
        <v>222</v>
      </c>
    </row>
    <row r="2363" spans="1:6" ht="18.75" customHeight="1" x14ac:dyDescent="0.25">
      <c r="A2363" s="2" t="str">
        <f ca="1">IFERROR(__xludf.DUMMYFUNCTION("""COMPUTED_VALUE"""),"REA-C4803")</f>
        <v>REA-C4803</v>
      </c>
      <c r="B2363" s="3">
        <f ca="1">IFERROR(__xludf.DUMMYFUNCTION("""COMPUTED_VALUE"""),54524)</f>
        <v>54524</v>
      </c>
      <c r="C2363" s="3">
        <f ca="1">IFERROR(__xludf.DUMMYFUNCTION("""COMPUTED_VALUE"""),5906366008856)</f>
        <v>5906366008856</v>
      </c>
      <c r="D2363" s="4" t="str">
        <f ca="1">IFERROR(__xludf.DUMMYFUNCTION("""COMPUTED_VALUE"""),"WC - JULIO RIMLESS")</f>
        <v>WC - JULIO RIMLESS</v>
      </c>
      <c r="E2363" s="31">
        <v>133.5609756097561</v>
      </c>
      <c r="F2363" s="31">
        <f t="shared" si="36"/>
        <v>164.28</v>
      </c>
    </row>
    <row r="2364" spans="1:6" ht="18.75" customHeight="1" x14ac:dyDescent="0.25">
      <c r="A2364" s="2" t="str">
        <f ca="1">IFERROR(__xludf.DUMMYFUNCTION("""COMPUTED_VALUE"""),"REA-C4801")</f>
        <v>REA-C4801</v>
      </c>
      <c r="B2364" s="3">
        <f ca="1">IFERROR(__xludf.DUMMYFUNCTION("""COMPUTED_VALUE"""),54525)</f>
        <v>54525</v>
      </c>
      <c r="C2364" s="3">
        <f ca="1">IFERROR(__xludf.DUMMYFUNCTION("""COMPUTED_VALUE"""),5906366008870)</f>
        <v>5906366008870</v>
      </c>
      <c r="D2364" s="4" t="str">
        <f ca="1">IFERROR(__xludf.DUMMYFUNCTION("""COMPUTED_VALUE"""),"WC - CARTER TORNADO")</f>
        <v>WC - CARTER TORNADO</v>
      </c>
      <c r="E2364" s="31">
        <v>127.24390243902441</v>
      </c>
      <c r="F2364" s="31">
        <f t="shared" si="36"/>
        <v>156.51000000000002</v>
      </c>
    </row>
    <row r="2365" spans="1:6" ht="18.75" customHeight="1" x14ac:dyDescent="0.25">
      <c r="A2365" s="2" t="str">
        <f ca="1">IFERROR(__xludf.DUMMYFUNCTION("""COMPUTED_VALUE"""),"REA-C4802")</f>
        <v>REA-C4802</v>
      </c>
      <c r="B2365" s="3">
        <f ca="1">IFERROR(__xludf.DUMMYFUNCTION("""COMPUTED_VALUE"""),54526)</f>
        <v>54526</v>
      </c>
      <c r="C2365" s="3">
        <f ca="1">IFERROR(__xludf.DUMMYFUNCTION("""COMPUTED_VALUE"""),5906366008832)</f>
        <v>5906366008832</v>
      </c>
      <c r="D2365" s="4" t="str">
        <f ca="1">IFERROR(__xludf.DUMMYFUNCTION("""COMPUTED_VALUE"""),"WC - RICHARD")</f>
        <v>WC - RICHARD</v>
      </c>
      <c r="E2365" s="31">
        <v>131.75609756097563</v>
      </c>
      <c r="F2365" s="31">
        <f t="shared" si="36"/>
        <v>162.06000000000003</v>
      </c>
    </row>
    <row r="2366" spans="1:6" ht="18.75" customHeight="1" x14ac:dyDescent="0.25">
      <c r="A2366" s="2" t="str">
        <f ca="1">IFERROR(__xludf.DUMMYFUNCTION("""COMPUTED_VALUE"""),"REA-B1178")</f>
        <v>REA-B1178</v>
      </c>
      <c r="B2366" s="3">
        <f ca="1">IFERROR(__xludf.DUMMYFUNCTION("""COMPUTED_VALUE"""),54530)</f>
        <v>54530</v>
      </c>
      <c r="C2366" s="3">
        <f ca="1">IFERROR(__xludf.DUMMYFUNCTION("""COMPUTED_VALUE"""),5906366012310)</f>
        <v>5906366012310</v>
      </c>
      <c r="D2366" s="4" t="str">
        <f ca="1">IFERROR(__xludf.DUMMYFUNCTION("""COMPUTED_VALUE"""),"BATERIA UMYWALKOWA AVALON CHROM NISKA")</f>
        <v>BATERIA UMYWALKOWA AVALON CHROM NISKA</v>
      </c>
      <c r="E2366" s="31">
        <v>59.560975609756099</v>
      </c>
      <c r="F2366" s="31">
        <f t="shared" si="36"/>
        <v>73.260000000000005</v>
      </c>
    </row>
    <row r="2367" spans="1:6" ht="18.75" customHeight="1" x14ac:dyDescent="0.25">
      <c r="A2367" s="2" t="str">
        <f ca="1">IFERROR(__xludf.DUMMYFUNCTION("""COMPUTED_VALUE"""),"REA-B1156")</f>
        <v>REA-B1156</v>
      </c>
      <c r="B2367" s="3">
        <f ca="1">IFERROR(__xludf.DUMMYFUNCTION("""COMPUTED_VALUE"""),54527)</f>
        <v>54527</v>
      </c>
      <c r="C2367" s="3">
        <f ca="1">IFERROR(__xludf.DUMMYFUNCTION("""COMPUTED_VALUE"""),5906366012273)</f>
        <v>5906366012273</v>
      </c>
      <c r="D2367" s="4" t="str">
        <f ca="1">IFERROR(__xludf.DUMMYFUNCTION("""COMPUTED_VALUE"""),"BATERIA WANNOWA AVALON CHROM")</f>
        <v>BATERIA WANNOWA AVALON CHROM</v>
      </c>
      <c r="E2367" s="31">
        <v>84.82926829268294</v>
      </c>
      <c r="F2367" s="31">
        <f t="shared" si="36"/>
        <v>104.34000000000002</v>
      </c>
    </row>
    <row r="2368" spans="1:6" ht="18.75" customHeight="1" x14ac:dyDescent="0.25">
      <c r="A2368" s="2" t="str">
        <f ca="1">IFERROR(__xludf.DUMMYFUNCTION("""COMPUTED_VALUE"""),"REA-P2418")</f>
        <v>REA-P2418</v>
      </c>
      <c r="B2368" s="3">
        <f ca="1">IFERROR(__xludf.DUMMYFUNCTION("""COMPUTED_VALUE"""),54544)</f>
        <v>54544</v>
      </c>
      <c r="C2368" s="3">
        <f ca="1">IFERROR(__xludf.DUMMYFUNCTION("""COMPUTED_VALUE"""),5906366012341)</f>
        <v>5906366012341</v>
      </c>
      <c r="D2368" s="4" t="str">
        <f ca="1">IFERROR(__xludf.DUMMYFUNCTION("""COMPUTED_VALUE"""),"ZESTAW NATRYSKOWY AVALON MIEDŹ SZCZOTKOWANA")</f>
        <v>ZESTAW NATRYSKOWY AVALON MIEDŹ SZCZOTKOWANA</v>
      </c>
      <c r="E2368" s="31">
        <v>212.07317073170734</v>
      </c>
      <c r="F2368" s="31">
        <f t="shared" si="36"/>
        <v>260.85000000000002</v>
      </c>
    </row>
    <row r="2369" spans="1:6" ht="18.75" customHeight="1" x14ac:dyDescent="0.25">
      <c r="A2369" s="2" t="str">
        <f ca="1">IFERROR(__xludf.DUMMYFUNCTION("""COMPUTED_VALUE"""),"REA-E0051")</f>
        <v>REA-E0051</v>
      </c>
      <c r="B2369" s="3">
        <f ca="1">IFERROR(__xludf.DUMMYFUNCTION("""COMPUTED_VALUE"""),54550)</f>
        <v>54550</v>
      </c>
      <c r="C2369" s="3">
        <f ca="1">IFERROR(__xludf.DUMMYFUNCTION("""COMPUTED_VALUE"""),5906366011030)</f>
        <v>5906366011030</v>
      </c>
      <c r="D2369" s="4" t="str">
        <f ca="1">IFERROR(__xludf.DUMMYFUNCTION("""COMPUTED_VALUE"""),"PRZYCISK DO STELAŻA PODTYNKOWEGO T GLASS BLACK")</f>
        <v>PRZYCISK DO STELAŻA PODTYNKOWEGO T GLASS BLACK</v>
      </c>
      <c r="E2369" s="31">
        <v>31.585365853658541</v>
      </c>
      <c r="F2369" s="31">
        <f t="shared" ref="F2369:F2432" si="37">E2369*1.23</f>
        <v>38.85</v>
      </c>
    </row>
    <row r="2370" spans="1:6" ht="18.75" customHeight="1" x14ac:dyDescent="0.25">
      <c r="A2370" s="2" t="str">
        <f ca="1">IFERROR(__xludf.DUMMYFUNCTION("""COMPUTED_VALUE"""),"REA-E0052")</f>
        <v>REA-E0052</v>
      </c>
      <c r="B2370" s="3"/>
      <c r="C2370" s="3">
        <f ca="1">IFERROR(__xludf.DUMMYFUNCTION("""COMPUTED_VALUE"""),5906366011023)</f>
        <v>5906366011023</v>
      </c>
      <c r="D2370" s="4" t="str">
        <f ca="1">IFERROR(__xludf.DUMMYFUNCTION("""COMPUTED_VALUE"""),"PRZYCISK DO STELAŻA PODTYNKOWEGO T GLASS WHITE")</f>
        <v>PRZYCISK DO STELAŻA PODTYNKOWEGO T GLASS WHITE</v>
      </c>
      <c r="E2370" s="31">
        <v>31.585365853658541</v>
      </c>
      <c r="F2370" s="31">
        <f t="shared" si="37"/>
        <v>38.85</v>
      </c>
    </row>
    <row r="2371" spans="1:6" ht="18.75" customHeight="1" x14ac:dyDescent="0.25">
      <c r="A2371" s="2" t="str">
        <f ca="1">IFERROR(__xludf.DUMMYFUNCTION("""COMPUTED_VALUE"""),"REA-E0053")</f>
        <v>REA-E0053</v>
      </c>
      <c r="B2371" s="3">
        <f ca="1">IFERROR(__xludf.DUMMYFUNCTION("""COMPUTED_VALUE"""),54549)</f>
        <v>54549</v>
      </c>
      <c r="C2371" s="3">
        <f ca="1">IFERROR(__xludf.DUMMYFUNCTION("""COMPUTED_VALUE"""),5906366011061)</f>
        <v>5906366011061</v>
      </c>
      <c r="D2371" s="4" t="str">
        <f ca="1">IFERROR(__xludf.DUMMYFUNCTION("""COMPUTED_VALUE"""),"PRZYCISK DO STELAŻA PODTYNKO T STEEL BRUSH COPPPER")</f>
        <v>PRZYCISK DO STELAŻA PODTYNKO T STEEL BRUSH COPPPER</v>
      </c>
      <c r="E2371" s="31">
        <v>42.41463414634147</v>
      </c>
      <c r="F2371" s="31">
        <f t="shared" si="37"/>
        <v>52.170000000000009</v>
      </c>
    </row>
    <row r="2372" spans="1:6" ht="18.75" customHeight="1" x14ac:dyDescent="0.25">
      <c r="A2372" s="2" t="str">
        <f ca="1">IFERROR(__xludf.DUMMYFUNCTION("""COMPUTED_VALUE"""),"REA-E0055")</f>
        <v>REA-E0055</v>
      </c>
      <c r="B2372" s="3"/>
      <c r="C2372" s="3">
        <f ca="1">IFERROR(__xludf.DUMMYFUNCTION("""COMPUTED_VALUE"""),5906366011016)</f>
        <v>5906366011016</v>
      </c>
      <c r="D2372" s="4" t="str">
        <f ca="1">IFERROR(__xludf.DUMMYFUNCTION("""COMPUTED_VALUE"""),"PRZYCISK DO STELAŻA PODTYNKOWEG T STEEL BRUSH GOLD")</f>
        <v>PRZYCISK DO STELAŻA PODTYNKOWEG T STEEL BRUSH GOLD</v>
      </c>
      <c r="E2372" s="31">
        <v>42.41463414634147</v>
      </c>
      <c r="F2372" s="31">
        <f t="shared" si="37"/>
        <v>52.170000000000009</v>
      </c>
    </row>
    <row r="2373" spans="1:6" ht="18.75" customHeight="1" x14ac:dyDescent="0.25">
      <c r="A2373" s="2" t="str">
        <f ca="1">IFERROR(__xludf.DUMMYFUNCTION("""COMPUTED_VALUE"""),"REA-E0056")</f>
        <v>REA-E0056</v>
      </c>
      <c r="B2373" s="3">
        <f ca="1">IFERROR(__xludf.DUMMYFUNCTION("""COMPUTED_VALUE"""),54551)</f>
        <v>54551</v>
      </c>
      <c r="C2373" s="3">
        <f ca="1">IFERROR(__xludf.DUMMYFUNCTION("""COMPUTED_VALUE"""),5906366011009)</f>
        <v>5906366011009</v>
      </c>
      <c r="D2373" s="4" t="str">
        <f ca="1">IFERROR(__xludf.DUMMYFUNCTION("""COMPUTED_VALUE"""),"PRZYCISK DO STELAŻA PODTYNKOWEGO T STEEL BLACK")</f>
        <v>PRZYCISK DO STELAŻA PODTYNKOWEGO T STEEL BLACK</v>
      </c>
      <c r="E2373" s="31">
        <v>42.41463414634147</v>
      </c>
      <c r="F2373" s="31">
        <f t="shared" si="37"/>
        <v>52.170000000000009</v>
      </c>
    </row>
    <row r="2374" spans="1:6" ht="18.75" customHeight="1" x14ac:dyDescent="0.25">
      <c r="A2374" s="2" t="str">
        <f ca="1">IFERROR(__xludf.DUMMYFUNCTION("""COMPUTED_VALUE"""),"REA-E0057")</f>
        <v>REA-E0057</v>
      </c>
      <c r="B2374" s="3">
        <f ca="1">IFERROR(__xludf.DUMMYFUNCTION("""COMPUTED_VALUE"""),54546)</f>
        <v>54546</v>
      </c>
      <c r="C2374" s="3">
        <f ca="1">IFERROR(__xludf.DUMMYFUNCTION("""COMPUTED_VALUE"""),5906366010996)</f>
        <v>5906366010996</v>
      </c>
      <c r="D2374" s="4" t="str">
        <f ca="1">IFERROR(__xludf.DUMMYFUNCTION("""COMPUTED_VALUE"""),"PRZYCISK DO STELAŻA PODTYNKOWEGO T STEEL BRUSH")</f>
        <v>PRZYCISK DO STELAŻA PODTYNKOWEGO T STEEL BRUSH</v>
      </c>
      <c r="E2374" s="31">
        <v>42.41463414634147</v>
      </c>
      <c r="F2374" s="31">
        <f t="shared" si="37"/>
        <v>52.170000000000009</v>
      </c>
    </row>
    <row r="2375" spans="1:6" ht="18.75" customHeight="1" x14ac:dyDescent="0.25">
      <c r="A2375" s="2" t="str">
        <f ca="1">IFERROR(__xludf.DUMMYFUNCTION("""COMPUTED_VALUE"""),"REA-E0054")</f>
        <v>REA-E0054</v>
      </c>
      <c r="B2375" s="3">
        <f ca="1">IFERROR(__xludf.DUMMYFUNCTION("""COMPUTED_VALUE"""),54547)</f>
        <v>54547</v>
      </c>
      <c r="C2375" s="3">
        <f ca="1">IFERROR(__xludf.DUMMYFUNCTION("""COMPUTED_VALUE"""),5906366010989)</f>
        <v>5906366010989</v>
      </c>
      <c r="D2375" s="4" t="str">
        <f ca="1">IFERROR(__xludf.DUMMYFUNCTION("""COMPUTED_VALUE"""),"STELAŻ PODTYNKOWY WC K011A-Q")</f>
        <v>STELAŻ PODTYNKOWY WC K011A-Q</v>
      </c>
      <c r="E2375" s="31">
        <v>138.07317073170734</v>
      </c>
      <c r="F2375" s="31">
        <f t="shared" si="37"/>
        <v>169.83</v>
      </c>
    </row>
    <row r="2376" spans="1:6" ht="18.75" customHeight="1" x14ac:dyDescent="0.25">
      <c r="A2376" s="2" t="str">
        <f ca="1">IFERROR(__xludf.DUMMYFUNCTION("""COMPUTED_VALUE"""),"REA-B0494")</f>
        <v>REA-B0494</v>
      </c>
      <c r="B2376" s="3">
        <f ca="1">IFERROR(__xludf.DUMMYFUNCTION("""COMPUTED_VALUE"""),54535)</f>
        <v>54535</v>
      </c>
      <c r="C2376" s="3">
        <f ca="1">IFERROR(__xludf.DUMMYFUNCTION("""COMPUTED_VALUE"""),5906366013065)</f>
        <v>5906366013065</v>
      </c>
      <c r="D2376" s="4" t="str">
        <f ca="1">IFERROR(__xludf.DUMMYFUNCTION("""COMPUTED_VALUE"""),"BATERIA WANNOWA RIVEN ZŁOTA SZCZOTKOWANA")</f>
        <v>BATERIA WANNOWA RIVEN ZŁOTA SZCZOTKOWANA</v>
      </c>
      <c r="E2376" s="31">
        <v>120.92682926829269</v>
      </c>
      <c r="F2376" s="31">
        <f t="shared" si="37"/>
        <v>148.74</v>
      </c>
    </row>
    <row r="2377" spans="1:6" ht="18.75" customHeight="1" x14ac:dyDescent="0.25">
      <c r="A2377" s="2" t="str">
        <f ca="1">IFERROR(__xludf.DUMMYFUNCTION("""COMPUTED_VALUE"""),"REA-B9098")</f>
        <v>REA-B9098</v>
      </c>
      <c r="B2377" s="3">
        <f ca="1">IFERROR(__xludf.DUMMYFUNCTION("""COMPUTED_VALUE"""),54529)</f>
        <v>54529</v>
      </c>
      <c r="C2377" s="3">
        <f ca="1">IFERROR(__xludf.DUMMYFUNCTION("""COMPUTED_VALUE"""),5906366014291)</f>
        <v>5906366014291</v>
      </c>
      <c r="D2377" s="4" t="str">
        <f ca="1">IFERROR(__xludf.DUMMYFUNCTION("""COMPUTED_VALUE"""),"WYLEWKA Z PERLATOREM DO FRESH CZARNA")</f>
        <v>WYLEWKA Z PERLATOREM DO FRESH CZARNA</v>
      </c>
      <c r="E2377" s="31">
        <v>9.0243902439024399</v>
      </c>
      <c r="F2377" s="31">
        <f t="shared" si="37"/>
        <v>11.100000000000001</v>
      </c>
    </row>
    <row r="2378" spans="1:6" ht="18.75" customHeight="1" x14ac:dyDescent="0.25">
      <c r="A2378" s="2" t="str">
        <f ca="1">IFERROR(__xludf.DUMMYFUNCTION("""COMPUTED_VALUE"""),"REA-B9099")</f>
        <v>REA-B9099</v>
      </c>
      <c r="B2378" s="3">
        <f ca="1">IFERROR(__xludf.DUMMYFUNCTION("""COMPUTED_VALUE"""),54532)</f>
        <v>54532</v>
      </c>
      <c r="C2378" s="3">
        <f ca="1">IFERROR(__xludf.DUMMYFUNCTION("""COMPUTED_VALUE"""),5906366014260)</f>
        <v>5906366014260</v>
      </c>
      <c r="D2378" s="4" t="str">
        <f ca="1">IFERROR(__xludf.DUMMYFUNCTION("""COMPUTED_VALUE"""),"WYLEWKA Z PERLATOREM DO FRESH NIKIEL SZCZOTKOWANY")</f>
        <v>WYLEWKA Z PERLATOREM DO FRESH NIKIEL SZCZOTKOWANY</v>
      </c>
      <c r="E2378" s="31">
        <v>7.2195121951219514</v>
      </c>
      <c r="F2378" s="31">
        <f t="shared" si="37"/>
        <v>8.8800000000000008</v>
      </c>
    </row>
    <row r="2379" spans="1:6" ht="18.75" customHeight="1" x14ac:dyDescent="0.25">
      <c r="A2379" s="2" t="str">
        <f ca="1">IFERROR(__xludf.DUMMYFUNCTION("""COMPUTED_VALUE"""),"REA-B9095")</f>
        <v>REA-B9095</v>
      </c>
      <c r="B2379" s="3">
        <f ca="1">IFERROR(__xludf.DUMMYFUNCTION("""COMPUTED_VALUE"""),54531)</f>
        <v>54531</v>
      </c>
      <c r="C2379" s="3">
        <f ca="1">IFERROR(__xludf.DUMMYFUNCTION("""COMPUTED_VALUE"""),5906366014307)</f>
        <v>5906366014307</v>
      </c>
      <c r="D2379" s="4" t="str">
        <f ca="1">IFERROR(__xludf.DUMMYFUNCTION("""COMPUTED_VALUE"""),"WYLEWKA Z PERLATOREM DO FRESH ZŁOTA SZCZOTKOWANA")</f>
        <v>WYLEWKA Z PERLATOREM DO FRESH ZŁOTA SZCZOTKOWANA</v>
      </c>
      <c r="E2379" s="31">
        <v>9.0243902439024399</v>
      </c>
      <c r="F2379" s="31">
        <f t="shared" si="37"/>
        <v>11.100000000000001</v>
      </c>
    </row>
    <row r="2380" spans="1:6" ht="18.75" customHeight="1" x14ac:dyDescent="0.25">
      <c r="A2380" s="2" t="str">
        <f ca="1">IFERROR(__xludf.DUMMYFUNCTION("""COMPUTED_VALUE"""),"REA-B9096")</f>
        <v>REA-B9096</v>
      </c>
      <c r="B2380" s="3">
        <f ca="1">IFERROR(__xludf.DUMMYFUNCTION("""COMPUTED_VALUE"""),54533)</f>
        <v>54533</v>
      </c>
      <c r="C2380" s="3">
        <f ca="1">IFERROR(__xludf.DUMMYFUNCTION("""COMPUTED_VALUE"""),5906366014277)</f>
        <v>5906366014277</v>
      </c>
      <c r="D2380" s="4" t="str">
        <f ca="1">IFERROR(__xludf.DUMMYFUNCTION("""COMPUTED_VALUE"""),"WYLEWKA Z PERLATOREM DO COLIN CZARNA")</f>
        <v>WYLEWKA Z PERLATOREM DO COLIN CZARNA</v>
      </c>
      <c r="E2380" s="31">
        <v>9.0243902439024399</v>
      </c>
      <c r="F2380" s="31">
        <f t="shared" si="37"/>
        <v>11.100000000000001</v>
      </c>
    </row>
    <row r="2381" spans="1:6" ht="18.75" customHeight="1" x14ac:dyDescent="0.25">
      <c r="A2381" s="2" t="str">
        <f ca="1">IFERROR(__xludf.DUMMYFUNCTION("""COMPUTED_VALUE"""),"REA-B9097")</f>
        <v>REA-B9097</v>
      </c>
      <c r="B2381" s="3">
        <f ca="1">IFERROR(__xludf.DUMMYFUNCTION("""COMPUTED_VALUE"""),54534)</f>
        <v>54534</v>
      </c>
      <c r="C2381" s="3">
        <f ca="1">IFERROR(__xludf.DUMMYFUNCTION("""COMPUTED_VALUE"""),5906366014284)</f>
        <v>5906366014284</v>
      </c>
      <c r="D2381" s="4" t="str">
        <f ca="1">IFERROR(__xludf.DUMMYFUNCTION("""COMPUTED_VALUE"""),"WYLEWKA Z PERLATOREM DO COLIN NIKIEL SZCZOTKOWANY")</f>
        <v>WYLEWKA Z PERLATOREM DO COLIN NIKIEL SZCZOTKOWANY</v>
      </c>
      <c r="E2381" s="31">
        <v>9.0243902439024399</v>
      </c>
      <c r="F2381" s="31">
        <f t="shared" si="37"/>
        <v>11.100000000000001</v>
      </c>
    </row>
    <row r="2382" spans="1:6" ht="18.75" customHeight="1" x14ac:dyDescent="0.25">
      <c r="A2382" s="2" t="str">
        <f ca="1">IFERROR(__xludf.DUMMYFUNCTION("""COMPUTED_VALUE"""),"REA-B0492")</f>
        <v>REA-B0492</v>
      </c>
      <c r="B2382" s="3">
        <f ca="1">IFERROR(__xludf.DUMMYFUNCTION("""COMPUTED_VALUE"""),54543)</f>
        <v>54543</v>
      </c>
      <c r="C2382" s="3">
        <f ca="1">IFERROR(__xludf.DUMMYFUNCTION("""COMPUTED_VALUE"""),5906366012334)</f>
        <v>5906366012334</v>
      </c>
      <c r="D2382" s="4" t="str">
        <f ca="1">IFERROR(__xludf.DUMMYFUNCTION("""COMPUTED_VALUE"""),"BATERIA WANNOWA AVALON MIEDŹ SZCZOTKOWANA")</f>
        <v>BATERIA WANNOWA AVALON MIEDŹ SZCZOTKOWANA</v>
      </c>
      <c r="E2382" s="31">
        <v>89.341463414634148</v>
      </c>
      <c r="F2382" s="31">
        <f t="shared" si="37"/>
        <v>109.89</v>
      </c>
    </row>
    <row r="2383" spans="1:6" ht="18.75" customHeight="1" x14ac:dyDescent="0.25">
      <c r="A2383" s="2" t="str">
        <f ca="1">IFERROR(__xludf.DUMMYFUNCTION("""COMPUTED_VALUE"""),"REA-B0493")</f>
        <v>REA-B0493</v>
      </c>
      <c r="B2383" s="3">
        <f ca="1">IFERROR(__xludf.DUMMYFUNCTION("""COMPUTED_VALUE"""),54541)</f>
        <v>54541</v>
      </c>
      <c r="C2383" s="3">
        <f ca="1">IFERROR(__xludf.DUMMYFUNCTION("""COMPUTED_VALUE"""),5906366012303)</f>
        <v>5906366012303</v>
      </c>
      <c r="D2383" s="4" t="str">
        <f ca="1">IFERROR(__xludf.DUMMYFUNCTION("""COMPUTED_VALUE"""),"BATERIA UMYWALKOWA AVALON MIEDŹ SZCZOTKOWAN WYSOKA")</f>
        <v>BATERIA UMYWALKOWA AVALON MIEDŹ SZCZOTKOWAN WYSOKA</v>
      </c>
      <c r="E2383" s="31">
        <v>84.82926829268294</v>
      </c>
      <c r="F2383" s="31">
        <f t="shared" si="37"/>
        <v>104.34000000000002</v>
      </c>
    </row>
    <row r="2384" spans="1:6" ht="18.75" customHeight="1" x14ac:dyDescent="0.25">
      <c r="A2384" s="2" t="str">
        <f ca="1">IFERROR(__xludf.DUMMYFUNCTION("""COMPUTED_VALUE"""),"KPL-K2521")</f>
        <v>KPL-K2521</v>
      </c>
      <c r="B2384" s="3">
        <f ca="1">IFERROR(__xludf.DUMMYFUNCTION("""COMPUTED_VALUE"""),54110)</f>
        <v>54110</v>
      </c>
      <c r="C2384" s="3">
        <f ca="1">IFERROR(__xludf.DUMMYFUNCTION("""COMPUTED_VALUE"""),5906366008825)</f>
        <v>5906366008825</v>
      </c>
      <c r="D2384" s="4" t="str">
        <f ca="1">IFERROR(__xludf.DUMMYFUNCTION("""COMPUTED_VALUE"""),"KABINA NAROŻNA MONTANA 140x100 ZŁOTA SZCZOTKOWANA")</f>
        <v>KABINA NAROŻNA MONTANA 140x100 ZŁOTA SZCZOTKOWANA</v>
      </c>
      <c r="E2384" s="31">
        <v>383.53658536585374</v>
      </c>
      <c r="F2384" s="31">
        <f t="shared" si="37"/>
        <v>471.75000000000011</v>
      </c>
    </row>
    <row r="2385" spans="1:6" ht="18.75" customHeight="1" x14ac:dyDescent="0.25">
      <c r="A2385" s="2" t="str">
        <f ca="1">IFERROR(__xludf.DUMMYFUNCTION("""COMPUTED_VALUE"""),"KPL-K2520")</f>
        <v>KPL-K2520</v>
      </c>
      <c r="B2385" s="3">
        <f ca="1">IFERROR(__xludf.DUMMYFUNCTION("""COMPUTED_VALUE"""),54109)</f>
        <v>54109</v>
      </c>
      <c r="C2385" s="3">
        <f ca="1">IFERROR(__xludf.DUMMYFUNCTION("""COMPUTED_VALUE"""),5906366008818)</f>
        <v>5906366008818</v>
      </c>
      <c r="D2385" s="4" t="str">
        <f ca="1">IFERROR(__xludf.DUMMYFUNCTION("""COMPUTED_VALUE"""),"KABINA NAROŻNA MONTANA 140x90 ZŁOTA SZCZOTKOWANA")</f>
        <v>KABINA NAROŻNA MONTANA 140x90 ZŁOTA SZCZOTKOWANA</v>
      </c>
      <c r="E2385" s="31">
        <v>377.21951219512198</v>
      </c>
      <c r="F2385" s="31">
        <f t="shared" si="37"/>
        <v>463.98</v>
      </c>
    </row>
    <row r="2386" spans="1:6" ht="18.75" customHeight="1" x14ac:dyDescent="0.25">
      <c r="A2386" s="2" t="str">
        <f ca="1">IFERROR(__xludf.DUMMYFUNCTION("""COMPUTED_VALUE"""),"KPL-K2519")</f>
        <v>KPL-K2519</v>
      </c>
      <c r="B2386" s="3">
        <f ca="1">IFERROR(__xludf.DUMMYFUNCTION("""COMPUTED_VALUE"""),54108)</f>
        <v>54108</v>
      </c>
      <c r="C2386" s="3">
        <f ca="1">IFERROR(__xludf.DUMMYFUNCTION("""COMPUTED_VALUE"""),5906366008801)</f>
        <v>5906366008801</v>
      </c>
      <c r="D2386" s="4" t="str">
        <f ca="1">IFERROR(__xludf.DUMMYFUNCTION("""COMPUTED_VALUE"""),"KABINA NAROŻNA MONTANA 140x80 ZŁOTA SZCZOTKOWANA")</f>
        <v>KABINA NAROŻNA MONTANA 140x80 ZŁOTA SZCZOTKOWANA</v>
      </c>
      <c r="E2386" s="31">
        <v>372.70731707317071</v>
      </c>
      <c r="F2386" s="31">
        <f t="shared" si="37"/>
        <v>458.42999999999995</v>
      </c>
    </row>
    <row r="2387" spans="1:6" ht="18.75" customHeight="1" x14ac:dyDescent="0.25">
      <c r="A2387" s="2" t="str">
        <f ca="1">IFERROR(__xludf.DUMMYFUNCTION("""COMPUTED_VALUE"""),"KPL-K2518")</f>
        <v>KPL-K2518</v>
      </c>
      <c r="B2387" s="3">
        <f ca="1">IFERROR(__xludf.DUMMYFUNCTION("""COMPUTED_VALUE"""),54107)</f>
        <v>54107</v>
      </c>
      <c r="C2387" s="3">
        <f ca="1">IFERROR(__xludf.DUMMYFUNCTION("""COMPUTED_VALUE"""),5906366008795)</f>
        <v>5906366008795</v>
      </c>
      <c r="D2387" s="4" t="str">
        <f ca="1">IFERROR(__xludf.DUMMYFUNCTION("""COMPUTED_VALUE"""),"KABINA NAROŻNA MONTANA 130x100 ZŁOTA SZCZOTKOWANA")</f>
        <v>KABINA NAROŻNA MONTANA 130x100 ZŁOTA SZCZOTKOWANA</v>
      </c>
      <c r="E2387" s="31">
        <v>375.41463414634148</v>
      </c>
      <c r="F2387" s="31">
        <f t="shared" si="37"/>
        <v>461.76</v>
      </c>
    </row>
    <row r="2388" spans="1:6" ht="18.75" customHeight="1" x14ac:dyDescent="0.25">
      <c r="A2388" s="2" t="str">
        <f ca="1">IFERROR(__xludf.DUMMYFUNCTION("""COMPUTED_VALUE"""),"KPL-K2517")</f>
        <v>KPL-K2517</v>
      </c>
      <c r="B2388" s="3">
        <f ca="1">IFERROR(__xludf.DUMMYFUNCTION("""COMPUTED_VALUE"""),54106)</f>
        <v>54106</v>
      </c>
      <c r="C2388" s="3">
        <f ca="1">IFERROR(__xludf.DUMMYFUNCTION("""COMPUTED_VALUE"""),5906366008788)</f>
        <v>5906366008788</v>
      </c>
      <c r="D2388" s="4" t="str">
        <f ca="1">IFERROR(__xludf.DUMMYFUNCTION("""COMPUTED_VALUE"""),"KABINA NAROŻNA MONTANA 130x90 ZŁOTA SZCZOTKOWANA")</f>
        <v>KABINA NAROŻNA MONTANA 130x90 ZŁOTA SZCZOTKOWANA</v>
      </c>
      <c r="E2388" s="31">
        <v>369.09756097560978</v>
      </c>
      <c r="F2388" s="31">
        <f t="shared" si="37"/>
        <v>453.99</v>
      </c>
    </row>
    <row r="2389" spans="1:6" ht="18.75" customHeight="1" x14ac:dyDescent="0.25">
      <c r="A2389" s="2" t="str">
        <f ca="1">IFERROR(__xludf.DUMMYFUNCTION("""COMPUTED_VALUE"""),"KPL-K2516")</f>
        <v>KPL-K2516</v>
      </c>
      <c r="B2389" s="3">
        <f ca="1">IFERROR(__xludf.DUMMYFUNCTION("""COMPUTED_VALUE"""),54105)</f>
        <v>54105</v>
      </c>
      <c r="C2389" s="3">
        <f ca="1">IFERROR(__xludf.DUMMYFUNCTION("""COMPUTED_VALUE"""),5906366008764)</f>
        <v>5906366008764</v>
      </c>
      <c r="D2389" s="4" t="str">
        <f ca="1">IFERROR(__xludf.DUMMYFUNCTION("""COMPUTED_VALUE"""),"KABINA NAROŻNA MONTANA 130x80 ZŁOTA SZCZOTKOWANA")</f>
        <v>KABINA NAROŻNA MONTANA 130x80 ZŁOTA SZCZOTKOWANA</v>
      </c>
      <c r="E2389" s="31">
        <v>364.58536585365857</v>
      </c>
      <c r="F2389" s="31">
        <f t="shared" si="37"/>
        <v>448.44000000000005</v>
      </c>
    </row>
    <row r="2390" spans="1:6" ht="18.75" customHeight="1" x14ac:dyDescent="0.25">
      <c r="A2390" s="2" t="str">
        <f ca="1">IFERROR(__xludf.DUMMYFUNCTION("""COMPUTED_VALUE"""),"KPL-K2515")</f>
        <v>KPL-K2515</v>
      </c>
      <c r="B2390" s="3">
        <f ca="1">IFERROR(__xludf.DUMMYFUNCTION("""COMPUTED_VALUE"""),54104)</f>
        <v>54104</v>
      </c>
      <c r="C2390" s="3">
        <f ca="1">IFERROR(__xludf.DUMMYFUNCTION("""COMPUTED_VALUE"""),5906366008719)</f>
        <v>5906366008719</v>
      </c>
      <c r="D2390" s="4" t="str">
        <f ca="1">IFERROR(__xludf.DUMMYFUNCTION("""COMPUTED_VALUE"""),"KABINA NAROŻNA MONTANA 110x100 ZŁOTA SZCZOTKOWANA")</f>
        <v>KABINA NAROŻNA MONTANA 110x100 ZŁOTA SZCZOTKOWANA</v>
      </c>
      <c r="E2390" s="31">
        <v>357.36585365853659</v>
      </c>
      <c r="F2390" s="31">
        <f t="shared" si="37"/>
        <v>439.56</v>
      </c>
    </row>
    <row r="2391" spans="1:6" ht="18.75" customHeight="1" x14ac:dyDescent="0.25">
      <c r="A2391" s="2" t="str">
        <f ca="1">IFERROR(__xludf.DUMMYFUNCTION("""COMPUTED_VALUE"""),"KPL-K2514")</f>
        <v>KPL-K2514</v>
      </c>
      <c r="B2391" s="3">
        <f ca="1">IFERROR(__xludf.DUMMYFUNCTION("""COMPUTED_VALUE"""),54103)</f>
        <v>54103</v>
      </c>
      <c r="C2391" s="3">
        <f ca="1">IFERROR(__xludf.DUMMYFUNCTION("""COMPUTED_VALUE"""),5906366008689)</f>
        <v>5906366008689</v>
      </c>
      <c r="D2391" s="4" t="str">
        <f ca="1">IFERROR(__xludf.DUMMYFUNCTION("""COMPUTED_VALUE"""),"KABINA NAROŻNA MONTANA 110x90 ZŁOTA SZCZOTKOWANA")</f>
        <v>KABINA NAROŻNA MONTANA 110x90 ZŁOTA SZCZOTKOWANA</v>
      </c>
      <c r="E2391" s="31">
        <v>351.04878048780489</v>
      </c>
      <c r="F2391" s="31">
        <f t="shared" si="37"/>
        <v>431.79</v>
      </c>
    </row>
    <row r="2392" spans="1:6" ht="18.75" customHeight="1" x14ac:dyDescent="0.25">
      <c r="A2392" s="2" t="str">
        <f ca="1">IFERROR(__xludf.DUMMYFUNCTION("""COMPUTED_VALUE"""),"KPL-K2513")</f>
        <v>KPL-K2513</v>
      </c>
      <c r="B2392" s="3">
        <f ca="1">IFERROR(__xludf.DUMMYFUNCTION("""COMPUTED_VALUE"""),54102)</f>
        <v>54102</v>
      </c>
      <c r="C2392" s="3">
        <f ca="1">IFERROR(__xludf.DUMMYFUNCTION("""COMPUTED_VALUE"""),5906366008665)</f>
        <v>5906366008665</v>
      </c>
      <c r="D2392" s="4" t="str">
        <f ca="1">IFERROR(__xludf.DUMMYFUNCTION("""COMPUTED_VALUE"""),"KABINA NAROŻNA MONTANA 110x80 ZŁOTA SZCZOTKOWANA")</f>
        <v>KABINA NAROŻNA MONTANA 110x80 ZŁOTA SZCZOTKOWANA</v>
      </c>
      <c r="E2392" s="31">
        <v>346.53658536585368</v>
      </c>
      <c r="F2392" s="31">
        <f t="shared" si="37"/>
        <v>426.24</v>
      </c>
    </row>
    <row r="2393" spans="1:6" ht="18.75" customHeight="1" x14ac:dyDescent="0.25">
      <c r="A2393" s="2" t="str">
        <f ca="1">IFERROR(__xludf.DUMMYFUNCTION("""COMPUTED_VALUE"""),"KPL-K6402")</f>
        <v>KPL-K6402</v>
      </c>
      <c r="B2393" s="3">
        <f ca="1">IFERROR(__xludf.DUMMYFUNCTION("""COMPUTED_VALUE"""),54101)</f>
        <v>54101</v>
      </c>
      <c r="C2393" s="3">
        <f ca="1">IFERROR(__xludf.DUMMYFUNCTION("""COMPUTED_VALUE"""),5906366008641)</f>
        <v>5906366008641</v>
      </c>
      <c r="D2393" s="4" t="str">
        <f ca="1">IFERROR(__xludf.DUMMYFUNCTION("""COMPUTED_VALUE"""),"DRZWI MONTANA 110 GOLD BRUSH + LISTWA MAGN.")</f>
        <v>DRZWI MONTANA 110 GOLD BRUSH + LISTWA MAGN.</v>
      </c>
      <c r="E2393" s="31">
        <v>264.41463414634148</v>
      </c>
      <c r="F2393" s="31">
        <f t="shared" si="37"/>
        <v>325.23</v>
      </c>
    </row>
    <row r="2394" spans="1:6" ht="18.75" customHeight="1" x14ac:dyDescent="0.25">
      <c r="A2394" s="2" t="str">
        <f ca="1">IFERROR(__xludf.DUMMYFUNCTION("""COMPUTED_VALUE"""),"KPL-K6401")</f>
        <v>KPL-K6401</v>
      </c>
      <c r="B2394" s="3">
        <f ca="1">IFERROR(__xludf.DUMMYFUNCTION("""COMPUTED_VALUE"""),54087)</f>
        <v>54087</v>
      </c>
      <c r="C2394" s="3">
        <f ca="1">IFERROR(__xludf.DUMMYFUNCTION("""COMPUTED_VALUE"""),5906366008627)</f>
        <v>5906366008627</v>
      </c>
      <c r="D2394" s="4" t="str">
        <f ca="1">IFERROR(__xludf.DUMMYFUNCTION("""COMPUTED_VALUE"""),"DRZWI MONTANA 140 GOLD BRUSH + LISTWA MAGN.")</f>
        <v>DRZWI MONTANA 140 GOLD BRUSH + LISTWA MAGN.</v>
      </c>
      <c r="E2394" s="31">
        <v>290.58536585365857</v>
      </c>
      <c r="F2394" s="31">
        <f t="shared" si="37"/>
        <v>357.42</v>
      </c>
    </row>
    <row r="2395" spans="1:6" ht="18.75" customHeight="1" x14ac:dyDescent="0.25">
      <c r="A2395" s="2" t="str">
        <f ca="1">IFERROR(__xludf.DUMMYFUNCTION("""COMPUTED_VALUE"""),"KPL-K6400")</f>
        <v>KPL-K6400</v>
      </c>
      <c r="B2395" s="3">
        <f ca="1">IFERROR(__xludf.DUMMYFUNCTION("""COMPUTED_VALUE"""),54086)</f>
        <v>54086</v>
      </c>
      <c r="C2395" s="3">
        <f ca="1">IFERROR(__xludf.DUMMYFUNCTION("""COMPUTED_VALUE"""),5906366008610)</f>
        <v>5906366008610</v>
      </c>
      <c r="D2395" s="4" t="str">
        <f ca="1">IFERROR(__xludf.DUMMYFUNCTION("""COMPUTED_VALUE"""),"DRZWI MONTANA 130 GOLD BRUSH + LISTWA MAGN.")</f>
        <v>DRZWI MONTANA 130 GOLD BRUSH + LISTWA MAGN.</v>
      </c>
      <c r="E2395" s="31">
        <v>282.46341463414637</v>
      </c>
      <c r="F2395" s="31">
        <f t="shared" si="37"/>
        <v>347.43000000000006</v>
      </c>
    </row>
    <row r="2396" spans="1:6" ht="18.75" customHeight="1" x14ac:dyDescent="0.25">
      <c r="A2396" s="2" t="str">
        <f ca="1">IFERROR(__xludf.DUMMYFUNCTION("""COMPUTED_VALUE"""),"KPL-K6389")</f>
        <v>KPL-K6389</v>
      </c>
      <c r="B2396" s="3">
        <f ca="1">IFERROR(__xludf.DUMMYFUNCTION("""COMPUTED_VALUE"""),54045)</f>
        <v>54045</v>
      </c>
      <c r="C2396" s="3">
        <f ca="1">IFERROR(__xludf.DUMMYFUNCTION("""COMPUTED_VALUE"""),5906366008573)</f>
        <v>5906366008573</v>
      </c>
      <c r="D2396" s="4" t="str">
        <f ca="1">IFERROR(__xludf.DUMMYFUNCTION("""COMPUTED_VALUE"""),"DRZWI MONTANA 100 GOLD BRUSH + LISTWA MAGN.")</f>
        <v>DRZWI MONTANA 100 GOLD BRUSH + LISTWA MAGN.</v>
      </c>
      <c r="E2396" s="31">
        <v>260.80487804878049</v>
      </c>
      <c r="F2396" s="31">
        <f t="shared" si="37"/>
        <v>320.79000000000002</v>
      </c>
    </row>
    <row r="2397" spans="1:6" ht="18.75" customHeight="1" x14ac:dyDescent="0.25">
      <c r="A2397" s="2" t="str">
        <f ca="1">IFERROR(__xludf.DUMMYFUNCTION("""COMPUTED_VALUE"""),"KPL-K6388")</f>
        <v>KPL-K6388</v>
      </c>
      <c r="B2397" s="3">
        <f ca="1">IFERROR(__xludf.DUMMYFUNCTION("""COMPUTED_VALUE"""),54044)</f>
        <v>54044</v>
      </c>
      <c r="C2397" s="3">
        <f ca="1">IFERROR(__xludf.DUMMYFUNCTION("""COMPUTED_VALUE"""),5906366008566)</f>
        <v>5906366008566</v>
      </c>
      <c r="D2397" s="4" t="str">
        <f ca="1">IFERROR(__xludf.DUMMYFUNCTION("""COMPUTED_VALUE"""),"DRZWI MONTANA 120 GOLD BRUSH + LISTWA MAGN.")</f>
        <v>DRZWI MONTANA 120 GOLD BRUSH + LISTWA MAGN.</v>
      </c>
      <c r="E2397" s="31">
        <v>279.75609756097566</v>
      </c>
      <c r="F2397" s="31">
        <f t="shared" si="37"/>
        <v>344.10000000000008</v>
      </c>
    </row>
    <row r="2398" spans="1:6" ht="18.75" customHeight="1" x14ac:dyDescent="0.25">
      <c r="A2398" s="2" t="str">
        <f ca="1">IFERROR(__xludf.DUMMYFUNCTION("""COMPUTED_VALUE"""),"KPL-K2512")</f>
        <v>KPL-K2512</v>
      </c>
      <c r="B2398" s="3">
        <f ca="1">IFERROR(__xludf.DUMMYFUNCTION("""COMPUTED_VALUE"""),54043)</f>
        <v>54043</v>
      </c>
      <c r="C2398" s="3">
        <f ca="1">IFERROR(__xludf.DUMMYFUNCTION("""COMPUTED_VALUE"""),5906366008559)</f>
        <v>5906366008559</v>
      </c>
      <c r="D2398" s="4" t="str">
        <f ca="1">IFERROR(__xludf.DUMMYFUNCTION("""COMPUTED_VALUE"""),"KABINA NAROŻNA MONTANA 120x80 ZŁOTA SZCZOTKOWANA")</f>
        <v>KABINA NAROŻNA MONTANA 120x80 ZŁOTA SZCZOTKOWANA</v>
      </c>
      <c r="E2398" s="31">
        <v>361.8780487804878</v>
      </c>
      <c r="F2398" s="31">
        <f t="shared" si="37"/>
        <v>445.11</v>
      </c>
    </row>
    <row r="2399" spans="1:6" ht="18.75" customHeight="1" x14ac:dyDescent="0.25">
      <c r="A2399" s="2" t="str">
        <f ca="1">IFERROR(__xludf.DUMMYFUNCTION("""COMPUTED_VALUE"""),"KPL-K2511")</f>
        <v>KPL-K2511</v>
      </c>
      <c r="B2399" s="3">
        <f ca="1">IFERROR(__xludf.DUMMYFUNCTION("""COMPUTED_VALUE"""),54042)</f>
        <v>54042</v>
      </c>
      <c r="C2399" s="3">
        <f ca="1">IFERROR(__xludf.DUMMYFUNCTION("""COMPUTED_VALUE"""),5906366008542)</f>
        <v>5906366008542</v>
      </c>
      <c r="D2399" s="4" t="str">
        <f ca="1">IFERROR(__xludf.DUMMYFUNCTION("""COMPUTED_VALUE"""),"KABINA NAROŻNA MONTANA 120x90 ZŁOTA SZCZOTKOWANA")</f>
        <v>KABINA NAROŻNA MONTANA 120x90 ZŁOTA SZCZOTKOWANA</v>
      </c>
      <c r="E2399" s="31">
        <v>366.39024390243901</v>
      </c>
      <c r="F2399" s="31">
        <f t="shared" si="37"/>
        <v>450.65999999999997</v>
      </c>
    </row>
    <row r="2400" spans="1:6" ht="18.75" customHeight="1" x14ac:dyDescent="0.25">
      <c r="A2400" s="2" t="str">
        <f ca="1">IFERROR(__xludf.DUMMYFUNCTION("""COMPUTED_VALUE"""),"KPL-K2510")</f>
        <v>KPL-K2510</v>
      </c>
      <c r="B2400" s="3">
        <f ca="1">IFERROR(__xludf.DUMMYFUNCTION("""COMPUTED_VALUE"""),54041)</f>
        <v>54041</v>
      </c>
      <c r="C2400" s="3">
        <f ca="1">IFERROR(__xludf.DUMMYFUNCTION("""COMPUTED_VALUE"""),5906366008535)</f>
        <v>5906366008535</v>
      </c>
      <c r="D2400" s="4" t="str">
        <f ca="1">IFERROR(__xludf.DUMMYFUNCTION("""COMPUTED_VALUE"""),"KABINA NAROŻNA MONTANA 120x100 ZŁOTA SZCZOTKOWANA")</f>
        <v>KABINA NAROŻNA MONTANA 120x100 ZŁOTA SZCZOTKOWANA</v>
      </c>
      <c r="E2400" s="31">
        <v>372.70731707317071</v>
      </c>
      <c r="F2400" s="31">
        <f t="shared" si="37"/>
        <v>458.42999999999995</v>
      </c>
    </row>
    <row r="2401" spans="1:6" ht="18.75" customHeight="1" x14ac:dyDescent="0.25">
      <c r="A2401" s="2" t="str">
        <f ca="1">IFERROR(__xludf.DUMMYFUNCTION("""COMPUTED_VALUE"""),"KPL-K2509")</f>
        <v>KPL-K2509</v>
      </c>
      <c r="B2401" s="3">
        <f ca="1">IFERROR(__xludf.DUMMYFUNCTION("""COMPUTED_VALUE"""),54040)</f>
        <v>54040</v>
      </c>
      <c r="C2401" s="3">
        <f ca="1">IFERROR(__xludf.DUMMYFUNCTION("""COMPUTED_VALUE"""),5906366008528)</f>
        <v>5906366008528</v>
      </c>
      <c r="D2401" s="4" t="str">
        <f ca="1">IFERROR(__xludf.DUMMYFUNCTION("""COMPUTED_VALUE"""),"KABINA NAROŻNA MONTANA 100x100 ZŁOTA SZCZOTKOWANA")</f>
        <v>KABINA NAROŻNA MONTANA 100x100 ZŁOTA SZCZOTKOWANA</v>
      </c>
      <c r="E2401" s="31">
        <v>353.7560975609756</v>
      </c>
      <c r="F2401" s="31">
        <f t="shared" si="37"/>
        <v>435.12</v>
      </c>
    </row>
    <row r="2402" spans="1:6" ht="18.75" customHeight="1" x14ac:dyDescent="0.25">
      <c r="A2402" s="2" t="str">
        <f ca="1">IFERROR(__xludf.DUMMYFUNCTION("""COMPUTED_VALUE"""),"KPL-K2508")</f>
        <v>KPL-K2508</v>
      </c>
      <c r="B2402" s="3">
        <f ca="1">IFERROR(__xludf.DUMMYFUNCTION("""COMPUTED_VALUE"""),54039)</f>
        <v>54039</v>
      </c>
      <c r="C2402" s="3">
        <f ca="1">IFERROR(__xludf.DUMMYFUNCTION("""COMPUTED_VALUE"""),5906366008511)</f>
        <v>5906366008511</v>
      </c>
      <c r="D2402" s="4" t="str">
        <f ca="1">IFERROR(__xludf.DUMMYFUNCTION("""COMPUTED_VALUE"""),"KABINA NAROŻNA MONTANA 100x90 ZŁOTA SZCZOTKOWANA")</f>
        <v>KABINA NAROŻNA MONTANA 100x90 ZŁOTA SZCZOTKOWANA</v>
      </c>
      <c r="E2402" s="31">
        <v>347.4390243902439</v>
      </c>
      <c r="F2402" s="31">
        <f t="shared" si="37"/>
        <v>427.34999999999997</v>
      </c>
    </row>
    <row r="2403" spans="1:6" ht="18.75" customHeight="1" x14ac:dyDescent="0.25">
      <c r="A2403" s="2" t="str">
        <f ca="1">IFERROR(__xludf.DUMMYFUNCTION("""COMPUTED_VALUE"""),"KPL-K2507")</f>
        <v>KPL-K2507</v>
      </c>
      <c r="B2403" s="3">
        <f ca="1">IFERROR(__xludf.DUMMYFUNCTION("""COMPUTED_VALUE"""),54038)</f>
        <v>54038</v>
      </c>
      <c r="C2403" s="3">
        <f ca="1">IFERROR(__xludf.DUMMYFUNCTION("""COMPUTED_VALUE"""),5906366008504)</f>
        <v>5906366008504</v>
      </c>
      <c r="D2403" s="4" t="str">
        <f ca="1">IFERROR(__xludf.DUMMYFUNCTION("""COMPUTED_VALUE"""),"KABINA NAROŻNA MONTANA 100x80 ZŁOTA SZCZOTKOWANA")</f>
        <v>KABINA NAROŻNA MONTANA 100x80 ZŁOTA SZCZOTKOWANA</v>
      </c>
      <c r="E2403" s="31">
        <v>342.92682926829269</v>
      </c>
      <c r="F2403" s="31">
        <f t="shared" si="37"/>
        <v>421.8</v>
      </c>
    </row>
    <row r="2404" spans="1:6" ht="18.75" customHeight="1" x14ac:dyDescent="0.25">
      <c r="A2404" s="2" t="str">
        <f ca="1">IFERROR(__xludf.DUMMYFUNCTION("""COMPUTED_VALUE"""),"KPL-C1400")</f>
        <v>KPL-C1400</v>
      </c>
      <c r="B2404" s="3">
        <f ca="1">IFERROR(__xludf.DUMMYFUNCTION("""COMPUTED_VALUE"""),53499)</f>
        <v>53499</v>
      </c>
      <c r="C2404" s="3">
        <f ca="1">IFERROR(__xludf.DUMMYFUNCTION("""COMPUTED_VALUE"""),5906366006364)</f>
        <v>5906366006364</v>
      </c>
      <c r="D2404" s="4" t="str">
        <f ca="1">IFERROR(__xludf.DUMMYFUNCTION("""COMPUTED_VALUE"""),"ZESTAW WC CARTER RIMLESS SLIM + BIDET CARTER MINI")</f>
        <v>ZESTAW WC CARTER RIMLESS SLIM + BIDET CARTER MINI</v>
      </c>
      <c r="E2404" s="31">
        <v>232.82926829268294</v>
      </c>
      <c r="F2404" s="31">
        <f t="shared" si="37"/>
        <v>286.38</v>
      </c>
    </row>
    <row r="2405" spans="1:6" ht="18.75" customHeight="1" x14ac:dyDescent="0.25">
      <c r="A2405" s="2" t="str">
        <f ca="1">IFERROR(__xludf.DUMMYFUNCTION("""COMPUTED_VALUE"""),"KPL-K6447")</f>
        <v>KPL-K6447</v>
      </c>
      <c r="B2405" s="3">
        <f ca="1">IFERROR(__xludf.DUMMYFUNCTION("""COMPUTED_VALUE"""),53433)</f>
        <v>53433</v>
      </c>
      <c r="C2405" s="3">
        <f ca="1">IFERROR(__xludf.DUMMYFUNCTION("""COMPUTED_VALUE"""),5906366005329)</f>
        <v>5906366005329</v>
      </c>
      <c r="D2405" s="4" t="str">
        <f ca="1">IFERROR(__xludf.DUMMYFUNCTION("""COMPUTED_VALUE"""),"KABINA CITY BRUSH GOLD+ BRODZIK SAVOY BLACK 80x80")</f>
        <v>KABINA CITY BRUSH GOLD+ BRODZIK SAVOY BLACK 80x80</v>
      </c>
      <c r="E2405" s="31">
        <v>295.09756097560978</v>
      </c>
      <c r="F2405" s="31">
        <f t="shared" si="37"/>
        <v>362.97</v>
      </c>
    </row>
    <row r="2406" spans="1:6" ht="18.75" customHeight="1" x14ac:dyDescent="0.25">
      <c r="A2406" s="2" t="str">
        <f ca="1">IFERROR(__xludf.DUMMYFUNCTION("""COMPUTED_VALUE"""),"KPL-02525")</f>
        <v>KPL-02525</v>
      </c>
      <c r="B2406" s="3">
        <f ca="1">IFERROR(__xludf.DUMMYFUNCTION("""COMPUTED_VALUE"""),53374)</f>
        <v>53374</v>
      </c>
      <c r="C2406" s="3">
        <f ca="1">IFERROR(__xludf.DUMMYFUNCTION("""COMPUTED_VALUE"""),5906366005053)</f>
        <v>5906366005053</v>
      </c>
      <c r="D2406" s="4" t="str">
        <f ca="1">IFERROR(__xludf.DUMMYFUNCTION("""COMPUTED_VALUE"""),"KABINA PRZYŚCIENNA RAPID SWING BRUSH GOLD 100x100")</f>
        <v>KABINA PRZYŚCIENNA RAPID SWING BRUSH GOLD 100x100</v>
      </c>
      <c r="E2406" s="31">
        <v>633.51219512195132</v>
      </c>
      <c r="F2406" s="31">
        <f t="shared" si="37"/>
        <v>779.22000000000014</v>
      </c>
    </row>
    <row r="2407" spans="1:6" ht="18.75" customHeight="1" x14ac:dyDescent="0.25">
      <c r="A2407" s="2" t="str">
        <f ca="1">IFERROR(__xludf.DUMMYFUNCTION("""COMPUTED_VALUE"""),"KPL-02524")</f>
        <v>KPL-02524</v>
      </c>
      <c r="B2407" s="3">
        <f ca="1">IFERROR(__xludf.DUMMYFUNCTION("""COMPUTED_VALUE"""),53373)</f>
        <v>53373</v>
      </c>
      <c r="C2407" s="3">
        <f ca="1">IFERROR(__xludf.DUMMYFUNCTION("""COMPUTED_VALUE"""),5906366005046)</f>
        <v>5906366005046</v>
      </c>
      <c r="D2407" s="4" t="str">
        <f ca="1">IFERROR(__xludf.DUMMYFUNCTION("""COMPUTED_VALUE"""),"KABINA PRZYŚCIENNA RAPID SWING BRUSH GOLD 100x90")</f>
        <v>KABINA PRZYŚCIENNA RAPID SWING BRUSH GOLD 100x90</v>
      </c>
      <c r="E2407" s="31">
        <v>633.51219512195132</v>
      </c>
      <c r="F2407" s="31">
        <f t="shared" si="37"/>
        <v>779.22000000000014</v>
      </c>
    </row>
    <row r="2408" spans="1:6" ht="18.75" customHeight="1" x14ac:dyDescent="0.25">
      <c r="A2408" s="2" t="str">
        <f ca="1">IFERROR(__xludf.DUMMYFUNCTION("""COMPUTED_VALUE"""),"KPL-02523")</f>
        <v>KPL-02523</v>
      </c>
      <c r="B2408" s="3">
        <f ca="1">IFERROR(__xludf.DUMMYFUNCTION("""COMPUTED_VALUE"""),53372)</f>
        <v>53372</v>
      </c>
      <c r="C2408" s="3">
        <f ca="1">IFERROR(__xludf.DUMMYFUNCTION("""COMPUTED_VALUE"""),5906366005039)</f>
        <v>5906366005039</v>
      </c>
      <c r="D2408" s="4" t="str">
        <f ca="1">IFERROR(__xludf.DUMMYFUNCTION("""COMPUTED_VALUE"""),"KABINA PRZYŚCIENNA RAPID SWING BRUSH GOLD 100x80")</f>
        <v>KABINA PRZYŚCIENNA RAPID SWING BRUSH GOLD 100x80</v>
      </c>
      <c r="E2408" s="31">
        <v>620.87804878048792</v>
      </c>
      <c r="F2408" s="31">
        <f t="shared" si="37"/>
        <v>763.68000000000018</v>
      </c>
    </row>
    <row r="2409" spans="1:6" ht="18.75" customHeight="1" x14ac:dyDescent="0.25">
      <c r="A2409" s="2" t="str">
        <f ca="1">IFERROR(__xludf.DUMMYFUNCTION("""COMPUTED_VALUE"""),"KPL-02522")</f>
        <v>KPL-02522</v>
      </c>
      <c r="B2409" s="3">
        <f ca="1">IFERROR(__xludf.DUMMYFUNCTION("""COMPUTED_VALUE"""),53371)</f>
        <v>53371</v>
      </c>
      <c r="C2409" s="3">
        <f ca="1">IFERROR(__xludf.DUMMYFUNCTION("""COMPUTED_VALUE"""),5906366005022)</f>
        <v>5906366005022</v>
      </c>
      <c r="D2409" s="4" t="str">
        <f ca="1">IFERROR(__xludf.DUMMYFUNCTION("""COMPUTED_VALUE"""),"KABINA PRZYŚCIENNA RAPID SWING BRUSH GOLD 90x100")</f>
        <v>KABINA PRZYŚCIENNA RAPID SWING BRUSH GOLD 90x100</v>
      </c>
      <c r="E2409" s="31">
        <v>629.90243902439033</v>
      </c>
      <c r="F2409" s="31">
        <f t="shared" si="37"/>
        <v>774.78000000000009</v>
      </c>
    </row>
    <row r="2410" spans="1:6" ht="18.75" customHeight="1" x14ac:dyDescent="0.25">
      <c r="A2410" s="2" t="str">
        <f ca="1">IFERROR(__xludf.DUMMYFUNCTION("""COMPUTED_VALUE"""),"KPL-02521")</f>
        <v>KPL-02521</v>
      </c>
      <c r="B2410" s="3">
        <f ca="1">IFERROR(__xludf.DUMMYFUNCTION("""COMPUTED_VALUE"""),53370)</f>
        <v>53370</v>
      </c>
      <c r="C2410" s="3">
        <f ca="1">IFERROR(__xludf.DUMMYFUNCTION("""COMPUTED_VALUE"""),5906366005015)</f>
        <v>5906366005015</v>
      </c>
      <c r="D2410" s="4" t="str">
        <f ca="1">IFERROR(__xludf.DUMMYFUNCTION("""COMPUTED_VALUE"""),"KABINA PRZYŚCIENNA RAPID SWING BRUSH GOLD 90x90")</f>
        <v>KABINA PRZYŚCIENNA RAPID SWING BRUSH GOLD 90x90</v>
      </c>
      <c r="E2410" s="31">
        <v>629.90243902439033</v>
      </c>
      <c r="F2410" s="31">
        <f t="shared" si="37"/>
        <v>774.78000000000009</v>
      </c>
    </row>
    <row r="2411" spans="1:6" ht="18.75" customHeight="1" x14ac:dyDescent="0.25">
      <c r="A2411" s="2" t="str">
        <f ca="1">IFERROR(__xludf.DUMMYFUNCTION("""COMPUTED_VALUE"""),"KPL-02520")</f>
        <v>KPL-02520</v>
      </c>
      <c r="B2411" s="3">
        <f ca="1">IFERROR(__xludf.DUMMYFUNCTION("""COMPUTED_VALUE"""),53369)</f>
        <v>53369</v>
      </c>
      <c r="C2411" s="3">
        <f ca="1">IFERROR(__xludf.DUMMYFUNCTION("""COMPUTED_VALUE"""),5906366005008)</f>
        <v>5906366005008</v>
      </c>
      <c r="D2411" s="4" t="str">
        <f ca="1">IFERROR(__xludf.DUMMYFUNCTION("""COMPUTED_VALUE"""),"KABINA PRZYŚCIENNA RAPID SWING BRUSH GOLD 90x80")</f>
        <v>KABINA PRZYŚCIENNA RAPID SWING BRUSH GOLD 90x80</v>
      </c>
      <c r="E2411" s="31">
        <v>617.26829268292693</v>
      </c>
      <c r="F2411" s="31">
        <f t="shared" si="37"/>
        <v>759.24000000000012</v>
      </c>
    </row>
    <row r="2412" spans="1:6" ht="18.75" customHeight="1" x14ac:dyDescent="0.25">
      <c r="A2412" s="2" t="str">
        <f ca="1">IFERROR(__xludf.DUMMYFUNCTION("""COMPUTED_VALUE"""),"KPL-02505")</f>
        <v>KPL-02505</v>
      </c>
      <c r="B2412" s="3">
        <f ca="1">IFERROR(__xludf.DUMMYFUNCTION("""COMPUTED_VALUE"""),53366)</f>
        <v>53366</v>
      </c>
      <c r="C2412" s="3">
        <f ca="1">IFERROR(__xludf.DUMMYFUNCTION("""COMPUTED_VALUE"""),5906366004995)</f>
        <v>5906366004995</v>
      </c>
      <c r="D2412" s="4" t="str">
        <f ca="1">IFERROR(__xludf.DUMMYFUNCTION("""COMPUTED_VALUE"""),"KABINA NAROŻNA RAPID SWING BRUSH GOLD 100x100")</f>
        <v>KABINA NAROŻNA RAPID SWING BRUSH GOLD 100x100</v>
      </c>
      <c r="E2412" s="31">
        <v>410.60975609756105</v>
      </c>
      <c r="F2412" s="31">
        <f t="shared" si="37"/>
        <v>505.05000000000007</v>
      </c>
    </row>
    <row r="2413" spans="1:6" ht="18.75" customHeight="1" x14ac:dyDescent="0.25">
      <c r="A2413" s="2" t="str">
        <f ca="1">IFERROR(__xludf.DUMMYFUNCTION("""COMPUTED_VALUE"""),"KPL-02504")</f>
        <v>KPL-02504</v>
      </c>
      <c r="B2413" s="3">
        <f ca="1">IFERROR(__xludf.DUMMYFUNCTION("""COMPUTED_VALUE"""),53365)</f>
        <v>53365</v>
      </c>
      <c r="C2413" s="3">
        <f ca="1">IFERROR(__xludf.DUMMYFUNCTION("""COMPUTED_VALUE"""),5906366004988)</f>
        <v>5906366004988</v>
      </c>
      <c r="D2413" s="4" t="str">
        <f ca="1">IFERROR(__xludf.DUMMYFUNCTION("""COMPUTED_VALUE"""),"KABINA NAROŻNA RAPID SWING BRUSH GOLD 100x90")</f>
        <v>KABINA NAROŻNA RAPID SWING BRUSH GOLD 100x90</v>
      </c>
      <c r="E2413" s="31">
        <v>410.60975609756105</v>
      </c>
      <c r="F2413" s="31">
        <f t="shared" si="37"/>
        <v>505.05000000000007</v>
      </c>
    </row>
    <row r="2414" spans="1:6" ht="18.75" customHeight="1" x14ac:dyDescent="0.25">
      <c r="A2414" s="2" t="str">
        <f ca="1">IFERROR(__xludf.DUMMYFUNCTION("""COMPUTED_VALUE"""),"KPL-02503")</f>
        <v>KPL-02503</v>
      </c>
      <c r="B2414" s="3">
        <f ca="1">IFERROR(__xludf.DUMMYFUNCTION("""COMPUTED_VALUE"""),53364)</f>
        <v>53364</v>
      </c>
      <c r="C2414" s="3">
        <f ca="1">IFERROR(__xludf.DUMMYFUNCTION("""COMPUTED_VALUE"""),5906366004971)</f>
        <v>5906366004971</v>
      </c>
      <c r="D2414" s="4" t="str">
        <f ca="1">IFERROR(__xludf.DUMMYFUNCTION("""COMPUTED_VALUE"""),"KABINA NAROŻNA RAPID SWING BRUSH GOLD 100x80")</f>
        <v>KABINA NAROŻNA RAPID SWING BRUSH GOLD 100x80</v>
      </c>
      <c r="E2414" s="31">
        <v>404.29268292682934</v>
      </c>
      <c r="F2414" s="31">
        <f t="shared" si="37"/>
        <v>497.28000000000009</v>
      </c>
    </row>
    <row r="2415" spans="1:6" ht="18.75" customHeight="1" x14ac:dyDescent="0.25">
      <c r="A2415" s="2" t="str">
        <f ca="1">IFERROR(__xludf.DUMMYFUNCTION("""COMPUTED_VALUE"""),"KPL-02502")</f>
        <v>KPL-02502</v>
      </c>
      <c r="B2415" s="3">
        <f ca="1">IFERROR(__xludf.DUMMYFUNCTION("""COMPUTED_VALUE"""),53363)</f>
        <v>53363</v>
      </c>
      <c r="C2415" s="3">
        <f ca="1">IFERROR(__xludf.DUMMYFUNCTION("""COMPUTED_VALUE"""),5906366004964)</f>
        <v>5906366004964</v>
      </c>
      <c r="D2415" s="4" t="str">
        <f ca="1">IFERROR(__xludf.DUMMYFUNCTION("""COMPUTED_VALUE"""),"KABINA NAROŻNA RAPID SWING BRUSH GOLD 90x100")</f>
        <v>KABINA NAROŻNA RAPID SWING BRUSH GOLD 90x100</v>
      </c>
      <c r="E2415" s="31">
        <v>407.00000000000006</v>
      </c>
      <c r="F2415" s="31">
        <f t="shared" si="37"/>
        <v>500.61000000000007</v>
      </c>
    </row>
    <row r="2416" spans="1:6" ht="18.75" customHeight="1" x14ac:dyDescent="0.25">
      <c r="A2416" s="2" t="str">
        <f ca="1">IFERROR(__xludf.DUMMYFUNCTION("""COMPUTED_VALUE"""),"KPL-02501")</f>
        <v>KPL-02501</v>
      </c>
      <c r="B2416" s="3">
        <f ca="1">IFERROR(__xludf.DUMMYFUNCTION("""COMPUTED_VALUE"""),53362)</f>
        <v>53362</v>
      </c>
      <c r="C2416" s="3">
        <f ca="1">IFERROR(__xludf.DUMMYFUNCTION("""COMPUTED_VALUE"""),5906366004957)</f>
        <v>5906366004957</v>
      </c>
      <c r="D2416" s="4" t="str">
        <f ca="1">IFERROR(__xludf.DUMMYFUNCTION("""COMPUTED_VALUE"""),"KABINA NAROŻNA RAPID SWING BRUSH GOLD 90x90")</f>
        <v>KABINA NAROŻNA RAPID SWING BRUSH GOLD 90x90</v>
      </c>
      <c r="E2416" s="31">
        <v>407.00000000000006</v>
      </c>
      <c r="F2416" s="31">
        <f t="shared" si="37"/>
        <v>500.61000000000007</v>
      </c>
    </row>
    <row r="2417" spans="1:6" ht="18.75" customHeight="1" x14ac:dyDescent="0.25">
      <c r="A2417" s="2" t="str">
        <f ca="1">IFERROR(__xludf.DUMMYFUNCTION("""COMPUTED_VALUE"""),"KPL-02500")</f>
        <v>KPL-02500</v>
      </c>
      <c r="B2417" s="3">
        <f ca="1">IFERROR(__xludf.DUMMYFUNCTION("""COMPUTED_VALUE"""),53361)</f>
        <v>53361</v>
      </c>
      <c r="C2417" s="3">
        <f ca="1">IFERROR(__xludf.DUMMYFUNCTION("""COMPUTED_VALUE"""),5906366004940)</f>
        <v>5906366004940</v>
      </c>
      <c r="D2417" s="4" t="str">
        <f ca="1">IFERROR(__xludf.DUMMYFUNCTION("""COMPUTED_VALUE"""),"KABINA NAROŻNA RAPID SWING BRUSH GOLD 90x80")</f>
        <v>KABINA NAROŻNA RAPID SWING BRUSH GOLD 90x80</v>
      </c>
      <c r="E2417" s="31">
        <v>400.68292682926835</v>
      </c>
      <c r="F2417" s="31">
        <f t="shared" si="37"/>
        <v>492.84000000000009</v>
      </c>
    </row>
    <row r="2418" spans="1:6" ht="18.75" customHeight="1" x14ac:dyDescent="0.25">
      <c r="A2418" s="2" t="str">
        <f ca="1">IFERROR(__xludf.DUMMYFUNCTION("""COMPUTED_VALUE"""),"KPL-K4909")</f>
        <v>KPL-K4909</v>
      </c>
      <c r="B2418" s="3">
        <f ca="1">IFERROR(__xludf.DUMMYFUNCTION("""COMPUTED_VALUE"""),52866)</f>
        <v>52866</v>
      </c>
      <c r="C2418" s="3">
        <f ca="1">IFERROR(__xludf.DUMMYFUNCTION("""COMPUTED_VALUE"""),5906366003332)</f>
        <v>5906366003332</v>
      </c>
      <c r="D2418" s="4" t="str">
        <f ca="1">IFERROR(__xludf.DUMMYFUNCTION("""COMPUTED_VALUE"""),"KABINA FARGO BLACK 80x100 U + BRODZIK SAVOY BLACK")</f>
        <v>KABINA FARGO BLACK 80x100 U + BRODZIK SAVOY BLACK</v>
      </c>
      <c r="E2418" s="31">
        <v>459.34146341463418</v>
      </c>
      <c r="F2418" s="31">
        <f t="shared" si="37"/>
        <v>564.99</v>
      </c>
    </row>
    <row r="2419" spans="1:6" ht="18.75" customHeight="1" x14ac:dyDescent="0.25">
      <c r="A2419" s="2" t="str">
        <f ca="1">IFERROR(__xludf.DUMMYFUNCTION("""COMPUTED_VALUE"""),"KPL-K4906")</f>
        <v>KPL-K4906</v>
      </c>
      <c r="B2419" s="3">
        <f ca="1">IFERROR(__xludf.DUMMYFUNCTION("""COMPUTED_VALUE"""),52865)</f>
        <v>52865</v>
      </c>
      <c r="C2419" s="3">
        <f ca="1">IFERROR(__xludf.DUMMYFUNCTION("""COMPUTED_VALUE"""),5906366003325)</f>
        <v>5906366003325</v>
      </c>
      <c r="D2419" s="4" t="str">
        <f ca="1">IFERROR(__xludf.DUMMYFUNCTION("""COMPUTED_VALUE"""),"KABINA FARGO BLACK 80x100 U + BRODZIK SAVOY WHITE")</f>
        <v>KABINA FARGO BLACK 80x100 U + BRODZIK SAVOY WHITE</v>
      </c>
      <c r="E2419" s="31">
        <v>444.90243902439028</v>
      </c>
      <c r="F2419" s="31">
        <f t="shared" si="37"/>
        <v>547.23</v>
      </c>
    </row>
    <row r="2420" spans="1:6" ht="18.75" customHeight="1" x14ac:dyDescent="0.25">
      <c r="A2420" s="2" t="str">
        <f ca="1">IFERROR(__xludf.DUMMYFUNCTION("""COMPUTED_VALUE"""),"KPL-K4908")</f>
        <v>KPL-K4908</v>
      </c>
      <c r="B2420" s="3">
        <f ca="1">IFERROR(__xludf.DUMMYFUNCTION("""COMPUTED_VALUE"""),52861)</f>
        <v>52861</v>
      </c>
      <c r="C2420" s="3">
        <f ca="1">IFERROR(__xludf.DUMMYFUNCTION("""COMPUTED_VALUE"""),5906366003295)</f>
        <v>5906366003295</v>
      </c>
      <c r="D2420" s="4" t="str">
        <f ca="1">IFERROR(__xludf.DUMMYFUNCTION("""COMPUTED_VALUE"""),"KABINA FARGO GOLD 80x100 U + BRODZIK SAVOY BLACK")</f>
        <v>KABINA FARGO GOLD 80x100 U + BRODZIK SAVOY BLACK</v>
      </c>
      <c r="E2420" s="31">
        <v>634.41463414634143</v>
      </c>
      <c r="F2420" s="31">
        <f t="shared" si="37"/>
        <v>780.32999999999993</v>
      </c>
    </row>
    <row r="2421" spans="1:6" ht="18.75" customHeight="1" x14ac:dyDescent="0.25">
      <c r="A2421" s="2" t="str">
        <f ca="1">IFERROR(__xludf.DUMMYFUNCTION("""COMPUTED_VALUE"""),"KPL-K4907")</f>
        <v>KPL-K4907</v>
      </c>
      <c r="B2421" s="3">
        <f ca="1">IFERROR(__xludf.DUMMYFUNCTION("""COMPUTED_VALUE"""),52860)</f>
        <v>52860</v>
      </c>
      <c r="C2421" s="3">
        <f ca="1">IFERROR(__xludf.DUMMYFUNCTION("""COMPUTED_VALUE"""),5906366003288)</f>
        <v>5906366003288</v>
      </c>
      <c r="D2421" s="4" t="str">
        <f ca="1">IFERROR(__xludf.DUMMYFUNCTION("""COMPUTED_VALUE"""),"KABINA FARGO GOLD 80x100 U + BRODZIK SAVOY WHITE")</f>
        <v>KABINA FARGO GOLD 80x100 U + BRODZIK SAVOY WHITE</v>
      </c>
      <c r="E2421" s="31">
        <v>619.97560975609758</v>
      </c>
      <c r="F2421" s="31">
        <f t="shared" si="37"/>
        <v>762.57</v>
      </c>
    </row>
    <row r="2422" spans="1:6" ht="18.75" customHeight="1" x14ac:dyDescent="0.25">
      <c r="A2422" s="2" t="str">
        <f ca="1">IFERROR(__xludf.DUMMYFUNCTION("""COMPUTED_VALUE"""),"KPL-K1903")</f>
        <v>KPL-K1903</v>
      </c>
      <c r="B2422" s="3">
        <f ca="1">IFERROR(__xludf.DUMMYFUNCTION("""COMPUTED_VALUE"""),52855)</f>
        <v>52855</v>
      </c>
      <c r="C2422" s="3">
        <f ca="1">IFERROR(__xludf.DUMMYFUNCTION("""COMPUTED_VALUE"""),5906366004544)</f>
        <v>5906366004544</v>
      </c>
      <c r="D2422" s="4" t="str">
        <f ca="1">IFERROR(__xludf.DUMMYFUNCTION("""COMPUTED_VALUE"""),"KABINA FARGO GOLD 90x90 U + BRODZIK SAVOY BLACK")</f>
        <v>KABINA FARGO GOLD 90x90 U + BRODZIK SAVOY BLACK</v>
      </c>
      <c r="E2422" s="31">
        <v>523.41463414634154</v>
      </c>
      <c r="F2422" s="31">
        <f t="shared" si="37"/>
        <v>643.80000000000007</v>
      </c>
    </row>
    <row r="2423" spans="1:6" ht="18.75" customHeight="1" x14ac:dyDescent="0.25">
      <c r="A2423" s="2" t="str">
        <f ca="1">IFERROR(__xludf.DUMMYFUNCTION("""COMPUTED_VALUE"""),"KPL-K4903")</f>
        <v>KPL-K4903</v>
      </c>
      <c r="B2423" s="3">
        <f ca="1">IFERROR(__xludf.DUMMYFUNCTION("""COMPUTED_VALUE"""),52854)</f>
        <v>52854</v>
      </c>
      <c r="C2423" s="3">
        <f ca="1">IFERROR(__xludf.DUMMYFUNCTION("""COMPUTED_VALUE"""),5906366004537)</f>
        <v>5906366004537</v>
      </c>
      <c r="D2423" s="4" t="str">
        <f ca="1">IFERROR(__xludf.DUMMYFUNCTION("""COMPUTED_VALUE"""),"KABINA FARGO GOLD 90x90 U + BRODZIK SAVOY WHITE")</f>
        <v>KABINA FARGO GOLD 90x90 U + BRODZIK SAVOY WHITE</v>
      </c>
      <c r="E2423" s="31">
        <v>508.07317073170736</v>
      </c>
      <c r="F2423" s="31">
        <f t="shared" si="37"/>
        <v>624.93000000000006</v>
      </c>
    </row>
    <row r="2424" spans="1:6" ht="18.75" customHeight="1" x14ac:dyDescent="0.25">
      <c r="A2424" s="2" t="str">
        <f ca="1">IFERROR(__xludf.DUMMYFUNCTION("""COMPUTED_VALUE"""),"KPL-K7318")</f>
        <v>KPL-K7318</v>
      </c>
      <c r="B2424" s="3">
        <f ca="1">IFERROR(__xludf.DUMMYFUNCTION("""COMPUTED_VALUE"""),52852)</f>
        <v>52852</v>
      </c>
      <c r="C2424" s="3">
        <f ca="1">IFERROR(__xludf.DUMMYFUNCTION("""COMPUTED_VALUE"""),5906366003318)</f>
        <v>5906366003318</v>
      </c>
      <c r="D2424" s="4" t="str">
        <f ca="1">IFERROR(__xludf.DUMMYFUNCTION("""COMPUTED_VALUE"""),"KABINO FARGO BLACK 90x90 U + BRODZIK SAVOY BLACK")</f>
        <v>KABINO FARGO BLACK 90x90 U + BRODZIK SAVOY BLACK</v>
      </c>
      <c r="E2424" s="31">
        <v>444.90243902439028</v>
      </c>
      <c r="F2424" s="31">
        <f t="shared" si="37"/>
        <v>547.23</v>
      </c>
    </row>
    <row r="2425" spans="1:6" ht="18.75" customHeight="1" x14ac:dyDescent="0.25">
      <c r="A2425" s="2" t="str">
        <f ca="1">IFERROR(__xludf.DUMMYFUNCTION("""COMPUTED_VALUE"""),"KPL-K6318")</f>
        <v>KPL-K6318</v>
      </c>
      <c r="B2425" s="3">
        <f ca="1">IFERROR(__xludf.DUMMYFUNCTION("""COMPUTED_VALUE"""),52851)</f>
        <v>52851</v>
      </c>
      <c r="C2425" s="3">
        <f ca="1">IFERROR(__xludf.DUMMYFUNCTION("""COMPUTED_VALUE"""),5906366003301)</f>
        <v>5906366003301</v>
      </c>
      <c r="D2425" s="4" t="str">
        <f ca="1">IFERROR(__xludf.DUMMYFUNCTION("""COMPUTED_VALUE"""),"KABINO FARGO BLACK 90x90 U + BRODZIK SAVOY WHITE")</f>
        <v>KABINO FARGO BLACK 90x90 U + BRODZIK SAVOY WHITE</v>
      </c>
      <c r="E2425" s="31">
        <v>429.56097560975616</v>
      </c>
      <c r="F2425" s="31">
        <f t="shared" si="37"/>
        <v>528.36</v>
      </c>
    </row>
    <row r="2426" spans="1:6" ht="18.75" customHeight="1" x14ac:dyDescent="0.25">
      <c r="A2426" s="2" t="str">
        <f ca="1">IFERROR(__xludf.DUMMYFUNCTION("""COMPUTED_VALUE"""),"KPL-K4902")</f>
        <v>KPL-K4902</v>
      </c>
      <c r="B2426" s="3">
        <f ca="1">IFERROR(__xludf.DUMMYFUNCTION("""COMPUTED_VALUE"""),52849)</f>
        <v>52849</v>
      </c>
      <c r="C2426" s="3">
        <f ca="1">IFERROR(__xludf.DUMMYFUNCTION("""COMPUTED_VALUE"""),5906366003264)</f>
        <v>5906366003264</v>
      </c>
      <c r="D2426" s="4" t="str">
        <f ca="1">IFERROR(__xludf.DUMMYFUNCTION("""COMPUTED_VALUE"""),"KABINA SOLAR GOLD 80x100 + BRODZIK SAVOY BLACK")</f>
        <v>KABINA SOLAR GOLD 80x100 + BRODZIK SAVOY BLACK</v>
      </c>
      <c r="E2426" s="31">
        <v>385.34146341463423</v>
      </c>
      <c r="F2426" s="31">
        <f t="shared" si="37"/>
        <v>473.97000000000008</v>
      </c>
    </row>
    <row r="2427" spans="1:6" ht="18.75" customHeight="1" x14ac:dyDescent="0.25">
      <c r="A2427" s="2" t="str">
        <f ca="1">IFERROR(__xludf.DUMMYFUNCTION("""COMPUTED_VALUE"""),"KPL-K4901")</f>
        <v>KPL-K4901</v>
      </c>
      <c r="B2427" s="3">
        <f ca="1">IFERROR(__xludf.DUMMYFUNCTION("""COMPUTED_VALUE"""),52848)</f>
        <v>52848</v>
      </c>
      <c r="C2427" s="3">
        <f ca="1">IFERROR(__xludf.DUMMYFUNCTION("""COMPUTED_VALUE"""),5906366003271)</f>
        <v>5906366003271</v>
      </c>
      <c r="D2427" s="4" t="str">
        <f ca="1">IFERROR(__xludf.DUMMYFUNCTION("""COMPUTED_VALUE"""),"KABINA SOLAR GOLD 80x100 + BRODZIK SAVOY WHITE")</f>
        <v>KABINA SOLAR GOLD 80x100 + BRODZIK SAVOY WHITE</v>
      </c>
      <c r="E2427" s="31">
        <v>370.90243902439028</v>
      </c>
      <c r="F2427" s="31">
        <f t="shared" si="37"/>
        <v>456.21000000000004</v>
      </c>
    </row>
    <row r="2428" spans="1:6" ht="18.75" customHeight="1" x14ac:dyDescent="0.25">
      <c r="A2428" s="2" t="str">
        <f ca="1">IFERROR(__xludf.DUMMYFUNCTION("""COMPUTED_VALUE"""),"KPL-K1900")</f>
        <v>KPL-K1900</v>
      </c>
      <c r="B2428" s="3">
        <f ca="1">IFERROR(__xludf.DUMMYFUNCTION("""COMPUTED_VALUE"""),52846)</f>
        <v>52846</v>
      </c>
      <c r="C2428" s="3">
        <f ca="1">IFERROR(__xludf.DUMMYFUNCTION("""COMPUTED_VALUE"""),5906366003240)</f>
        <v>5906366003240</v>
      </c>
      <c r="D2428" s="4" t="str">
        <f ca="1">IFERROR(__xludf.DUMMYFUNCTION("""COMPUTED_VALUE"""),"KABINA SOLAR GOLD 90x90 + BRODZIK SAVOY BLACK")</f>
        <v>KABINA SOLAR GOLD 90x90 + BRODZIK SAVOY BLACK</v>
      </c>
      <c r="E2428" s="31">
        <v>381.73170731707324</v>
      </c>
      <c r="F2428" s="31">
        <f t="shared" si="37"/>
        <v>469.53000000000009</v>
      </c>
    </row>
    <row r="2429" spans="1:6" ht="18.75" customHeight="1" x14ac:dyDescent="0.25">
      <c r="A2429" s="2" t="str">
        <f ca="1">IFERROR(__xludf.DUMMYFUNCTION("""COMPUTED_VALUE"""),"KPL-K4900")</f>
        <v>KPL-K4900</v>
      </c>
      <c r="B2429" s="3">
        <f ca="1">IFERROR(__xludf.DUMMYFUNCTION("""COMPUTED_VALUE"""),52845)</f>
        <v>52845</v>
      </c>
      <c r="C2429" s="3">
        <f ca="1">IFERROR(__xludf.DUMMYFUNCTION("""COMPUTED_VALUE"""),5906366003257)</f>
        <v>5906366003257</v>
      </c>
      <c r="D2429" s="4" t="str">
        <f ca="1">IFERROR(__xludf.DUMMYFUNCTION("""COMPUTED_VALUE"""),"KABINA SOLAR GOLD 90x90 + BRODZIK SAVOY WHITE")</f>
        <v>KABINA SOLAR GOLD 90x90 + BRODZIK SAVOY WHITE</v>
      </c>
      <c r="E2429" s="31">
        <v>366.39024390243901</v>
      </c>
      <c r="F2429" s="31">
        <f t="shared" si="37"/>
        <v>450.65999999999997</v>
      </c>
    </row>
    <row r="2430" spans="1:6" ht="18.75" customHeight="1" x14ac:dyDescent="0.25">
      <c r="A2430" s="2" t="str">
        <f ca="1">IFERROR(__xludf.DUMMYFUNCTION("""COMPUTED_VALUE"""),"KPL-K6413")</f>
        <v>KPL-K6413</v>
      </c>
      <c r="B2430" s="3">
        <f ca="1">IFERROR(__xludf.DUMMYFUNCTION("""COMPUTED_VALUE"""),52843)</f>
        <v>52843</v>
      </c>
      <c r="C2430" s="3">
        <f ca="1">IFERROR(__xludf.DUMMYFUNCTION("""COMPUTED_VALUE"""),5906366003226)</f>
        <v>5906366003226</v>
      </c>
      <c r="D2430" s="4" t="str">
        <f ca="1">IFERROR(__xludf.DUMMYFUNCTION("""COMPUTED_VALUE"""),"KABINA SOLAR BLACK 90x90 + BRODZIK SAVOY BLACK")</f>
        <v>KABINA SOLAR BLACK 90x90 + BRODZIK SAVOY BLACK</v>
      </c>
      <c r="E2430" s="31">
        <v>355.5609756097561</v>
      </c>
      <c r="F2430" s="31">
        <f t="shared" si="37"/>
        <v>437.34</v>
      </c>
    </row>
    <row r="2431" spans="1:6" ht="18.75" customHeight="1" x14ac:dyDescent="0.25">
      <c r="A2431" s="2" t="str">
        <f ca="1">IFERROR(__xludf.DUMMYFUNCTION("""COMPUTED_VALUE"""),"KPL-K6412")</f>
        <v>KPL-K6412</v>
      </c>
      <c r="B2431" s="3">
        <f ca="1">IFERROR(__xludf.DUMMYFUNCTION("""COMPUTED_VALUE"""),52842)</f>
        <v>52842</v>
      </c>
      <c r="C2431" s="3">
        <f ca="1">IFERROR(__xludf.DUMMYFUNCTION("""COMPUTED_VALUE"""),5906366003233)</f>
        <v>5906366003233</v>
      </c>
      <c r="D2431" s="4" t="str">
        <f ca="1">IFERROR(__xludf.DUMMYFUNCTION("""COMPUTED_VALUE"""),"KABINA SOLAR BLACK 90x90 + BRODZIK SAVOY WHITE")</f>
        <v>KABINA SOLAR BLACK 90x90 + BRODZIK SAVOY WHITE</v>
      </c>
      <c r="E2431" s="31">
        <v>340.21951219512198</v>
      </c>
      <c r="F2431" s="31">
        <f t="shared" si="37"/>
        <v>418.47</v>
      </c>
    </row>
    <row r="2432" spans="1:6" ht="18.75" customHeight="1" x14ac:dyDescent="0.25">
      <c r="A2432" s="2" t="str">
        <f ca="1">IFERROR(__xludf.DUMMYFUNCTION("""COMPUTED_VALUE"""),"KPL-K6311")</f>
        <v>KPL-K6311</v>
      </c>
      <c r="B2432" s="3">
        <f ca="1">IFERROR(__xludf.DUMMYFUNCTION("""COMPUTED_VALUE"""),52840)</f>
        <v>52840</v>
      </c>
      <c r="C2432" s="3">
        <f ca="1">IFERROR(__xludf.DUMMYFUNCTION("""COMPUTED_VALUE"""),5906366003219)</f>
        <v>5906366003219</v>
      </c>
      <c r="D2432" s="4" t="str">
        <f ca="1">IFERROR(__xludf.DUMMYFUNCTION("""COMPUTED_VALUE"""),"KABINA SOLAR BLACK 80x100 + BRODZIK SAVOY BLACK")</f>
        <v>KABINA SOLAR BLACK 80x100 + BRODZIK SAVOY BLACK</v>
      </c>
      <c r="E2432" s="31">
        <v>362.78048780487808</v>
      </c>
      <c r="F2432" s="31">
        <f t="shared" si="37"/>
        <v>446.22</v>
      </c>
    </row>
    <row r="2433" spans="1:6" ht="18.75" customHeight="1" x14ac:dyDescent="0.25">
      <c r="A2433" s="2" t="str">
        <f ca="1">IFERROR(__xludf.DUMMYFUNCTION("""COMPUTED_VALUE"""),"KPL-K6310")</f>
        <v>KPL-K6310</v>
      </c>
      <c r="B2433" s="3">
        <f ca="1">IFERROR(__xludf.DUMMYFUNCTION("""COMPUTED_VALUE"""),52839)</f>
        <v>52839</v>
      </c>
      <c r="C2433" s="3">
        <f ca="1">IFERROR(__xludf.DUMMYFUNCTION("""COMPUTED_VALUE"""),5906366003202)</f>
        <v>5906366003202</v>
      </c>
      <c r="D2433" s="4" t="str">
        <f ca="1">IFERROR(__xludf.DUMMYFUNCTION("""COMPUTED_VALUE"""),"KABINA SOLAR BLACK 80x100 + BRODZIK SAVOY WHITE")</f>
        <v>KABINA SOLAR BLACK 80x100 + BRODZIK SAVOY WHITE</v>
      </c>
      <c r="E2433" s="31">
        <v>348.34146341463418</v>
      </c>
      <c r="F2433" s="31">
        <f t="shared" ref="F2433:F2496" si="38">E2433*1.23</f>
        <v>428.46000000000004</v>
      </c>
    </row>
    <row r="2434" spans="1:6" ht="18.75" customHeight="1" x14ac:dyDescent="0.25">
      <c r="A2434" s="2" t="str">
        <f ca="1">IFERROR(__xludf.DUMMYFUNCTION("""COMPUTED_VALUE"""),"KPL-K0882")</f>
        <v>KPL-K0882</v>
      </c>
      <c r="B2434" s="3">
        <f ca="1">IFERROR(__xludf.DUMMYFUNCTION("""COMPUTED_VALUE"""),52837)</f>
        <v>52837</v>
      </c>
      <c r="C2434" s="3">
        <f ca="1">IFERROR(__xludf.DUMMYFUNCTION("""COMPUTED_VALUE"""),5906366003158)</f>
        <v>5906366003158</v>
      </c>
      <c r="D2434" s="4" t="str">
        <f ca="1">IFERROR(__xludf.DUMMYFUNCTION("""COMPUTED_VALUE"""),"KABINA SPACE IN BLACK 80x100 + BRODZIK SAVOY CZARN")</f>
        <v>KABINA SPACE IN BLACK 80x100 + BRODZIK SAVOY CZARN</v>
      </c>
      <c r="E2434" s="31">
        <v>465.65853658536588</v>
      </c>
      <c r="F2434" s="31">
        <f t="shared" si="38"/>
        <v>572.76</v>
      </c>
    </row>
    <row r="2435" spans="1:6" ht="18.75" customHeight="1" x14ac:dyDescent="0.25">
      <c r="A2435" s="2" t="str">
        <f ca="1">IFERROR(__xludf.DUMMYFUNCTION("""COMPUTED_VALUE"""),"KPL-K8882")</f>
        <v>KPL-K8882</v>
      </c>
      <c r="B2435" s="3">
        <f ca="1">IFERROR(__xludf.DUMMYFUNCTION("""COMPUTED_VALUE"""),52836)</f>
        <v>52836</v>
      </c>
      <c r="C2435" s="3">
        <f ca="1">IFERROR(__xludf.DUMMYFUNCTION("""COMPUTED_VALUE"""),5906366003141)</f>
        <v>5906366003141</v>
      </c>
      <c r="D2435" s="4" t="str">
        <f ca="1">IFERROR(__xludf.DUMMYFUNCTION("""COMPUTED_VALUE"""),"KABINA SPACE IN BLACK 80x100 + BRODZIK SAVOY BIAŁY")</f>
        <v>KABINA SPACE IN BLACK 80x100 + BRODZIK SAVOY BIAŁY</v>
      </c>
      <c r="E2435" s="31">
        <v>451.21951219512198</v>
      </c>
      <c r="F2435" s="31">
        <f t="shared" si="38"/>
        <v>555</v>
      </c>
    </row>
    <row r="2436" spans="1:6" ht="18.75" customHeight="1" x14ac:dyDescent="0.25">
      <c r="A2436" s="2" t="str">
        <f ca="1">IFERROR(__xludf.DUMMYFUNCTION("""COMPUTED_VALUE"""),"KPL-K1441")</f>
        <v>KPL-K1441</v>
      </c>
      <c r="B2436" s="3">
        <f ca="1">IFERROR(__xludf.DUMMYFUNCTION("""COMPUTED_VALUE"""),52834)</f>
        <v>52834</v>
      </c>
      <c r="C2436" s="3">
        <f ca="1">IFERROR(__xludf.DUMMYFUNCTION("""COMPUTED_VALUE"""),5906366003103)</f>
        <v>5906366003103</v>
      </c>
      <c r="D2436" s="4" t="str">
        <f ca="1">IFERROR(__xludf.DUMMYFUNCTION("""COMPUTED_VALUE"""),"KABINA PUNTO GOLD + BRODZIK SAVOY BLACK 80x80")</f>
        <v>KABINA PUNTO GOLD + BRODZIK SAVOY BLACK 80x80</v>
      </c>
      <c r="E2436" s="31">
        <v>298.70731707317077</v>
      </c>
      <c r="F2436" s="31">
        <f t="shared" si="38"/>
        <v>367.41</v>
      </c>
    </row>
    <row r="2437" spans="1:6" ht="18.75" customHeight="1" x14ac:dyDescent="0.25">
      <c r="A2437" s="2" t="str">
        <f ca="1">IFERROR(__xludf.DUMMYFUNCTION("""COMPUTED_VALUE"""),"KPL-04721")</f>
        <v>KPL-04721</v>
      </c>
      <c r="B2437" s="3">
        <f ca="1">IFERROR(__xludf.DUMMYFUNCTION("""COMPUTED_VALUE"""),52705)</f>
        <v>52705</v>
      </c>
      <c r="C2437" s="3">
        <f ca="1">IFERROR(__xludf.DUMMYFUNCTION("""COMPUTED_VALUE"""),5906366007262)</f>
        <v>5906366007262</v>
      </c>
      <c r="D2437" s="4" t="str">
        <f ca="1">IFERROR(__xludf.DUMMYFUNCTION("""COMPUTED_VALUE"""),"KABINA PRZYŚCIENNA RAPID SLIDE BRUSH GOLD 140x90")</f>
        <v>KABINA PRZYŚCIENNA RAPID SLIDE BRUSH GOLD 140x90</v>
      </c>
      <c r="E2437" s="31">
        <v>662.39024390243912</v>
      </c>
      <c r="F2437" s="31">
        <f t="shared" si="38"/>
        <v>814.74000000000012</v>
      </c>
    </row>
    <row r="2438" spans="1:6" ht="18.75" customHeight="1" x14ac:dyDescent="0.25">
      <c r="A2438" s="2" t="str">
        <f ca="1">IFERROR(__xludf.DUMMYFUNCTION("""COMPUTED_VALUE"""),"KPL-04720")</f>
        <v>KPL-04720</v>
      </c>
      <c r="B2438" s="3">
        <f ca="1">IFERROR(__xludf.DUMMYFUNCTION("""COMPUTED_VALUE"""),52704)</f>
        <v>52704</v>
      </c>
      <c r="C2438" s="3">
        <f ca="1">IFERROR(__xludf.DUMMYFUNCTION("""COMPUTED_VALUE"""),5906366007255)</f>
        <v>5906366007255</v>
      </c>
      <c r="D2438" s="4" t="str">
        <f ca="1">IFERROR(__xludf.DUMMYFUNCTION("""COMPUTED_VALUE"""),"KABINA PRZYŚCIENNA RAPID SLIDE BRUSH GOLD 140x90")</f>
        <v>KABINA PRZYŚCIENNA RAPID SLIDE BRUSH GOLD 140x90</v>
      </c>
      <c r="E2438" s="31">
        <v>662.39024390243912</v>
      </c>
      <c r="F2438" s="31">
        <f t="shared" si="38"/>
        <v>814.74000000000012</v>
      </c>
    </row>
    <row r="2439" spans="1:6" ht="18.75" customHeight="1" x14ac:dyDescent="0.25">
      <c r="A2439" s="2" t="str">
        <f ca="1">IFERROR(__xludf.DUMMYFUNCTION("""COMPUTED_VALUE"""),"KPL-04719")</f>
        <v>KPL-04719</v>
      </c>
      <c r="B2439" s="3">
        <f ca="1">IFERROR(__xludf.DUMMYFUNCTION("""COMPUTED_VALUE"""),52703)</f>
        <v>52703</v>
      </c>
      <c r="C2439" s="3">
        <f ca="1">IFERROR(__xludf.DUMMYFUNCTION("""COMPUTED_VALUE"""),5906366007248)</f>
        <v>5906366007248</v>
      </c>
      <c r="D2439" s="4" t="str">
        <f ca="1">IFERROR(__xludf.DUMMYFUNCTION("""COMPUTED_VALUE"""),"KABINA PRZYŚCIENNA RAPID SLIDE BRUSH GOLD 140x80")</f>
        <v>KABINA PRZYŚCIENNA RAPID SLIDE BRUSH GOLD 140x80</v>
      </c>
      <c r="E2439" s="31">
        <v>649.75609756097572</v>
      </c>
      <c r="F2439" s="31">
        <f t="shared" si="38"/>
        <v>799.20000000000016</v>
      </c>
    </row>
    <row r="2440" spans="1:6" ht="18.75" customHeight="1" x14ac:dyDescent="0.25">
      <c r="A2440" s="2" t="str">
        <f ca="1">IFERROR(__xludf.DUMMYFUNCTION("""COMPUTED_VALUE"""),"KPL-04718")</f>
        <v>KPL-04718</v>
      </c>
      <c r="B2440" s="3">
        <f ca="1">IFERROR(__xludf.DUMMYFUNCTION("""COMPUTED_VALUE"""),52702)</f>
        <v>52702</v>
      </c>
      <c r="C2440" s="3">
        <f ca="1">IFERROR(__xludf.DUMMYFUNCTION("""COMPUTED_VALUE"""),5906366007231)</f>
        <v>5906366007231</v>
      </c>
      <c r="D2440" s="4" t="str">
        <f ca="1">IFERROR(__xludf.DUMMYFUNCTION("""COMPUTED_VALUE"""),"KABINA PRZYŚCIENNA RAPID SLIDE BRUSH GOLD 130x100")</f>
        <v>KABINA PRZYŚCIENNA RAPID SLIDE BRUSH GOLD 130x100</v>
      </c>
      <c r="E2440" s="31">
        <v>653.36585365853659</v>
      </c>
      <c r="F2440" s="31">
        <f t="shared" si="38"/>
        <v>803.64</v>
      </c>
    </row>
    <row r="2441" spans="1:6" ht="18.75" customHeight="1" x14ac:dyDescent="0.25">
      <c r="A2441" s="2" t="str">
        <f ca="1">IFERROR(__xludf.DUMMYFUNCTION("""COMPUTED_VALUE"""),"KPL-04717")</f>
        <v>KPL-04717</v>
      </c>
      <c r="B2441" s="3">
        <f ca="1">IFERROR(__xludf.DUMMYFUNCTION("""COMPUTED_VALUE"""),52701)</f>
        <v>52701</v>
      </c>
      <c r="C2441" s="3">
        <f ca="1">IFERROR(__xludf.DUMMYFUNCTION("""COMPUTED_VALUE"""),5906366007224)</f>
        <v>5906366007224</v>
      </c>
      <c r="D2441" s="4" t="str">
        <f ca="1">IFERROR(__xludf.DUMMYFUNCTION("""COMPUTED_VALUE"""),"KABINA PRZYŚCIENNA RAPID SLIDE BRUSH GOLD 130x90")</f>
        <v>KABINA PRZYŚCIENNA RAPID SLIDE BRUSH GOLD 130x90</v>
      </c>
      <c r="E2441" s="31">
        <v>653.36585365853659</v>
      </c>
      <c r="F2441" s="31">
        <f t="shared" si="38"/>
        <v>803.64</v>
      </c>
    </row>
    <row r="2442" spans="1:6" ht="18.75" customHeight="1" x14ac:dyDescent="0.25">
      <c r="A2442" s="2" t="str">
        <f ca="1">IFERROR(__xludf.DUMMYFUNCTION("""COMPUTED_VALUE"""),"KPL-04716")</f>
        <v>KPL-04716</v>
      </c>
      <c r="B2442" s="3">
        <f ca="1">IFERROR(__xludf.DUMMYFUNCTION("""COMPUTED_VALUE"""),52700)</f>
        <v>52700</v>
      </c>
      <c r="C2442" s="3">
        <f ca="1">IFERROR(__xludf.DUMMYFUNCTION("""COMPUTED_VALUE"""),5906366007217)</f>
        <v>5906366007217</v>
      </c>
      <c r="D2442" s="4" t="str">
        <f ca="1">IFERROR(__xludf.DUMMYFUNCTION("""COMPUTED_VALUE"""),"KABINA PRZYŚCIENNA RAPID SLIDE BRUSH GOLD 130x80")</f>
        <v>KABINA PRZYŚCIENNA RAPID SLIDE BRUSH GOLD 130x80</v>
      </c>
      <c r="E2442" s="31">
        <v>640.73170731707319</v>
      </c>
      <c r="F2442" s="31">
        <f t="shared" si="38"/>
        <v>788.1</v>
      </c>
    </row>
    <row r="2443" spans="1:6" ht="18.75" customHeight="1" x14ac:dyDescent="0.25">
      <c r="A2443" s="2" t="str">
        <f ca="1">IFERROR(__xludf.DUMMYFUNCTION("""COMPUTED_VALUE"""),"KPL-04715")</f>
        <v>KPL-04715</v>
      </c>
      <c r="B2443" s="3">
        <f ca="1">IFERROR(__xludf.DUMMYFUNCTION("""COMPUTED_VALUE"""),52699)</f>
        <v>52699</v>
      </c>
      <c r="C2443" s="3">
        <f ca="1">IFERROR(__xludf.DUMMYFUNCTION("""COMPUTED_VALUE"""),5906366002540)</f>
        <v>5906366002540</v>
      </c>
      <c r="D2443" s="4" t="str">
        <f ca="1">IFERROR(__xludf.DUMMYFUNCTION("""COMPUTED_VALUE"""),"KABINA PRZYŚCIENNA RAPID SLIDE BRUSH GOLD 120x100")</f>
        <v>KABINA PRZYŚCIENNA RAPID SLIDE BRUSH GOLD 120x100</v>
      </c>
      <c r="E2443" s="31">
        <v>647.04878048780483</v>
      </c>
      <c r="F2443" s="31">
        <f t="shared" si="38"/>
        <v>795.86999999999989</v>
      </c>
    </row>
    <row r="2444" spans="1:6" ht="18.75" customHeight="1" x14ac:dyDescent="0.25">
      <c r="A2444" s="2" t="str">
        <f ca="1">IFERROR(__xludf.DUMMYFUNCTION("""COMPUTED_VALUE"""),"KPL-04714")</f>
        <v>KPL-04714</v>
      </c>
      <c r="B2444" s="3">
        <f ca="1">IFERROR(__xludf.DUMMYFUNCTION("""COMPUTED_VALUE"""),52698)</f>
        <v>52698</v>
      </c>
      <c r="C2444" s="3">
        <f ca="1">IFERROR(__xludf.DUMMYFUNCTION("""COMPUTED_VALUE"""),5906366002533)</f>
        <v>5906366002533</v>
      </c>
      <c r="D2444" s="4" t="str">
        <f ca="1">IFERROR(__xludf.DUMMYFUNCTION("""COMPUTED_VALUE"""),"KABINA PRZYŚCIENNA RAPID SLIDE BRUSH GOLD 120x90")</f>
        <v>KABINA PRZYŚCIENNA RAPID SLIDE BRUSH GOLD 120x90</v>
      </c>
      <c r="E2444" s="31">
        <v>647.04878048780483</v>
      </c>
      <c r="F2444" s="31">
        <f t="shared" si="38"/>
        <v>795.86999999999989</v>
      </c>
    </row>
    <row r="2445" spans="1:6" ht="18.75" customHeight="1" x14ac:dyDescent="0.25">
      <c r="A2445" s="2" t="str">
        <f ca="1">IFERROR(__xludf.DUMMYFUNCTION("""COMPUTED_VALUE"""),"KPL-04713")</f>
        <v>KPL-04713</v>
      </c>
      <c r="B2445" s="3">
        <f ca="1">IFERROR(__xludf.DUMMYFUNCTION("""COMPUTED_VALUE"""),52697)</f>
        <v>52697</v>
      </c>
      <c r="C2445" s="3">
        <f ca="1">IFERROR(__xludf.DUMMYFUNCTION("""COMPUTED_VALUE"""),5906366002526)</f>
        <v>5906366002526</v>
      </c>
      <c r="D2445" s="4" t="str">
        <f ca="1">IFERROR(__xludf.DUMMYFUNCTION("""COMPUTED_VALUE"""),"KABINA PRZYŚCIENNA RAPID SLIDE BRUSH GOLD 120x80")</f>
        <v>KABINA PRZYŚCIENNA RAPID SLIDE BRUSH GOLD 120x80</v>
      </c>
      <c r="E2445" s="31">
        <v>634.41463414634143</v>
      </c>
      <c r="F2445" s="31">
        <f t="shared" si="38"/>
        <v>780.32999999999993</v>
      </c>
    </row>
    <row r="2446" spans="1:6" ht="18.75" customHeight="1" x14ac:dyDescent="0.25">
      <c r="A2446" s="2" t="str">
        <f ca="1">IFERROR(__xludf.DUMMYFUNCTION("""COMPUTED_VALUE"""),"KPL-04712")</f>
        <v>KPL-04712</v>
      </c>
      <c r="B2446" s="3">
        <f ca="1">IFERROR(__xludf.DUMMYFUNCTION("""COMPUTED_VALUE"""),52696)</f>
        <v>52696</v>
      </c>
      <c r="C2446" s="3">
        <f ca="1">IFERROR(__xludf.DUMMYFUNCTION("""COMPUTED_VALUE"""),5906366002519)</f>
        <v>5906366002519</v>
      </c>
      <c r="D2446" s="4" t="str">
        <f ca="1">IFERROR(__xludf.DUMMYFUNCTION("""COMPUTED_VALUE"""),"KABINA PRZYŚCIENNA RAPID SLIDE BRUSH GOLD 110x100")</f>
        <v>KABINA PRZYŚCIENNA RAPID SLIDE BRUSH GOLD 110x100</v>
      </c>
      <c r="E2446" s="31">
        <v>631.70731707317077</v>
      </c>
      <c r="F2446" s="31">
        <f t="shared" si="38"/>
        <v>777</v>
      </c>
    </row>
    <row r="2447" spans="1:6" ht="18.75" customHeight="1" x14ac:dyDescent="0.25">
      <c r="A2447" s="2" t="str">
        <f ca="1">IFERROR(__xludf.DUMMYFUNCTION("""COMPUTED_VALUE"""),"KPL-04711")</f>
        <v>KPL-04711</v>
      </c>
      <c r="B2447" s="3">
        <f ca="1">IFERROR(__xludf.DUMMYFUNCTION("""COMPUTED_VALUE"""),52695)</f>
        <v>52695</v>
      </c>
      <c r="C2447" s="3">
        <f ca="1">IFERROR(__xludf.DUMMYFUNCTION("""COMPUTED_VALUE"""),5906366002502)</f>
        <v>5906366002502</v>
      </c>
      <c r="D2447" s="4" t="str">
        <f ca="1">IFERROR(__xludf.DUMMYFUNCTION("""COMPUTED_VALUE"""),"KABINA PRZYŚCIENNA RAPID SLIDE BRUSH GOLD 110x90")</f>
        <v>KABINA PRZYŚCIENNA RAPID SLIDE BRUSH GOLD 110x90</v>
      </c>
      <c r="E2447" s="31">
        <v>631.70731707317077</v>
      </c>
      <c r="F2447" s="31">
        <f t="shared" si="38"/>
        <v>777</v>
      </c>
    </row>
    <row r="2448" spans="1:6" ht="18.75" customHeight="1" x14ac:dyDescent="0.25">
      <c r="A2448" s="2" t="str">
        <f ca="1">IFERROR(__xludf.DUMMYFUNCTION("""COMPUTED_VALUE"""),"KPL-04710")</f>
        <v>KPL-04710</v>
      </c>
      <c r="B2448" s="3">
        <f ca="1">IFERROR(__xludf.DUMMYFUNCTION("""COMPUTED_VALUE"""),52694)</f>
        <v>52694</v>
      </c>
      <c r="C2448" s="3">
        <f ca="1">IFERROR(__xludf.DUMMYFUNCTION("""COMPUTED_VALUE"""),5906366002496)</f>
        <v>5906366002496</v>
      </c>
      <c r="D2448" s="4" t="str">
        <f ca="1">IFERROR(__xludf.DUMMYFUNCTION("""COMPUTED_VALUE"""),"KABINA PRZYŚCIENNA RAPID SLIDE BRUSH GOLD 110x80")</f>
        <v>KABINA PRZYŚCIENNA RAPID SLIDE BRUSH GOLD 110x80</v>
      </c>
      <c r="E2448" s="31">
        <v>619.07317073170736</v>
      </c>
      <c r="F2448" s="31">
        <f t="shared" si="38"/>
        <v>761.46</v>
      </c>
    </row>
    <row r="2449" spans="1:6" ht="18.75" customHeight="1" x14ac:dyDescent="0.25">
      <c r="A2449" s="2" t="str">
        <f ca="1">IFERROR(__xludf.DUMMYFUNCTION("""COMPUTED_VALUE"""),"KPL-04709")</f>
        <v>KPL-04709</v>
      </c>
      <c r="B2449" s="3">
        <f ca="1">IFERROR(__xludf.DUMMYFUNCTION("""COMPUTED_VALUE"""),52693)</f>
        <v>52693</v>
      </c>
      <c r="C2449" s="3">
        <f ca="1">IFERROR(__xludf.DUMMYFUNCTION("""COMPUTED_VALUE"""),5906366002489)</f>
        <v>5906366002489</v>
      </c>
      <c r="D2449" s="4" t="str">
        <f ca="1">IFERROR(__xludf.DUMMYFUNCTION("""COMPUTED_VALUE"""),"KABINA PRZYŚCIENNA RAPID SLIDE BRUSH GOLD 100x100")</f>
        <v>KABINA PRZYŚCIENNA RAPID SLIDE BRUSH GOLD 100x100</v>
      </c>
      <c r="E2449" s="31">
        <v>629.90243902439033</v>
      </c>
      <c r="F2449" s="31">
        <f t="shared" si="38"/>
        <v>774.78000000000009</v>
      </c>
    </row>
    <row r="2450" spans="1:6" ht="18.75" customHeight="1" x14ac:dyDescent="0.25">
      <c r="A2450" s="2" t="str">
        <f ca="1">IFERROR(__xludf.DUMMYFUNCTION("""COMPUTED_VALUE"""),"KPL-04708")</f>
        <v>KPL-04708</v>
      </c>
      <c r="B2450" s="3">
        <f ca="1">IFERROR(__xludf.DUMMYFUNCTION("""COMPUTED_VALUE"""),52692)</f>
        <v>52692</v>
      </c>
      <c r="C2450" s="3">
        <f ca="1">IFERROR(__xludf.DUMMYFUNCTION("""COMPUTED_VALUE"""),5906366002472)</f>
        <v>5906366002472</v>
      </c>
      <c r="D2450" s="4" t="str">
        <f ca="1">IFERROR(__xludf.DUMMYFUNCTION("""COMPUTED_VALUE"""),"KABINA PRZYŚCIENNA RAPID SLIDE BRUSH GOLD 100x90")</f>
        <v>KABINA PRZYŚCIENNA RAPID SLIDE BRUSH GOLD 100x90</v>
      </c>
      <c r="E2450" s="31">
        <v>629.90243902439033</v>
      </c>
      <c r="F2450" s="31">
        <f t="shared" si="38"/>
        <v>774.78000000000009</v>
      </c>
    </row>
    <row r="2451" spans="1:6" ht="18.75" customHeight="1" x14ac:dyDescent="0.25">
      <c r="A2451" s="2" t="str">
        <f ca="1">IFERROR(__xludf.DUMMYFUNCTION("""COMPUTED_VALUE"""),"KPL-04707")</f>
        <v>KPL-04707</v>
      </c>
      <c r="B2451" s="3">
        <f ca="1">IFERROR(__xludf.DUMMYFUNCTION("""COMPUTED_VALUE"""),52691)</f>
        <v>52691</v>
      </c>
      <c r="C2451" s="3">
        <f ca="1">IFERROR(__xludf.DUMMYFUNCTION("""COMPUTED_VALUE"""),5906366002465)</f>
        <v>5906366002465</v>
      </c>
      <c r="D2451" s="4" t="str">
        <f ca="1">IFERROR(__xludf.DUMMYFUNCTION("""COMPUTED_VALUE"""),"KABINA PRZYŚCIENNA RAPID SLIDE BRUSH GOLD 100x80")</f>
        <v>KABINA PRZYŚCIENNA RAPID SLIDE BRUSH GOLD 100x80</v>
      </c>
      <c r="E2451" s="31">
        <v>617.26829268292693</v>
      </c>
      <c r="F2451" s="31">
        <f t="shared" si="38"/>
        <v>759.24000000000012</v>
      </c>
    </row>
    <row r="2452" spans="1:6" ht="18.75" customHeight="1" x14ac:dyDescent="0.25">
      <c r="A2452" s="2" t="str">
        <f ca="1">IFERROR(__xludf.DUMMYFUNCTION("""COMPUTED_VALUE"""),"KPL-K7448")</f>
        <v>KPL-K7448</v>
      </c>
      <c r="B2452" s="3">
        <f ca="1">IFERROR(__xludf.DUMMYFUNCTION("""COMPUTED_VALUE"""),52688)</f>
        <v>52688</v>
      </c>
      <c r="C2452" s="3">
        <f ca="1">IFERROR(__xludf.DUMMYFUNCTION("""COMPUTED_VALUE"""),5906366000546)</f>
        <v>5906366000546</v>
      </c>
      <c r="D2452" s="4" t="str">
        <f ca="1">IFERROR(__xludf.DUMMYFUNCTION("""COMPUTED_VALUE"""),"KABINA CITY BLACK + BRODZIK SAVOY BLACK 80x80")</f>
        <v>KABINA CITY BLACK + BRODZIK SAVOY BLACK 80x80</v>
      </c>
      <c r="E2452" s="31">
        <v>272.53658536585368</v>
      </c>
      <c r="F2452" s="31">
        <f t="shared" si="38"/>
        <v>335.22</v>
      </c>
    </row>
    <row r="2453" spans="1:6" ht="18.75" customHeight="1" x14ac:dyDescent="0.25">
      <c r="A2453" s="2" t="str">
        <f ca="1">IFERROR(__xludf.DUMMYFUNCTION("""COMPUTED_VALUE"""),"KPL-K6449")</f>
        <v>KPL-K6449</v>
      </c>
      <c r="B2453" s="3">
        <f ca="1">IFERROR(__xludf.DUMMYFUNCTION("""COMPUTED_VALUE"""),52399)</f>
        <v>52399</v>
      </c>
      <c r="C2453" s="3">
        <f ca="1">IFERROR(__xludf.DUMMYFUNCTION("""COMPUTED_VALUE"""),5906366000515)</f>
        <v>5906366000515</v>
      </c>
      <c r="D2453" s="4" t="str">
        <f ca="1">IFERROR(__xludf.DUMMYFUNCTION("""COMPUTED_VALUE"""),"KABINA CITY BLACK + BRODZIK SAVOY BLACK 80x100")</f>
        <v>KABINA CITY BLACK + BRODZIK SAVOY BLACK 80x100</v>
      </c>
      <c r="E2453" s="31">
        <v>299.60975609756105</v>
      </c>
      <c r="F2453" s="31">
        <f t="shared" si="38"/>
        <v>368.5200000000001</v>
      </c>
    </row>
    <row r="2454" spans="1:6" ht="18.75" customHeight="1" x14ac:dyDescent="0.25">
      <c r="A2454" s="2" t="str">
        <f ca="1">IFERROR(__xludf.DUMMYFUNCTION("""COMPUTED_VALUE"""),"KPL-K7449")</f>
        <v>KPL-K7449</v>
      </c>
      <c r="B2454" s="3">
        <f ca="1">IFERROR(__xludf.DUMMYFUNCTION("""COMPUTED_VALUE"""),52398)</f>
        <v>52398</v>
      </c>
      <c r="C2454" s="3">
        <f ca="1">IFERROR(__xludf.DUMMYFUNCTION("""COMPUTED_VALUE"""),5906366000522)</f>
        <v>5906366000522</v>
      </c>
      <c r="D2454" s="4" t="str">
        <f ca="1">IFERROR(__xludf.DUMMYFUNCTION("""COMPUTED_VALUE"""),"KABINA CITY BLACK + BRODZIK SAVOY WHITE 80x100")</f>
        <v>KABINA CITY BLACK + BRODZIK SAVOY WHITE 80x100</v>
      </c>
      <c r="E2454" s="31">
        <v>285.17073170731715</v>
      </c>
      <c r="F2454" s="31">
        <f t="shared" si="38"/>
        <v>350.7600000000001</v>
      </c>
    </row>
    <row r="2455" spans="1:6" ht="18.75" customHeight="1" x14ac:dyDescent="0.25">
      <c r="A2455" s="2" t="str">
        <f ca="1">IFERROR(__xludf.DUMMYFUNCTION("""COMPUTED_VALUE"""),"KPL-K6448")</f>
        <v>KPL-K6448</v>
      </c>
      <c r="B2455" s="3">
        <f ca="1">IFERROR(__xludf.DUMMYFUNCTION("""COMPUTED_VALUE"""),52396)</f>
        <v>52396</v>
      </c>
      <c r="C2455" s="3">
        <f ca="1">IFERROR(__xludf.DUMMYFUNCTION("""COMPUTED_VALUE"""),5906366000539)</f>
        <v>5906366000539</v>
      </c>
      <c r="D2455" s="4" t="str">
        <f ca="1">IFERROR(__xludf.DUMMYFUNCTION("""COMPUTED_VALUE"""),"KABINA CITY BLACK + BRODZIK SAVOY WHITE 80x80")</f>
        <v>KABINA CITY BLACK + BRODZIK SAVOY WHITE 80x80</v>
      </c>
      <c r="E2455" s="31">
        <v>268.92682926829269</v>
      </c>
      <c r="F2455" s="31">
        <f t="shared" si="38"/>
        <v>330.78000000000003</v>
      </c>
    </row>
    <row r="2456" spans="1:6" ht="18.75" customHeight="1" x14ac:dyDescent="0.25">
      <c r="A2456" s="2" t="str">
        <f ca="1">IFERROR(__xludf.DUMMYFUNCTION("""COMPUTED_VALUE"""),"KPL-K6446")</f>
        <v>KPL-K6446</v>
      </c>
      <c r="B2456" s="3">
        <f ca="1">IFERROR(__xludf.DUMMYFUNCTION("""COMPUTED_VALUE"""),52394)</f>
        <v>52394</v>
      </c>
      <c r="C2456" s="3">
        <f ca="1">IFERROR(__xludf.DUMMYFUNCTION("""COMPUTED_VALUE"""),5906366000553)</f>
        <v>5906366000553</v>
      </c>
      <c r="D2456" s="4" t="str">
        <f ca="1">IFERROR(__xludf.DUMMYFUNCTION("""COMPUTED_VALUE"""),"KABINA CITY BLACK + BRODZIK SAVOY BLACK 90x90")</f>
        <v>KABINA CITY BLACK + BRODZIK SAVOY BLACK 90x90</v>
      </c>
      <c r="E2456" s="31">
        <v>285.17073170731715</v>
      </c>
      <c r="F2456" s="31">
        <f t="shared" si="38"/>
        <v>350.7600000000001</v>
      </c>
    </row>
    <row r="2457" spans="1:6" ht="18.75" customHeight="1" x14ac:dyDescent="0.25">
      <c r="A2457" s="2" t="str">
        <f ca="1">IFERROR(__xludf.DUMMYFUNCTION("""COMPUTED_VALUE"""),"KPL-K7446")</f>
        <v>KPL-K7446</v>
      </c>
      <c r="B2457" s="3">
        <f ca="1">IFERROR(__xludf.DUMMYFUNCTION("""COMPUTED_VALUE"""),52393)</f>
        <v>52393</v>
      </c>
      <c r="C2457" s="3">
        <f ca="1">IFERROR(__xludf.DUMMYFUNCTION("""COMPUTED_VALUE"""),5906366000560)</f>
        <v>5906366000560</v>
      </c>
      <c r="D2457" s="4" t="str">
        <f ca="1">IFERROR(__xludf.DUMMYFUNCTION("""COMPUTED_VALUE"""),"KABINA CITY BLACK + BRODZIK SAVOY WHITE 90x90")</f>
        <v>KABINA CITY BLACK + BRODZIK SAVOY WHITE 90x90</v>
      </c>
      <c r="E2457" s="31">
        <v>269.82926829268297</v>
      </c>
      <c r="F2457" s="31">
        <f t="shared" si="38"/>
        <v>331.89000000000004</v>
      </c>
    </row>
    <row r="2458" spans="1:6" ht="18.75" customHeight="1" x14ac:dyDescent="0.25">
      <c r="A2458" s="2" t="str">
        <f ca="1">IFERROR(__xludf.DUMMYFUNCTION("""COMPUTED_VALUE"""),"KPL-K74502")</f>
        <v>KPL-K74502</v>
      </c>
      <c r="B2458" s="3">
        <f ca="1">IFERROR(__xludf.DUMMYFUNCTION("""COMPUTED_VALUE"""),52388)</f>
        <v>52388</v>
      </c>
      <c r="C2458" s="3"/>
      <c r="D2458" s="4" t="str">
        <f ca="1">IFERROR(__xludf.DUMMYFUNCTION("""COMPUTED_VALUE"""),"KABINA CITY BRUSH GOLD+ BRODZIK SAVOY BLACk 80x100")</f>
        <v>KABINA CITY BRUSH GOLD+ BRODZIK SAVOY BLACk 80x100</v>
      </c>
      <c r="E2458" s="31">
        <v>323.07317073170736</v>
      </c>
      <c r="F2458" s="31">
        <f t="shared" si="38"/>
        <v>397.38000000000005</v>
      </c>
    </row>
    <row r="2459" spans="1:6" ht="18.75" customHeight="1" x14ac:dyDescent="0.25">
      <c r="A2459" s="2" t="str">
        <f ca="1">IFERROR(__xludf.DUMMYFUNCTION("""COMPUTED_VALUE"""),"KPL-K74501")</f>
        <v>KPL-K74501</v>
      </c>
      <c r="B2459" s="3">
        <f ca="1">IFERROR(__xludf.DUMMYFUNCTION("""COMPUTED_VALUE"""),52387)</f>
        <v>52387</v>
      </c>
      <c r="C2459" s="3"/>
      <c r="D2459" s="4" t="str">
        <f ca="1">IFERROR(__xludf.DUMMYFUNCTION("""COMPUTED_VALUE"""),"KABINA CITY BRUSH GOLD+ BRODZIK SAVOY WHITE 80x100")</f>
        <v>KABINA CITY BRUSH GOLD+ BRODZIK SAVOY WHITE 80x100</v>
      </c>
      <c r="E2459" s="31">
        <v>308.63414634146346</v>
      </c>
      <c r="F2459" s="31">
        <f t="shared" si="38"/>
        <v>379.62000000000006</v>
      </c>
    </row>
    <row r="2460" spans="1:6" ht="18.75" customHeight="1" x14ac:dyDescent="0.25">
      <c r="A2460" s="2" t="str">
        <f ca="1">IFERROR(__xludf.DUMMYFUNCTION("""COMPUTED_VALUE"""),"KPL-K6445")</f>
        <v>KPL-K6445</v>
      </c>
      <c r="B2460" s="3">
        <f ca="1">IFERROR(__xludf.DUMMYFUNCTION("""COMPUTED_VALUE"""),52384)</f>
        <v>52384</v>
      </c>
      <c r="C2460" s="3">
        <f ca="1">IFERROR(__xludf.DUMMYFUNCTION("""COMPUTED_VALUE"""),5906366005312)</f>
        <v>5906366005312</v>
      </c>
      <c r="D2460" s="4" t="str">
        <f ca="1">IFERROR(__xludf.DUMMYFUNCTION("""COMPUTED_VALUE"""),"KABINA CITY BRUSH GOLD+ BRODZIK SAVOY BLACK 90x90")</f>
        <v>KABINA CITY BRUSH GOLD+ BRODZIK SAVOY BLACK 90x90</v>
      </c>
      <c r="E2460" s="31">
        <v>313.14634146341467</v>
      </c>
      <c r="F2460" s="31">
        <f t="shared" si="38"/>
        <v>385.17</v>
      </c>
    </row>
    <row r="2461" spans="1:6" ht="18.75" customHeight="1" x14ac:dyDescent="0.25">
      <c r="A2461" s="2" t="str">
        <f ca="1">IFERROR(__xludf.DUMMYFUNCTION("""COMPUTED_VALUE"""),"KPL-K6443")</f>
        <v>KPL-K6443</v>
      </c>
      <c r="B2461" s="3">
        <f ca="1">IFERROR(__xludf.DUMMYFUNCTION("""COMPUTED_VALUE"""),52383)</f>
        <v>52383</v>
      </c>
      <c r="C2461" s="3">
        <f ca="1">IFERROR(__xludf.DUMMYFUNCTION("""COMPUTED_VALUE"""),5906366002458)</f>
        <v>5906366002458</v>
      </c>
      <c r="D2461" s="4" t="str">
        <f ca="1">IFERROR(__xludf.DUMMYFUNCTION("""COMPUTED_VALUE"""),"KABINA CITY BRUSH GOLD+ BRODZIK SAVOY WHITE 90x90")</f>
        <v>KABINA CITY BRUSH GOLD+ BRODZIK SAVOY WHITE 90x90</v>
      </c>
      <c r="E2461" s="31">
        <v>297.80487804878055</v>
      </c>
      <c r="F2461" s="31">
        <f t="shared" si="38"/>
        <v>366.30000000000007</v>
      </c>
    </row>
    <row r="2462" spans="1:6" ht="18.75" customHeight="1" x14ac:dyDescent="0.25">
      <c r="A2462" s="2" t="str">
        <f ca="1">IFERROR(__xludf.DUMMYFUNCTION("""COMPUTED_VALUE"""),"KPL-K6444")</f>
        <v>KPL-K6444</v>
      </c>
      <c r="B2462" s="3">
        <f ca="1">IFERROR(__xludf.DUMMYFUNCTION("""COMPUTED_VALUE"""),52379)</f>
        <v>52379</v>
      </c>
      <c r="C2462" s="3">
        <f ca="1">IFERROR(__xludf.DUMMYFUNCTION("""COMPUTED_VALUE"""),5906366002441)</f>
        <v>5906366002441</v>
      </c>
      <c r="D2462" s="4" t="str">
        <f ca="1">IFERROR(__xludf.DUMMYFUNCTION("""COMPUTED_VALUE"""),"KABINA CITY BRUSH GOLD+ BRODZIK SAVOY WHITE 80x80")</f>
        <v>KABINA CITY BRUSH GOLD+ BRODZIK SAVOY WHITE 80x80</v>
      </c>
      <c r="E2462" s="31">
        <v>291.48780487804885</v>
      </c>
      <c r="F2462" s="31">
        <f t="shared" si="38"/>
        <v>358.53000000000009</v>
      </c>
    </row>
    <row r="2463" spans="1:6" ht="18.75" customHeight="1" x14ac:dyDescent="0.25">
      <c r="A2463" s="2" t="str">
        <f ca="1">IFERROR(__xludf.DUMMYFUNCTION("""COMPUTED_VALUE"""),"KPL-K6441")</f>
        <v>KPL-K6441</v>
      </c>
      <c r="B2463" s="3">
        <f ca="1">IFERROR(__xludf.DUMMYFUNCTION("""COMPUTED_VALUE"""),52372)</f>
        <v>52372</v>
      </c>
      <c r="C2463" s="3">
        <f ca="1">IFERROR(__xludf.DUMMYFUNCTION("""COMPUTED_VALUE"""),5906366003097)</f>
        <v>5906366003097</v>
      </c>
      <c r="D2463" s="4" t="str">
        <f ca="1">IFERROR(__xludf.DUMMYFUNCTION("""COMPUTED_VALUE"""),"KABINA PUNTO GOLD + BRODZIK SAVOY WHITE 80x80")</f>
        <v>KABINA PUNTO GOLD + BRODZIK SAVOY WHITE 80x80</v>
      </c>
      <c r="E2463" s="31">
        <v>295.09756097560978</v>
      </c>
      <c r="F2463" s="31">
        <f t="shared" si="38"/>
        <v>362.97</v>
      </c>
    </row>
    <row r="2464" spans="1:6" ht="18.75" customHeight="1" x14ac:dyDescent="0.25">
      <c r="A2464" s="2" t="str">
        <f ca="1">IFERROR(__xludf.DUMMYFUNCTION("""COMPUTED_VALUE"""),"KPL-K2442")</f>
        <v>KPL-K2442</v>
      </c>
      <c r="B2464" s="3">
        <f ca="1">IFERROR(__xludf.DUMMYFUNCTION("""COMPUTED_VALUE"""),52370)</f>
        <v>52370</v>
      </c>
      <c r="C2464" s="3">
        <f ca="1">IFERROR(__xludf.DUMMYFUNCTION("""COMPUTED_VALUE"""),5906366003073)</f>
        <v>5906366003073</v>
      </c>
      <c r="D2464" s="4" t="str">
        <f ca="1">IFERROR(__xludf.DUMMYFUNCTION("""COMPUTED_VALUE"""),"KABINA PUNTO GOLD + BRODZIK SAVOY BLACK 80x100")</f>
        <v>KABINA PUNTO GOLD + BRODZIK SAVOY BLACK 80x100</v>
      </c>
      <c r="E2464" s="31">
        <v>323.97560975609758</v>
      </c>
      <c r="F2464" s="31">
        <f t="shared" si="38"/>
        <v>398.49</v>
      </c>
    </row>
    <row r="2465" spans="1:6" ht="18.75" customHeight="1" x14ac:dyDescent="0.25">
      <c r="A2465" s="2" t="str">
        <f ca="1">IFERROR(__xludf.DUMMYFUNCTION("""COMPUTED_VALUE"""),"KPL-K6442")</f>
        <v>KPL-K6442</v>
      </c>
      <c r="B2465" s="3">
        <f ca="1">IFERROR(__xludf.DUMMYFUNCTION("""COMPUTED_VALUE"""),52369)</f>
        <v>52369</v>
      </c>
      <c r="C2465" s="3">
        <f ca="1">IFERROR(__xludf.DUMMYFUNCTION("""COMPUTED_VALUE"""),5906366003080)</f>
        <v>5906366003080</v>
      </c>
      <c r="D2465" s="4" t="str">
        <f ca="1">IFERROR(__xludf.DUMMYFUNCTION("""COMPUTED_VALUE"""),"KABINA PUNTO GOLD + BRODZIK SAVOY WHITE 80x100")</f>
        <v>KABINA PUNTO GOLD + BRODZIK SAVOY WHITE 80x100</v>
      </c>
      <c r="E2465" s="31">
        <v>309.53658536585368</v>
      </c>
      <c r="F2465" s="31">
        <f t="shared" si="38"/>
        <v>380.73</v>
      </c>
    </row>
    <row r="2466" spans="1:6" ht="18.75" customHeight="1" x14ac:dyDescent="0.25">
      <c r="A2466" s="2" t="str">
        <f ca="1">IFERROR(__xludf.DUMMYFUNCTION("""COMPUTED_VALUE"""),"KPL-K1440")</f>
        <v>KPL-K1440</v>
      </c>
      <c r="B2466" s="3">
        <f ca="1">IFERROR(__xludf.DUMMYFUNCTION("""COMPUTED_VALUE"""),52367)</f>
        <v>52367</v>
      </c>
      <c r="C2466" s="3">
        <f ca="1">IFERROR(__xludf.DUMMYFUNCTION("""COMPUTED_VALUE"""),5906366003066)</f>
        <v>5906366003066</v>
      </c>
      <c r="D2466" s="4" t="str">
        <f ca="1">IFERROR(__xludf.DUMMYFUNCTION("""COMPUTED_VALUE"""),"KABINA PUNTO GOLD + BRODZIK SAVOY BLACK 90x90")</f>
        <v>KABINA PUNTO GOLD + BRODZIK SAVOY BLACK 90x90</v>
      </c>
      <c r="E2466" s="31">
        <v>311.34146341463418</v>
      </c>
      <c r="F2466" s="31">
        <f t="shared" si="38"/>
        <v>382.95000000000005</v>
      </c>
    </row>
    <row r="2467" spans="1:6" ht="18.75" customHeight="1" x14ac:dyDescent="0.25">
      <c r="A2467" s="2" t="str">
        <f ca="1">IFERROR(__xludf.DUMMYFUNCTION("""COMPUTED_VALUE"""),"KPL-K6440")</f>
        <v>KPL-K6440</v>
      </c>
      <c r="B2467" s="3">
        <f ca="1">IFERROR(__xludf.DUMMYFUNCTION("""COMPUTED_VALUE"""),52366)</f>
        <v>52366</v>
      </c>
      <c r="C2467" s="3">
        <f ca="1">IFERROR(__xludf.DUMMYFUNCTION("""COMPUTED_VALUE"""),5906366003059)</f>
        <v>5906366003059</v>
      </c>
      <c r="D2467" s="4" t="str">
        <f ca="1">IFERROR(__xludf.DUMMYFUNCTION("""COMPUTED_VALUE"""),"KABINA PUNTO GOLD + BRODZIK SAVOY WHITE 90x90")</f>
        <v>KABINA PUNTO GOLD + BRODZIK SAVOY WHITE 90x90</v>
      </c>
      <c r="E2467" s="31">
        <v>296.00000000000006</v>
      </c>
      <c r="F2467" s="31">
        <f t="shared" si="38"/>
        <v>364.08000000000004</v>
      </c>
    </row>
    <row r="2468" spans="1:6" ht="18.75" customHeight="1" x14ac:dyDescent="0.25">
      <c r="A2468" s="2" t="str">
        <f ca="1">IFERROR(__xludf.DUMMYFUNCTION("""COMPUTED_VALUE"""),"KPL-K9840")</f>
        <v>KPL-K9840</v>
      </c>
      <c r="B2468" s="3">
        <f ca="1">IFERROR(__xludf.DUMMYFUNCTION("""COMPUTED_VALUE"""),52354)</f>
        <v>52354</v>
      </c>
      <c r="C2468" s="3">
        <f ca="1">IFERROR(__xludf.DUMMYFUNCTION("""COMPUTED_VALUE"""),5902557399864)</f>
        <v>5902557399864</v>
      </c>
      <c r="D2468" s="4" t="str">
        <f ca="1">IFERROR(__xludf.DUMMYFUNCTION("""COMPUTED_VALUE"""),"ŚCIANKA PRYSZNICOWA AERO GOLD BRUSH 110 +PÓŁKA EVO")</f>
        <v>ŚCIANKA PRYSZNICOWA AERO GOLD BRUSH 110 +PÓŁKA EVO</v>
      </c>
      <c r="E2468" s="31">
        <v>314.04878048780489</v>
      </c>
      <c r="F2468" s="31">
        <f t="shared" si="38"/>
        <v>386.28000000000003</v>
      </c>
    </row>
    <row r="2469" spans="1:6" ht="18.75" customHeight="1" x14ac:dyDescent="0.25">
      <c r="A2469" s="2" t="str">
        <f ca="1">IFERROR(__xludf.DUMMYFUNCTION("""COMPUTED_VALUE"""),"KPL-K6371")</f>
        <v>KPL-K6371</v>
      </c>
      <c r="B2469" s="3">
        <f ca="1">IFERROR(__xludf.DUMMYFUNCTION("""COMPUTED_VALUE"""),52307)</f>
        <v>52307</v>
      </c>
      <c r="C2469" s="3">
        <f ca="1">IFERROR(__xludf.DUMMYFUNCTION("""COMPUTED_VALUE"""),5902557398904)</f>
        <v>5902557398904</v>
      </c>
      <c r="D2469" s="4" t="str">
        <f ca="1">IFERROR(__xludf.DUMMYFUNCTION("""COMPUTED_VALUE"""),"DRZWI PRYSZNICOWE MOLIER CHROM 100 + LISTWA MAG")</f>
        <v>DRZWI PRYSZNICOWE MOLIER CHROM 100 + LISTWA MAG</v>
      </c>
      <c r="E2469" s="31">
        <v>225.60975609756099</v>
      </c>
      <c r="F2469" s="31">
        <f t="shared" si="38"/>
        <v>277.5</v>
      </c>
    </row>
    <row r="2470" spans="1:6" ht="18.75" customHeight="1" x14ac:dyDescent="0.25">
      <c r="A2470" s="2" t="str">
        <f ca="1">IFERROR(__xludf.DUMMYFUNCTION("""COMPUTED_VALUE"""),"KPL-K8539")</f>
        <v>KPL-K8539</v>
      </c>
      <c r="B2470" s="3">
        <f ca="1">IFERROR(__xludf.DUMMYFUNCTION("""COMPUTED_VALUE"""),52306)</f>
        <v>52306</v>
      </c>
      <c r="C2470" s="3">
        <f ca="1">IFERROR(__xludf.DUMMYFUNCTION("""COMPUTED_VALUE"""),5902557398898)</f>
        <v>5902557398898</v>
      </c>
      <c r="D2470" s="4" t="str">
        <f ca="1">IFERROR(__xludf.DUMMYFUNCTION("""COMPUTED_VALUE"""),"DRZWI PRYSZNICOWE MOLIER CHROM 90 + LISTWA MAG")</f>
        <v>DRZWI PRYSZNICOWE MOLIER CHROM 90 + LISTWA MAG</v>
      </c>
      <c r="E2470" s="31">
        <v>216.58536585365857</v>
      </c>
      <c r="F2470" s="31">
        <f t="shared" si="38"/>
        <v>266.40000000000003</v>
      </c>
    </row>
    <row r="2471" spans="1:6" ht="18.75" customHeight="1" x14ac:dyDescent="0.25">
      <c r="A2471" s="2" t="str">
        <f ca="1">IFERROR(__xludf.DUMMYFUNCTION("""COMPUTED_VALUE"""),"KPL-K6367")</f>
        <v>KPL-K6367</v>
      </c>
      <c r="B2471" s="3">
        <f ca="1">IFERROR(__xludf.DUMMYFUNCTION("""COMPUTED_VALUE"""),52305)</f>
        <v>52305</v>
      </c>
      <c r="C2471" s="3">
        <f ca="1">IFERROR(__xludf.DUMMYFUNCTION("""COMPUTED_VALUE"""),5902557398881)</f>
        <v>5902557398881</v>
      </c>
      <c r="D2471" s="4" t="str">
        <f ca="1">IFERROR(__xludf.DUMMYFUNCTION("""COMPUTED_VALUE"""),"DRZWI PRYSZNICOWE MOLIER CHROM 80 + LISTWA MAG")</f>
        <v>DRZWI PRYSZNICOWE MOLIER CHROM 80 + LISTWA MAG</v>
      </c>
      <c r="E2471" s="31">
        <v>203.04878048780492</v>
      </c>
      <c r="F2471" s="31">
        <f t="shared" si="38"/>
        <v>249.75000000000006</v>
      </c>
    </row>
    <row r="2472" spans="1:6" ht="18.75" customHeight="1" x14ac:dyDescent="0.25">
      <c r="A2472" s="2" t="str">
        <f ca="1">IFERROR(__xludf.DUMMYFUNCTION("""COMPUTED_VALUE"""),"KPL-02008")</f>
        <v>KPL-02008</v>
      </c>
      <c r="B2472" s="3">
        <f ca="1">IFERROR(__xludf.DUMMYFUNCTION("""COMPUTED_VALUE"""),52226)</f>
        <v>52226</v>
      </c>
      <c r="C2472" s="3">
        <f ca="1">IFERROR(__xludf.DUMMYFUNCTION("""COMPUTED_VALUE"""),5902557392780)</f>
        <v>5902557392780</v>
      </c>
      <c r="D2472" s="4" t="str">
        <f ca="1">IFERROR(__xludf.DUMMYFUNCTION("""COMPUTED_VALUE"""),"KABINA PRYSZNICOWA MOLIER BLACK 110X90")</f>
        <v>KABINA PRYSZNICOWA MOLIER BLACK 110X90</v>
      </c>
      <c r="E2472" s="31">
        <v>342.02439024390247</v>
      </c>
      <c r="F2472" s="31">
        <f t="shared" si="38"/>
        <v>420.69000000000005</v>
      </c>
    </row>
    <row r="2473" spans="1:6" ht="18.75" customHeight="1" x14ac:dyDescent="0.25">
      <c r="A2473" s="2" t="str">
        <f ca="1">IFERROR(__xludf.DUMMYFUNCTION("""COMPUTED_VALUE"""),"KPL-K8411")</f>
        <v>KPL-K8411</v>
      </c>
      <c r="B2473" s="3">
        <f ca="1">IFERROR(__xludf.DUMMYFUNCTION("""COMPUTED_VALUE"""),52009)</f>
        <v>52009</v>
      </c>
      <c r="C2473" s="3">
        <f ca="1">IFERROR(__xludf.DUMMYFUNCTION("""COMPUTED_VALUE"""),5902557381142)</f>
        <v>5902557381142</v>
      </c>
      <c r="D2473" s="4" t="str">
        <f ca="1">IFERROR(__xludf.DUMMYFUNCTION("""COMPUTED_VALUE"""),"KABINA PRYSZNICOWA HUGO GOLD BRUSH 80x80")</f>
        <v>KABINA PRYSZNICOWA HUGO GOLD BRUSH 80x80</v>
      </c>
      <c r="E2473" s="31">
        <v>371.80487804878049</v>
      </c>
      <c r="F2473" s="31">
        <f t="shared" si="38"/>
        <v>457.32</v>
      </c>
    </row>
    <row r="2474" spans="1:6" ht="18.75" customHeight="1" x14ac:dyDescent="0.25">
      <c r="A2474" s="2" t="str">
        <f ca="1">IFERROR(__xludf.DUMMYFUNCTION("""COMPUTED_VALUE"""),"KPL-K8412")</f>
        <v>KPL-K8412</v>
      </c>
      <c r="B2474" s="3">
        <f ca="1">IFERROR(__xludf.DUMMYFUNCTION("""COMPUTED_VALUE"""),51998)</f>
        <v>51998</v>
      </c>
      <c r="C2474" s="3">
        <f ca="1">IFERROR(__xludf.DUMMYFUNCTION("""COMPUTED_VALUE"""),5902557381166)</f>
        <v>5902557381166</v>
      </c>
      <c r="D2474" s="4" t="str">
        <f ca="1">IFERROR(__xludf.DUMMYFUNCTION("""COMPUTED_VALUE"""),"KABINA PRYSZNICOWA HUGO GOLD BRUSH 80x90")</f>
        <v>KABINA PRYSZNICOWA HUGO GOLD BRUSH 80x90</v>
      </c>
      <c r="E2474" s="31">
        <v>373.60975609756099</v>
      </c>
      <c r="F2474" s="31">
        <f t="shared" si="38"/>
        <v>459.54</v>
      </c>
    </row>
    <row r="2475" spans="1:6" ht="18.75" customHeight="1" x14ac:dyDescent="0.25">
      <c r="A2475" s="2" t="str">
        <f ca="1">IFERROR(__xludf.DUMMYFUNCTION("""COMPUTED_VALUE"""),"KPL-K8413")</f>
        <v>KPL-K8413</v>
      </c>
      <c r="B2475" s="3">
        <f ca="1">IFERROR(__xludf.DUMMYFUNCTION("""COMPUTED_VALUE"""),51984)</f>
        <v>51984</v>
      </c>
      <c r="C2475" s="3">
        <f ca="1">IFERROR(__xludf.DUMMYFUNCTION("""COMPUTED_VALUE"""),5902557381159)</f>
        <v>5902557381159</v>
      </c>
      <c r="D2475" s="4" t="str">
        <f ca="1">IFERROR(__xludf.DUMMYFUNCTION("""COMPUTED_VALUE"""),"KABINA PRYSZNICOWA HUGO GOLD BRUSH 90x90")</f>
        <v>KABINA PRYSZNICOWA HUGO GOLD BRUSH 90x90</v>
      </c>
      <c r="E2475" s="31">
        <v>382.63414634146346</v>
      </c>
      <c r="F2475" s="31">
        <f t="shared" si="38"/>
        <v>470.64000000000004</v>
      </c>
    </row>
    <row r="2476" spans="1:6" ht="18.75" customHeight="1" x14ac:dyDescent="0.25">
      <c r="A2476" s="2" t="str">
        <f ca="1">IFERROR(__xludf.DUMMYFUNCTION("""COMPUTED_VALUE"""),"KPL-K8414")</f>
        <v>KPL-K8414</v>
      </c>
      <c r="B2476" s="3">
        <f ca="1">IFERROR(__xludf.DUMMYFUNCTION("""COMPUTED_VALUE"""),51971)</f>
        <v>51971</v>
      </c>
      <c r="C2476" s="3">
        <f ca="1">IFERROR(__xludf.DUMMYFUNCTION("""COMPUTED_VALUE"""),5902557381173)</f>
        <v>5902557381173</v>
      </c>
      <c r="D2476" s="4" t="str">
        <f ca="1">IFERROR(__xludf.DUMMYFUNCTION("""COMPUTED_VALUE"""),"KABINA PRYSZNICOWA HUGO GOLD BRUSH 90x80")</f>
        <v>KABINA PRYSZNICOWA HUGO GOLD BRUSH 90x80</v>
      </c>
      <c r="E2476" s="31">
        <v>380.82926829268297</v>
      </c>
      <c r="F2476" s="31">
        <f t="shared" si="38"/>
        <v>468.42000000000007</v>
      </c>
    </row>
    <row r="2477" spans="1:6" ht="18.75" customHeight="1" x14ac:dyDescent="0.25">
      <c r="A2477" s="2" t="str">
        <f ca="1">IFERROR(__xludf.DUMMYFUNCTION("""COMPUTED_VALUE"""),"KPL-K8415")</f>
        <v>KPL-K8415</v>
      </c>
      <c r="B2477" s="3">
        <f ca="1">IFERROR(__xludf.DUMMYFUNCTION("""COMPUTED_VALUE"""),51957)</f>
        <v>51957</v>
      </c>
      <c r="C2477" s="3">
        <f ca="1">IFERROR(__xludf.DUMMYFUNCTION("""COMPUTED_VALUE"""),5902557381180)</f>
        <v>5902557381180</v>
      </c>
      <c r="D2477" s="4" t="str">
        <f ca="1">IFERROR(__xludf.DUMMYFUNCTION("""COMPUTED_VALUE"""),"KABINA PRYSZNICOWA HUGO GOLD BRUSH 100x80")</f>
        <v>KABINA PRYSZNICOWA HUGO GOLD BRUSH 100x80</v>
      </c>
      <c r="E2477" s="31">
        <v>379.92682926829275</v>
      </c>
      <c r="F2477" s="31">
        <f t="shared" si="38"/>
        <v>467.31000000000006</v>
      </c>
    </row>
    <row r="2478" spans="1:6" ht="18.75" customHeight="1" x14ac:dyDescent="0.25">
      <c r="A2478" s="2" t="str">
        <f ca="1">IFERROR(__xludf.DUMMYFUNCTION("""COMPUTED_VALUE"""),"KPL-K8416")</f>
        <v>KPL-K8416</v>
      </c>
      <c r="B2478" s="3">
        <f ca="1">IFERROR(__xludf.DUMMYFUNCTION("""COMPUTED_VALUE"""),51946)</f>
        <v>51946</v>
      </c>
      <c r="C2478" s="3">
        <f ca="1">IFERROR(__xludf.DUMMYFUNCTION("""COMPUTED_VALUE"""),5902557381197)</f>
        <v>5902557381197</v>
      </c>
      <c r="D2478" s="4" t="str">
        <f ca="1">IFERROR(__xludf.DUMMYFUNCTION("""COMPUTED_VALUE"""),"KABINA PRYSZNICOWA HUGO GOLD BRUSH 100x90")</f>
        <v>KABINA PRYSZNICOWA HUGO GOLD BRUSH 100x90</v>
      </c>
      <c r="E2478" s="31">
        <v>381.73170731707324</v>
      </c>
      <c r="F2478" s="31">
        <f t="shared" si="38"/>
        <v>469.53000000000009</v>
      </c>
    </row>
    <row r="2479" spans="1:6" ht="18.75" customHeight="1" x14ac:dyDescent="0.25">
      <c r="A2479" s="2" t="str">
        <f ca="1">IFERROR(__xludf.DUMMYFUNCTION("""COMPUTED_VALUE"""),"KPL-K8410")</f>
        <v>KPL-K8410</v>
      </c>
      <c r="B2479" s="3">
        <f ca="1">IFERROR(__xludf.DUMMYFUNCTION("""COMPUTED_VALUE"""),51906)</f>
        <v>51906</v>
      </c>
      <c r="C2479" s="3">
        <f ca="1">IFERROR(__xludf.DUMMYFUNCTION("""COMPUTED_VALUE"""),5902557397334)</f>
        <v>5902557397334</v>
      </c>
      <c r="D2479" s="4" t="str">
        <f ca="1">IFERROR(__xludf.DUMMYFUNCTION("""COMPUTED_VALUE"""),"KABINA HUGO DOUBLE GOLD BRUSH 80x90")</f>
        <v>KABINA HUGO DOUBLE GOLD BRUSH 80x90</v>
      </c>
      <c r="E2479" s="31">
        <v>518.00000000000011</v>
      </c>
      <c r="F2479" s="31">
        <f t="shared" si="38"/>
        <v>637.1400000000001</v>
      </c>
    </row>
    <row r="2480" spans="1:6" ht="18.75" customHeight="1" x14ac:dyDescent="0.25">
      <c r="A2480" s="2" t="str">
        <f ca="1">IFERROR(__xludf.DUMMYFUNCTION("""COMPUTED_VALUE"""),"KPL-K0410")</f>
        <v>KPL-K0410</v>
      </c>
      <c r="B2480" s="3">
        <f ca="1">IFERROR(__xludf.DUMMYFUNCTION("""COMPUTED_VALUE"""),51895)</f>
        <v>51895</v>
      </c>
      <c r="C2480" s="3">
        <f ca="1">IFERROR(__xludf.DUMMYFUNCTION("""COMPUTED_VALUE"""),5902557397341)</f>
        <v>5902557397341</v>
      </c>
      <c r="D2480" s="4" t="str">
        <f ca="1">IFERROR(__xludf.DUMMYFUNCTION("""COMPUTED_VALUE"""),"KABINA HUGO DOUBLE GOLD BRUSH 80x100")</f>
        <v>KABINA HUGO DOUBLE GOLD BRUSH 80x100</v>
      </c>
      <c r="E2480" s="31">
        <v>517.09756097560978</v>
      </c>
      <c r="F2480" s="31">
        <f t="shared" si="38"/>
        <v>636.03</v>
      </c>
    </row>
    <row r="2481" spans="1:6" ht="18.75" customHeight="1" x14ac:dyDescent="0.25">
      <c r="A2481" s="2" t="str">
        <f ca="1">IFERROR(__xludf.DUMMYFUNCTION("""COMPUTED_VALUE"""),"KPL-K0841")</f>
        <v>KPL-K0841</v>
      </c>
      <c r="B2481" s="3">
        <f ca="1">IFERROR(__xludf.DUMMYFUNCTION("""COMPUTED_VALUE"""),51884)</f>
        <v>51884</v>
      </c>
      <c r="C2481" s="3">
        <f ca="1">IFERROR(__xludf.DUMMYFUNCTION("""COMPUTED_VALUE"""),5902557397358)</f>
        <v>5902557397358</v>
      </c>
      <c r="D2481" s="4" t="str">
        <f ca="1">IFERROR(__xludf.DUMMYFUNCTION("""COMPUTED_VALUE"""),"KABINA HUGO DOUBLE GOLD BRUSH 90X100")</f>
        <v>KABINA HUGO DOUBLE GOLD BRUSH 90X100</v>
      </c>
      <c r="E2481" s="31">
        <v>526.12195121951231</v>
      </c>
      <c r="F2481" s="31">
        <f t="shared" si="38"/>
        <v>647.13000000000011</v>
      </c>
    </row>
    <row r="2482" spans="1:6" ht="18.75" customHeight="1" x14ac:dyDescent="0.25">
      <c r="A2482" s="2" t="str">
        <f ca="1">IFERROR(__xludf.DUMMYFUNCTION("""COMPUTED_VALUE"""),"KPL-45225")</f>
        <v>KPL-45225</v>
      </c>
      <c r="B2482" s="3">
        <f ca="1">IFERROR(__xludf.DUMMYFUNCTION("""COMPUTED_VALUE"""),51861)</f>
        <v>51861</v>
      </c>
      <c r="C2482" s="3"/>
      <c r="D2482" s="4" t="str">
        <f ca="1">IFERROR(__xludf.DUMMYFUNCTION("""COMPUTED_VALUE"""),"KABINA HUGO BLACK 100x90")</f>
        <v>KABINA HUGO BLACK 100x90</v>
      </c>
      <c r="E2482" s="31">
        <v>342.02439024390247</v>
      </c>
      <c r="F2482" s="31">
        <f t="shared" si="38"/>
        <v>420.69000000000005</v>
      </c>
    </row>
    <row r="2483" spans="1:6" ht="18.75" customHeight="1" x14ac:dyDescent="0.25">
      <c r="A2483" s="2" t="str">
        <f ca="1">IFERROR(__xludf.DUMMYFUNCTION("""COMPUTED_VALUE"""),"KPL-45223")</f>
        <v>KPL-45223</v>
      </c>
      <c r="B2483" s="3">
        <f ca="1">IFERROR(__xludf.DUMMYFUNCTION("""COMPUTED_VALUE"""),51851)</f>
        <v>51851</v>
      </c>
      <c r="C2483" s="3"/>
      <c r="D2483" s="4" t="str">
        <f ca="1">IFERROR(__xludf.DUMMYFUNCTION("""COMPUTED_VALUE"""),"KABINA HUGO BLACK 90x90")</f>
        <v>KABINA HUGO BLACK 90x90</v>
      </c>
      <c r="E2483" s="31">
        <v>348.34146341463418</v>
      </c>
      <c r="F2483" s="31">
        <f t="shared" si="38"/>
        <v>428.46000000000004</v>
      </c>
    </row>
    <row r="2484" spans="1:6" ht="18.75" customHeight="1" x14ac:dyDescent="0.25">
      <c r="A2484" s="2" t="str">
        <f ca="1">IFERROR(__xludf.DUMMYFUNCTION("""COMPUTED_VALUE"""),"KPL-45221")</f>
        <v>KPL-45221</v>
      </c>
      <c r="B2484" s="3">
        <f ca="1">IFERROR(__xludf.DUMMYFUNCTION("""COMPUTED_VALUE"""),51841)</f>
        <v>51841</v>
      </c>
      <c r="C2484" s="3"/>
      <c r="D2484" s="4" t="str">
        <f ca="1">IFERROR(__xludf.DUMMYFUNCTION("""COMPUTED_VALUE"""),"KABINA HUGO BLACK 80x90")</f>
        <v>KABINA HUGO BLACK 80x90</v>
      </c>
      <c r="E2484" s="31">
        <v>342.02439024390247</v>
      </c>
      <c r="F2484" s="31">
        <f t="shared" si="38"/>
        <v>420.69000000000005</v>
      </c>
    </row>
    <row r="2485" spans="1:6" ht="18.75" customHeight="1" x14ac:dyDescent="0.25">
      <c r="A2485" s="2" t="str">
        <f ca="1">IFERROR(__xludf.DUMMYFUNCTION("""COMPUTED_VALUE"""),"KPL-45224")</f>
        <v>KPL-45224</v>
      </c>
      <c r="B2485" s="3">
        <f ca="1">IFERROR(__xludf.DUMMYFUNCTION("""COMPUTED_VALUE"""),51824)</f>
        <v>51824</v>
      </c>
      <c r="C2485" s="3"/>
      <c r="D2485" s="4" t="str">
        <f ca="1">IFERROR(__xludf.DUMMYFUNCTION("""COMPUTED_VALUE"""),"KABINA HUGO BLACK 100x80")</f>
        <v>KABINA HUGO BLACK 100x80</v>
      </c>
      <c r="E2485" s="31">
        <v>342.02439024390247</v>
      </c>
      <c r="F2485" s="31">
        <f t="shared" si="38"/>
        <v>420.69000000000005</v>
      </c>
    </row>
    <row r="2486" spans="1:6" ht="18.75" customHeight="1" x14ac:dyDescent="0.25">
      <c r="A2486" s="2" t="str">
        <f ca="1">IFERROR(__xludf.DUMMYFUNCTION("""COMPUTED_VALUE"""),"KPL-45222")</f>
        <v>KPL-45222</v>
      </c>
      <c r="B2486" s="3">
        <f ca="1">IFERROR(__xludf.DUMMYFUNCTION("""COMPUTED_VALUE"""),51814)</f>
        <v>51814</v>
      </c>
      <c r="C2486" s="3">
        <f ca="1">IFERROR(__xludf.DUMMYFUNCTION("""COMPUTED_VALUE"""),5902557382798)</f>
        <v>5902557382798</v>
      </c>
      <c r="D2486" s="4" t="str">
        <f ca="1">IFERROR(__xludf.DUMMYFUNCTION("""COMPUTED_VALUE"""),"KABINA HUGO BLACK 90x80")</f>
        <v>KABINA HUGO BLACK 90x80</v>
      </c>
      <c r="E2486" s="31">
        <v>348.34146341463418</v>
      </c>
      <c r="F2486" s="31">
        <f t="shared" si="38"/>
        <v>428.46000000000004</v>
      </c>
    </row>
    <row r="2487" spans="1:6" ht="18.75" customHeight="1" x14ac:dyDescent="0.25">
      <c r="A2487" s="2" t="str">
        <f ca="1">IFERROR(__xludf.DUMMYFUNCTION("""COMPUTED_VALUE"""),"KPL-45220")</f>
        <v>KPL-45220</v>
      </c>
      <c r="B2487" s="3">
        <f ca="1">IFERROR(__xludf.DUMMYFUNCTION("""COMPUTED_VALUE"""),51804)</f>
        <v>51804</v>
      </c>
      <c r="C2487" s="3">
        <f ca="1">IFERROR(__xludf.DUMMYFUNCTION("""COMPUTED_VALUE"""),5902557382767)</f>
        <v>5902557382767</v>
      </c>
      <c r="D2487" s="4" t="str">
        <f ca="1">IFERROR(__xludf.DUMMYFUNCTION("""COMPUTED_VALUE"""),"KABINA HUGO BLACK 80x80")</f>
        <v>KABINA HUGO BLACK 80x80</v>
      </c>
      <c r="E2487" s="31">
        <v>342.02439024390247</v>
      </c>
      <c r="F2487" s="31">
        <f t="shared" si="38"/>
        <v>420.69000000000005</v>
      </c>
    </row>
    <row r="2488" spans="1:6" ht="18.75" customHeight="1" x14ac:dyDescent="0.25">
      <c r="A2488" s="2" t="str">
        <f ca="1">IFERROR(__xludf.DUMMYFUNCTION("""COMPUTED_VALUE"""),"KPL-45233")</f>
        <v>KPL-45233</v>
      </c>
      <c r="B2488" s="3">
        <f ca="1">IFERROR(__xludf.DUMMYFUNCTION("""COMPUTED_VALUE"""),51798)</f>
        <v>51798</v>
      </c>
      <c r="C2488" s="3">
        <f ca="1">IFERROR(__xludf.DUMMYFUNCTION("""COMPUTED_VALUE"""),5902557382859)</f>
        <v>5902557382859</v>
      </c>
      <c r="D2488" s="4" t="str">
        <f ca="1">IFERROR(__xludf.DUMMYFUNCTION("""COMPUTED_VALUE"""),"KABINA HUGO DOUBLE 80x100")</f>
        <v>KABINA HUGO DOUBLE 80x100</v>
      </c>
      <c r="E2488" s="31">
        <v>454.82926829268297</v>
      </c>
      <c r="F2488" s="31">
        <f t="shared" si="38"/>
        <v>559.44000000000005</v>
      </c>
    </row>
    <row r="2489" spans="1:6" ht="18.75" customHeight="1" x14ac:dyDescent="0.25">
      <c r="A2489" s="2" t="str">
        <f ca="1">IFERROR(__xludf.DUMMYFUNCTION("""COMPUTED_VALUE"""),"KPL-45232")</f>
        <v>KPL-45232</v>
      </c>
      <c r="B2489" s="3">
        <f ca="1">IFERROR(__xludf.DUMMYFUNCTION("""COMPUTED_VALUE"""),51785)</f>
        <v>51785</v>
      </c>
      <c r="C2489" s="3">
        <f ca="1">IFERROR(__xludf.DUMMYFUNCTION("""COMPUTED_VALUE"""),5902557382842)</f>
        <v>5902557382842</v>
      </c>
      <c r="D2489" s="4" t="str">
        <f ca="1">IFERROR(__xludf.DUMMYFUNCTION("""COMPUTED_VALUE"""),"KABINA HUGO DOUBLE 80x90")</f>
        <v>KABINA HUGO DOUBLE 80x90</v>
      </c>
      <c r="E2489" s="31">
        <v>461.14634146341467</v>
      </c>
      <c r="F2489" s="31">
        <f t="shared" si="38"/>
        <v>567.21</v>
      </c>
    </row>
    <row r="2490" spans="1:6" ht="18.75" customHeight="1" x14ac:dyDescent="0.25">
      <c r="A2490" s="2" t="str">
        <f ca="1">IFERROR(__xludf.DUMMYFUNCTION("""COMPUTED_VALUE"""),"KPL-45234")</f>
        <v>KPL-45234</v>
      </c>
      <c r="B2490" s="3">
        <f ca="1">IFERROR(__xludf.DUMMYFUNCTION("""COMPUTED_VALUE"""),51739)</f>
        <v>51739</v>
      </c>
      <c r="C2490" s="3">
        <f ca="1">IFERROR(__xludf.DUMMYFUNCTION("""COMPUTED_VALUE"""),5902557382866)</f>
        <v>5902557382866</v>
      </c>
      <c r="D2490" s="4" t="str">
        <f ca="1">IFERROR(__xludf.DUMMYFUNCTION("""COMPUTED_VALUE"""),"KABINA HUGO DOUBLE 90x100")</f>
        <v>KABINA HUGO DOUBLE 90x100</v>
      </c>
      <c r="E2490" s="31">
        <v>461.14634146341467</v>
      </c>
      <c r="F2490" s="31">
        <f t="shared" si="38"/>
        <v>567.21</v>
      </c>
    </row>
    <row r="2491" spans="1:6" ht="18.75" customHeight="1" x14ac:dyDescent="0.25">
      <c r="A2491" s="2" t="str">
        <f ca="1">IFERROR(__xludf.DUMMYFUNCTION("""COMPUTED_VALUE"""),"KPL-K8881")</f>
        <v>KPL-K8881</v>
      </c>
      <c r="B2491" s="3">
        <f ca="1">IFERROR(__xludf.DUMMYFUNCTION("""COMPUTED_VALUE"""),51378)</f>
        <v>51378</v>
      </c>
      <c r="C2491" s="3">
        <f ca="1">IFERROR(__xludf.DUMMYFUNCTION("""COMPUTED_VALUE"""),5902557396856)</f>
        <v>5902557396856</v>
      </c>
      <c r="D2491" s="4" t="str">
        <f ca="1">IFERROR(__xludf.DUMMYFUNCTION("""COMPUTED_VALUE"""),"KABINA SPACE IN BLACK 90X90 + BRODZIK SAVOY BLACK")</f>
        <v>KABINA SPACE IN BLACK 90X90 + BRODZIK SAVOY BLACK</v>
      </c>
      <c r="E2491" s="31">
        <v>417.82926829268297</v>
      </c>
      <c r="F2491" s="31">
        <f t="shared" si="38"/>
        <v>513.93000000000006</v>
      </c>
    </row>
    <row r="2492" spans="1:6" ht="18.75" customHeight="1" x14ac:dyDescent="0.25">
      <c r="A2492" s="2" t="str">
        <f ca="1">IFERROR(__xludf.DUMMYFUNCTION("""COMPUTED_VALUE"""),"KPL-K0881")</f>
        <v>KPL-K0881</v>
      </c>
      <c r="B2492" s="3">
        <f ca="1">IFERROR(__xludf.DUMMYFUNCTION("""COMPUTED_VALUE"""),51377)</f>
        <v>51377</v>
      </c>
      <c r="C2492" s="3">
        <f ca="1">IFERROR(__xludf.DUMMYFUNCTION("""COMPUTED_VALUE"""),5902557396863)</f>
        <v>5902557396863</v>
      </c>
      <c r="D2492" s="4" t="str">
        <f ca="1">IFERROR(__xludf.DUMMYFUNCTION("""COMPUTED_VALUE"""),"KABINA SPACE IN BLACK 90X90 + BRODZIK SAVOY WHITE")</f>
        <v>KABINA SPACE IN BLACK 90X90 + BRODZIK SAVOY WHITE</v>
      </c>
      <c r="E2492" s="31">
        <v>402.48780487804885</v>
      </c>
      <c r="F2492" s="31">
        <f t="shared" si="38"/>
        <v>495.06000000000006</v>
      </c>
    </row>
    <row r="2493" spans="1:6" ht="18.75" customHeight="1" x14ac:dyDescent="0.25">
      <c r="A2493" s="2" t="str">
        <f ca="1">IFERROR(__xludf.DUMMYFUNCTION("""COMPUTED_VALUE"""),"KPL-09139")</f>
        <v>KPL-09139</v>
      </c>
      <c r="B2493" s="3">
        <f ca="1">IFERROR(__xludf.DUMMYFUNCTION("""COMPUTED_VALUE"""),51021)</f>
        <v>51021</v>
      </c>
      <c r="C2493" s="3">
        <f ca="1">IFERROR(__xludf.DUMMYFUNCTION("""COMPUTED_VALUE"""),5902557396078)</f>
        <v>5902557396078</v>
      </c>
      <c r="D2493" s="4" t="str">
        <f ca="1">IFERROR(__xludf.DUMMYFUNCTION("""COMPUTED_VALUE"""),"ŚCIANKA PRYSZ AERO INTIMO GOLD BRUSH 90 PÓŁKA EVO")</f>
        <v>ŚCIANKA PRYSZ AERO INTIMO GOLD BRUSH 90 PÓŁKA EVO</v>
      </c>
      <c r="E2493" s="31">
        <v>310.43902439024396</v>
      </c>
      <c r="F2493" s="31">
        <f t="shared" si="38"/>
        <v>381.84000000000009</v>
      </c>
    </row>
    <row r="2494" spans="1:6" ht="18.75" customHeight="1" x14ac:dyDescent="0.25">
      <c r="A2494" s="2" t="str">
        <f ca="1">IFERROR(__xludf.DUMMYFUNCTION("""COMPUTED_VALUE"""),"KPL-09138")</f>
        <v>KPL-09138</v>
      </c>
      <c r="B2494" s="3">
        <f ca="1">IFERROR(__xludf.DUMMYFUNCTION("""COMPUTED_VALUE"""),51020)</f>
        <v>51020</v>
      </c>
      <c r="C2494" s="3">
        <f ca="1">IFERROR(__xludf.DUMMYFUNCTION("""COMPUTED_VALUE"""),5902557396061)</f>
        <v>5902557396061</v>
      </c>
      <c r="D2494" s="4" t="str">
        <f ca="1">IFERROR(__xludf.DUMMYFUNCTION("""COMPUTED_VALUE"""),"ŚCIANKA PRYSZ AERO INTIMO GOLD BRUSH 100 PÓŁKA EVO")</f>
        <v>ŚCIANKA PRYSZ AERO INTIMO GOLD BRUSH 100 PÓŁKA EVO</v>
      </c>
      <c r="E2494" s="31">
        <v>331.19512195121956</v>
      </c>
      <c r="F2494" s="31">
        <f t="shared" si="38"/>
        <v>407.37000000000006</v>
      </c>
    </row>
    <row r="2495" spans="1:6" ht="18.75" customHeight="1" x14ac:dyDescent="0.25">
      <c r="A2495" s="2" t="str">
        <f ca="1">IFERROR(__xludf.DUMMYFUNCTION("""COMPUTED_VALUE"""),"KPL-09137")</f>
        <v>KPL-09137</v>
      </c>
      <c r="B2495" s="3">
        <f ca="1">IFERROR(__xludf.DUMMYFUNCTION("""COMPUTED_VALUE"""),51019)</f>
        <v>51019</v>
      </c>
      <c r="C2495" s="3">
        <f ca="1">IFERROR(__xludf.DUMMYFUNCTION("""COMPUTED_VALUE"""),5902557396054)</f>
        <v>5902557396054</v>
      </c>
      <c r="D2495" s="4" t="str">
        <f ca="1">IFERROR(__xludf.DUMMYFUNCTION("""COMPUTED_VALUE"""),"ŚCIANKA PRYSZ AERO INTIMO GOLD BRUSH 120 PÓŁKA EVO")</f>
        <v>ŚCIANKA PRYSZ AERO INTIMO GOLD BRUSH 120 PÓŁKA EVO</v>
      </c>
      <c r="E2495" s="31">
        <v>351.95121951219517</v>
      </c>
      <c r="F2495" s="31">
        <f t="shared" si="38"/>
        <v>432.90000000000003</v>
      </c>
    </row>
    <row r="2496" spans="1:6" ht="18.75" customHeight="1" x14ac:dyDescent="0.25">
      <c r="A2496" s="2" t="str">
        <f ca="1">IFERROR(__xludf.DUMMYFUNCTION("""COMPUTED_VALUE"""),"KPL-09134")</f>
        <v>KPL-09134</v>
      </c>
      <c r="B2496" s="3">
        <f ca="1">IFERROR(__xludf.DUMMYFUNCTION("""COMPUTED_VALUE"""),51017)</f>
        <v>51017</v>
      </c>
      <c r="C2496" s="3">
        <f ca="1">IFERROR(__xludf.DUMMYFUNCTION("""COMPUTED_VALUE"""),5902557396030)</f>
        <v>5902557396030</v>
      </c>
      <c r="D2496" s="4" t="str">
        <f ca="1">IFERROR(__xludf.DUMMYFUNCTION("""COMPUTED_VALUE"""),"ŚCIANKA PRYSZNICOWA AERO GOLD BRUSH 100 +PÓŁKA EVO")</f>
        <v>ŚCIANKA PRYSZNICOWA AERO GOLD BRUSH 100 +PÓŁKA EVO</v>
      </c>
      <c r="E2496" s="31">
        <v>306.82926829268297</v>
      </c>
      <c r="F2496" s="31">
        <f t="shared" si="38"/>
        <v>377.40000000000003</v>
      </c>
    </row>
    <row r="2497" spans="1:6" ht="18.75" customHeight="1" x14ac:dyDescent="0.25">
      <c r="A2497" s="2" t="str">
        <f ca="1">IFERROR(__xludf.DUMMYFUNCTION("""COMPUTED_VALUE"""),"KPL-09133")</f>
        <v>KPL-09133</v>
      </c>
      <c r="B2497" s="3">
        <f ca="1">IFERROR(__xludf.DUMMYFUNCTION("""COMPUTED_VALUE"""),51016)</f>
        <v>51016</v>
      </c>
      <c r="C2497" s="3">
        <f ca="1">IFERROR(__xludf.DUMMYFUNCTION("""COMPUTED_VALUE"""),5902557396023)</f>
        <v>5902557396023</v>
      </c>
      <c r="D2497" s="4" t="str">
        <f ca="1">IFERROR(__xludf.DUMMYFUNCTION("""COMPUTED_VALUE"""),"ŚCIANKA PRYSZNICOWA AERO GOLD BRUSH 90 + PÓŁKA EVO")</f>
        <v>ŚCIANKA PRYSZNICOWA AERO GOLD BRUSH 90 + PÓŁKA EVO</v>
      </c>
      <c r="E2497" s="31">
        <v>301.41463414634148</v>
      </c>
      <c r="F2497" s="31">
        <f t="shared" ref="F2497:F2560" si="39">E2497*1.23</f>
        <v>370.74</v>
      </c>
    </row>
    <row r="2498" spans="1:6" ht="18.75" customHeight="1" x14ac:dyDescent="0.25">
      <c r="A2498" s="2" t="str">
        <f ca="1">IFERROR(__xludf.DUMMYFUNCTION("""COMPUTED_VALUE"""),"KPL-09136")</f>
        <v>KPL-09136</v>
      </c>
      <c r="B2498" s="3">
        <f ca="1">IFERROR(__xludf.DUMMYFUNCTION("""COMPUTED_VALUE"""),51015)</f>
        <v>51015</v>
      </c>
      <c r="C2498" s="3">
        <f ca="1">IFERROR(__xludf.DUMMYFUNCTION("""COMPUTED_VALUE"""),5902557396047)</f>
        <v>5902557396047</v>
      </c>
      <c r="D2498" s="4" t="str">
        <f ca="1">IFERROR(__xludf.DUMMYFUNCTION("""COMPUTED_VALUE"""),"ŚCIANKA PRYSZNICOWA AERO GOLD BRUSH 120 +PÓŁKA EVO")</f>
        <v>ŚCIANKA PRYSZNICOWA AERO GOLD BRUSH 120 +PÓŁKA EVO</v>
      </c>
      <c r="E2498" s="31">
        <v>326.6829268292683</v>
      </c>
      <c r="F2498" s="31">
        <f t="shared" si="39"/>
        <v>401.82</v>
      </c>
    </row>
    <row r="2499" spans="1:6" ht="18.75" customHeight="1" x14ac:dyDescent="0.25">
      <c r="A2499" s="2" t="str">
        <f ca="1">IFERROR(__xludf.DUMMYFUNCTION("""COMPUTED_VALUE"""),"KPL-09123")</f>
        <v>KPL-09123</v>
      </c>
      <c r="B2499" s="3">
        <f ca="1">IFERROR(__xludf.DUMMYFUNCTION("""COMPUTED_VALUE"""),50892)</f>
        <v>50892</v>
      </c>
      <c r="C2499" s="3">
        <f ca="1">IFERROR(__xludf.DUMMYFUNCTION("""COMPUTED_VALUE"""),5902557395484)</f>
        <v>5902557395484</v>
      </c>
      <c r="D2499" s="4" t="str">
        <f ca="1">IFERROR(__xludf.DUMMYFUNCTION("""COMPUTED_VALUE"""),"KABINA PRZYŚCIENNA RAPID SWING CHROM 100 x 100")</f>
        <v>KABINA PRZYŚCIENNA RAPID SWING CHROM 100 x 100</v>
      </c>
      <c r="E2499" s="31">
        <v>460.2439024390244</v>
      </c>
      <c r="F2499" s="31">
        <f t="shared" si="39"/>
        <v>566.1</v>
      </c>
    </row>
    <row r="2500" spans="1:6" ht="18.75" customHeight="1" x14ac:dyDescent="0.25">
      <c r="A2500" s="2" t="str">
        <f ca="1">IFERROR(__xludf.DUMMYFUNCTION("""COMPUTED_VALUE"""),"KPL-09122")</f>
        <v>KPL-09122</v>
      </c>
      <c r="B2500" s="3">
        <f ca="1">IFERROR(__xludf.DUMMYFUNCTION("""COMPUTED_VALUE"""),50891)</f>
        <v>50891</v>
      </c>
      <c r="C2500" s="3">
        <f ca="1">IFERROR(__xludf.DUMMYFUNCTION("""COMPUTED_VALUE"""),5902557395477)</f>
        <v>5902557395477</v>
      </c>
      <c r="D2500" s="4" t="str">
        <f ca="1">IFERROR(__xludf.DUMMYFUNCTION("""COMPUTED_VALUE"""),"KABINA PRZYŚCIENNA RAPID SWING CHROM 100 x 90")</f>
        <v>KABINA PRZYŚCIENNA RAPID SWING CHROM 100 x 90</v>
      </c>
      <c r="E2500" s="31">
        <v>456.63414634146346</v>
      </c>
      <c r="F2500" s="31">
        <f t="shared" si="39"/>
        <v>561.66000000000008</v>
      </c>
    </row>
    <row r="2501" spans="1:6" ht="18.75" customHeight="1" x14ac:dyDescent="0.25">
      <c r="A2501" s="2" t="str">
        <f ca="1">IFERROR(__xludf.DUMMYFUNCTION("""COMPUTED_VALUE"""),"KPL-09121")</f>
        <v>KPL-09121</v>
      </c>
      <c r="B2501" s="3">
        <f ca="1">IFERROR(__xludf.DUMMYFUNCTION("""COMPUTED_VALUE"""),50890)</f>
        <v>50890</v>
      </c>
      <c r="C2501" s="3">
        <f ca="1">IFERROR(__xludf.DUMMYFUNCTION("""COMPUTED_VALUE"""),5902557395460)</f>
        <v>5902557395460</v>
      </c>
      <c r="D2501" s="4" t="str">
        <f ca="1">IFERROR(__xludf.DUMMYFUNCTION("""COMPUTED_VALUE"""),"KABINA PRZYŚCIENNA RAPID SWING CHROM 100 x 80")</f>
        <v>KABINA PRZYŚCIENNA RAPID SWING CHROM 100 x 80</v>
      </c>
      <c r="E2501" s="31">
        <v>449.41463414634148</v>
      </c>
      <c r="F2501" s="31">
        <f t="shared" si="39"/>
        <v>552.78</v>
      </c>
    </row>
    <row r="2502" spans="1:6" ht="18.75" customHeight="1" x14ac:dyDescent="0.25">
      <c r="A2502" s="2" t="str">
        <f ca="1">IFERROR(__xludf.DUMMYFUNCTION("""COMPUTED_VALUE"""),"KPL-09120")</f>
        <v>KPL-09120</v>
      </c>
      <c r="B2502" s="3">
        <f ca="1">IFERROR(__xludf.DUMMYFUNCTION("""COMPUTED_VALUE"""),50889)</f>
        <v>50889</v>
      </c>
      <c r="C2502" s="3">
        <f ca="1">IFERROR(__xludf.DUMMYFUNCTION("""COMPUTED_VALUE"""),5902557395453)</f>
        <v>5902557395453</v>
      </c>
      <c r="D2502" s="4" t="str">
        <f ca="1">IFERROR(__xludf.DUMMYFUNCTION("""COMPUTED_VALUE"""),"KABINA PRZYŚCIENNA RAPID SWING CHROM 90 x 100")</f>
        <v>KABINA PRZYŚCIENNA RAPID SWING CHROM 90 x 100</v>
      </c>
      <c r="E2502" s="31">
        <v>447.60975609756099</v>
      </c>
      <c r="F2502" s="31">
        <f t="shared" si="39"/>
        <v>550.56000000000006</v>
      </c>
    </row>
    <row r="2503" spans="1:6" ht="18.75" customHeight="1" x14ac:dyDescent="0.25">
      <c r="A2503" s="2" t="str">
        <f ca="1">IFERROR(__xludf.DUMMYFUNCTION("""COMPUTED_VALUE"""),"KPL-09119")</f>
        <v>KPL-09119</v>
      </c>
      <c r="B2503" s="3">
        <f ca="1">IFERROR(__xludf.DUMMYFUNCTION("""COMPUTED_VALUE"""),50888)</f>
        <v>50888</v>
      </c>
      <c r="C2503" s="3">
        <f ca="1">IFERROR(__xludf.DUMMYFUNCTION("""COMPUTED_VALUE"""),5902557395446)</f>
        <v>5902557395446</v>
      </c>
      <c r="D2503" s="4" t="str">
        <f ca="1">IFERROR(__xludf.DUMMYFUNCTION("""COMPUTED_VALUE"""),"KABINA PRZYŚCIENNA RAPID SWING CHROM 90 x 90")</f>
        <v>KABINA PRZYŚCIENNA RAPID SWING CHROM 90 x 90</v>
      </c>
      <c r="E2503" s="31">
        <v>444.00000000000006</v>
      </c>
      <c r="F2503" s="31">
        <f t="shared" si="39"/>
        <v>546.12000000000012</v>
      </c>
    </row>
    <row r="2504" spans="1:6" ht="18.75" customHeight="1" x14ac:dyDescent="0.25">
      <c r="A2504" s="2" t="str">
        <f ca="1">IFERROR(__xludf.DUMMYFUNCTION("""COMPUTED_VALUE"""),"KPL-09118")</f>
        <v>KPL-09118</v>
      </c>
      <c r="B2504" s="3">
        <f ca="1">IFERROR(__xludf.DUMMYFUNCTION("""COMPUTED_VALUE"""),50887)</f>
        <v>50887</v>
      </c>
      <c r="C2504" s="3">
        <f ca="1">IFERROR(__xludf.DUMMYFUNCTION("""COMPUTED_VALUE"""),5902557395439)</f>
        <v>5902557395439</v>
      </c>
      <c r="D2504" s="4" t="str">
        <f ca="1">IFERROR(__xludf.DUMMYFUNCTION("""COMPUTED_VALUE"""),"KABINA PRZYŚCIENNA RAPID SWING CHROM 90 x 80")</f>
        <v>KABINA PRZYŚCIENNA RAPID SWING CHROM 90 x 80</v>
      </c>
      <c r="E2504" s="31">
        <v>436.78048780487808</v>
      </c>
      <c r="F2504" s="31">
        <f t="shared" si="39"/>
        <v>537.24</v>
      </c>
    </row>
    <row r="2505" spans="1:6" ht="18.75" customHeight="1" x14ac:dyDescent="0.25">
      <c r="A2505" s="2" t="str">
        <f ca="1">IFERROR(__xludf.DUMMYFUNCTION("""COMPUTED_VALUE"""),"KPL-09415")</f>
        <v>KPL-09415</v>
      </c>
      <c r="B2505" s="3">
        <f ca="1">IFERROR(__xludf.DUMMYFUNCTION("""COMPUTED_VALUE"""),50876)</f>
        <v>50876</v>
      </c>
      <c r="C2505" s="3">
        <f ca="1">IFERROR(__xludf.DUMMYFUNCTION("""COMPUTED_VALUE"""),5902557399444)</f>
        <v>5902557399444</v>
      </c>
      <c r="D2505" s="4" t="str">
        <f ca="1">IFERROR(__xludf.DUMMYFUNCTION("""COMPUTED_VALUE"""),"KABINA PRZYŚCIENNA RAPID SWING GOLD 100x100")</f>
        <v>KABINA PRZYŚCIENNA RAPID SWING GOLD 100x100</v>
      </c>
      <c r="E2505" s="31">
        <v>626.29268292682934</v>
      </c>
      <c r="F2505" s="31">
        <f t="shared" si="39"/>
        <v>770.34</v>
      </c>
    </row>
    <row r="2506" spans="1:6" ht="18.75" customHeight="1" x14ac:dyDescent="0.25">
      <c r="A2506" s="2" t="str">
        <f ca="1">IFERROR(__xludf.DUMMYFUNCTION("""COMPUTED_VALUE"""),"KPL-09414")</f>
        <v>KPL-09414</v>
      </c>
      <c r="B2506" s="3">
        <f ca="1">IFERROR(__xludf.DUMMYFUNCTION("""COMPUTED_VALUE"""),50875)</f>
        <v>50875</v>
      </c>
      <c r="C2506" s="3">
        <f ca="1">IFERROR(__xludf.DUMMYFUNCTION("""COMPUTED_VALUE"""),5902557399437)</f>
        <v>5902557399437</v>
      </c>
      <c r="D2506" s="4" t="str">
        <f ca="1">IFERROR(__xludf.DUMMYFUNCTION("""COMPUTED_VALUE"""),"KABINA PRZYŚCIENNA RAPID SWING GOLD 100x90")</f>
        <v>KABINA PRZYŚCIENNA RAPID SWING GOLD 100x90</v>
      </c>
      <c r="E2506" s="31">
        <v>599.21951219512209</v>
      </c>
      <c r="F2506" s="31">
        <f t="shared" si="39"/>
        <v>737.04000000000019</v>
      </c>
    </row>
    <row r="2507" spans="1:6" ht="18.75" customHeight="1" x14ac:dyDescent="0.25">
      <c r="A2507" s="2" t="str">
        <f ca="1">IFERROR(__xludf.DUMMYFUNCTION("""COMPUTED_VALUE"""),"KPL-09413")</f>
        <v>KPL-09413</v>
      </c>
      <c r="B2507" s="3">
        <f ca="1">IFERROR(__xludf.DUMMYFUNCTION("""COMPUTED_VALUE"""),50874)</f>
        <v>50874</v>
      </c>
      <c r="C2507" s="3">
        <f ca="1">IFERROR(__xludf.DUMMYFUNCTION("""COMPUTED_VALUE"""),5902557399420)</f>
        <v>5902557399420</v>
      </c>
      <c r="D2507" s="4" t="str">
        <f ca="1">IFERROR(__xludf.DUMMYFUNCTION("""COMPUTED_VALUE"""),"KABINA PRZYŚCIENNA RAPID SWING GOLD 100x80")</f>
        <v>KABINA PRZYŚCIENNA RAPID SWING GOLD 100x80</v>
      </c>
      <c r="E2507" s="31">
        <v>582.9756097560977</v>
      </c>
      <c r="F2507" s="31">
        <f t="shared" si="39"/>
        <v>717.06000000000017</v>
      </c>
    </row>
    <row r="2508" spans="1:6" ht="18.75" customHeight="1" x14ac:dyDescent="0.25">
      <c r="A2508" s="2" t="str">
        <f ca="1">IFERROR(__xludf.DUMMYFUNCTION("""COMPUTED_VALUE"""),"KPL-09412")</f>
        <v>KPL-09412</v>
      </c>
      <c r="B2508" s="3">
        <f ca="1">IFERROR(__xludf.DUMMYFUNCTION("""COMPUTED_VALUE"""),50873)</f>
        <v>50873</v>
      </c>
      <c r="C2508" s="3">
        <f ca="1">IFERROR(__xludf.DUMMYFUNCTION("""COMPUTED_VALUE"""),5902557399413)</f>
        <v>5902557399413</v>
      </c>
      <c r="D2508" s="4" t="str">
        <f ca="1">IFERROR(__xludf.DUMMYFUNCTION("""COMPUTED_VALUE"""),"KABINA PRZYŚCIENNA RAPID SWING GOLD 90x100")</f>
        <v>KABINA PRZYŚCIENNA RAPID SWING GOLD 90x100</v>
      </c>
      <c r="E2508" s="31">
        <v>619.97560975609758</v>
      </c>
      <c r="F2508" s="31">
        <f t="shared" si="39"/>
        <v>762.57</v>
      </c>
    </row>
    <row r="2509" spans="1:6" ht="18.75" customHeight="1" x14ac:dyDescent="0.25">
      <c r="A2509" s="2" t="str">
        <f ca="1">IFERROR(__xludf.DUMMYFUNCTION("""COMPUTED_VALUE"""),"KPL-09411")</f>
        <v>KPL-09411</v>
      </c>
      <c r="B2509" s="3">
        <f ca="1">IFERROR(__xludf.DUMMYFUNCTION("""COMPUTED_VALUE"""),50872)</f>
        <v>50872</v>
      </c>
      <c r="C2509" s="3">
        <f ca="1">IFERROR(__xludf.DUMMYFUNCTION("""COMPUTED_VALUE"""),5902557399406)</f>
        <v>5902557399406</v>
      </c>
      <c r="D2509" s="4" t="str">
        <f ca="1">IFERROR(__xludf.DUMMYFUNCTION("""COMPUTED_VALUE"""),"KABINA PRZYŚCIENNA RAPID SWING GOLD 90x90")</f>
        <v>KABINA PRZYŚCIENNA RAPID SWING GOLD 90x90</v>
      </c>
      <c r="E2509" s="31">
        <v>592.90243902439022</v>
      </c>
      <c r="F2509" s="31">
        <f t="shared" si="39"/>
        <v>729.27</v>
      </c>
    </row>
    <row r="2510" spans="1:6" ht="18.75" customHeight="1" x14ac:dyDescent="0.25">
      <c r="A2510" s="2" t="str">
        <f ca="1">IFERROR(__xludf.DUMMYFUNCTION("""COMPUTED_VALUE"""),"KPL-09410")</f>
        <v>KPL-09410</v>
      </c>
      <c r="B2510" s="3">
        <f ca="1">IFERROR(__xludf.DUMMYFUNCTION("""COMPUTED_VALUE"""),50871)</f>
        <v>50871</v>
      </c>
      <c r="C2510" s="3">
        <f ca="1">IFERROR(__xludf.DUMMYFUNCTION("""COMPUTED_VALUE"""),5902557399390)</f>
        <v>5902557399390</v>
      </c>
      <c r="D2510" s="4" t="str">
        <f ca="1">IFERROR(__xludf.DUMMYFUNCTION("""COMPUTED_VALUE"""),"KABINA PRZYŚCIENNA RAPID SWING GOLD 90x80")</f>
        <v>KABINA PRZYŚCIENNA RAPID SWING GOLD 90x80</v>
      </c>
      <c r="E2510" s="31">
        <v>576.65853658536594</v>
      </c>
      <c r="F2510" s="31">
        <f t="shared" si="39"/>
        <v>709.29000000000008</v>
      </c>
    </row>
    <row r="2511" spans="1:6" ht="18.75" customHeight="1" x14ac:dyDescent="0.25">
      <c r="A2511" s="2" t="str">
        <f ca="1">IFERROR(__xludf.DUMMYFUNCTION("""COMPUTED_VALUE"""),"KPL-09117")</f>
        <v>KPL-09117</v>
      </c>
      <c r="B2511" s="3">
        <f ca="1">IFERROR(__xludf.DUMMYFUNCTION("""COMPUTED_VALUE"""),50860)</f>
        <v>50860</v>
      </c>
      <c r="C2511" s="3">
        <f ca="1">IFERROR(__xludf.DUMMYFUNCTION("""COMPUTED_VALUE"""),5902557395422)</f>
        <v>5902557395422</v>
      </c>
      <c r="D2511" s="4" t="str">
        <f ca="1">IFERROR(__xludf.DUMMYFUNCTION("""COMPUTED_VALUE"""),"KABINA PRZYŚCIENNA RAPID SLIDE CHROM 150 x 100")</f>
        <v>KABINA PRZYŚCIENNA RAPID SLIDE CHROM 150 x 100</v>
      </c>
      <c r="E2511" s="31">
        <v>477.39024390243907</v>
      </c>
      <c r="F2511" s="31">
        <f t="shared" si="39"/>
        <v>587.19000000000005</v>
      </c>
    </row>
    <row r="2512" spans="1:6" ht="18.75" customHeight="1" x14ac:dyDescent="0.25">
      <c r="A2512" s="2" t="str">
        <f ca="1">IFERROR(__xludf.DUMMYFUNCTION("""COMPUTED_VALUE"""),"KPL-09116")</f>
        <v>KPL-09116</v>
      </c>
      <c r="B2512" s="3">
        <f ca="1">IFERROR(__xludf.DUMMYFUNCTION("""COMPUTED_VALUE"""),50859)</f>
        <v>50859</v>
      </c>
      <c r="C2512" s="3">
        <f ca="1">IFERROR(__xludf.DUMMYFUNCTION("""COMPUTED_VALUE"""),5902557395415)</f>
        <v>5902557395415</v>
      </c>
      <c r="D2512" s="4" t="str">
        <f ca="1">IFERROR(__xludf.DUMMYFUNCTION("""COMPUTED_VALUE"""),"KABINA PRZYŚCIENNA RAPID SLIDE CHROM 150 x 90")</f>
        <v>KABINA PRZYŚCIENNA RAPID SLIDE CHROM 150 x 90</v>
      </c>
      <c r="E2512" s="31">
        <v>473.78048780487808</v>
      </c>
      <c r="F2512" s="31">
        <f t="shared" si="39"/>
        <v>582.75</v>
      </c>
    </row>
    <row r="2513" spans="1:6" ht="18.75" customHeight="1" x14ac:dyDescent="0.25">
      <c r="A2513" s="2" t="str">
        <f ca="1">IFERROR(__xludf.DUMMYFUNCTION("""COMPUTED_VALUE"""),"KPL-09115")</f>
        <v>KPL-09115</v>
      </c>
      <c r="B2513" s="3">
        <f ca="1">IFERROR(__xludf.DUMMYFUNCTION("""COMPUTED_VALUE"""),50858)</f>
        <v>50858</v>
      </c>
      <c r="C2513" s="3">
        <f ca="1">IFERROR(__xludf.DUMMYFUNCTION("""COMPUTED_VALUE"""),5902557395408)</f>
        <v>5902557395408</v>
      </c>
      <c r="D2513" s="4" t="str">
        <f ca="1">IFERROR(__xludf.DUMMYFUNCTION("""COMPUTED_VALUE"""),"KABINA PRZYŚCIENNA RAPID SLIDE CHROM 150 x 80")</f>
        <v>KABINA PRZYŚCIENNA RAPID SLIDE CHROM 150 x 80</v>
      </c>
      <c r="E2513" s="31">
        <v>466.5609756097561</v>
      </c>
      <c r="F2513" s="31">
        <f t="shared" si="39"/>
        <v>573.87</v>
      </c>
    </row>
    <row r="2514" spans="1:6" ht="18.75" customHeight="1" x14ac:dyDescent="0.25">
      <c r="A2514" s="2" t="str">
        <f ca="1">IFERROR(__xludf.DUMMYFUNCTION("""COMPUTED_VALUE"""),"KPL-09114")</f>
        <v>KPL-09114</v>
      </c>
      <c r="B2514" s="3">
        <f ca="1">IFERROR(__xludf.DUMMYFUNCTION("""COMPUTED_VALUE"""),50857)</f>
        <v>50857</v>
      </c>
      <c r="C2514" s="3">
        <f ca="1">IFERROR(__xludf.DUMMYFUNCTION("""COMPUTED_VALUE"""),5902557395392)</f>
        <v>5902557395392</v>
      </c>
      <c r="D2514" s="4" t="str">
        <f ca="1">IFERROR(__xludf.DUMMYFUNCTION("""COMPUTED_VALUE"""),"KABINA PRZYŚCIENNA RAPID SLIDE CHROM 140 x 100")</f>
        <v>KABINA PRZYŚCIENNA RAPID SLIDE CHROM 140 x 100</v>
      </c>
      <c r="E2514" s="31">
        <v>467.46341463414637</v>
      </c>
      <c r="F2514" s="31">
        <f t="shared" si="39"/>
        <v>574.98</v>
      </c>
    </row>
    <row r="2515" spans="1:6" ht="18.75" customHeight="1" x14ac:dyDescent="0.25">
      <c r="A2515" s="2" t="str">
        <f ca="1">IFERROR(__xludf.DUMMYFUNCTION("""COMPUTED_VALUE"""),"KPL-09113")</f>
        <v>KPL-09113</v>
      </c>
      <c r="B2515" s="3">
        <f ca="1">IFERROR(__xludf.DUMMYFUNCTION("""COMPUTED_VALUE"""),50856)</f>
        <v>50856</v>
      </c>
      <c r="C2515" s="3">
        <f ca="1">IFERROR(__xludf.DUMMYFUNCTION("""COMPUTED_VALUE"""),5902557395385)</f>
        <v>5902557395385</v>
      </c>
      <c r="D2515" s="4" t="str">
        <f ca="1">IFERROR(__xludf.DUMMYFUNCTION("""COMPUTED_VALUE"""),"KABINA PRZYŚCIENNA RAPID SLIDE CHROM 140 x 90")</f>
        <v>KABINA PRZYŚCIENNA RAPID SLIDE CHROM 140 x 90</v>
      </c>
      <c r="E2515" s="31">
        <v>463.85365853658539</v>
      </c>
      <c r="F2515" s="31">
        <f t="shared" si="39"/>
        <v>570.54</v>
      </c>
    </row>
    <row r="2516" spans="1:6" ht="18.75" customHeight="1" x14ac:dyDescent="0.25">
      <c r="A2516" s="2" t="str">
        <f ca="1">IFERROR(__xludf.DUMMYFUNCTION("""COMPUTED_VALUE"""),"KPL-09112")</f>
        <v>KPL-09112</v>
      </c>
      <c r="B2516" s="3">
        <f ca="1">IFERROR(__xludf.DUMMYFUNCTION("""COMPUTED_VALUE"""),50855)</f>
        <v>50855</v>
      </c>
      <c r="C2516" s="3">
        <f ca="1">IFERROR(__xludf.DUMMYFUNCTION("""COMPUTED_VALUE"""),5902557395378)</f>
        <v>5902557395378</v>
      </c>
      <c r="D2516" s="4" t="str">
        <f ca="1">IFERROR(__xludf.DUMMYFUNCTION("""COMPUTED_VALUE"""),"KABINA PRZYŚCIENNA RAPID SLIDE CHROM 140 x 80")</f>
        <v>KABINA PRZYŚCIENNA RAPID SLIDE CHROM 140 x 80</v>
      </c>
      <c r="E2516" s="31">
        <v>456.63414634146346</v>
      </c>
      <c r="F2516" s="31">
        <f t="shared" si="39"/>
        <v>561.66000000000008</v>
      </c>
    </row>
    <row r="2517" spans="1:6" ht="18.75" customHeight="1" x14ac:dyDescent="0.25">
      <c r="A2517" s="2" t="str">
        <f ca="1">IFERROR(__xludf.DUMMYFUNCTION("""COMPUTED_VALUE"""),"KPL-09111")</f>
        <v>KPL-09111</v>
      </c>
      <c r="B2517" s="3">
        <f ca="1">IFERROR(__xludf.DUMMYFUNCTION("""COMPUTED_VALUE"""),50854)</f>
        <v>50854</v>
      </c>
      <c r="C2517" s="3">
        <f ca="1">IFERROR(__xludf.DUMMYFUNCTION("""COMPUTED_VALUE"""),5902557395361)</f>
        <v>5902557395361</v>
      </c>
      <c r="D2517" s="4" t="str">
        <f ca="1">IFERROR(__xludf.DUMMYFUNCTION("""COMPUTED_VALUE"""),"KABINA PRZYŚCIENNA RAPID SLIDE CHROM 130 x 100")</f>
        <v>KABINA PRZYŚCIENNA RAPID SLIDE CHROM 130 x 100</v>
      </c>
      <c r="E2517" s="31">
        <v>459.34146341463418</v>
      </c>
      <c r="F2517" s="31">
        <f t="shared" si="39"/>
        <v>564.99</v>
      </c>
    </row>
    <row r="2518" spans="1:6" ht="18.75" customHeight="1" x14ac:dyDescent="0.25">
      <c r="A2518" s="2" t="str">
        <f ca="1">IFERROR(__xludf.DUMMYFUNCTION("""COMPUTED_VALUE"""),"KPL-09110")</f>
        <v>KPL-09110</v>
      </c>
      <c r="B2518" s="3">
        <f ca="1">IFERROR(__xludf.DUMMYFUNCTION("""COMPUTED_VALUE"""),50853)</f>
        <v>50853</v>
      </c>
      <c r="C2518" s="3">
        <f ca="1">IFERROR(__xludf.DUMMYFUNCTION("""COMPUTED_VALUE"""),5902557395354)</f>
        <v>5902557395354</v>
      </c>
      <c r="D2518" s="4" t="str">
        <f ca="1">IFERROR(__xludf.DUMMYFUNCTION("""COMPUTED_VALUE"""),"KABINA PRZYŚCIENNA RAPID SLIDE CHROM 130 x 90")</f>
        <v>KABINA PRZYŚCIENNA RAPID SLIDE CHROM 130 x 90</v>
      </c>
      <c r="E2518" s="31">
        <v>455.73170731707319</v>
      </c>
      <c r="F2518" s="31">
        <f t="shared" si="39"/>
        <v>560.55000000000007</v>
      </c>
    </row>
    <row r="2519" spans="1:6" ht="18.75" customHeight="1" x14ac:dyDescent="0.25">
      <c r="A2519" s="2" t="str">
        <f ca="1">IFERROR(__xludf.DUMMYFUNCTION("""COMPUTED_VALUE"""),"KPL-09109")</f>
        <v>KPL-09109</v>
      </c>
      <c r="B2519" s="3">
        <f ca="1">IFERROR(__xludf.DUMMYFUNCTION("""COMPUTED_VALUE"""),50852)</f>
        <v>50852</v>
      </c>
      <c r="C2519" s="3">
        <f ca="1">IFERROR(__xludf.DUMMYFUNCTION("""COMPUTED_VALUE"""),5902557395347)</f>
        <v>5902557395347</v>
      </c>
      <c r="D2519" s="4" t="str">
        <f ca="1">IFERROR(__xludf.DUMMYFUNCTION("""COMPUTED_VALUE"""),"KABINA PRZYŚCIENNA RAPID SLIDE CHROM 130 x 80")</f>
        <v>KABINA PRZYŚCIENNA RAPID SLIDE CHROM 130 x 80</v>
      </c>
      <c r="E2519" s="31">
        <v>448.51219512195127</v>
      </c>
      <c r="F2519" s="31">
        <f t="shared" si="39"/>
        <v>551.67000000000007</v>
      </c>
    </row>
    <row r="2520" spans="1:6" ht="18.75" customHeight="1" x14ac:dyDescent="0.25">
      <c r="A2520" s="2" t="str">
        <f ca="1">IFERROR(__xludf.DUMMYFUNCTION("""COMPUTED_VALUE"""),"KPL-09108")</f>
        <v>KPL-09108</v>
      </c>
      <c r="B2520" s="3">
        <f ca="1">IFERROR(__xludf.DUMMYFUNCTION("""COMPUTED_VALUE"""),50851)</f>
        <v>50851</v>
      </c>
      <c r="C2520" s="3">
        <f ca="1">IFERROR(__xludf.DUMMYFUNCTION("""COMPUTED_VALUE"""),5902557395330)</f>
        <v>5902557395330</v>
      </c>
      <c r="D2520" s="4" t="str">
        <f ca="1">IFERROR(__xludf.DUMMYFUNCTION("""COMPUTED_VALUE"""),"KABINA PRZYŚCIENNA RAPID SLIDE CHROM 120 x 100")</f>
        <v>KABINA PRZYŚCIENNA RAPID SLIDE CHROM 120 x 100</v>
      </c>
      <c r="E2520" s="31">
        <v>455.73170731707319</v>
      </c>
      <c r="F2520" s="31">
        <f t="shared" si="39"/>
        <v>560.55000000000007</v>
      </c>
    </row>
    <row r="2521" spans="1:6" ht="18.75" customHeight="1" x14ac:dyDescent="0.25">
      <c r="A2521" s="2" t="str">
        <f ca="1">IFERROR(__xludf.DUMMYFUNCTION("""COMPUTED_VALUE"""),"KPL-09107")</f>
        <v>KPL-09107</v>
      </c>
      <c r="B2521" s="3">
        <f ca="1">IFERROR(__xludf.DUMMYFUNCTION("""COMPUTED_VALUE"""),50850)</f>
        <v>50850</v>
      </c>
      <c r="C2521" s="3">
        <f ca="1">IFERROR(__xludf.DUMMYFUNCTION("""COMPUTED_VALUE"""),5902557395323)</f>
        <v>5902557395323</v>
      </c>
      <c r="D2521" s="4" t="str">
        <f ca="1">IFERROR(__xludf.DUMMYFUNCTION("""COMPUTED_VALUE"""),"KABINA PRZYŚCIENNA RAPID SLIDE CHROM 120 x 90")</f>
        <v>KABINA PRZYŚCIENNA RAPID SLIDE CHROM 120 x 90</v>
      </c>
      <c r="E2521" s="31">
        <v>452.12195121951225</v>
      </c>
      <c r="F2521" s="31">
        <f t="shared" si="39"/>
        <v>556.11</v>
      </c>
    </row>
    <row r="2522" spans="1:6" ht="18.75" customHeight="1" x14ac:dyDescent="0.25">
      <c r="A2522" s="2" t="str">
        <f ca="1">IFERROR(__xludf.DUMMYFUNCTION("""COMPUTED_VALUE"""),"KPL-09106")</f>
        <v>KPL-09106</v>
      </c>
      <c r="B2522" s="3">
        <f ca="1">IFERROR(__xludf.DUMMYFUNCTION("""COMPUTED_VALUE"""),50849)</f>
        <v>50849</v>
      </c>
      <c r="C2522" s="3">
        <f ca="1">IFERROR(__xludf.DUMMYFUNCTION("""COMPUTED_VALUE"""),5902557395316)</f>
        <v>5902557395316</v>
      </c>
      <c r="D2522" s="4" t="str">
        <f ca="1">IFERROR(__xludf.DUMMYFUNCTION("""COMPUTED_VALUE"""),"KABINA PRZYŚCIENNA RAPID SLIDE CHROM 120 x 80")</f>
        <v>KABINA PRZYŚCIENNA RAPID SLIDE CHROM 120 x 80</v>
      </c>
      <c r="E2522" s="31">
        <v>444.90243902439028</v>
      </c>
      <c r="F2522" s="31">
        <f t="shared" si="39"/>
        <v>547.23</v>
      </c>
    </row>
    <row r="2523" spans="1:6" ht="18.75" customHeight="1" x14ac:dyDescent="0.25">
      <c r="A2523" s="2" t="str">
        <f ca="1">IFERROR(__xludf.DUMMYFUNCTION("""COMPUTED_VALUE"""),"KPL-09105")</f>
        <v>KPL-09105</v>
      </c>
      <c r="B2523" s="3">
        <f ca="1">IFERROR(__xludf.DUMMYFUNCTION("""COMPUTED_VALUE"""),50848)</f>
        <v>50848</v>
      </c>
      <c r="C2523" s="3">
        <f ca="1">IFERROR(__xludf.DUMMYFUNCTION("""COMPUTED_VALUE"""),5902557395309)</f>
        <v>5902557395309</v>
      </c>
      <c r="D2523" s="4" t="str">
        <f ca="1">IFERROR(__xludf.DUMMYFUNCTION("""COMPUTED_VALUE"""),"KABINA PRZYŚCIENNA RAPID SLIDE CHROM 110 x 100")</f>
        <v>KABINA PRZYŚCIENNA RAPID SLIDE CHROM 110 x 100</v>
      </c>
      <c r="E2523" s="31">
        <v>450.31707317073176</v>
      </c>
      <c r="F2523" s="31">
        <f t="shared" si="39"/>
        <v>553.8900000000001</v>
      </c>
    </row>
    <row r="2524" spans="1:6" ht="18.75" customHeight="1" x14ac:dyDescent="0.25">
      <c r="A2524" s="2" t="str">
        <f ca="1">IFERROR(__xludf.DUMMYFUNCTION("""COMPUTED_VALUE"""),"KPL-09104")</f>
        <v>KPL-09104</v>
      </c>
      <c r="B2524" s="3">
        <f ca="1">IFERROR(__xludf.DUMMYFUNCTION("""COMPUTED_VALUE"""),50847)</f>
        <v>50847</v>
      </c>
      <c r="C2524" s="3">
        <f ca="1">IFERROR(__xludf.DUMMYFUNCTION("""COMPUTED_VALUE"""),5902557395293)</f>
        <v>5902557395293</v>
      </c>
      <c r="D2524" s="4" t="str">
        <f ca="1">IFERROR(__xludf.DUMMYFUNCTION("""COMPUTED_VALUE"""),"KABINA PRZYŚCIENNA RAPID SLIDE CHROM 110 x 90")</f>
        <v>KABINA PRZYŚCIENNA RAPID SLIDE CHROM 110 x 90</v>
      </c>
      <c r="E2524" s="31">
        <v>446.70731707317077</v>
      </c>
      <c r="F2524" s="31">
        <f t="shared" si="39"/>
        <v>549.45000000000005</v>
      </c>
    </row>
    <row r="2525" spans="1:6" ht="18.75" customHeight="1" x14ac:dyDescent="0.25">
      <c r="A2525" s="2" t="str">
        <f ca="1">IFERROR(__xludf.DUMMYFUNCTION("""COMPUTED_VALUE"""),"KPL-09103")</f>
        <v>KPL-09103</v>
      </c>
      <c r="B2525" s="3">
        <f ca="1">IFERROR(__xludf.DUMMYFUNCTION("""COMPUTED_VALUE"""),50846)</f>
        <v>50846</v>
      </c>
      <c r="C2525" s="3">
        <f ca="1">IFERROR(__xludf.DUMMYFUNCTION("""COMPUTED_VALUE"""),5902557395286)</f>
        <v>5902557395286</v>
      </c>
      <c r="D2525" s="4" t="str">
        <f ca="1">IFERROR(__xludf.DUMMYFUNCTION("""COMPUTED_VALUE"""),"KABINA PRZYŚCIENNA RAPID SLIDE CHROM 110 x 80")</f>
        <v>KABINA PRZYŚCIENNA RAPID SLIDE CHROM 110 x 80</v>
      </c>
      <c r="E2525" s="31">
        <v>439.48780487804885</v>
      </c>
      <c r="F2525" s="31">
        <f t="shared" si="39"/>
        <v>540.57000000000005</v>
      </c>
    </row>
    <row r="2526" spans="1:6" ht="18.75" customHeight="1" x14ac:dyDescent="0.25">
      <c r="A2526" s="2" t="str">
        <f ca="1">IFERROR(__xludf.DUMMYFUNCTION("""COMPUTED_VALUE"""),"KPL-09102")</f>
        <v>KPL-09102</v>
      </c>
      <c r="B2526" s="3">
        <f ca="1">IFERROR(__xludf.DUMMYFUNCTION("""COMPUTED_VALUE"""),50845)</f>
        <v>50845</v>
      </c>
      <c r="C2526" s="3">
        <f ca="1">IFERROR(__xludf.DUMMYFUNCTION("""COMPUTED_VALUE"""),5902557395262)</f>
        <v>5902557395262</v>
      </c>
      <c r="D2526" s="4" t="str">
        <f ca="1">IFERROR(__xludf.DUMMYFUNCTION("""COMPUTED_VALUE"""),"KABINA PRZYŚCIENNA RAPID SLIDE CHROM 100 x 100")</f>
        <v>KABINA PRZYŚCIENNA RAPID SLIDE CHROM 100 x 100</v>
      </c>
      <c r="E2526" s="31">
        <v>443.09756097560978</v>
      </c>
      <c r="F2526" s="31">
        <f t="shared" si="39"/>
        <v>545.01</v>
      </c>
    </row>
    <row r="2527" spans="1:6" ht="18.75" customHeight="1" x14ac:dyDescent="0.25">
      <c r="A2527" s="2" t="str">
        <f ca="1">IFERROR(__xludf.DUMMYFUNCTION("""COMPUTED_VALUE"""),"KPL-09101")</f>
        <v>KPL-09101</v>
      </c>
      <c r="B2527" s="3">
        <f ca="1">IFERROR(__xludf.DUMMYFUNCTION("""COMPUTED_VALUE"""),50844)</f>
        <v>50844</v>
      </c>
      <c r="C2527" s="3">
        <f ca="1">IFERROR(__xludf.DUMMYFUNCTION("""COMPUTED_VALUE"""),5902557395255)</f>
        <v>5902557395255</v>
      </c>
      <c r="D2527" s="4" t="str">
        <f ca="1">IFERROR(__xludf.DUMMYFUNCTION("""COMPUTED_VALUE"""),"KABINA PRZYŚCIENNA RAPID SLIDE CHROM 100 x 90")</f>
        <v>KABINA PRZYŚCIENNA RAPID SLIDE CHROM 100 x 90</v>
      </c>
      <c r="E2527" s="31">
        <v>439.48780487804885</v>
      </c>
      <c r="F2527" s="31">
        <f t="shared" si="39"/>
        <v>540.57000000000005</v>
      </c>
    </row>
    <row r="2528" spans="1:6" ht="18.75" customHeight="1" x14ac:dyDescent="0.25">
      <c r="A2528" s="2" t="str">
        <f ca="1">IFERROR(__xludf.DUMMYFUNCTION("""COMPUTED_VALUE"""),"KPL-09100")</f>
        <v>KPL-09100</v>
      </c>
      <c r="B2528" s="3">
        <f ca="1">IFERROR(__xludf.DUMMYFUNCTION("""COMPUTED_VALUE"""),50843)</f>
        <v>50843</v>
      </c>
      <c r="C2528" s="3">
        <f ca="1">IFERROR(__xludf.DUMMYFUNCTION("""COMPUTED_VALUE"""),5902557395248)</f>
        <v>5902557395248</v>
      </c>
      <c r="D2528" s="4" t="str">
        <f ca="1">IFERROR(__xludf.DUMMYFUNCTION("""COMPUTED_VALUE"""),"KABINA PRZYŚCIENNA RAPID SLIDE CHROM 100 x 80")</f>
        <v>KABINA PRZYŚCIENNA RAPID SLIDE CHROM 100 x 80</v>
      </c>
      <c r="E2528" s="31">
        <v>432.26829268292687</v>
      </c>
      <c r="F2528" s="31">
        <f t="shared" si="39"/>
        <v>531.69000000000005</v>
      </c>
    </row>
    <row r="2529" spans="1:6" ht="18.75" customHeight="1" x14ac:dyDescent="0.25">
      <c r="A2529" s="2" t="str">
        <f ca="1">IFERROR(__xludf.DUMMYFUNCTION("""COMPUTED_VALUE"""),"KPL-09433")</f>
        <v>KPL-09433</v>
      </c>
      <c r="B2529" s="3">
        <f ca="1">IFERROR(__xludf.DUMMYFUNCTION("""COMPUTED_VALUE"""),50838)</f>
        <v>50838</v>
      </c>
      <c r="C2529" s="3">
        <f ca="1">IFERROR(__xludf.DUMMYFUNCTION("""COMPUTED_VALUE"""),5902557399659)</f>
        <v>5902557399659</v>
      </c>
      <c r="D2529" s="4" t="str">
        <f ca="1">IFERROR(__xludf.DUMMYFUNCTION("""COMPUTED_VALUE"""),"KABINA PRZYŚCIENNA RAPID SLIDE GOLD 150x100")</f>
        <v>KABINA PRZYŚCIENNA RAPID SLIDE GOLD 150x100</v>
      </c>
      <c r="E2529" s="31">
        <v>650.65853658536594</v>
      </c>
      <c r="F2529" s="31">
        <f t="shared" si="39"/>
        <v>800.31000000000006</v>
      </c>
    </row>
    <row r="2530" spans="1:6" ht="18.75" customHeight="1" x14ac:dyDescent="0.25">
      <c r="A2530" s="2" t="str">
        <f ca="1">IFERROR(__xludf.DUMMYFUNCTION("""COMPUTED_VALUE"""),"KPL-09432")</f>
        <v>KPL-09432</v>
      </c>
      <c r="B2530" s="3">
        <f ca="1">IFERROR(__xludf.DUMMYFUNCTION("""COMPUTED_VALUE"""),50837)</f>
        <v>50837</v>
      </c>
      <c r="C2530" s="3">
        <f ca="1">IFERROR(__xludf.DUMMYFUNCTION("""COMPUTED_VALUE"""),5902557399642)</f>
        <v>5902557399642</v>
      </c>
      <c r="D2530" s="4" t="str">
        <f ca="1">IFERROR(__xludf.DUMMYFUNCTION("""COMPUTED_VALUE"""),"KABINA PRZYŚCIENNA RAPID SLIDE GOLD 150x90")</f>
        <v>KABINA PRZYŚCIENNA RAPID SLIDE GOLD 150x90</v>
      </c>
      <c r="E2530" s="31">
        <v>623.58536585365857</v>
      </c>
      <c r="F2530" s="31">
        <f t="shared" si="39"/>
        <v>767.01</v>
      </c>
    </row>
    <row r="2531" spans="1:6" ht="18.75" customHeight="1" x14ac:dyDescent="0.25">
      <c r="A2531" s="2" t="str">
        <f ca="1">IFERROR(__xludf.DUMMYFUNCTION("""COMPUTED_VALUE"""),"KPL-09431")</f>
        <v>KPL-09431</v>
      </c>
      <c r="B2531" s="3">
        <f ca="1">IFERROR(__xludf.DUMMYFUNCTION("""COMPUTED_VALUE"""),50836)</f>
        <v>50836</v>
      </c>
      <c r="C2531" s="3">
        <f ca="1">IFERROR(__xludf.DUMMYFUNCTION("""COMPUTED_VALUE"""),5902557399635)</f>
        <v>5902557399635</v>
      </c>
      <c r="D2531" s="4" t="str">
        <f ca="1">IFERROR(__xludf.DUMMYFUNCTION("""COMPUTED_VALUE"""),"KABINA PRZYŚCIENNA RAPID SLIDE GOLD 150x80")</f>
        <v>KABINA PRZYŚCIENNA RAPID SLIDE GOLD 150x80</v>
      </c>
      <c r="E2531" s="31">
        <v>607.34146341463418</v>
      </c>
      <c r="F2531" s="31">
        <f t="shared" si="39"/>
        <v>747.03</v>
      </c>
    </row>
    <row r="2532" spans="1:6" ht="18.75" customHeight="1" x14ac:dyDescent="0.25">
      <c r="A2532" s="2" t="str">
        <f ca="1">IFERROR(__xludf.DUMMYFUNCTION("""COMPUTED_VALUE"""),"KPL-09430")</f>
        <v>KPL-09430</v>
      </c>
      <c r="B2532" s="3">
        <f ca="1">IFERROR(__xludf.DUMMYFUNCTION("""COMPUTED_VALUE"""),50835)</f>
        <v>50835</v>
      </c>
      <c r="C2532" s="3">
        <f ca="1">IFERROR(__xludf.DUMMYFUNCTION("""COMPUTED_VALUE"""),5902557399628)</f>
        <v>5902557399628</v>
      </c>
      <c r="D2532" s="4" t="str">
        <f ca="1">IFERROR(__xludf.DUMMYFUNCTION("""COMPUTED_VALUE"""),"KABINA PRZYŚCIENNA RAPID SLIDE GOLD 140x100")</f>
        <v>KABINA PRZYŚCIENNA RAPID SLIDE GOLD 140x100</v>
      </c>
      <c r="E2532" s="31">
        <v>642.53658536585374</v>
      </c>
      <c r="F2532" s="31">
        <f t="shared" si="39"/>
        <v>790.32</v>
      </c>
    </row>
    <row r="2533" spans="1:6" ht="18.75" customHeight="1" x14ac:dyDescent="0.25">
      <c r="A2533" s="2" t="str">
        <f ca="1">IFERROR(__xludf.DUMMYFUNCTION("""COMPUTED_VALUE"""),"KPL-09429")</f>
        <v>KPL-09429</v>
      </c>
      <c r="B2533" s="3">
        <f ca="1">IFERROR(__xludf.DUMMYFUNCTION("""COMPUTED_VALUE"""),50834)</f>
        <v>50834</v>
      </c>
      <c r="C2533" s="3">
        <f ca="1">IFERROR(__xludf.DUMMYFUNCTION("""COMPUTED_VALUE"""),5902557399611)</f>
        <v>5902557399611</v>
      </c>
      <c r="D2533" s="4" t="str">
        <f ca="1">IFERROR(__xludf.DUMMYFUNCTION("""COMPUTED_VALUE"""),"KABINA PRZYŚCIENNA RAPID SLIDE GOLD 140x90")</f>
        <v>KABINA PRZYŚCIENNA RAPID SLIDE GOLD 140x90</v>
      </c>
      <c r="E2533" s="31">
        <v>615.46341463414637</v>
      </c>
      <c r="F2533" s="31">
        <f t="shared" si="39"/>
        <v>757.02</v>
      </c>
    </row>
    <row r="2534" spans="1:6" ht="18.75" customHeight="1" x14ac:dyDescent="0.25">
      <c r="A2534" s="2" t="str">
        <f ca="1">IFERROR(__xludf.DUMMYFUNCTION("""COMPUTED_VALUE"""),"KPL-09428")</f>
        <v>KPL-09428</v>
      </c>
      <c r="B2534" s="3">
        <f ca="1">IFERROR(__xludf.DUMMYFUNCTION("""COMPUTED_VALUE"""),50833)</f>
        <v>50833</v>
      </c>
      <c r="C2534" s="3">
        <f ca="1">IFERROR(__xludf.DUMMYFUNCTION("""COMPUTED_VALUE"""),5902557399604)</f>
        <v>5902557399604</v>
      </c>
      <c r="D2534" s="4" t="str">
        <f ca="1">IFERROR(__xludf.DUMMYFUNCTION("""COMPUTED_VALUE"""),"KABINA PRZYŚCIENNA RAPID SLIDE GOLD 140x80")</f>
        <v>KABINA PRZYŚCIENNA RAPID SLIDE GOLD 140x80</v>
      </c>
      <c r="E2534" s="31">
        <v>599.21951219512209</v>
      </c>
      <c r="F2534" s="31">
        <f t="shared" si="39"/>
        <v>737.04000000000019</v>
      </c>
    </row>
    <row r="2535" spans="1:6" ht="18.75" customHeight="1" x14ac:dyDescent="0.25">
      <c r="A2535" s="2" t="str">
        <f ca="1">IFERROR(__xludf.DUMMYFUNCTION("""COMPUTED_VALUE"""),"KPL-09427")</f>
        <v>KPL-09427</v>
      </c>
      <c r="B2535" s="3">
        <f ca="1">IFERROR(__xludf.DUMMYFUNCTION("""COMPUTED_VALUE"""),50832)</f>
        <v>50832</v>
      </c>
      <c r="C2535" s="3">
        <f ca="1">IFERROR(__xludf.DUMMYFUNCTION("""COMPUTED_VALUE"""),5902557399598)</f>
        <v>5902557399598</v>
      </c>
      <c r="D2535" s="4" t="str">
        <f ca="1">IFERROR(__xludf.DUMMYFUNCTION("""COMPUTED_VALUE"""),"KABINA PRZYŚCIENNA RAPID SLIDE GOLD 130x100")</f>
        <v>KABINA PRZYŚCIENNA RAPID SLIDE GOLD 130x100</v>
      </c>
      <c r="E2535" s="31">
        <v>597.41463414634154</v>
      </c>
      <c r="F2535" s="31">
        <f t="shared" si="39"/>
        <v>734.82</v>
      </c>
    </row>
    <row r="2536" spans="1:6" ht="18.75" customHeight="1" x14ac:dyDescent="0.25">
      <c r="A2536" s="2" t="str">
        <f ca="1">IFERROR(__xludf.DUMMYFUNCTION("""COMPUTED_VALUE"""),"KPL-09426")</f>
        <v>KPL-09426</v>
      </c>
      <c r="B2536" s="3">
        <f ca="1">IFERROR(__xludf.DUMMYFUNCTION("""COMPUTED_VALUE"""),50831)</f>
        <v>50831</v>
      </c>
      <c r="C2536" s="3">
        <f ca="1">IFERROR(__xludf.DUMMYFUNCTION("""COMPUTED_VALUE"""),5902557399581)</f>
        <v>5902557399581</v>
      </c>
      <c r="D2536" s="4" t="str">
        <f ca="1">IFERROR(__xludf.DUMMYFUNCTION("""COMPUTED_VALUE"""),"KABINA PRZYŚCIENNA RAPID SLIDE GOLD 130x90")</f>
        <v>KABINA PRZYŚCIENNA RAPID SLIDE GOLD 130x90</v>
      </c>
      <c r="E2536" s="31">
        <v>570.34146341463429</v>
      </c>
      <c r="F2536" s="31">
        <f t="shared" si="39"/>
        <v>701.52000000000021</v>
      </c>
    </row>
    <row r="2537" spans="1:6" ht="18.75" customHeight="1" x14ac:dyDescent="0.25">
      <c r="A2537" s="2" t="str">
        <f ca="1">IFERROR(__xludf.DUMMYFUNCTION("""COMPUTED_VALUE"""),"KPL-09425")</f>
        <v>KPL-09425</v>
      </c>
      <c r="B2537" s="3">
        <f ca="1">IFERROR(__xludf.DUMMYFUNCTION("""COMPUTED_VALUE"""),50830)</f>
        <v>50830</v>
      </c>
      <c r="C2537" s="3">
        <f ca="1">IFERROR(__xludf.DUMMYFUNCTION("""COMPUTED_VALUE"""),5902557399574)</f>
        <v>5902557399574</v>
      </c>
      <c r="D2537" s="4" t="str">
        <f ca="1">IFERROR(__xludf.DUMMYFUNCTION("""COMPUTED_VALUE"""),"KABINA PRZYŚCIENNA RAPID SLIDE GOLD 130x80")</f>
        <v>KABINA PRZYŚCIENNA RAPID SLIDE GOLD 130x80</v>
      </c>
      <c r="E2537" s="31">
        <v>554.09756097560978</v>
      </c>
      <c r="F2537" s="31">
        <f t="shared" si="39"/>
        <v>681.54000000000008</v>
      </c>
    </row>
    <row r="2538" spans="1:6" ht="18.75" customHeight="1" x14ac:dyDescent="0.25">
      <c r="A2538" s="2" t="str">
        <f ca="1">IFERROR(__xludf.DUMMYFUNCTION("""COMPUTED_VALUE"""),"KPL-09424")</f>
        <v>KPL-09424</v>
      </c>
      <c r="B2538" s="3">
        <f ca="1">IFERROR(__xludf.DUMMYFUNCTION("""COMPUTED_VALUE"""),50829)</f>
        <v>50829</v>
      </c>
      <c r="C2538" s="3">
        <f ca="1">IFERROR(__xludf.DUMMYFUNCTION("""COMPUTED_VALUE"""),5902557399567)</f>
        <v>5902557399567</v>
      </c>
      <c r="D2538" s="4" t="str">
        <f ca="1">IFERROR(__xludf.DUMMYFUNCTION("""COMPUTED_VALUE"""),"KABINA PRZYŚCIENNA RAPID SLIDE GOLD 120x100")</f>
        <v>KABINA PRZYŚCIENNA RAPID SLIDE GOLD 120x100</v>
      </c>
      <c r="E2538" s="31">
        <v>629.90243902439033</v>
      </c>
      <c r="F2538" s="31">
        <f t="shared" si="39"/>
        <v>774.78000000000009</v>
      </c>
    </row>
    <row r="2539" spans="1:6" ht="18.75" customHeight="1" x14ac:dyDescent="0.25">
      <c r="A2539" s="2" t="str">
        <f ca="1">IFERROR(__xludf.DUMMYFUNCTION("""COMPUTED_VALUE"""),"KPL-09423")</f>
        <v>KPL-09423</v>
      </c>
      <c r="B2539" s="3">
        <f ca="1">IFERROR(__xludf.DUMMYFUNCTION("""COMPUTED_VALUE"""),50828)</f>
        <v>50828</v>
      </c>
      <c r="C2539" s="3">
        <f ca="1">IFERROR(__xludf.DUMMYFUNCTION("""COMPUTED_VALUE"""),5902557399550)</f>
        <v>5902557399550</v>
      </c>
      <c r="D2539" s="4" t="str">
        <f ca="1">IFERROR(__xludf.DUMMYFUNCTION("""COMPUTED_VALUE"""),"KABINA PRZYŚCIENNA RAPID SLIDE GOLD 120x90")</f>
        <v>KABINA PRZYŚCIENNA RAPID SLIDE GOLD 120x90</v>
      </c>
      <c r="E2539" s="31">
        <v>602.82926829268297</v>
      </c>
      <c r="F2539" s="31">
        <f t="shared" si="39"/>
        <v>741.48</v>
      </c>
    </row>
    <row r="2540" spans="1:6" ht="18.75" customHeight="1" x14ac:dyDescent="0.25">
      <c r="A2540" s="2" t="str">
        <f ca="1">IFERROR(__xludf.DUMMYFUNCTION("""COMPUTED_VALUE"""),"KPL-09422")</f>
        <v>KPL-09422</v>
      </c>
      <c r="B2540" s="3">
        <f ca="1">IFERROR(__xludf.DUMMYFUNCTION("""COMPUTED_VALUE"""),50827)</f>
        <v>50827</v>
      </c>
      <c r="C2540" s="3">
        <f ca="1">IFERROR(__xludf.DUMMYFUNCTION("""COMPUTED_VALUE"""),5902557399543)</f>
        <v>5902557399543</v>
      </c>
      <c r="D2540" s="4" t="str">
        <f ca="1">IFERROR(__xludf.DUMMYFUNCTION("""COMPUTED_VALUE"""),"KABINA PRZYŚCIENNA RAPID SLIDE GOLD 120x80")</f>
        <v>KABINA PRZYŚCIENNA RAPID SLIDE GOLD 120x80</v>
      </c>
      <c r="E2540" s="31">
        <v>586.58536585365869</v>
      </c>
      <c r="F2540" s="31">
        <f t="shared" si="39"/>
        <v>721.50000000000023</v>
      </c>
    </row>
    <row r="2541" spans="1:6" ht="18.75" customHeight="1" x14ac:dyDescent="0.25">
      <c r="A2541" s="2" t="str">
        <f ca="1">IFERROR(__xludf.DUMMYFUNCTION("""COMPUTED_VALUE"""),"KPL-09421")</f>
        <v>KPL-09421</v>
      </c>
      <c r="B2541" s="3">
        <f ca="1">IFERROR(__xludf.DUMMYFUNCTION("""COMPUTED_VALUE"""),50826)</f>
        <v>50826</v>
      </c>
      <c r="C2541" s="3">
        <f ca="1">IFERROR(__xludf.DUMMYFUNCTION("""COMPUTED_VALUE"""),5902557399536)</f>
        <v>5902557399536</v>
      </c>
      <c r="D2541" s="4" t="str">
        <f ca="1">IFERROR(__xludf.DUMMYFUNCTION("""COMPUTED_VALUE"""),"KABINA PRZYŚCIENNA RAPID SLIDE GOLD 110x100")</f>
        <v>KABINA PRZYŚCIENNA RAPID SLIDE GOLD 110x100</v>
      </c>
      <c r="E2541" s="31">
        <v>593.80487804878055</v>
      </c>
      <c r="F2541" s="31">
        <f t="shared" si="39"/>
        <v>730.38000000000011</v>
      </c>
    </row>
    <row r="2542" spans="1:6" ht="18.75" customHeight="1" x14ac:dyDescent="0.25">
      <c r="A2542" s="2" t="str">
        <f ca="1">IFERROR(__xludf.DUMMYFUNCTION("""COMPUTED_VALUE"""),"KPL-09420")</f>
        <v>KPL-09420</v>
      </c>
      <c r="B2542" s="3">
        <f ca="1">IFERROR(__xludf.DUMMYFUNCTION("""COMPUTED_VALUE"""),50825)</f>
        <v>50825</v>
      </c>
      <c r="C2542" s="3">
        <f ca="1">IFERROR(__xludf.DUMMYFUNCTION("""COMPUTED_VALUE"""),5902557399529)</f>
        <v>5902557399529</v>
      </c>
      <c r="D2542" s="4" t="str">
        <f ca="1">IFERROR(__xludf.DUMMYFUNCTION("""COMPUTED_VALUE"""),"KABINA PRZYŚCIENNA RAPID SLIDE GOLD 110x90")</f>
        <v>KABINA PRZYŚCIENNA RAPID SLIDE GOLD 110x90</v>
      </c>
      <c r="E2542" s="31">
        <v>566.73170731707319</v>
      </c>
      <c r="F2542" s="31">
        <f t="shared" si="39"/>
        <v>697.08</v>
      </c>
    </row>
    <row r="2543" spans="1:6" ht="18.75" customHeight="1" x14ac:dyDescent="0.25">
      <c r="A2543" s="2" t="str">
        <f ca="1">IFERROR(__xludf.DUMMYFUNCTION("""COMPUTED_VALUE"""),"KPL-09419")</f>
        <v>KPL-09419</v>
      </c>
      <c r="B2543" s="3">
        <f ca="1">IFERROR(__xludf.DUMMYFUNCTION("""COMPUTED_VALUE"""),50824)</f>
        <v>50824</v>
      </c>
      <c r="C2543" s="3">
        <f ca="1">IFERROR(__xludf.DUMMYFUNCTION("""COMPUTED_VALUE"""),5902557399512)</f>
        <v>5902557399512</v>
      </c>
      <c r="D2543" s="4" t="str">
        <f ca="1">IFERROR(__xludf.DUMMYFUNCTION("""COMPUTED_VALUE"""),"KABINA PRZYŚCIENNA RAPID SLIDE GOLD 110x80")</f>
        <v>KABINA PRZYŚCIENNA RAPID SLIDE GOLD 110x80</v>
      </c>
      <c r="E2543" s="31">
        <v>550.48780487804879</v>
      </c>
      <c r="F2543" s="31">
        <f t="shared" si="39"/>
        <v>677.1</v>
      </c>
    </row>
    <row r="2544" spans="1:6" ht="18.75" customHeight="1" x14ac:dyDescent="0.25">
      <c r="A2544" s="2" t="str">
        <f ca="1">IFERROR(__xludf.DUMMYFUNCTION("""COMPUTED_VALUE"""),"KPL-09418")</f>
        <v>KPL-09418</v>
      </c>
      <c r="B2544" s="3">
        <f ca="1">IFERROR(__xludf.DUMMYFUNCTION("""COMPUTED_VALUE"""),50823)</f>
        <v>50823</v>
      </c>
      <c r="C2544" s="3">
        <f ca="1">IFERROR(__xludf.DUMMYFUNCTION("""COMPUTED_VALUE"""),5902557399505)</f>
        <v>5902557399505</v>
      </c>
      <c r="D2544" s="4" t="str">
        <f ca="1">IFERROR(__xludf.DUMMYFUNCTION("""COMPUTED_VALUE"""),"KABINA PRZYŚCIENNA RAPID SLIDE GOLD 100x100")</f>
        <v>KABINA PRZYŚCIENNA RAPID SLIDE GOLD 100x100</v>
      </c>
      <c r="E2544" s="31">
        <v>612.7560975609756</v>
      </c>
      <c r="F2544" s="31">
        <f t="shared" si="39"/>
        <v>753.68999999999994</v>
      </c>
    </row>
    <row r="2545" spans="1:6" ht="18.75" customHeight="1" x14ac:dyDescent="0.25">
      <c r="A2545" s="2" t="str">
        <f ca="1">IFERROR(__xludf.DUMMYFUNCTION("""COMPUTED_VALUE"""),"KPL-09417")</f>
        <v>KPL-09417</v>
      </c>
      <c r="B2545" s="3">
        <f ca="1">IFERROR(__xludf.DUMMYFUNCTION("""COMPUTED_VALUE"""),50822)</f>
        <v>50822</v>
      </c>
      <c r="C2545" s="3">
        <f ca="1">IFERROR(__xludf.DUMMYFUNCTION("""COMPUTED_VALUE"""),5902557399499)</f>
        <v>5902557399499</v>
      </c>
      <c r="D2545" s="4" t="str">
        <f ca="1">IFERROR(__xludf.DUMMYFUNCTION("""COMPUTED_VALUE"""),"KABINA PRZYŚCIENNA RAPID SLIDE GOLD 100x90")</f>
        <v>KABINA PRZYŚCIENNA RAPID SLIDE GOLD 100x90</v>
      </c>
      <c r="E2545" s="31">
        <v>585.68292682926835</v>
      </c>
      <c r="F2545" s="31">
        <f t="shared" si="39"/>
        <v>720.3900000000001</v>
      </c>
    </row>
    <row r="2546" spans="1:6" ht="18.75" customHeight="1" x14ac:dyDescent="0.25">
      <c r="A2546" s="2" t="str">
        <f ca="1">IFERROR(__xludf.DUMMYFUNCTION("""COMPUTED_VALUE"""),"KPL-09416")</f>
        <v>KPL-09416</v>
      </c>
      <c r="B2546" s="3">
        <f ca="1">IFERROR(__xludf.DUMMYFUNCTION("""COMPUTED_VALUE"""),50821)</f>
        <v>50821</v>
      </c>
      <c r="C2546" s="3">
        <f ca="1">IFERROR(__xludf.DUMMYFUNCTION("""COMPUTED_VALUE"""),5902557399482)</f>
        <v>5902557399482</v>
      </c>
      <c r="D2546" s="4" t="str">
        <f ca="1">IFERROR(__xludf.DUMMYFUNCTION("""COMPUTED_VALUE"""),"KABINA PRZYŚCIENNA RAPID SLIDE GOLD 100x80")</f>
        <v>KABINA PRZYŚCIENNA RAPID SLIDE GOLD 100x80</v>
      </c>
      <c r="E2546" s="31">
        <v>569.43902439024396</v>
      </c>
      <c r="F2546" s="31">
        <f t="shared" si="39"/>
        <v>700.41000000000008</v>
      </c>
    </row>
    <row r="2547" spans="1:6" ht="18.75" customHeight="1" x14ac:dyDescent="0.25">
      <c r="A2547" s="2" t="str">
        <f ca="1">IFERROR(__xludf.DUMMYFUNCTION("""COMPUTED_VALUE"""),"KPL-09408")</f>
        <v>KPL-09408</v>
      </c>
      <c r="B2547" s="3">
        <f ca="1">IFERROR(__xludf.DUMMYFUNCTION("""COMPUTED_VALUE"""),50799)</f>
        <v>50799</v>
      </c>
      <c r="C2547" s="3">
        <f ca="1">IFERROR(__xludf.DUMMYFUNCTION("""COMPUTED_VALUE"""),5902557399369)</f>
        <v>5902557399369</v>
      </c>
      <c r="D2547" s="4" t="str">
        <f ca="1">IFERROR(__xludf.DUMMYFUNCTION("""COMPUTED_VALUE"""),"KABINA PRZYŚCIENNA RAPID FOLD GOLD 100x100")</f>
        <v>KABINA PRZYŚCIENNA RAPID FOLD GOLD 100x100</v>
      </c>
      <c r="E2547" s="31">
        <v>633.51219512195132</v>
      </c>
      <c r="F2547" s="31">
        <f t="shared" si="39"/>
        <v>779.22000000000014</v>
      </c>
    </row>
    <row r="2548" spans="1:6" ht="18.75" customHeight="1" x14ac:dyDescent="0.25">
      <c r="A2548" s="2" t="str">
        <f ca="1">IFERROR(__xludf.DUMMYFUNCTION("""COMPUTED_VALUE"""),"KPL-09407")</f>
        <v>KPL-09407</v>
      </c>
      <c r="B2548" s="3">
        <f ca="1">IFERROR(__xludf.DUMMYFUNCTION("""COMPUTED_VALUE"""),50798)</f>
        <v>50798</v>
      </c>
      <c r="C2548" s="3">
        <f ca="1">IFERROR(__xludf.DUMMYFUNCTION("""COMPUTED_VALUE"""),5902557399352)</f>
        <v>5902557399352</v>
      </c>
      <c r="D2548" s="4" t="str">
        <f ca="1">IFERROR(__xludf.DUMMYFUNCTION("""COMPUTED_VALUE"""),"KABINA PRZYŚCIENNA RAPID FOLD GOLD 100x90")</f>
        <v>KABINA PRZYŚCIENNA RAPID FOLD GOLD 100x90</v>
      </c>
      <c r="E2548" s="31">
        <v>606.43902439024396</v>
      </c>
      <c r="F2548" s="31">
        <f t="shared" si="39"/>
        <v>745.92000000000007</v>
      </c>
    </row>
    <row r="2549" spans="1:6" ht="18.75" customHeight="1" x14ac:dyDescent="0.25">
      <c r="A2549" s="2" t="str">
        <f ca="1">IFERROR(__xludf.DUMMYFUNCTION("""COMPUTED_VALUE"""),"KPL-09406")</f>
        <v>KPL-09406</v>
      </c>
      <c r="B2549" s="3">
        <f ca="1">IFERROR(__xludf.DUMMYFUNCTION("""COMPUTED_VALUE"""),50797)</f>
        <v>50797</v>
      </c>
      <c r="C2549" s="3">
        <f ca="1">IFERROR(__xludf.DUMMYFUNCTION("""COMPUTED_VALUE"""),5902557399345)</f>
        <v>5902557399345</v>
      </c>
      <c r="D2549" s="4" t="str">
        <f ca="1">IFERROR(__xludf.DUMMYFUNCTION("""COMPUTED_VALUE"""),"KABINA PRZYŚCIENNA RAPID FOLD GOLD 100x80")</f>
        <v>KABINA PRZYŚCIENNA RAPID FOLD GOLD 100x80</v>
      </c>
      <c r="E2549" s="31">
        <v>590.19512195121956</v>
      </c>
      <c r="F2549" s="31">
        <f t="shared" si="39"/>
        <v>725.94</v>
      </c>
    </row>
    <row r="2550" spans="1:6" ht="18.75" customHeight="1" x14ac:dyDescent="0.25">
      <c r="A2550" s="2" t="str">
        <f ca="1">IFERROR(__xludf.DUMMYFUNCTION("""COMPUTED_VALUE"""),"KPL-09405")</f>
        <v>KPL-09405</v>
      </c>
      <c r="B2550" s="3">
        <f ca="1">IFERROR(__xludf.DUMMYFUNCTION("""COMPUTED_VALUE"""),50796)</f>
        <v>50796</v>
      </c>
      <c r="C2550" s="3">
        <f ca="1">IFERROR(__xludf.DUMMYFUNCTION("""COMPUTED_VALUE"""),5902557399338)</f>
        <v>5902557399338</v>
      </c>
      <c r="D2550" s="4" t="str">
        <f ca="1">IFERROR(__xludf.DUMMYFUNCTION("""COMPUTED_VALUE"""),"KABINA PRZYŚCIENNA RAPID FOLD GOLD 90x100")</f>
        <v>KABINA PRZYŚCIENNA RAPID FOLD GOLD 90x100</v>
      </c>
      <c r="E2550" s="31">
        <v>616.36585365853659</v>
      </c>
      <c r="F2550" s="31">
        <f t="shared" si="39"/>
        <v>758.13</v>
      </c>
    </row>
    <row r="2551" spans="1:6" ht="18.75" customHeight="1" x14ac:dyDescent="0.25">
      <c r="A2551" s="2" t="str">
        <f ca="1">IFERROR(__xludf.DUMMYFUNCTION("""COMPUTED_VALUE"""),"KPL-09404")</f>
        <v>KPL-09404</v>
      </c>
      <c r="B2551" s="3">
        <f ca="1">IFERROR(__xludf.DUMMYFUNCTION("""COMPUTED_VALUE"""),50795)</f>
        <v>50795</v>
      </c>
      <c r="C2551" s="3">
        <f ca="1">IFERROR(__xludf.DUMMYFUNCTION("""COMPUTED_VALUE"""),5902557399314)</f>
        <v>5902557399314</v>
      </c>
      <c r="D2551" s="4" t="str">
        <f ca="1">IFERROR(__xludf.DUMMYFUNCTION("""COMPUTED_VALUE"""),"KABINA PRZYŚCIENNA RAPID FOLD GOLD 90x90")</f>
        <v>KABINA PRZYŚCIENNA RAPID FOLD GOLD 90x90</v>
      </c>
      <c r="E2551" s="31">
        <v>589.29268292682934</v>
      </c>
      <c r="F2551" s="31">
        <f t="shared" si="39"/>
        <v>724.83</v>
      </c>
    </row>
    <row r="2552" spans="1:6" ht="18.75" customHeight="1" x14ac:dyDescent="0.25">
      <c r="A2552" s="2" t="str">
        <f ca="1">IFERROR(__xludf.DUMMYFUNCTION("""COMPUTED_VALUE"""),"KPL-09403")</f>
        <v>KPL-09403</v>
      </c>
      <c r="B2552" s="3">
        <f ca="1">IFERROR(__xludf.DUMMYFUNCTION("""COMPUTED_VALUE"""),50794)</f>
        <v>50794</v>
      </c>
      <c r="C2552" s="3">
        <f ca="1">IFERROR(__xludf.DUMMYFUNCTION("""COMPUTED_VALUE"""),5902557399314)</f>
        <v>5902557399314</v>
      </c>
      <c r="D2552" s="4" t="str">
        <f ca="1">IFERROR(__xludf.DUMMYFUNCTION("""COMPUTED_VALUE"""),"KABINA PRZYŚCIENNA RAPID FOLD GOLD 90x80")</f>
        <v>KABINA PRZYŚCIENNA RAPID FOLD GOLD 90x80</v>
      </c>
      <c r="E2552" s="31">
        <v>573.04878048780495</v>
      </c>
      <c r="F2552" s="31">
        <f t="shared" si="39"/>
        <v>704.85</v>
      </c>
    </row>
    <row r="2553" spans="1:6" ht="18.75" customHeight="1" x14ac:dyDescent="0.25">
      <c r="A2553" s="2" t="str">
        <f ca="1">IFERROR(__xludf.DUMMYFUNCTION("""COMPUTED_VALUE"""),"KPL-09402")</f>
        <v>KPL-09402</v>
      </c>
      <c r="B2553" s="3">
        <f ca="1">IFERROR(__xludf.DUMMYFUNCTION("""COMPUTED_VALUE"""),50793)</f>
        <v>50793</v>
      </c>
      <c r="C2553" s="3">
        <f ca="1">IFERROR(__xludf.DUMMYFUNCTION("""COMPUTED_VALUE"""),5902557399307)</f>
        <v>5902557399307</v>
      </c>
      <c r="D2553" s="4" t="str">
        <f ca="1">IFERROR(__xludf.DUMMYFUNCTION("""COMPUTED_VALUE"""),"KABINA PRZYŚCIENNA RAPID FOLD GOLD 80x100")</f>
        <v>KABINA PRZYŚCIENNA RAPID FOLD GOLD 80x100</v>
      </c>
      <c r="E2553" s="31">
        <v>605.53658536585374</v>
      </c>
      <c r="F2553" s="31">
        <f t="shared" si="39"/>
        <v>744.81000000000006</v>
      </c>
    </row>
    <row r="2554" spans="1:6" ht="18.75" customHeight="1" x14ac:dyDescent="0.25">
      <c r="A2554" s="2" t="str">
        <f ca="1">IFERROR(__xludf.DUMMYFUNCTION("""COMPUTED_VALUE"""),"KPL-09401")</f>
        <v>KPL-09401</v>
      </c>
      <c r="B2554" s="3">
        <f ca="1">IFERROR(__xludf.DUMMYFUNCTION("""COMPUTED_VALUE"""),50792)</f>
        <v>50792</v>
      </c>
      <c r="C2554" s="3">
        <f ca="1">IFERROR(__xludf.DUMMYFUNCTION("""COMPUTED_VALUE"""),5902557399291)</f>
        <v>5902557399291</v>
      </c>
      <c r="D2554" s="4" t="str">
        <f ca="1">IFERROR(__xludf.DUMMYFUNCTION("""COMPUTED_VALUE"""),"KABINA PRZYŚCIENNA RAPID FOLD GOLD 80x90")</f>
        <v>KABINA PRZYŚCIENNA RAPID FOLD GOLD 80x90</v>
      </c>
      <c r="E2554" s="31">
        <v>578.46341463414637</v>
      </c>
      <c r="F2554" s="31">
        <f t="shared" si="39"/>
        <v>711.51</v>
      </c>
    </row>
    <row r="2555" spans="1:6" ht="18.75" customHeight="1" x14ac:dyDescent="0.25">
      <c r="A2555" s="2" t="str">
        <f ca="1">IFERROR(__xludf.DUMMYFUNCTION("""COMPUTED_VALUE"""),"KPL-09400")</f>
        <v>KPL-09400</v>
      </c>
      <c r="B2555" s="3">
        <f ca="1">IFERROR(__xludf.DUMMYFUNCTION("""COMPUTED_VALUE"""),50791)</f>
        <v>50791</v>
      </c>
      <c r="C2555" s="3">
        <f ca="1">IFERROR(__xludf.DUMMYFUNCTION("""COMPUTED_VALUE"""),5902557399284)</f>
        <v>5902557399284</v>
      </c>
      <c r="D2555" s="4" t="str">
        <f ca="1">IFERROR(__xludf.DUMMYFUNCTION("""COMPUTED_VALUE"""),"KABINA PRZYŚCIENNA RAPID FOLD GOLD 80x80")</f>
        <v>KABINA PRZYŚCIENNA RAPID FOLD GOLD 80x80</v>
      </c>
      <c r="E2555" s="31">
        <v>562.21951219512198</v>
      </c>
      <c r="F2555" s="31">
        <f t="shared" si="39"/>
        <v>691.53</v>
      </c>
    </row>
    <row r="2556" spans="1:6" ht="18.75" customHeight="1" x14ac:dyDescent="0.25">
      <c r="A2556" s="2" t="str">
        <f ca="1">IFERROR(__xludf.DUMMYFUNCTION("""COMPUTED_VALUE"""),"KPL-009963")</f>
        <v>KPL-009963</v>
      </c>
      <c r="B2556" s="3">
        <f ca="1">IFERROR(__xludf.DUMMYFUNCTION("""COMPUTED_VALUE"""),50740)</f>
        <v>50740</v>
      </c>
      <c r="C2556" s="3">
        <f ca="1">IFERROR(__xludf.DUMMYFUNCTION("""COMPUTED_VALUE"""),5902557394180)</f>
        <v>5902557394180</v>
      </c>
      <c r="D2556" s="4" t="str">
        <f ca="1">IFERROR(__xludf.DUMMYFUNCTION("""COMPUTED_VALUE"""),"KABINA PRYSZNICOWA PRZYŚCIENNA RAPID SWING 120x100")</f>
        <v>KABINA PRYSZNICOWA PRZYŚCIENNA RAPID SWING 120x100</v>
      </c>
      <c r="E2556" s="31">
        <v>482.80487804878049</v>
      </c>
      <c r="F2556" s="31">
        <f t="shared" si="39"/>
        <v>593.85</v>
      </c>
    </row>
    <row r="2557" spans="1:6" ht="18.75" customHeight="1" x14ac:dyDescent="0.25">
      <c r="A2557" s="2" t="str">
        <f ca="1">IFERROR(__xludf.DUMMYFUNCTION("""COMPUTED_VALUE"""),"KPL-009962")</f>
        <v>KPL-009962</v>
      </c>
      <c r="B2557" s="3">
        <f ca="1">IFERROR(__xludf.DUMMYFUNCTION("""COMPUTED_VALUE"""),50739)</f>
        <v>50739</v>
      </c>
      <c r="C2557" s="3">
        <f ca="1">IFERROR(__xludf.DUMMYFUNCTION("""COMPUTED_VALUE"""),5902557394173)</f>
        <v>5902557394173</v>
      </c>
      <c r="D2557" s="4" t="str">
        <f ca="1">IFERROR(__xludf.DUMMYFUNCTION("""COMPUTED_VALUE"""),"KABINA PRYSZNICOWA PRZYŚCIENNA RAPID SWING 120x90")</f>
        <v>KABINA PRYSZNICOWA PRZYŚCIENNA RAPID SWING 120x90</v>
      </c>
      <c r="E2557" s="31">
        <v>470.17073170731709</v>
      </c>
      <c r="F2557" s="31">
        <f t="shared" si="39"/>
        <v>578.31000000000006</v>
      </c>
    </row>
    <row r="2558" spans="1:6" ht="18.75" customHeight="1" x14ac:dyDescent="0.25">
      <c r="A2558" s="2" t="str">
        <f ca="1">IFERROR(__xludf.DUMMYFUNCTION("""COMPUTED_VALUE"""),"KPL-009961")</f>
        <v>KPL-009961</v>
      </c>
      <c r="B2558" s="3">
        <f ca="1">IFERROR(__xludf.DUMMYFUNCTION("""COMPUTED_VALUE"""),50738)</f>
        <v>50738</v>
      </c>
      <c r="C2558" s="3">
        <f ca="1">IFERROR(__xludf.DUMMYFUNCTION("""COMPUTED_VALUE"""),5902557394166)</f>
        <v>5902557394166</v>
      </c>
      <c r="D2558" s="4" t="str">
        <f ca="1">IFERROR(__xludf.DUMMYFUNCTION("""COMPUTED_VALUE"""),"KABINA PRYSZNICOWA PRZYŚCIENNA RAPID SWING 120x80")</f>
        <v>KABINA PRYSZNICOWA PRZYŚCIENNA RAPID SWING 120x80</v>
      </c>
      <c r="E2558" s="31">
        <v>461.14634146341467</v>
      </c>
      <c r="F2558" s="31">
        <f t="shared" si="39"/>
        <v>567.21</v>
      </c>
    </row>
    <row r="2559" spans="1:6" ht="18.75" customHeight="1" x14ac:dyDescent="0.25">
      <c r="A2559" s="2" t="str">
        <f ca="1">IFERROR(__xludf.DUMMYFUNCTION("""COMPUTED_VALUE"""),"KPL-009957")</f>
        <v>KPL-009957</v>
      </c>
      <c r="B2559" s="3">
        <f ca="1">IFERROR(__xludf.DUMMYFUNCTION("""COMPUTED_VALUE"""),50737)</f>
        <v>50737</v>
      </c>
      <c r="C2559" s="3">
        <f ca="1">IFERROR(__xludf.DUMMYFUNCTION("""COMPUTED_VALUE"""),5902557394159)</f>
        <v>5902557394159</v>
      </c>
      <c r="D2559" s="4" t="str">
        <f ca="1">IFERROR(__xludf.DUMMYFUNCTION("""COMPUTED_VALUE"""),"KABINA PRYSZNICOWA PRZYŚCIENNA RAPID SWING 100x100")</f>
        <v>KABINA PRYSZNICOWA PRZYŚCIENNA RAPID SWING 100x100</v>
      </c>
      <c r="E2559" s="31">
        <v>462.95121951219517</v>
      </c>
      <c r="F2559" s="31">
        <f t="shared" si="39"/>
        <v>569.43000000000006</v>
      </c>
    </row>
    <row r="2560" spans="1:6" ht="18.75" customHeight="1" x14ac:dyDescent="0.25">
      <c r="A2560" s="2" t="str">
        <f ca="1">IFERROR(__xludf.DUMMYFUNCTION("""COMPUTED_VALUE"""),"KPL-009956")</f>
        <v>KPL-009956</v>
      </c>
      <c r="B2560" s="3">
        <f ca="1">IFERROR(__xludf.DUMMYFUNCTION("""COMPUTED_VALUE"""),50736)</f>
        <v>50736</v>
      </c>
      <c r="C2560" s="3">
        <f ca="1">IFERROR(__xludf.DUMMYFUNCTION("""COMPUTED_VALUE"""),5902557394142)</f>
        <v>5902557394142</v>
      </c>
      <c r="D2560" s="4" t="str">
        <f ca="1">IFERROR(__xludf.DUMMYFUNCTION("""COMPUTED_VALUE"""),"KABINA PRYSZNICOWA PRZYŚCIENNA RAPID SWING 100x90")</f>
        <v>KABINA PRYSZNICOWA PRZYŚCIENNA RAPID SWING 100x90</v>
      </c>
      <c r="E2560" s="31">
        <v>450.31707317073176</v>
      </c>
      <c r="F2560" s="31">
        <f t="shared" si="39"/>
        <v>553.8900000000001</v>
      </c>
    </row>
    <row r="2561" spans="1:6" ht="18.75" customHeight="1" x14ac:dyDescent="0.25">
      <c r="A2561" s="2" t="str">
        <f ca="1">IFERROR(__xludf.DUMMYFUNCTION("""COMPUTED_VALUE"""),"KPL-009955")</f>
        <v>KPL-009955</v>
      </c>
      <c r="B2561" s="3">
        <f ca="1">IFERROR(__xludf.DUMMYFUNCTION("""COMPUTED_VALUE"""),50735)</f>
        <v>50735</v>
      </c>
      <c r="C2561" s="3">
        <f ca="1">IFERROR(__xludf.DUMMYFUNCTION("""COMPUTED_VALUE"""),5902557394135)</f>
        <v>5902557394135</v>
      </c>
      <c r="D2561" s="4" t="str">
        <f ca="1">IFERROR(__xludf.DUMMYFUNCTION("""COMPUTED_VALUE"""),"KABINA PRYSZNICOWA PRZYŚCIENNA RAPID SWING 100x80")</f>
        <v>KABINA PRYSZNICOWA PRZYŚCIENNA RAPID SWING 100x80</v>
      </c>
      <c r="E2561" s="31">
        <v>441.29268292682929</v>
      </c>
      <c r="F2561" s="31">
        <f t="shared" ref="F2561:F2624" si="40">E2561*1.23</f>
        <v>542.79</v>
      </c>
    </row>
    <row r="2562" spans="1:6" ht="18.75" customHeight="1" x14ac:dyDescent="0.25">
      <c r="A2562" s="2" t="str">
        <f ca="1">IFERROR(__xludf.DUMMYFUNCTION("""COMPUTED_VALUE"""),"KPL-009954")</f>
        <v>KPL-009954</v>
      </c>
      <c r="B2562" s="3">
        <f ca="1">IFERROR(__xludf.DUMMYFUNCTION("""COMPUTED_VALUE"""),50734)</f>
        <v>50734</v>
      </c>
      <c r="C2562" s="3">
        <f ca="1">IFERROR(__xludf.DUMMYFUNCTION("""COMPUTED_VALUE"""),5902557394128)</f>
        <v>5902557394128</v>
      </c>
      <c r="D2562" s="4" t="str">
        <f ca="1">IFERROR(__xludf.DUMMYFUNCTION("""COMPUTED_VALUE"""),"KABINA PRYSZNICOWA PRZYŚCIENNA RAPID SWING 90x100")</f>
        <v>KABINA PRYSZNICOWA PRZYŚCIENNA RAPID SWING 90x100</v>
      </c>
      <c r="E2562" s="31">
        <v>456.63414634146346</v>
      </c>
      <c r="F2562" s="31">
        <f t="shared" si="40"/>
        <v>561.66000000000008</v>
      </c>
    </row>
    <row r="2563" spans="1:6" ht="18.75" customHeight="1" x14ac:dyDescent="0.25">
      <c r="A2563" s="2" t="str">
        <f ca="1">IFERROR(__xludf.DUMMYFUNCTION("""COMPUTED_VALUE"""),"KPL-009953")</f>
        <v>KPL-009953</v>
      </c>
      <c r="B2563" s="3">
        <f ca="1">IFERROR(__xludf.DUMMYFUNCTION("""COMPUTED_VALUE"""),50733)</f>
        <v>50733</v>
      </c>
      <c r="C2563" s="3">
        <f ca="1">IFERROR(__xludf.DUMMYFUNCTION("""COMPUTED_VALUE"""),5902557394111)</f>
        <v>5902557394111</v>
      </c>
      <c r="D2563" s="4" t="str">
        <f ca="1">IFERROR(__xludf.DUMMYFUNCTION("""COMPUTED_VALUE"""),"KABINA PRYSZNICOWA PRZYŚCIENNA RAPID SWING 90x90")</f>
        <v>KABINA PRYSZNICOWA PRZYŚCIENNA RAPID SWING 90x90</v>
      </c>
      <c r="E2563" s="31">
        <v>444.00000000000006</v>
      </c>
      <c r="F2563" s="31">
        <f t="shared" si="40"/>
        <v>546.12000000000012</v>
      </c>
    </row>
    <row r="2564" spans="1:6" ht="18.75" customHeight="1" x14ac:dyDescent="0.25">
      <c r="A2564" s="2" t="str">
        <f ca="1">IFERROR(__xludf.DUMMYFUNCTION("""COMPUTED_VALUE"""),"KPL-009952")</f>
        <v>KPL-009952</v>
      </c>
      <c r="B2564" s="3">
        <f ca="1">IFERROR(__xludf.DUMMYFUNCTION("""COMPUTED_VALUE"""),50732)</f>
        <v>50732</v>
      </c>
      <c r="C2564" s="3">
        <f ca="1">IFERROR(__xludf.DUMMYFUNCTION("""COMPUTED_VALUE"""),5902557394104)</f>
        <v>5902557394104</v>
      </c>
      <c r="D2564" s="4" t="str">
        <f ca="1">IFERROR(__xludf.DUMMYFUNCTION("""COMPUTED_VALUE"""),"KABINA PRYSZNICOWA PRZYŚCIENNA RAPID SWING 90x80")</f>
        <v>KABINA PRYSZNICOWA PRZYŚCIENNA RAPID SWING 90x80</v>
      </c>
      <c r="E2564" s="31">
        <v>434.97560975609758</v>
      </c>
      <c r="F2564" s="31">
        <f t="shared" si="40"/>
        <v>535.02</v>
      </c>
    </row>
    <row r="2565" spans="1:6" ht="18.75" customHeight="1" x14ac:dyDescent="0.25">
      <c r="A2565" s="2" t="str">
        <f ca="1">IFERROR(__xludf.DUMMYFUNCTION("""COMPUTED_VALUE"""),"KPL-009951")</f>
        <v>KPL-009951</v>
      </c>
      <c r="B2565" s="3">
        <f ca="1">IFERROR(__xludf.DUMMYFUNCTION("""COMPUTED_VALUE"""),50731)</f>
        <v>50731</v>
      </c>
      <c r="C2565" s="3">
        <f ca="1">IFERROR(__xludf.DUMMYFUNCTION("""COMPUTED_VALUE"""),5902557394098)</f>
        <v>5902557394098</v>
      </c>
      <c r="D2565" s="4" t="str">
        <f ca="1">IFERROR(__xludf.DUMMYFUNCTION("""COMPUTED_VALUE"""),"KABINA PRYSZNICOWA PRZYŚCIENNA RAPID SWING 80x100")</f>
        <v>KABINA PRYSZNICOWA PRZYŚCIENNA RAPID SWING 80x100</v>
      </c>
      <c r="E2565" s="31">
        <v>450.31707317073176</v>
      </c>
      <c r="F2565" s="31">
        <f t="shared" si="40"/>
        <v>553.8900000000001</v>
      </c>
    </row>
    <row r="2566" spans="1:6" ht="18.75" customHeight="1" x14ac:dyDescent="0.25">
      <c r="A2566" s="2" t="str">
        <f ca="1">IFERROR(__xludf.DUMMYFUNCTION("""COMPUTED_VALUE"""),"KPL-009950")</f>
        <v>KPL-009950</v>
      </c>
      <c r="B2566" s="3">
        <f ca="1">IFERROR(__xludf.DUMMYFUNCTION("""COMPUTED_VALUE"""),50730)</f>
        <v>50730</v>
      </c>
      <c r="C2566" s="3">
        <f ca="1">IFERROR(__xludf.DUMMYFUNCTION("""COMPUTED_VALUE"""),5902557394081)</f>
        <v>5902557394081</v>
      </c>
      <c r="D2566" s="4" t="str">
        <f ca="1">IFERROR(__xludf.DUMMYFUNCTION("""COMPUTED_VALUE"""),"KABINA PRYSZNICOWA PRZYŚCIENNA RAPID SWING 80x90")</f>
        <v>KABINA PRYSZNICOWA PRZYŚCIENNA RAPID SWING 80x90</v>
      </c>
      <c r="E2566" s="31">
        <v>437.68292682926835</v>
      </c>
      <c r="F2566" s="31">
        <f t="shared" si="40"/>
        <v>538.35</v>
      </c>
    </row>
    <row r="2567" spans="1:6" ht="18.75" customHeight="1" x14ac:dyDescent="0.25">
      <c r="A2567" s="2" t="str">
        <f ca="1">IFERROR(__xludf.DUMMYFUNCTION("""COMPUTED_VALUE"""),"KPL-009949")</f>
        <v>KPL-009949</v>
      </c>
      <c r="B2567" s="3">
        <f ca="1">IFERROR(__xludf.DUMMYFUNCTION("""COMPUTED_VALUE"""),50729)</f>
        <v>50729</v>
      </c>
      <c r="C2567" s="3">
        <f ca="1">IFERROR(__xludf.DUMMYFUNCTION("""COMPUTED_VALUE"""),5902557394074)</f>
        <v>5902557394074</v>
      </c>
      <c r="D2567" s="4" t="str">
        <f ca="1">IFERROR(__xludf.DUMMYFUNCTION("""COMPUTED_VALUE"""),"KABINA PRYSZNICOWA PRZYŚCIENNA RAPID SWING 80x80")</f>
        <v>KABINA PRYSZNICOWA PRZYŚCIENNA RAPID SWING 80x80</v>
      </c>
      <c r="E2567" s="31">
        <v>428.65853658536588</v>
      </c>
      <c r="F2567" s="31">
        <f t="shared" si="40"/>
        <v>527.25</v>
      </c>
    </row>
    <row r="2568" spans="1:6" ht="18.75" customHeight="1" x14ac:dyDescent="0.25">
      <c r="A2568" s="2" t="str">
        <f ca="1">IFERROR(__xludf.DUMMYFUNCTION("""COMPUTED_VALUE"""),"KPL-009948")</f>
        <v>KPL-009948</v>
      </c>
      <c r="B2568" s="3">
        <f ca="1">IFERROR(__xludf.DUMMYFUNCTION("""COMPUTED_VALUE"""),50728)</f>
        <v>50728</v>
      </c>
      <c r="C2568" s="3">
        <f ca="1">IFERROR(__xludf.DUMMYFUNCTION("""COMPUTED_VALUE"""),5902557394067)</f>
        <v>5902557394067</v>
      </c>
      <c r="D2568" s="4" t="str">
        <f ca="1">IFERROR(__xludf.DUMMYFUNCTION("""COMPUTED_VALUE"""),"KABINA PRYSZNICOWA PRZYŚCIENNA RAPID SWING 70x100")</f>
        <v>KABINA PRYSZNICOWA PRZYŚCIENNA RAPID SWING 70x100</v>
      </c>
      <c r="E2568" s="31">
        <v>446.70731707317077</v>
      </c>
      <c r="F2568" s="31">
        <f t="shared" si="40"/>
        <v>549.45000000000005</v>
      </c>
    </row>
    <row r="2569" spans="1:6" ht="18.75" customHeight="1" x14ac:dyDescent="0.25">
      <c r="A2569" s="2" t="str">
        <f ca="1">IFERROR(__xludf.DUMMYFUNCTION("""COMPUTED_VALUE"""),"KPL-009947")</f>
        <v>KPL-009947</v>
      </c>
      <c r="B2569" s="3">
        <f ca="1">IFERROR(__xludf.DUMMYFUNCTION("""COMPUTED_VALUE"""),50727)</f>
        <v>50727</v>
      </c>
      <c r="C2569" s="3">
        <f ca="1">IFERROR(__xludf.DUMMYFUNCTION("""COMPUTED_VALUE"""),5902557394050)</f>
        <v>5902557394050</v>
      </c>
      <c r="D2569" s="4" t="str">
        <f ca="1">IFERROR(__xludf.DUMMYFUNCTION("""COMPUTED_VALUE"""),"KABINA PRYSZNICOWA PRZYŚCIENNA RAPID SWING 70x90")</f>
        <v>KABINA PRYSZNICOWA PRZYŚCIENNA RAPID SWING 70x90</v>
      </c>
      <c r="E2569" s="31">
        <v>434.07317073170736</v>
      </c>
      <c r="F2569" s="31">
        <f t="shared" si="40"/>
        <v>533.91000000000008</v>
      </c>
    </row>
    <row r="2570" spans="1:6" ht="18.75" customHeight="1" x14ac:dyDescent="0.25">
      <c r="A2570" s="2" t="str">
        <f ca="1">IFERROR(__xludf.DUMMYFUNCTION("""COMPUTED_VALUE"""),"KPL-009946")</f>
        <v>KPL-009946</v>
      </c>
      <c r="B2570" s="3">
        <f ca="1">IFERROR(__xludf.DUMMYFUNCTION("""COMPUTED_VALUE"""),50726)</f>
        <v>50726</v>
      </c>
      <c r="C2570" s="3">
        <f ca="1">IFERROR(__xludf.DUMMYFUNCTION("""COMPUTED_VALUE"""),5902557394043)</f>
        <v>5902557394043</v>
      </c>
      <c r="D2570" s="4" t="str">
        <f ca="1">IFERROR(__xludf.DUMMYFUNCTION("""COMPUTED_VALUE"""),"KABINA PRYSZNICOWA PRZYŚCIENNA RAPID SWING 70x80")</f>
        <v>KABINA PRYSZNICOWA PRZYŚCIENNA RAPID SWING 70x80</v>
      </c>
      <c r="E2570" s="31">
        <v>425.04878048780495</v>
      </c>
      <c r="F2570" s="31">
        <f t="shared" si="40"/>
        <v>522.81000000000006</v>
      </c>
    </row>
    <row r="2571" spans="1:6" ht="18.75" customHeight="1" x14ac:dyDescent="0.25">
      <c r="A2571" s="2" t="str">
        <f ca="1">IFERROR(__xludf.DUMMYFUNCTION("""COMPUTED_VALUE"""),"KPL-09126")</f>
        <v>KPL-09126</v>
      </c>
      <c r="B2571" s="3">
        <f ca="1">IFERROR(__xludf.DUMMYFUNCTION("""COMPUTED_VALUE"""),50645)</f>
        <v>50645</v>
      </c>
      <c r="C2571" s="3">
        <f ca="1">IFERROR(__xludf.DUMMYFUNCTION("""COMPUTED_VALUE"""),5902557395897)</f>
        <v>5902557395897</v>
      </c>
      <c r="D2571" s="4" t="str">
        <f ca="1">IFERROR(__xludf.DUMMYFUNCTION("""COMPUTED_VALUE"""),"KABINA PRYSZNICOWA NAROŻNA RAPID FOLD GOLD 100x100")</f>
        <v>KABINA PRYSZNICOWA NAROŻNA RAPID FOLD GOLD 100x100</v>
      </c>
      <c r="E2571" s="31">
        <v>414.21951219512198</v>
      </c>
      <c r="F2571" s="31">
        <f t="shared" si="40"/>
        <v>509.49</v>
      </c>
    </row>
    <row r="2572" spans="1:6" ht="18.75" customHeight="1" x14ac:dyDescent="0.25">
      <c r="A2572" s="2" t="str">
        <f ca="1">IFERROR(__xludf.DUMMYFUNCTION("""COMPUTED_VALUE"""),"KPL-09125")</f>
        <v>KPL-09125</v>
      </c>
      <c r="B2572" s="3">
        <f ca="1">IFERROR(__xludf.DUMMYFUNCTION("""COMPUTED_VALUE"""),50644)</f>
        <v>50644</v>
      </c>
      <c r="C2572" s="3">
        <f ca="1">IFERROR(__xludf.DUMMYFUNCTION("""COMPUTED_VALUE"""),5902557395880)</f>
        <v>5902557395880</v>
      </c>
      <c r="D2572" s="4" t="str">
        <f ca="1">IFERROR(__xludf.DUMMYFUNCTION("""COMPUTED_VALUE"""),"KABINA PRYSZNICOWA NAROŻNA RAPID FOLD GOLD 100x90")</f>
        <v>KABINA PRYSZNICOWA NAROŻNA RAPID FOLD GOLD 100x90</v>
      </c>
      <c r="E2572" s="31">
        <v>400.68292682926835</v>
      </c>
      <c r="F2572" s="31">
        <f t="shared" si="40"/>
        <v>492.84000000000009</v>
      </c>
    </row>
    <row r="2573" spans="1:6" ht="18.75" customHeight="1" x14ac:dyDescent="0.25">
      <c r="A2573" s="2" t="str">
        <f ca="1">IFERROR(__xludf.DUMMYFUNCTION("""COMPUTED_VALUE"""),"KPL-09124")</f>
        <v>KPL-09124</v>
      </c>
      <c r="B2573" s="3">
        <f ca="1">IFERROR(__xludf.DUMMYFUNCTION("""COMPUTED_VALUE"""),50643)</f>
        <v>50643</v>
      </c>
      <c r="C2573" s="3">
        <f ca="1">IFERROR(__xludf.DUMMYFUNCTION("""COMPUTED_VALUE"""),5902557395873)</f>
        <v>5902557395873</v>
      </c>
      <c r="D2573" s="4" t="str">
        <f ca="1">IFERROR(__xludf.DUMMYFUNCTION("""COMPUTED_VALUE"""),"KABINA PRYSZNICOWA NAROŻNA RAPID FOLD GOLD 100x80")</f>
        <v>KABINA PRYSZNICOWA NAROŻNA RAPID FOLD GOLD 100x80</v>
      </c>
      <c r="E2573" s="31">
        <v>392.56097560975616</v>
      </c>
      <c r="F2573" s="31">
        <f t="shared" si="40"/>
        <v>482.85000000000008</v>
      </c>
    </row>
    <row r="2574" spans="1:6" ht="18.75" customHeight="1" x14ac:dyDescent="0.25">
      <c r="A2574" s="2" t="str">
        <f ca="1">IFERROR(__xludf.DUMMYFUNCTION("""COMPUTED_VALUE"""),"KPL-09129")</f>
        <v>KPL-09129</v>
      </c>
      <c r="B2574" s="3">
        <f ca="1">IFERROR(__xludf.DUMMYFUNCTION("""COMPUTED_VALUE"""),50642)</f>
        <v>50642</v>
      </c>
      <c r="C2574" s="3">
        <f ca="1">IFERROR(__xludf.DUMMYFUNCTION("""COMPUTED_VALUE"""),5902557395927)</f>
        <v>5902557395927</v>
      </c>
      <c r="D2574" s="4" t="str">
        <f ca="1">IFERROR(__xludf.DUMMYFUNCTION("""COMPUTED_VALUE"""),"KABINA PRYSZNICOWA NAROŻNA RAPID FOLD GOLD 90x100")</f>
        <v>KABINA PRYSZNICOWA NAROŻNA RAPID FOLD GOLD 90x100</v>
      </c>
      <c r="E2574" s="31">
        <v>397.07317073170736</v>
      </c>
      <c r="F2574" s="31">
        <f t="shared" si="40"/>
        <v>488.40000000000003</v>
      </c>
    </row>
    <row r="2575" spans="1:6" ht="18.75" customHeight="1" x14ac:dyDescent="0.25">
      <c r="A2575" s="2" t="str">
        <f ca="1">IFERROR(__xludf.DUMMYFUNCTION("""COMPUTED_VALUE"""),"KPL-09128")</f>
        <v>KPL-09128</v>
      </c>
      <c r="B2575" s="3">
        <f ca="1">IFERROR(__xludf.DUMMYFUNCTION("""COMPUTED_VALUE"""),50641)</f>
        <v>50641</v>
      </c>
      <c r="C2575" s="3">
        <f ca="1">IFERROR(__xludf.DUMMYFUNCTION("""COMPUTED_VALUE"""),5902557395910)</f>
        <v>5902557395910</v>
      </c>
      <c r="D2575" s="4" t="str">
        <f ca="1">IFERROR(__xludf.DUMMYFUNCTION("""COMPUTED_VALUE"""),"KABINA PRYSZNICOWA NAROŻNA RAPID FOLD GOLD 90x90")</f>
        <v>KABINA PRYSZNICOWA NAROŻNA RAPID FOLD GOLD 90x90</v>
      </c>
      <c r="E2575" s="31">
        <v>383.53658536585374</v>
      </c>
      <c r="F2575" s="31">
        <f t="shared" si="40"/>
        <v>471.75000000000011</v>
      </c>
    </row>
    <row r="2576" spans="1:6" ht="18.75" customHeight="1" x14ac:dyDescent="0.25">
      <c r="A2576" s="2" t="str">
        <f ca="1">IFERROR(__xludf.DUMMYFUNCTION("""COMPUTED_VALUE"""),"KPL-09127")</f>
        <v>KPL-09127</v>
      </c>
      <c r="B2576" s="3">
        <f ca="1">IFERROR(__xludf.DUMMYFUNCTION("""COMPUTED_VALUE"""),50640)</f>
        <v>50640</v>
      </c>
      <c r="C2576" s="3">
        <f ca="1">IFERROR(__xludf.DUMMYFUNCTION("""COMPUTED_VALUE"""),5902557395903)</f>
        <v>5902557395903</v>
      </c>
      <c r="D2576" s="4" t="str">
        <f ca="1">IFERROR(__xludf.DUMMYFUNCTION("""COMPUTED_VALUE"""),"KABINA PRYSZNICOWA NAROŻNA RAPID FOLD GOLD 90x80")</f>
        <v>KABINA PRYSZNICOWA NAROŻNA RAPID FOLD GOLD 90x80</v>
      </c>
      <c r="E2576" s="31">
        <v>375.41463414634148</v>
      </c>
      <c r="F2576" s="31">
        <f t="shared" si="40"/>
        <v>461.76</v>
      </c>
    </row>
    <row r="2577" spans="1:6" ht="18.75" customHeight="1" x14ac:dyDescent="0.25">
      <c r="A2577" s="2" t="str">
        <f ca="1">IFERROR(__xludf.DUMMYFUNCTION("""COMPUTED_VALUE"""),"KPL-09132")</f>
        <v>KPL-09132</v>
      </c>
      <c r="B2577" s="3">
        <f ca="1">IFERROR(__xludf.DUMMYFUNCTION("""COMPUTED_VALUE"""),50639)</f>
        <v>50639</v>
      </c>
      <c r="C2577" s="3">
        <f ca="1">IFERROR(__xludf.DUMMYFUNCTION("""COMPUTED_VALUE"""),5902557395958)</f>
        <v>5902557395958</v>
      </c>
      <c r="D2577" s="4" t="str">
        <f ca="1">IFERROR(__xludf.DUMMYFUNCTION("""COMPUTED_VALUE"""),"KABINA PRYSZNICOWA NAROŻNA RAPID FOLD GOLD 80x100")</f>
        <v>KABINA PRYSZNICOWA NAROŻNA RAPID FOLD GOLD 80x100</v>
      </c>
      <c r="E2577" s="31">
        <v>386.24390243902445</v>
      </c>
      <c r="F2577" s="31">
        <f t="shared" si="40"/>
        <v>475.0800000000001</v>
      </c>
    </row>
    <row r="2578" spans="1:6" ht="18.75" customHeight="1" x14ac:dyDescent="0.25">
      <c r="A2578" s="2" t="str">
        <f ca="1">IFERROR(__xludf.DUMMYFUNCTION("""COMPUTED_VALUE"""),"KPL-09131")</f>
        <v>KPL-09131</v>
      </c>
      <c r="B2578" s="3">
        <f ca="1">IFERROR(__xludf.DUMMYFUNCTION("""COMPUTED_VALUE"""),50638)</f>
        <v>50638</v>
      </c>
      <c r="C2578" s="3">
        <f ca="1">IFERROR(__xludf.DUMMYFUNCTION("""COMPUTED_VALUE"""),5902557395941)</f>
        <v>5902557395941</v>
      </c>
      <c r="D2578" s="4" t="str">
        <f ca="1">IFERROR(__xludf.DUMMYFUNCTION("""COMPUTED_VALUE"""),"KABINA PRYSZNICOWA NAROŻNA RAPID FOLD GOLD 80x90")</f>
        <v>KABINA PRYSZNICOWA NAROŻNA RAPID FOLD GOLD 80x90</v>
      </c>
      <c r="E2578" s="31">
        <v>372.70731707317071</v>
      </c>
      <c r="F2578" s="31">
        <f t="shared" si="40"/>
        <v>458.42999999999995</v>
      </c>
    </row>
    <row r="2579" spans="1:6" ht="18.75" customHeight="1" x14ac:dyDescent="0.25">
      <c r="A2579" s="2" t="str">
        <f ca="1">IFERROR(__xludf.DUMMYFUNCTION("""COMPUTED_VALUE"""),"KPL-09130")</f>
        <v>KPL-09130</v>
      </c>
      <c r="B2579" s="3">
        <f ca="1">IFERROR(__xludf.DUMMYFUNCTION("""COMPUTED_VALUE"""),50637)</f>
        <v>50637</v>
      </c>
      <c r="C2579" s="3">
        <f ca="1">IFERROR(__xludf.DUMMYFUNCTION("""COMPUTED_VALUE"""),5902557395934)</f>
        <v>5902557395934</v>
      </c>
      <c r="D2579" s="4" t="str">
        <f ca="1">IFERROR(__xludf.DUMMYFUNCTION("""COMPUTED_VALUE"""),"KABINA PRYSZNICOWA NAROŻNA RAPID FOLD GOLD 80x80")</f>
        <v>KABINA PRYSZNICOWA NAROŻNA RAPID FOLD GOLD 80x80</v>
      </c>
      <c r="E2579" s="31">
        <v>364.58536585365857</v>
      </c>
      <c r="F2579" s="31">
        <f t="shared" si="40"/>
        <v>448.44000000000005</v>
      </c>
    </row>
    <row r="2580" spans="1:6" ht="18.75" customHeight="1" x14ac:dyDescent="0.25">
      <c r="A2580" s="2" t="str">
        <f ca="1">IFERROR(__xludf.DUMMYFUNCTION("""COMPUTED_VALUE"""),"KPL-02014")</f>
        <v>KPL-02014</v>
      </c>
      <c r="B2580" s="3">
        <f ca="1">IFERROR(__xludf.DUMMYFUNCTION("""COMPUTED_VALUE"""),50529)</f>
        <v>50529</v>
      </c>
      <c r="C2580" s="3">
        <f ca="1">IFERROR(__xludf.DUMMYFUNCTION("""COMPUTED_VALUE"""),5902557392841)</f>
        <v>5902557392841</v>
      </c>
      <c r="D2580" s="4" t="str">
        <f ca="1">IFERROR(__xludf.DUMMYFUNCTION("""COMPUTED_VALUE"""),"KABINA PRYSZNICOWA MOLIER BLACK DOUBLE 110X110")</f>
        <v>KABINA PRYSZNICOWA MOLIER BLACK DOUBLE 110X110</v>
      </c>
      <c r="E2580" s="31">
        <v>416.92682926829275</v>
      </c>
      <c r="F2580" s="31">
        <f t="shared" si="40"/>
        <v>512.82000000000005</v>
      </c>
    </row>
    <row r="2581" spans="1:6" ht="18.75" customHeight="1" x14ac:dyDescent="0.25">
      <c r="A2581" s="2" t="str">
        <f ca="1">IFERROR(__xludf.DUMMYFUNCTION("""COMPUTED_VALUE"""),"KPL-02013")</f>
        <v>KPL-02013</v>
      </c>
      <c r="B2581" s="3">
        <f ca="1">IFERROR(__xludf.DUMMYFUNCTION("""COMPUTED_VALUE"""),50528)</f>
        <v>50528</v>
      </c>
      <c r="C2581" s="3">
        <f ca="1">IFERROR(__xludf.DUMMYFUNCTION("""COMPUTED_VALUE"""),5902557392810)</f>
        <v>5902557392810</v>
      </c>
      <c r="D2581" s="4" t="str">
        <f ca="1">IFERROR(__xludf.DUMMYFUNCTION("""COMPUTED_VALUE"""),"KABINA PRYSZNICOWA MOLIER BLACK DOUBLE 100X110")</f>
        <v>KABINA PRYSZNICOWA MOLIER BLACK DOUBLE 100X110</v>
      </c>
      <c r="E2581" s="31">
        <v>412.41463414634154</v>
      </c>
      <c r="F2581" s="31">
        <f t="shared" si="40"/>
        <v>507.2700000000001</v>
      </c>
    </row>
    <row r="2582" spans="1:6" ht="18.75" customHeight="1" x14ac:dyDescent="0.25">
      <c r="A2582" s="2" t="str">
        <f ca="1">IFERROR(__xludf.DUMMYFUNCTION("""COMPUTED_VALUE"""),"KPL-02012")</f>
        <v>KPL-02012</v>
      </c>
      <c r="B2582" s="3">
        <f ca="1">IFERROR(__xludf.DUMMYFUNCTION("""COMPUTED_VALUE"""),50527)</f>
        <v>50527</v>
      </c>
      <c r="C2582" s="3">
        <f ca="1">IFERROR(__xludf.DUMMYFUNCTION("""COMPUTED_VALUE"""),5902557392803)</f>
        <v>5902557392803</v>
      </c>
      <c r="D2582" s="4" t="str">
        <f ca="1">IFERROR(__xludf.DUMMYFUNCTION("""COMPUTED_VALUE"""),"KABINA PRYSZNICOWA MOLIER BLACK DOUBLE 90x110")</f>
        <v>KABINA PRYSZNICOWA MOLIER BLACK DOUBLE 90x110</v>
      </c>
      <c r="E2582" s="31">
        <v>406.09756097560984</v>
      </c>
      <c r="F2582" s="31">
        <f t="shared" si="40"/>
        <v>499.50000000000011</v>
      </c>
    </row>
    <row r="2583" spans="1:6" ht="18.75" customHeight="1" x14ac:dyDescent="0.25">
      <c r="A2583" s="2" t="str">
        <f ca="1">IFERROR(__xludf.DUMMYFUNCTION("""COMPUTED_VALUE"""),"KPL-02011")</f>
        <v>KPL-02011</v>
      </c>
      <c r="B2583" s="3">
        <f ca="1">IFERROR(__xludf.DUMMYFUNCTION("""COMPUTED_VALUE"""),50526)</f>
        <v>50526</v>
      </c>
      <c r="C2583" s="3">
        <f ca="1">IFERROR(__xludf.DUMMYFUNCTION("""COMPUTED_VALUE"""),5902557392797)</f>
        <v>5902557392797</v>
      </c>
      <c r="D2583" s="4" t="str">
        <f ca="1">IFERROR(__xludf.DUMMYFUNCTION("""COMPUTED_VALUE"""),"KABINA PRYSZNICOWA MOLIER BLACK DOUBLE 80x110")</f>
        <v>KABINA PRYSZNICOWA MOLIER BLACK DOUBLE 80x110</v>
      </c>
      <c r="E2583" s="31">
        <v>394.36585365853665</v>
      </c>
      <c r="F2583" s="31">
        <f t="shared" si="40"/>
        <v>485.07000000000005</v>
      </c>
    </row>
    <row r="2584" spans="1:6" ht="18.75" customHeight="1" x14ac:dyDescent="0.25">
      <c r="A2584" s="2" t="str">
        <f ca="1">IFERROR(__xludf.DUMMYFUNCTION("""COMPUTED_VALUE"""),"KPL-02007")</f>
        <v>KPL-02007</v>
      </c>
      <c r="B2584" s="3">
        <f ca="1">IFERROR(__xludf.DUMMYFUNCTION("""COMPUTED_VALUE"""),50523)</f>
        <v>50523</v>
      </c>
      <c r="C2584" s="3">
        <f ca="1">IFERROR(__xludf.DUMMYFUNCTION("""COMPUTED_VALUE"""),5902557392773)</f>
        <v>5902557392773</v>
      </c>
      <c r="D2584" s="4" t="str">
        <f ca="1">IFERROR(__xludf.DUMMYFUNCTION("""COMPUTED_VALUE"""),"KABINA PRYSZNICOWA MOLIER BLACK 110X80")</f>
        <v>KABINA PRYSZNICOWA MOLIER BLACK 110X80</v>
      </c>
      <c r="E2584" s="31">
        <v>349.2439024390244</v>
      </c>
      <c r="F2584" s="31">
        <f t="shared" si="40"/>
        <v>429.57</v>
      </c>
    </row>
    <row r="2585" spans="1:6" ht="18.75" customHeight="1" x14ac:dyDescent="0.25">
      <c r="A2585" s="2" t="str">
        <f ca="1">IFERROR(__xludf.DUMMYFUNCTION("""COMPUTED_VALUE"""),"KPL-02015")</f>
        <v>KPL-02015</v>
      </c>
      <c r="B2585" s="3">
        <f ca="1">IFERROR(__xludf.DUMMYFUNCTION("""COMPUTED_VALUE"""),50261)</f>
        <v>50261</v>
      </c>
      <c r="C2585" s="3">
        <f ca="1">IFERROR(__xludf.DUMMYFUNCTION("""COMPUTED_VALUE"""),5902557392858)</f>
        <v>5902557392858</v>
      </c>
      <c r="D2585" s="4" t="str">
        <f ca="1">IFERROR(__xludf.DUMMYFUNCTION("""COMPUTED_VALUE"""),"Drzwi MOLIER 110 Black + listwa magnetyczna")</f>
        <v>Drzwi MOLIER 110 Black + listwa magnetyczna</v>
      </c>
      <c r="E2585" s="31">
        <v>249.97560975609761</v>
      </c>
      <c r="F2585" s="31">
        <f t="shared" si="40"/>
        <v>307.47000000000008</v>
      </c>
    </row>
    <row r="2586" spans="1:6" ht="18.75" customHeight="1" x14ac:dyDescent="0.25">
      <c r="A2586" s="2" t="str">
        <f ca="1">IFERROR(__xludf.DUMMYFUNCTION("""COMPUTED_VALUE"""),"KPL-K12013")</f>
        <v>KPL-K12013</v>
      </c>
      <c r="B2586" s="3">
        <f ca="1">IFERROR(__xludf.DUMMYFUNCTION("""COMPUTED_VALUE"""),50219)</f>
        <v>50219</v>
      </c>
      <c r="C2586" s="3">
        <f ca="1">IFERROR(__xludf.DUMMYFUNCTION("""COMPUTED_VALUE"""),5902557398782)</f>
        <v>5902557398782</v>
      </c>
      <c r="D2586" s="4" t="str">
        <f ca="1">IFERROR(__xludf.DUMMYFUNCTION("""COMPUTED_VALUE"""),"KABINA PRYSZNICOWA MOLIER BLACK 100X100")</f>
        <v>KABINA PRYSZNICOWA MOLIER BLACK 100X100</v>
      </c>
      <c r="E2586" s="31">
        <v>407.90243902439028</v>
      </c>
      <c r="F2586" s="31">
        <f t="shared" si="40"/>
        <v>501.72</v>
      </c>
    </row>
    <row r="2587" spans="1:6" ht="18.75" customHeight="1" x14ac:dyDescent="0.25">
      <c r="A2587" s="2" t="str">
        <f ca="1">IFERROR(__xludf.DUMMYFUNCTION("""COMPUTED_VALUE"""),"KPL-12012")</f>
        <v>KPL-12012</v>
      </c>
      <c r="B2587" s="3">
        <f ca="1">IFERROR(__xludf.DUMMYFUNCTION("""COMPUTED_VALUE"""),50218)</f>
        <v>50218</v>
      </c>
      <c r="C2587" s="3">
        <f ca="1">IFERROR(__xludf.DUMMYFUNCTION("""COMPUTED_VALUE"""),5902557398744)</f>
        <v>5902557398744</v>
      </c>
      <c r="D2587" s="4" t="str">
        <f ca="1">IFERROR(__xludf.DUMMYFUNCTION("""COMPUTED_VALUE"""),"KABINA PRYSZNICOWA MOLIER BLACK DOUBLE 90x100")</f>
        <v>KABINA PRYSZNICOWA MOLIER BLACK DOUBLE 90x100</v>
      </c>
      <c r="E2587" s="31">
        <v>401.58536585365857</v>
      </c>
      <c r="F2587" s="31">
        <f t="shared" si="40"/>
        <v>493.95000000000005</v>
      </c>
    </row>
    <row r="2588" spans="1:6" ht="18.75" customHeight="1" x14ac:dyDescent="0.25">
      <c r="A2588" s="2" t="str">
        <f ca="1">IFERROR(__xludf.DUMMYFUNCTION("""COMPUTED_VALUE"""),"KPL-22012")</f>
        <v>KPL-22012</v>
      </c>
      <c r="B2588" s="3">
        <f ca="1">IFERROR(__xludf.DUMMYFUNCTION("""COMPUTED_VALUE"""),50217)</f>
        <v>50217</v>
      </c>
      <c r="C2588" s="3">
        <f ca="1">IFERROR(__xludf.DUMMYFUNCTION("""COMPUTED_VALUE"""),5902557386505)</f>
        <v>5902557386505</v>
      </c>
      <c r="D2588" s="4" t="str">
        <f ca="1">IFERROR(__xludf.DUMMYFUNCTION("""COMPUTED_VALUE"""),"KABINA PRYSZNICOWA MOLIER BLACK DOUBLE 90X90")</f>
        <v>KABINA PRYSZNICOWA MOLIER BLACK DOUBLE 90X90</v>
      </c>
      <c r="E2588" s="31">
        <v>395.26829268292687</v>
      </c>
      <c r="F2588" s="31">
        <f t="shared" si="40"/>
        <v>486.18000000000006</v>
      </c>
    </row>
    <row r="2589" spans="1:6" ht="18.75" customHeight="1" x14ac:dyDescent="0.25">
      <c r="A2589" s="2" t="str">
        <f ca="1">IFERROR(__xludf.DUMMYFUNCTION("""COMPUTED_VALUE"""),"KPL-K2011")</f>
        <v>KPL-K2011</v>
      </c>
      <c r="B2589" s="3">
        <f ca="1">IFERROR(__xludf.DUMMYFUNCTION("""COMPUTED_VALUE"""),50216)</f>
        <v>50216</v>
      </c>
      <c r="C2589" s="3">
        <f ca="1">IFERROR(__xludf.DUMMYFUNCTION("""COMPUTED_VALUE"""),5902557398799)</f>
        <v>5902557398799</v>
      </c>
      <c r="D2589" s="4" t="str">
        <f ca="1">IFERROR(__xludf.DUMMYFUNCTION("""COMPUTED_VALUE"""),"KABINA PRYSZNICOWA MOLIER BLACK DOUBLE 80x100")</f>
        <v>KABINA PRYSZNICOWA MOLIER BLACK DOUBLE 80x100</v>
      </c>
      <c r="E2589" s="31">
        <v>389.85365853658544</v>
      </c>
      <c r="F2589" s="31">
        <f t="shared" si="40"/>
        <v>479.5200000000001</v>
      </c>
    </row>
    <row r="2590" spans="1:6" ht="18.75" customHeight="1" x14ac:dyDescent="0.25">
      <c r="A2590" s="2" t="str">
        <f ca="1">IFERROR(__xludf.DUMMYFUNCTION("""COMPUTED_VALUE"""),"KPL-K1011")</f>
        <v>KPL-K1011</v>
      </c>
      <c r="B2590" s="3">
        <f ca="1">IFERROR(__xludf.DUMMYFUNCTION("""COMPUTED_VALUE"""),50215)</f>
        <v>50215</v>
      </c>
      <c r="C2590" s="3">
        <f ca="1">IFERROR(__xludf.DUMMYFUNCTION("""COMPUTED_VALUE"""),5902557398805)</f>
        <v>5902557398805</v>
      </c>
      <c r="D2590" s="4" t="str">
        <f ca="1">IFERROR(__xludf.DUMMYFUNCTION("""COMPUTED_VALUE"""),"KABINA PRYSZNICOWA MOLIER BLACK DOUBLE 80X90")</f>
        <v>KABINA PRYSZNICOWA MOLIER BLACK DOUBLE 80X90</v>
      </c>
      <c r="E2590" s="31">
        <v>383.53658536585374</v>
      </c>
      <c r="F2590" s="31">
        <f t="shared" si="40"/>
        <v>471.75000000000011</v>
      </c>
    </row>
    <row r="2591" spans="1:6" ht="18.75" customHeight="1" x14ac:dyDescent="0.25">
      <c r="A2591" s="2" t="str">
        <f ca="1">IFERROR(__xludf.DUMMYFUNCTION("""COMPUTED_VALUE"""),"KPL-K3011")</f>
        <v>KPL-K3011</v>
      </c>
      <c r="B2591" s="3">
        <f ca="1">IFERROR(__xludf.DUMMYFUNCTION("""COMPUTED_VALUE"""),50214)</f>
        <v>50214</v>
      </c>
      <c r="C2591" s="3">
        <f ca="1">IFERROR(__xludf.DUMMYFUNCTION("""COMPUTED_VALUE"""),5902557386550)</f>
        <v>5902557386550</v>
      </c>
      <c r="D2591" s="4" t="str">
        <f ca="1">IFERROR(__xludf.DUMMYFUNCTION("""COMPUTED_VALUE"""),"KABINA PRYSZNICOWA MOLIER BLACK DOUBLE 80X80")</f>
        <v>KABINA PRYSZNICOWA MOLIER BLACK DOUBLE 80X80</v>
      </c>
      <c r="E2591" s="31">
        <v>371.80487804878049</v>
      </c>
      <c r="F2591" s="31">
        <f t="shared" si="40"/>
        <v>457.32</v>
      </c>
    </row>
    <row r="2592" spans="1:6" ht="18.75" customHeight="1" x14ac:dyDescent="0.25">
      <c r="A2592" s="2" t="str">
        <f ca="1">IFERROR(__xludf.DUMMYFUNCTION("""COMPUTED_VALUE"""),"KPL-K6374")</f>
        <v>KPL-K6374</v>
      </c>
      <c r="B2592" s="3">
        <f ca="1">IFERROR(__xludf.DUMMYFUNCTION("""COMPUTED_VALUE"""),50206)</f>
        <v>50206</v>
      </c>
      <c r="C2592" s="3">
        <f ca="1">IFERROR(__xludf.DUMMYFUNCTION("""COMPUTED_VALUE"""),5906366005466)</f>
        <v>5906366005466</v>
      </c>
      <c r="D2592" s="4" t="str">
        <f ca="1">IFERROR(__xludf.DUMMYFUNCTION("""COMPUTED_VALUE"""),"KABINA PRYSZNICOWA MOLIER CHROM DOUBLE 100X100")</f>
        <v>KABINA PRYSZNICOWA MOLIER CHROM DOUBLE 100X100</v>
      </c>
      <c r="E2592" s="31">
        <v>382.63414634146346</v>
      </c>
      <c r="F2592" s="31">
        <f t="shared" si="40"/>
        <v>470.64000000000004</v>
      </c>
    </row>
    <row r="2593" spans="1:6" ht="18.75" customHeight="1" x14ac:dyDescent="0.25">
      <c r="A2593" s="2" t="str">
        <f ca="1">IFERROR(__xludf.DUMMYFUNCTION("""COMPUTED_VALUE"""),"KPL-K6373")</f>
        <v>KPL-K6373</v>
      </c>
      <c r="B2593" s="3">
        <f ca="1">IFERROR(__xludf.DUMMYFUNCTION("""COMPUTED_VALUE"""),50205)</f>
        <v>50205</v>
      </c>
      <c r="C2593" s="3">
        <f ca="1">IFERROR(__xludf.DUMMYFUNCTION("""COMPUTED_VALUE"""),5906366005459)</f>
        <v>5906366005459</v>
      </c>
      <c r="D2593" s="4" t="str">
        <f ca="1">IFERROR(__xludf.DUMMYFUNCTION("""COMPUTED_VALUE"""),"KABINA PRYSZNICOWA MOLIER CHROM DOUBLE 90X100")</f>
        <v>KABINA PRYSZNICOWA MOLIER CHROM DOUBLE 90X100</v>
      </c>
      <c r="E2593" s="31">
        <v>373.60975609756099</v>
      </c>
      <c r="F2593" s="31">
        <f t="shared" si="40"/>
        <v>459.54</v>
      </c>
    </row>
    <row r="2594" spans="1:6" ht="18.75" customHeight="1" x14ac:dyDescent="0.25">
      <c r="A2594" s="2" t="str">
        <f ca="1">IFERROR(__xludf.DUMMYFUNCTION("""COMPUTED_VALUE"""),"KPL-K6372")</f>
        <v>KPL-K6372</v>
      </c>
      <c r="B2594" s="3">
        <f ca="1">IFERROR(__xludf.DUMMYFUNCTION("""COMPUTED_VALUE"""),50204)</f>
        <v>50204</v>
      </c>
      <c r="C2594" s="3">
        <f ca="1">IFERROR(__xludf.DUMMYFUNCTION("""COMPUTED_VALUE"""),5906366005442)</f>
        <v>5906366005442</v>
      </c>
      <c r="D2594" s="4" t="str">
        <f ca="1">IFERROR(__xludf.DUMMYFUNCTION("""COMPUTED_VALUE"""),"KABINA PRYSZNICOWA MOLIER CHROM DOUBLE 90X90")</f>
        <v>KABINA PRYSZNICOWA MOLIER CHROM DOUBLE 90X90</v>
      </c>
      <c r="E2594" s="31">
        <v>364.58536585365857</v>
      </c>
      <c r="F2594" s="31">
        <f t="shared" si="40"/>
        <v>448.44000000000005</v>
      </c>
    </row>
    <row r="2595" spans="1:6" ht="18.75" customHeight="1" x14ac:dyDescent="0.25">
      <c r="A2595" s="2" t="str">
        <f ca="1">IFERROR(__xludf.DUMMYFUNCTION("""COMPUTED_VALUE"""),"KPL-K6370")</f>
        <v>KPL-K6370</v>
      </c>
      <c r="B2595" s="3">
        <f ca="1">IFERROR(__xludf.DUMMYFUNCTION("""COMPUTED_VALUE"""),50203)</f>
        <v>50203</v>
      </c>
      <c r="C2595" s="3">
        <f ca="1">IFERROR(__xludf.DUMMYFUNCTION("""COMPUTED_VALUE"""),5906366005435)</f>
        <v>5906366005435</v>
      </c>
      <c r="D2595" s="4" t="str">
        <f ca="1">IFERROR(__xludf.DUMMYFUNCTION("""COMPUTED_VALUE"""),"KABINA PRYSZNICOWA MOLIER CHROM DOUBLE 80X100")</f>
        <v>KABINA PRYSZNICOWA MOLIER CHROM DOUBLE 80X100</v>
      </c>
      <c r="E2595" s="31">
        <v>360.07317073170731</v>
      </c>
      <c r="F2595" s="31">
        <f t="shared" si="40"/>
        <v>442.89</v>
      </c>
    </row>
    <row r="2596" spans="1:6" ht="18.75" customHeight="1" x14ac:dyDescent="0.25">
      <c r="A2596" s="2" t="str">
        <f ca="1">IFERROR(__xludf.DUMMYFUNCTION("""COMPUTED_VALUE"""),"KPL-K6369")</f>
        <v>KPL-K6369</v>
      </c>
      <c r="B2596" s="3">
        <f ca="1">IFERROR(__xludf.DUMMYFUNCTION("""COMPUTED_VALUE"""),50202)</f>
        <v>50202</v>
      </c>
      <c r="C2596" s="3">
        <f ca="1">IFERROR(__xludf.DUMMYFUNCTION("""COMPUTED_VALUE"""),5906366005428)</f>
        <v>5906366005428</v>
      </c>
      <c r="D2596" s="4" t="str">
        <f ca="1">IFERROR(__xludf.DUMMYFUNCTION("""COMPUTED_VALUE"""),"KABINA PRYSZNICOWA MOLIER CHROM DOUBLE 80X90")</f>
        <v>KABINA PRYSZNICOWA MOLIER CHROM DOUBLE 80X90</v>
      </c>
      <c r="E2596" s="31">
        <v>351.04878048780489</v>
      </c>
      <c r="F2596" s="31">
        <f t="shared" si="40"/>
        <v>431.79</v>
      </c>
    </row>
    <row r="2597" spans="1:6" ht="18.75" customHeight="1" x14ac:dyDescent="0.25">
      <c r="A2597" s="2" t="str">
        <f ca="1">IFERROR(__xludf.DUMMYFUNCTION("""COMPUTED_VALUE"""),"KPL-K6368")</f>
        <v>KPL-K6368</v>
      </c>
      <c r="B2597" s="3">
        <f ca="1">IFERROR(__xludf.DUMMYFUNCTION("""COMPUTED_VALUE"""),50201)</f>
        <v>50201</v>
      </c>
      <c r="C2597" s="3">
        <f ca="1">IFERROR(__xludf.DUMMYFUNCTION("""COMPUTED_VALUE"""),5902557386888)</f>
        <v>5902557386888</v>
      </c>
      <c r="D2597" s="4" t="str">
        <f ca="1">IFERROR(__xludf.DUMMYFUNCTION("""COMPUTED_VALUE"""),"KABINA PRYSZNICOWA MOLIER CHROM DOUBLE 80X80")</f>
        <v>KABINA PRYSZNICOWA MOLIER CHROM DOUBLE 80X80</v>
      </c>
      <c r="E2597" s="31">
        <v>337.51219512195127</v>
      </c>
      <c r="F2597" s="31">
        <f t="shared" si="40"/>
        <v>415.14000000000004</v>
      </c>
    </row>
    <row r="2598" spans="1:6" ht="18.75" customHeight="1" x14ac:dyDescent="0.25">
      <c r="A2598" s="2" t="str">
        <f ca="1">IFERROR(__xludf.DUMMYFUNCTION("""COMPUTED_VALUE"""),"KPL-K0371")</f>
        <v>KPL-K0371</v>
      </c>
      <c r="B2598" s="3">
        <f ca="1">IFERROR(__xludf.DUMMYFUNCTION("""COMPUTED_VALUE"""),50193)</f>
        <v>50193</v>
      </c>
      <c r="C2598" s="3">
        <f ca="1">IFERROR(__xludf.DUMMYFUNCTION("""COMPUTED_VALUE"""),5902557386161)</f>
        <v>5902557386161</v>
      </c>
      <c r="D2598" s="4" t="str">
        <f ca="1">IFERROR(__xludf.DUMMYFUNCTION("""COMPUTED_VALUE"""),"KABINA PRYSZNICOWA MOLIER CHROM 100x90")</f>
        <v>KABINA PRYSZNICOWA MOLIER CHROM 100x90</v>
      </c>
      <c r="E2598" s="31">
        <v>287.87804878048786</v>
      </c>
      <c r="F2598" s="31">
        <f t="shared" si="40"/>
        <v>354.09000000000009</v>
      </c>
    </row>
    <row r="2599" spans="1:6" ht="18.75" customHeight="1" x14ac:dyDescent="0.25">
      <c r="A2599" s="2" t="str">
        <f ca="1">IFERROR(__xludf.DUMMYFUNCTION("""COMPUTED_VALUE"""),"KPL-K1371")</f>
        <v>KPL-K1371</v>
      </c>
      <c r="B2599" s="3">
        <f ca="1">IFERROR(__xludf.DUMMYFUNCTION("""COMPUTED_VALUE"""),50192)</f>
        <v>50192</v>
      </c>
      <c r="C2599" s="3">
        <f ca="1">IFERROR(__xludf.DUMMYFUNCTION("""COMPUTED_VALUE"""),5902557386154)</f>
        <v>5902557386154</v>
      </c>
      <c r="D2599" s="4" t="str">
        <f ca="1">IFERROR(__xludf.DUMMYFUNCTION("""COMPUTED_VALUE"""),"KABINA PRYSZNICOWA MOLIER CHROM 100x80")</f>
        <v>KABINA PRYSZNICOWA MOLIER CHROM 100x80</v>
      </c>
      <c r="E2599" s="31">
        <v>286.07317073170736</v>
      </c>
      <c r="F2599" s="31">
        <f t="shared" si="40"/>
        <v>351.87000000000006</v>
      </c>
    </row>
    <row r="2600" spans="1:6" ht="18.75" customHeight="1" x14ac:dyDescent="0.25">
      <c r="A2600" s="2" t="str">
        <f ca="1">IFERROR(__xludf.DUMMYFUNCTION("""COMPUTED_VALUE"""),"KPL-K0539")</f>
        <v>KPL-K0539</v>
      </c>
      <c r="B2600" s="3">
        <f ca="1">IFERROR(__xludf.DUMMYFUNCTION("""COMPUTED_VALUE"""),50191)</f>
        <v>50191</v>
      </c>
      <c r="C2600" s="3">
        <f ca="1">IFERROR(__xludf.DUMMYFUNCTION("""COMPUTED_VALUE"""),5902557386239)</f>
        <v>5902557386239</v>
      </c>
      <c r="D2600" s="4" t="str">
        <f ca="1">IFERROR(__xludf.DUMMYFUNCTION("""COMPUTED_VALUE"""),"KABINA PRYSZNICOWA MOLIER CHROM 90x90")</f>
        <v>KABINA PRYSZNICOWA MOLIER CHROM 90x90</v>
      </c>
      <c r="E2600" s="31">
        <v>278.85365853658539</v>
      </c>
      <c r="F2600" s="31">
        <f t="shared" si="40"/>
        <v>342.99</v>
      </c>
    </row>
    <row r="2601" spans="1:6" ht="18.75" customHeight="1" x14ac:dyDescent="0.25">
      <c r="A2601" s="2" t="str">
        <f ca="1">IFERROR(__xludf.DUMMYFUNCTION("""COMPUTED_VALUE"""),"KPL-K1539")</f>
        <v>KPL-K1539</v>
      </c>
      <c r="B2601" s="3">
        <f ca="1">IFERROR(__xludf.DUMMYFUNCTION("""COMPUTED_VALUE"""),50190)</f>
        <v>50190</v>
      </c>
      <c r="C2601" s="3">
        <f ca="1">IFERROR(__xludf.DUMMYFUNCTION("""COMPUTED_VALUE"""),5902557386130)</f>
        <v>5902557386130</v>
      </c>
      <c r="D2601" s="4" t="str">
        <f ca="1">IFERROR(__xludf.DUMMYFUNCTION("""COMPUTED_VALUE"""),"KABINA PRYSZNICOWA MOLIER CHROM 90x80")</f>
        <v>KABINA PRYSZNICOWA MOLIER CHROM 90x80</v>
      </c>
      <c r="E2601" s="31">
        <v>277.04878048780489</v>
      </c>
      <c r="F2601" s="31">
        <f t="shared" si="40"/>
        <v>340.77000000000004</v>
      </c>
    </row>
    <row r="2602" spans="1:6" ht="18.75" customHeight="1" x14ac:dyDescent="0.25">
      <c r="A2602" s="2" t="str">
        <f ca="1">IFERROR(__xludf.DUMMYFUNCTION("""COMPUTED_VALUE"""),"KPL-K0367")</f>
        <v>KPL-K0367</v>
      </c>
      <c r="B2602" s="3">
        <f ca="1">IFERROR(__xludf.DUMMYFUNCTION("""COMPUTED_VALUE"""),50186)</f>
        <v>50186</v>
      </c>
      <c r="C2602" s="3">
        <f ca="1">IFERROR(__xludf.DUMMYFUNCTION("""COMPUTED_VALUE"""),5902557386116)</f>
        <v>5902557386116</v>
      </c>
      <c r="D2602" s="4" t="str">
        <f ca="1">IFERROR(__xludf.DUMMYFUNCTION("""COMPUTED_VALUE"""),"KABINA PRYSZNICOWA MOLIER CHROM 80x90")</f>
        <v>KABINA PRYSZNICOWA MOLIER CHROM 80x90</v>
      </c>
      <c r="E2602" s="31">
        <v>265.31707317073176</v>
      </c>
      <c r="F2602" s="31">
        <f t="shared" si="40"/>
        <v>326.34000000000003</v>
      </c>
    </row>
    <row r="2603" spans="1:6" ht="18.75" customHeight="1" x14ac:dyDescent="0.25">
      <c r="A2603" s="2" t="str">
        <f ca="1">IFERROR(__xludf.DUMMYFUNCTION("""COMPUTED_VALUE"""),"KPL-K2367")</f>
        <v>KPL-K2367</v>
      </c>
      <c r="B2603" s="3">
        <f ca="1">IFERROR(__xludf.DUMMYFUNCTION("""COMPUTED_VALUE"""),50185)</f>
        <v>50185</v>
      </c>
      <c r="C2603" s="3">
        <f ca="1">IFERROR(__xludf.DUMMYFUNCTION("""COMPUTED_VALUE"""),5902557386123)</f>
        <v>5902557386123</v>
      </c>
      <c r="D2603" s="4" t="str">
        <f ca="1">IFERROR(__xludf.DUMMYFUNCTION("""COMPUTED_VALUE"""),"KABINA PRYSZNICOWA MOLIER CHROM 80x80")</f>
        <v>KABINA PRYSZNICOWA MOLIER CHROM 80x80</v>
      </c>
      <c r="E2603" s="31">
        <v>263.51219512195127</v>
      </c>
      <c r="F2603" s="31">
        <f t="shared" si="40"/>
        <v>324.12000000000006</v>
      </c>
    </row>
    <row r="2604" spans="1:6" ht="18.75" customHeight="1" x14ac:dyDescent="0.25">
      <c r="A2604" s="2" t="str">
        <f ca="1">IFERROR(__xludf.DUMMYFUNCTION("""COMPUTED_VALUE"""),"KPL-K6963")</f>
        <v>KPL-K6963</v>
      </c>
      <c r="B2604" s="3">
        <f ca="1">IFERROR(__xludf.DUMMYFUNCTION("""COMPUTED_VALUE"""),50180)</f>
        <v>50180</v>
      </c>
      <c r="C2604" s="3">
        <f ca="1">IFERROR(__xludf.DUMMYFUNCTION("""COMPUTED_VALUE"""),5902557387380)</f>
        <v>5902557387380</v>
      </c>
      <c r="D2604" s="4" t="str">
        <f ca="1">IFERROR(__xludf.DUMMYFUNCTION("""COMPUTED_VALUE"""),"KABINA PRYSZNICOWA MOLIER BLACK 100X90")</f>
        <v>KABINA PRYSZNICOWA MOLIER BLACK 100X90</v>
      </c>
      <c r="E2604" s="31">
        <v>337.51219512195127</v>
      </c>
      <c r="F2604" s="31">
        <f t="shared" si="40"/>
        <v>415.14000000000004</v>
      </c>
    </row>
    <row r="2605" spans="1:6" ht="18.75" customHeight="1" x14ac:dyDescent="0.25">
      <c r="A2605" s="2" t="str">
        <f ca="1">IFERROR(__xludf.DUMMYFUNCTION("""COMPUTED_VALUE"""),"KPL-K0963")</f>
        <v>KPL-K0963</v>
      </c>
      <c r="B2605" s="3">
        <f ca="1">IFERROR(__xludf.DUMMYFUNCTION("""COMPUTED_VALUE"""),50179)</f>
        <v>50179</v>
      </c>
      <c r="C2605" s="3">
        <f ca="1">IFERROR(__xludf.DUMMYFUNCTION("""COMPUTED_VALUE"""),5902557398775)</f>
        <v>5902557398775</v>
      </c>
      <c r="D2605" s="4" t="str">
        <f ca="1">IFERROR(__xludf.DUMMYFUNCTION("""COMPUTED_VALUE"""),"KABINA PRYSZNICOWA MOLIER BLACK 100X80")</f>
        <v>KABINA PRYSZNICOWA MOLIER BLACK 100X80</v>
      </c>
      <c r="E2605" s="31">
        <v>344.73170731707319</v>
      </c>
      <c r="F2605" s="31">
        <f t="shared" si="40"/>
        <v>424.02000000000004</v>
      </c>
    </row>
    <row r="2606" spans="1:6" ht="18.75" customHeight="1" x14ac:dyDescent="0.25">
      <c r="A2606" s="2" t="str">
        <f ca="1">IFERROR(__xludf.DUMMYFUNCTION("""COMPUTED_VALUE"""),"KPL-K8538")</f>
        <v>KPL-K8538</v>
      </c>
      <c r="B2606" s="3">
        <f ca="1">IFERROR(__xludf.DUMMYFUNCTION("""COMPUTED_VALUE"""),50178)</f>
        <v>50178</v>
      </c>
      <c r="C2606" s="3">
        <f ca="1">IFERROR(__xludf.DUMMYFUNCTION("""COMPUTED_VALUE"""),5902557387397)</f>
        <v>5902557387397</v>
      </c>
      <c r="D2606" s="4" t="str">
        <f ca="1">IFERROR(__xludf.DUMMYFUNCTION("""COMPUTED_VALUE"""),"KABINA PRYSZNICOWA MOLIER BLACK 90X90")</f>
        <v>KABINA PRYSZNICOWA MOLIER BLACK 90X90</v>
      </c>
      <c r="E2606" s="31">
        <v>331.19512195121956</v>
      </c>
      <c r="F2606" s="31">
        <f t="shared" si="40"/>
        <v>407.37000000000006</v>
      </c>
    </row>
    <row r="2607" spans="1:6" ht="18.75" customHeight="1" x14ac:dyDescent="0.25">
      <c r="A2607" s="2" t="str">
        <f ca="1">IFERROR(__xludf.DUMMYFUNCTION("""COMPUTED_VALUE"""),"KPL-K8555")</f>
        <v>KPL-K8555</v>
      </c>
      <c r="B2607" s="3">
        <f ca="1">IFERROR(__xludf.DUMMYFUNCTION("""COMPUTED_VALUE"""),50177)</f>
        <v>50177</v>
      </c>
      <c r="C2607" s="3">
        <f ca="1">IFERROR(__xludf.DUMMYFUNCTION("""COMPUTED_VALUE"""),5902557398768)</f>
        <v>5902557398768</v>
      </c>
      <c r="D2607" s="4" t="str">
        <f ca="1">IFERROR(__xludf.DUMMYFUNCTION("""COMPUTED_VALUE"""),"KABINA PRYSZNICOWA MOLIER BLACK 90X80")</f>
        <v>KABINA PRYSZNICOWA MOLIER BLACK 90X80</v>
      </c>
      <c r="E2607" s="31">
        <v>338.41463414634148</v>
      </c>
      <c r="F2607" s="31">
        <f t="shared" si="40"/>
        <v>416.25</v>
      </c>
    </row>
    <row r="2608" spans="1:6" ht="18.75" customHeight="1" x14ac:dyDescent="0.25">
      <c r="A2608" s="2" t="str">
        <f ca="1">IFERROR(__xludf.DUMMYFUNCTION("""COMPUTED_VALUE"""),"KPL-K0537")</f>
        <v>KPL-K0537</v>
      </c>
      <c r="B2608" s="3">
        <f ca="1">IFERROR(__xludf.DUMMYFUNCTION("""COMPUTED_VALUE"""),50174)</f>
        <v>50174</v>
      </c>
      <c r="C2608" s="3">
        <f ca="1">IFERROR(__xludf.DUMMYFUNCTION("""COMPUTED_VALUE"""),5902557398751)</f>
        <v>5902557398751</v>
      </c>
      <c r="D2608" s="4" t="str">
        <f ca="1">IFERROR(__xludf.DUMMYFUNCTION("""COMPUTED_VALUE"""),"KABINA PRYSZNICOWA MOLIER BLACK 80X90")</f>
        <v>KABINA PRYSZNICOWA MOLIER BLACK 80X90</v>
      </c>
      <c r="E2608" s="31">
        <v>319.46341463414637</v>
      </c>
      <c r="F2608" s="31">
        <f t="shared" si="40"/>
        <v>392.94000000000005</v>
      </c>
    </row>
    <row r="2609" spans="1:6" ht="18.75" customHeight="1" x14ac:dyDescent="0.25">
      <c r="A2609" s="2" t="str">
        <f ca="1">IFERROR(__xludf.DUMMYFUNCTION("""COMPUTED_VALUE"""),"KPL-K8537")</f>
        <v>KPL-K8537</v>
      </c>
      <c r="B2609" s="3">
        <f ca="1">IFERROR(__xludf.DUMMYFUNCTION("""COMPUTED_VALUE"""),50173)</f>
        <v>50173</v>
      </c>
      <c r="C2609" s="3">
        <f ca="1">IFERROR(__xludf.DUMMYFUNCTION("""COMPUTED_VALUE"""),5902557386512)</f>
        <v>5902557386512</v>
      </c>
      <c r="D2609" s="4" t="str">
        <f ca="1">IFERROR(__xludf.DUMMYFUNCTION("""COMPUTED_VALUE"""),"KABINA PRYSZNICOWA MOLIER BLACK 80X80")</f>
        <v>KABINA PRYSZNICOWA MOLIER BLACK 80X80</v>
      </c>
      <c r="E2609" s="31">
        <v>326.6829268292683</v>
      </c>
      <c r="F2609" s="31">
        <f t="shared" si="40"/>
        <v>401.82</v>
      </c>
    </row>
    <row r="2610" spans="1:6" ht="18.75" customHeight="1" x14ac:dyDescent="0.25">
      <c r="A2610" s="2" t="str">
        <f ca="1">IFERROR(__xludf.DUMMYFUNCTION("""COMPUTED_VALUE"""),"KPL-K5657")</f>
        <v>KPL-K5657</v>
      </c>
      <c r="B2610" s="3">
        <f ca="1">IFERROR(__xludf.DUMMYFUNCTION("""COMPUTED_VALUE"""),50166)</f>
        <v>50166</v>
      </c>
      <c r="C2610" s="3">
        <f ca="1">IFERROR(__xludf.DUMMYFUNCTION("""COMPUTED_VALUE"""),5906366007200)</f>
        <v>5906366007200</v>
      </c>
      <c r="D2610" s="4" t="str">
        <f ca="1">IFERROR(__xludf.DUMMYFUNCTION("""COMPUTED_VALUE"""),"KABINA NAROŻNA RAPID SLIDE BRUSH GOLD 140x100")</f>
        <v>KABINA NAROŻNA RAPID SLIDE BRUSH GOLD 140x100</v>
      </c>
      <c r="E2610" s="31">
        <v>439.48780487804885</v>
      </c>
      <c r="F2610" s="31">
        <f t="shared" si="40"/>
        <v>540.57000000000005</v>
      </c>
    </row>
    <row r="2611" spans="1:6" ht="18.75" customHeight="1" x14ac:dyDescent="0.25">
      <c r="A2611" s="2" t="str">
        <f ca="1">IFERROR(__xludf.DUMMYFUNCTION("""COMPUTED_VALUE"""),"KPL-K5656")</f>
        <v>KPL-K5656</v>
      </c>
      <c r="B2611" s="3">
        <f ca="1">IFERROR(__xludf.DUMMYFUNCTION("""COMPUTED_VALUE"""),50165)</f>
        <v>50165</v>
      </c>
      <c r="C2611" s="3">
        <f ca="1">IFERROR(__xludf.DUMMYFUNCTION("""COMPUTED_VALUE"""),5906366007194)</f>
        <v>5906366007194</v>
      </c>
      <c r="D2611" s="4" t="str">
        <f ca="1">IFERROR(__xludf.DUMMYFUNCTION("""COMPUTED_VALUE"""),"KABINA NAROŻNA RAPID SLIDE BRUSH GOLD 140x90")</f>
        <v>KABINA NAROŻNA RAPID SLIDE BRUSH GOLD 140x90</v>
      </c>
      <c r="E2611" s="31">
        <v>439.48780487804885</v>
      </c>
      <c r="F2611" s="31">
        <f t="shared" si="40"/>
        <v>540.57000000000005</v>
      </c>
    </row>
    <row r="2612" spans="1:6" ht="18.75" customHeight="1" x14ac:dyDescent="0.25">
      <c r="A2612" s="2" t="str">
        <f ca="1">IFERROR(__xludf.DUMMYFUNCTION("""COMPUTED_VALUE"""),"KPL-K5655")</f>
        <v>KPL-K5655</v>
      </c>
      <c r="B2612" s="3">
        <f ca="1">IFERROR(__xludf.DUMMYFUNCTION("""COMPUTED_VALUE"""),50164)</f>
        <v>50164</v>
      </c>
      <c r="C2612" s="3">
        <f ca="1">IFERROR(__xludf.DUMMYFUNCTION("""COMPUTED_VALUE"""),5906366007187)</f>
        <v>5906366007187</v>
      </c>
      <c r="D2612" s="4" t="str">
        <f ca="1">IFERROR(__xludf.DUMMYFUNCTION("""COMPUTED_VALUE"""),"KABINA NAROŻNA RAPID SLIDE BRUSH GOLD 140x80")</f>
        <v>KABINA NAROŻNA RAPID SLIDE BRUSH GOLD 140x80</v>
      </c>
      <c r="E2612" s="31">
        <v>433.17073170731715</v>
      </c>
      <c r="F2612" s="31">
        <f t="shared" si="40"/>
        <v>532.80000000000007</v>
      </c>
    </row>
    <row r="2613" spans="1:6" ht="18.75" customHeight="1" x14ac:dyDescent="0.25">
      <c r="A2613" s="2" t="str">
        <f ca="1">IFERROR(__xludf.DUMMYFUNCTION("""COMPUTED_VALUE"""),"KPL-K5654")</f>
        <v>KPL-K5654</v>
      </c>
      <c r="B2613" s="3">
        <f ca="1">IFERROR(__xludf.DUMMYFUNCTION("""COMPUTED_VALUE"""),50163)</f>
        <v>50163</v>
      </c>
      <c r="C2613" s="3">
        <f ca="1">IFERROR(__xludf.DUMMYFUNCTION("""COMPUTED_VALUE"""),5906366007170)</f>
        <v>5906366007170</v>
      </c>
      <c r="D2613" s="4" t="str">
        <f ca="1">IFERROR(__xludf.DUMMYFUNCTION("""COMPUTED_VALUE"""),"KABINA NAROŻNA RAPID SLIDE BRUSH GOLD 130x100")</f>
        <v>KABINA NAROŻNA RAPID SLIDE BRUSH GOLD 130x100</v>
      </c>
      <c r="E2613" s="31">
        <v>430.46341463414637</v>
      </c>
      <c r="F2613" s="31">
        <f t="shared" si="40"/>
        <v>529.47</v>
      </c>
    </row>
    <row r="2614" spans="1:6" ht="18.75" customHeight="1" x14ac:dyDescent="0.25">
      <c r="A2614" s="2" t="str">
        <f ca="1">IFERROR(__xludf.DUMMYFUNCTION("""COMPUTED_VALUE"""),"KPL-K5653")</f>
        <v>KPL-K5653</v>
      </c>
      <c r="B2614" s="3">
        <f ca="1">IFERROR(__xludf.DUMMYFUNCTION("""COMPUTED_VALUE"""),50162)</f>
        <v>50162</v>
      </c>
      <c r="C2614" s="3">
        <f ca="1">IFERROR(__xludf.DUMMYFUNCTION("""COMPUTED_VALUE"""),5906366007163)</f>
        <v>5906366007163</v>
      </c>
      <c r="D2614" s="4" t="str">
        <f ca="1">IFERROR(__xludf.DUMMYFUNCTION("""COMPUTED_VALUE"""),"KABINA NAROŻNA RAPID SLIDE BRUSH GOLD 130x90")</f>
        <v>KABINA NAROŻNA RAPID SLIDE BRUSH GOLD 130x90</v>
      </c>
      <c r="E2614" s="31">
        <v>430.46341463414637</v>
      </c>
      <c r="F2614" s="31">
        <f t="shared" si="40"/>
        <v>529.47</v>
      </c>
    </row>
    <row r="2615" spans="1:6" ht="18.75" customHeight="1" x14ac:dyDescent="0.25">
      <c r="A2615" s="2" t="str">
        <f ca="1">IFERROR(__xludf.DUMMYFUNCTION("""COMPUTED_VALUE"""),"KPL-K5652")</f>
        <v>KPL-K5652</v>
      </c>
      <c r="B2615" s="3">
        <f ca="1">IFERROR(__xludf.DUMMYFUNCTION("""COMPUTED_VALUE"""),50161)</f>
        <v>50161</v>
      </c>
      <c r="C2615" s="3">
        <f ca="1">IFERROR(__xludf.DUMMYFUNCTION("""COMPUTED_VALUE"""),5906366007156)</f>
        <v>5906366007156</v>
      </c>
      <c r="D2615" s="4" t="str">
        <f ca="1">IFERROR(__xludf.DUMMYFUNCTION("""COMPUTED_VALUE"""),"KABINA NAROŻNA RAPID SLIDE BRUSH GOLD 130x80")</f>
        <v>KABINA NAROŻNA RAPID SLIDE BRUSH GOLD 130x80</v>
      </c>
      <c r="E2615" s="31">
        <v>424.14634146341467</v>
      </c>
      <c r="F2615" s="31">
        <f t="shared" si="40"/>
        <v>521.70000000000005</v>
      </c>
    </row>
    <row r="2616" spans="1:6" ht="18.75" customHeight="1" x14ac:dyDescent="0.25">
      <c r="A2616" s="2" t="str">
        <f ca="1">IFERROR(__xludf.DUMMYFUNCTION("""COMPUTED_VALUE"""),"KPL-K5651")</f>
        <v>KPL-K5651</v>
      </c>
      <c r="B2616" s="3">
        <f ca="1">IFERROR(__xludf.DUMMYFUNCTION("""COMPUTED_VALUE"""),50160)</f>
        <v>50160</v>
      </c>
      <c r="C2616" s="3">
        <f ca="1">IFERROR(__xludf.DUMMYFUNCTION("""COMPUTED_VALUE"""),5902557390557)</f>
        <v>5902557390557</v>
      </c>
      <c r="D2616" s="4" t="str">
        <f ca="1">IFERROR(__xludf.DUMMYFUNCTION("""COMPUTED_VALUE"""),"KABINA NAROŻNA RAPID SLIDE GOLD BRUSH 120x100")</f>
        <v>KABINA NAROŻNA RAPID SLIDE GOLD BRUSH 120x100</v>
      </c>
      <c r="E2616" s="31">
        <v>424.14634146341467</v>
      </c>
      <c r="F2616" s="31">
        <f t="shared" si="40"/>
        <v>521.70000000000005</v>
      </c>
    </row>
    <row r="2617" spans="1:6" ht="18.75" customHeight="1" x14ac:dyDescent="0.25">
      <c r="A2617" s="2" t="str">
        <f ca="1">IFERROR(__xludf.DUMMYFUNCTION("""COMPUTED_VALUE"""),"KPL-K5650")</f>
        <v>KPL-K5650</v>
      </c>
      <c r="B2617" s="3">
        <f ca="1">IFERROR(__xludf.DUMMYFUNCTION("""COMPUTED_VALUE"""),50159)</f>
        <v>50159</v>
      </c>
      <c r="C2617" s="3">
        <f ca="1">IFERROR(__xludf.DUMMYFUNCTION("""COMPUTED_VALUE"""),5902557390533)</f>
        <v>5902557390533</v>
      </c>
      <c r="D2617" s="4" t="str">
        <f ca="1">IFERROR(__xludf.DUMMYFUNCTION("""COMPUTED_VALUE"""),"KABINA NAROŻNA RAPID SLIDE GOLD BRUSH 120x90")</f>
        <v>KABINA NAROŻNA RAPID SLIDE GOLD BRUSH 120x90</v>
      </c>
      <c r="E2617" s="31">
        <v>424.14634146341467</v>
      </c>
      <c r="F2617" s="31">
        <f t="shared" si="40"/>
        <v>521.70000000000005</v>
      </c>
    </row>
    <row r="2618" spans="1:6" ht="18.75" customHeight="1" x14ac:dyDescent="0.25">
      <c r="A2618" s="2" t="str">
        <f ca="1">IFERROR(__xludf.DUMMYFUNCTION("""COMPUTED_VALUE"""),"KPL-K5649")</f>
        <v>KPL-K5649</v>
      </c>
      <c r="B2618" s="3">
        <f ca="1">IFERROR(__xludf.DUMMYFUNCTION("""COMPUTED_VALUE"""),50158)</f>
        <v>50158</v>
      </c>
      <c r="C2618" s="3">
        <f ca="1">IFERROR(__xludf.DUMMYFUNCTION("""COMPUTED_VALUE"""),5902557390526)</f>
        <v>5902557390526</v>
      </c>
      <c r="D2618" s="4" t="str">
        <f ca="1">IFERROR(__xludf.DUMMYFUNCTION("""COMPUTED_VALUE"""),"KABINA NAROŻNA RAPID SLIDE GOLD BRUSH 120x80")</f>
        <v>KABINA NAROŻNA RAPID SLIDE GOLD BRUSH 120x80</v>
      </c>
      <c r="E2618" s="31">
        <v>417.82926829268297</v>
      </c>
      <c r="F2618" s="31">
        <f t="shared" si="40"/>
        <v>513.93000000000006</v>
      </c>
    </row>
    <row r="2619" spans="1:6" ht="18.75" customHeight="1" x14ac:dyDescent="0.25">
      <c r="A2619" s="2" t="str">
        <f ca="1">IFERROR(__xludf.DUMMYFUNCTION("""COMPUTED_VALUE"""),"KPL-K5648")</f>
        <v>KPL-K5648</v>
      </c>
      <c r="B2619" s="3">
        <f ca="1">IFERROR(__xludf.DUMMYFUNCTION("""COMPUTED_VALUE"""),50157)</f>
        <v>50157</v>
      </c>
      <c r="C2619" s="3">
        <f ca="1">IFERROR(__xludf.DUMMYFUNCTION("""COMPUTED_VALUE"""),5902557390519)</f>
        <v>5902557390519</v>
      </c>
      <c r="D2619" s="4" t="str">
        <f ca="1">IFERROR(__xludf.DUMMYFUNCTION("""COMPUTED_VALUE"""),"KABINA NAROŻNA RAPID SLIDE GOLD BRUSH 110x100")</f>
        <v>KABINA NAROŻNA RAPID SLIDE GOLD BRUSH 110x100</v>
      </c>
      <c r="E2619" s="31">
        <v>408.80487804878055</v>
      </c>
      <c r="F2619" s="31">
        <f t="shared" si="40"/>
        <v>502.8300000000001</v>
      </c>
    </row>
    <row r="2620" spans="1:6" ht="18.75" customHeight="1" x14ac:dyDescent="0.25">
      <c r="A2620" s="2" t="str">
        <f ca="1">IFERROR(__xludf.DUMMYFUNCTION("""COMPUTED_VALUE"""),"KPL-K5647")</f>
        <v>KPL-K5647</v>
      </c>
      <c r="B2620" s="3">
        <f ca="1">IFERROR(__xludf.DUMMYFUNCTION("""COMPUTED_VALUE"""),50156)</f>
        <v>50156</v>
      </c>
      <c r="C2620" s="3">
        <f ca="1">IFERROR(__xludf.DUMMYFUNCTION("""COMPUTED_VALUE"""),5902557390502)</f>
        <v>5902557390502</v>
      </c>
      <c r="D2620" s="4" t="str">
        <f ca="1">IFERROR(__xludf.DUMMYFUNCTION("""COMPUTED_VALUE"""),"KABINA NAROŻNA RAPID SLIDE GOLD BRUSH 110x90")</f>
        <v>KABINA NAROŻNA RAPID SLIDE GOLD BRUSH 110x90</v>
      </c>
      <c r="E2620" s="31">
        <v>408.80487804878055</v>
      </c>
      <c r="F2620" s="31">
        <f t="shared" si="40"/>
        <v>502.8300000000001</v>
      </c>
    </row>
    <row r="2621" spans="1:6" ht="18.75" customHeight="1" x14ac:dyDescent="0.25">
      <c r="A2621" s="2" t="str">
        <f ca="1">IFERROR(__xludf.DUMMYFUNCTION("""COMPUTED_VALUE"""),"KPL-K5646")</f>
        <v>KPL-K5646</v>
      </c>
      <c r="B2621" s="3">
        <f ca="1">IFERROR(__xludf.DUMMYFUNCTION("""COMPUTED_VALUE"""),50155)</f>
        <v>50155</v>
      </c>
      <c r="C2621" s="3">
        <f ca="1">IFERROR(__xludf.DUMMYFUNCTION("""COMPUTED_VALUE"""),5902557390496)</f>
        <v>5902557390496</v>
      </c>
      <c r="D2621" s="4" t="str">
        <f ca="1">IFERROR(__xludf.DUMMYFUNCTION("""COMPUTED_VALUE"""),"KABINA NAROŻNA RAPID SLIDE GOLD BRUSH 110x80")</f>
        <v>KABINA NAROŻNA RAPID SLIDE GOLD BRUSH 110x80</v>
      </c>
      <c r="E2621" s="31">
        <v>402.48780487804885</v>
      </c>
      <c r="F2621" s="31">
        <f t="shared" si="40"/>
        <v>495.06000000000006</v>
      </c>
    </row>
    <row r="2622" spans="1:6" ht="18.75" customHeight="1" x14ac:dyDescent="0.25">
      <c r="A2622" s="2" t="str">
        <f ca="1">IFERROR(__xludf.DUMMYFUNCTION("""COMPUTED_VALUE"""),"KPL-K5645")</f>
        <v>KPL-K5645</v>
      </c>
      <c r="B2622" s="3">
        <f ca="1">IFERROR(__xludf.DUMMYFUNCTION("""COMPUTED_VALUE"""),50154)</f>
        <v>50154</v>
      </c>
      <c r="C2622" s="3">
        <f ca="1">IFERROR(__xludf.DUMMYFUNCTION("""COMPUTED_VALUE"""),5902557387267)</f>
        <v>5902557387267</v>
      </c>
      <c r="D2622" s="4" t="str">
        <f ca="1">IFERROR(__xludf.DUMMYFUNCTION("""COMPUTED_VALUE"""),"KABINA NAROŻNA RAPID SLIDE GOLD BRUSH 100x100")</f>
        <v>KABINA NAROŻNA RAPID SLIDE GOLD BRUSH 100x100</v>
      </c>
      <c r="E2622" s="31">
        <v>407.00000000000006</v>
      </c>
      <c r="F2622" s="31">
        <f t="shared" si="40"/>
        <v>500.61000000000007</v>
      </c>
    </row>
    <row r="2623" spans="1:6" ht="18.75" customHeight="1" x14ac:dyDescent="0.25">
      <c r="A2623" s="2" t="str">
        <f ca="1">IFERROR(__xludf.DUMMYFUNCTION("""COMPUTED_VALUE"""),"KPL-K5644")</f>
        <v>KPL-K5644</v>
      </c>
      <c r="B2623" s="3">
        <f ca="1">IFERROR(__xludf.DUMMYFUNCTION("""COMPUTED_VALUE"""),50153)</f>
        <v>50153</v>
      </c>
      <c r="C2623" s="3">
        <f ca="1">IFERROR(__xludf.DUMMYFUNCTION("""COMPUTED_VALUE"""),5902557387250)</f>
        <v>5902557387250</v>
      </c>
      <c r="D2623" s="4" t="str">
        <f ca="1">IFERROR(__xludf.DUMMYFUNCTION("""COMPUTED_VALUE"""),"KABINA NAROŻNA RAPID SLIDE GOLD BRUSH 100x90")</f>
        <v>KABINA NAROŻNA RAPID SLIDE GOLD BRUSH 100x90</v>
      </c>
      <c r="E2623" s="31">
        <v>407.00000000000006</v>
      </c>
      <c r="F2623" s="31">
        <f t="shared" si="40"/>
        <v>500.61000000000007</v>
      </c>
    </row>
    <row r="2624" spans="1:6" ht="18.75" customHeight="1" x14ac:dyDescent="0.25">
      <c r="A2624" s="2" t="str">
        <f ca="1">IFERROR(__xludf.DUMMYFUNCTION("""COMPUTED_VALUE"""),"KPL-K5643")</f>
        <v>KPL-K5643</v>
      </c>
      <c r="B2624" s="3">
        <f ca="1">IFERROR(__xludf.DUMMYFUNCTION("""COMPUTED_VALUE"""),50152)</f>
        <v>50152</v>
      </c>
      <c r="C2624" s="3">
        <f ca="1">IFERROR(__xludf.DUMMYFUNCTION("""COMPUTED_VALUE"""),5902557387243)</f>
        <v>5902557387243</v>
      </c>
      <c r="D2624" s="4" t="str">
        <f ca="1">IFERROR(__xludf.DUMMYFUNCTION("""COMPUTED_VALUE"""),"KABINA NAROŻNA RAPID SLIDE GOLD BRUSH 100x80")</f>
        <v>KABINA NAROŻNA RAPID SLIDE GOLD BRUSH 100x80</v>
      </c>
      <c r="E2624" s="31">
        <v>400.68292682926835</v>
      </c>
      <c r="F2624" s="31">
        <f t="shared" si="40"/>
        <v>492.84000000000009</v>
      </c>
    </row>
    <row r="2625" spans="1:6" ht="18.75" customHeight="1" x14ac:dyDescent="0.25">
      <c r="A2625" s="2" t="str">
        <f ca="1">IFERROR(__xludf.DUMMYFUNCTION("""COMPUTED_VALUE"""),"KPL-K7900")</f>
        <v>KPL-K7900</v>
      </c>
      <c r="B2625" s="3">
        <f ca="1">IFERROR(__xludf.DUMMYFUNCTION("""COMPUTED_VALUE"""),49627)</f>
        <v>49627</v>
      </c>
      <c r="C2625" s="3"/>
      <c r="D2625" s="4" t="str">
        <f ca="1">IFERROR(__xludf.DUMMYFUNCTION("""COMPUTED_VALUE"""),"KABINA LOOK BLACK 80x100 + BRODZIK PRAWY")</f>
        <v>KABINA LOOK BLACK 80x100 + BRODZIK PRAWY</v>
      </c>
      <c r="E2625" s="31">
        <v>269.82926829268297</v>
      </c>
      <c r="F2625" s="31">
        <f t="shared" ref="F2625:F2688" si="41">E2625*1.23</f>
        <v>331.89000000000004</v>
      </c>
    </row>
    <row r="2626" spans="1:6" ht="18.75" customHeight="1" x14ac:dyDescent="0.25">
      <c r="A2626" s="2" t="str">
        <f ca="1">IFERROR(__xludf.DUMMYFUNCTION("""COMPUTED_VALUE"""),"KPL-K7901")</f>
        <v>KPL-K7901</v>
      </c>
      <c r="B2626" s="3">
        <f ca="1">IFERROR(__xludf.DUMMYFUNCTION("""COMPUTED_VALUE"""),49626)</f>
        <v>49626</v>
      </c>
      <c r="C2626" s="3"/>
      <c r="D2626" s="4" t="str">
        <f ca="1">IFERROR(__xludf.DUMMYFUNCTION("""COMPUTED_VALUE"""),"KABINA LOOK BLACK 80x100 + BRODZIK LEWY")</f>
        <v>KABINA LOOK BLACK 80x100 + BRODZIK LEWY</v>
      </c>
      <c r="E2626" s="31">
        <v>276.14634146341467</v>
      </c>
      <c r="F2626" s="31">
        <f t="shared" si="41"/>
        <v>339.66</v>
      </c>
    </row>
    <row r="2627" spans="1:6" ht="18.75" customHeight="1" x14ac:dyDescent="0.25">
      <c r="A2627" s="2" t="str">
        <f ca="1">IFERROR(__xludf.DUMMYFUNCTION("""COMPUTED_VALUE"""),"KPL-10002")</f>
        <v>KPL-10002</v>
      </c>
      <c r="B2627" s="3">
        <f ca="1">IFERROR(__xludf.DUMMYFUNCTION("""COMPUTED_VALUE"""),49623)</f>
        <v>49623</v>
      </c>
      <c r="C2627" s="3"/>
      <c r="D2627" s="4" t="str">
        <f ca="1">IFERROR(__xludf.DUMMYFUNCTION("""COMPUTED_VALUE"""),"KABINA LOOK CHROME 80x100 + BRODZIK PRAWY")</f>
        <v>KABINA LOOK CHROME 80x100 + BRODZIK PRAWY</v>
      </c>
      <c r="E2627" s="31">
        <v>265.31707317073176</v>
      </c>
      <c r="F2627" s="31">
        <f t="shared" si="41"/>
        <v>326.34000000000003</v>
      </c>
    </row>
    <row r="2628" spans="1:6" ht="18.75" customHeight="1" x14ac:dyDescent="0.25">
      <c r="A2628" s="2" t="str">
        <f ca="1">IFERROR(__xludf.DUMMYFUNCTION("""COMPUTED_VALUE"""),"KPL-10003")</f>
        <v>KPL-10003</v>
      </c>
      <c r="B2628" s="3">
        <f ca="1">IFERROR(__xludf.DUMMYFUNCTION("""COMPUTED_VALUE"""),49622)</f>
        <v>49622</v>
      </c>
      <c r="C2628" s="3"/>
      <c r="D2628" s="4" t="str">
        <f ca="1">IFERROR(__xludf.DUMMYFUNCTION("""COMPUTED_VALUE"""),"KABINA LOOK CHROME 80x100 + BRODZIK LEWY")</f>
        <v>KABINA LOOK CHROME 80x100 + BRODZIK LEWY</v>
      </c>
      <c r="E2628" s="31">
        <v>271.63414634146346</v>
      </c>
      <c r="F2628" s="31">
        <f t="shared" si="41"/>
        <v>334.11000000000007</v>
      </c>
    </row>
    <row r="2629" spans="1:6" ht="18.75" customHeight="1" x14ac:dyDescent="0.25">
      <c r="A2629" s="2" t="str">
        <f ca="1">IFERROR(__xludf.DUMMYFUNCTION("""COMPUTED_VALUE"""),"KPL-10007")</f>
        <v>KPL-10007</v>
      </c>
      <c r="B2629" s="3">
        <f ca="1">IFERROR(__xludf.DUMMYFUNCTION("""COMPUTED_VALUE"""),49575)</f>
        <v>49575</v>
      </c>
      <c r="C2629" s="3"/>
      <c r="D2629" s="4" t="str">
        <f ca="1">IFERROR(__xludf.DUMMYFUNCTION("""COMPUTED_VALUE"""),"KABINA LOOK CHROME 90x90 + BRODZIK")</f>
        <v>KABINA LOOK CHROME 90x90 + BRODZIK</v>
      </c>
      <c r="E2629" s="31">
        <v>262.60975609756099</v>
      </c>
      <c r="F2629" s="31">
        <f t="shared" si="41"/>
        <v>323.01</v>
      </c>
    </row>
    <row r="2630" spans="1:6" ht="18.75" customHeight="1" x14ac:dyDescent="0.25">
      <c r="A2630" s="2" t="str">
        <f ca="1">IFERROR(__xludf.DUMMYFUNCTION("""COMPUTED_VALUE"""),"KPL-10005")</f>
        <v>KPL-10005</v>
      </c>
      <c r="B2630" s="3">
        <f ca="1">IFERROR(__xludf.DUMMYFUNCTION("""COMPUTED_VALUE"""),49574)</f>
        <v>49574</v>
      </c>
      <c r="C2630" s="3"/>
      <c r="D2630" s="4" t="str">
        <f ca="1">IFERROR(__xludf.DUMMYFUNCTION("""COMPUTED_VALUE"""),"KABINA LOOK CHROME 80x80 + BRODZIK")</f>
        <v>KABINA LOOK CHROME 80x80 + BRODZIK</v>
      </c>
      <c r="E2630" s="31">
        <v>257.19512195121956</v>
      </c>
      <c r="F2630" s="31">
        <f t="shared" si="41"/>
        <v>316.35000000000008</v>
      </c>
    </row>
    <row r="2631" spans="1:6" ht="18.75" customHeight="1" x14ac:dyDescent="0.25">
      <c r="A2631" s="2" t="str">
        <f ca="1">IFERROR(__xludf.DUMMYFUNCTION("""COMPUTED_VALUE"""),"KPL-10004")</f>
        <v>KPL-10004</v>
      </c>
      <c r="B2631" s="3">
        <f ca="1">IFERROR(__xludf.DUMMYFUNCTION("""COMPUTED_VALUE"""),49572)</f>
        <v>49572</v>
      </c>
      <c r="C2631" s="3"/>
      <c r="D2631" s="4" t="str">
        <f ca="1">IFERROR(__xludf.DUMMYFUNCTION("""COMPUTED_VALUE"""),"KABINA LOOK BLACK 90x90 + BRODZIK")</f>
        <v>KABINA LOOK BLACK 90x90 + BRODZIK</v>
      </c>
      <c r="E2631" s="31">
        <v>265.31707317073176</v>
      </c>
      <c r="F2631" s="31">
        <f t="shared" si="41"/>
        <v>326.34000000000003</v>
      </c>
    </row>
    <row r="2632" spans="1:6" ht="18.75" customHeight="1" x14ac:dyDescent="0.25">
      <c r="A2632" s="2" t="str">
        <f ca="1">IFERROR(__xludf.DUMMYFUNCTION("""COMPUTED_VALUE"""),"KPL-10006")</f>
        <v>KPL-10006</v>
      </c>
      <c r="B2632" s="3">
        <f ca="1">IFERROR(__xludf.DUMMYFUNCTION("""COMPUTED_VALUE"""),49570)</f>
        <v>49570</v>
      </c>
      <c r="C2632" s="3"/>
      <c r="D2632" s="4" t="str">
        <f ca="1">IFERROR(__xludf.DUMMYFUNCTION("""COMPUTED_VALUE"""),"KABINA LOOK BLACK 80x80 + BRODZIK")</f>
        <v>KABINA LOOK BLACK 80x80 + BRODZIK</v>
      </c>
      <c r="E2632" s="31">
        <v>242.75609756097563</v>
      </c>
      <c r="F2632" s="31">
        <f t="shared" si="41"/>
        <v>298.59000000000003</v>
      </c>
    </row>
    <row r="2633" spans="1:6" ht="18.75" customHeight="1" x14ac:dyDescent="0.25">
      <c r="A2633" s="2" t="str">
        <f ca="1">IFERROR(__xludf.DUMMYFUNCTION("""COMPUTED_VALUE"""),"KPL-K5642")</f>
        <v>KPL-K5642</v>
      </c>
      <c r="B2633" s="3">
        <f ca="1">IFERROR(__xludf.DUMMYFUNCTION("""COMPUTED_VALUE"""),49335)</f>
        <v>49335</v>
      </c>
      <c r="C2633" s="3">
        <f ca="1">IFERROR(__xludf.DUMMYFUNCTION("""COMPUTED_VALUE"""),5902557382736)</f>
        <v>5902557382736</v>
      </c>
      <c r="D2633" s="4" t="str">
        <f ca="1">IFERROR(__xludf.DUMMYFUNCTION("""COMPUTED_VALUE"""),"KABINA NAROŻNA RAPID SLIDE GOLD 150x100")</f>
        <v>KABINA NAROŻNA RAPID SLIDE GOLD 150x100</v>
      </c>
      <c r="E2633" s="31">
        <v>431.36585365853665</v>
      </c>
      <c r="F2633" s="31">
        <f t="shared" si="41"/>
        <v>530.58000000000004</v>
      </c>
    </row>
    <row r="2634" spans="1:6" ht="18.75" customHeight="1" x14ac:dyDescent="0.25">
      <c r="A2634" s="2" t="str">
        <f ca="1">IFERROR(__xludf.DUMMYFUNCTION("""COMPUTED_VALUE"""),"KPL-K5641")</f>
        <v>KPL-K5641</v>
      </c>
      <c r="B2634" s="3">
        <f ca="1">IFERROR(__xludf.DUMMYFUNCTION("""COMPUTED_VALUE"""),49334)</f>
        <v>49334</v>
      </c>
      <c r="C2634" s="3">
        <f ca="1">IFERROR(__xludf.DUMMYFUNCTION("""COMPUTED_VALUE"""),5902557382743)</f>
        <v>5902557382743</v>
      </c>
      <c r="D2634" s="4" t="str">
        <f ca="1">IFERROR(__xludf.DUMMYFUNCTION("""COMPUTED_VALUE"""),"KABINA NAROŻNA RAPID SLIDE GOLD 150x90")</f>
        <v>KABINA NAROŻNA RAPID SLIDE GOLD 150x90</v>
      </c>
      <c r="E2634" s="31">
        <v>417.82926829268297</v>
      </c>
      <c r="F2634" s="31">
        <f t="shared" si="41"/>
        <v>513.93000000000006</v>
      </c>
    </row>
    <row r="2635" spans="1:6" ht="18.75" customHeight="1" x14ac:dyDescent="0.25">
      <c r="A2635" s="2" t="str">
        <f ca="1">IFERROR(__xludf.DUMMYFUNCTION("""COMPUTED_VALUE"""),"KPL-K5640")</f>
        <v>KPL-K5640</v>
      </c>
      <c r="B2635" s="3">
        <f ca="1">IFERROR(__xludf.DUMMYFUNCTION("""COMPUTED_VALUE"""),49333)</f>
        <v>49333</v>
      </c>
      <c r="C2635" s="3">
        <f ca="1">IFERROR(__xludf.DUMMYFUNCTION("""COMPUTED_VALUE"""),5902557382750)</f>
        <v>5902557382750</v>
      </c>
      <c r="D2635" s="4" t="str">
        <f ca="1">IFERROR(__xludf.DUMMYFUNCTION("""COMPUTED_VALUE"""),"KABINA NAROŻNA RAPID SLIDE GOLD 150x80")</f>
        <v>KABINA NAROŻNA RAPID SLIDE GOLD 150x80</v>
      </c>
      <c r="E2635" s="31">
        <v>409.70731707317077</v>
      </c>
      <c r="F2635" s="31">
        <f t="shared" si="41"/>
        <v>503.94000000000005</v>
      </c>
    </row>
    <row r="2636" spans="1:6" ht="18.75" customHeight="1" x14ac:dyDescent="0.25">
      <c r="A2636" s="2" t="str">
        <f ca="1">IFERROR(__xludf.DUMMYFUNCTION("""COMPUTED_VALUE"""),"KPL-K5639")</f>
        <v>KPL-K5639</v>
      </c>
      <c r="B2636" s="3">
        <f ca="1">IFERROR(__xludf.DUMMYFUNCTION("""COMPUTED_VALUE"""),49332)</f>
        <v>49332</v>
      </c>
      <c r="C2636" s="3">
        <f ca="1">IFERROR(__xludf.DUMMYFUNCTION("""COMPUTED_VALUE"""),5902557382729)</f>
        <v>5902557382729</v>
      </c>
      <c r="D2636" s="4" t="str">
        <f ca="1">IFERROR(__xludf.DUMMYFUNCTION("""COMPUTED_VALUE"""),"KABINA NAROŻNA RAPID SLIDE GOLD 140x100")</f>
        <v>KABINA NAROŻNA RAPID SLIDE GOLD 140x100</v>
      </c>
      <c r="E2636" s="31">
        <v>423.24390243902445</v>
      </c>
      <c r="F2636" s="31">
        <f t="shared" si="41"/>
        <v>520.59</v>
      </c>
    </row>
    <row r="2637" spans="1:6" ht="18.75" customHeight="1" x14ac:dyDescent="0.25">
      <c r="A2637" s="2" t="str">
        <f ca="1">IFERROR(__xludf.DUMMYFUNCTION("""COMPUTED_VALUE"""),"KPL-K5638")</f>
        <v>KPL-K5638</v>
      </c>
      <c r="B2637" s="3">
        <f ca="1">IFERROR(__xludf.DUMMYFUNCTION("""COMPUTED_VALUE"""),49331)</f>
        <v>49331</v>
      </c>
      <c r="C2637" s="3">
        <f ca="1">IFERROR(__xludf.DUMMYFUNCTION("""COMPUTED_VALUE"""),5902557382712)</f>
        <v>5902557382712</v>
      </c>
      <c r="D2637" s="4" t="str">
        <f ca="1">IFERROR(__xludf.DUMMYFUNCTION("""COMPUTED_VALUE"""),"KABINA NAROŻNA RAPID SLIDE GOLD 140x90")</f>
        <v>KABINA NAROŻNA RAPID SLIDE GOLD 140x90</v>
      </c>
      <c r="E2637" s="31">
        <v>409.70731707317077</v>
      </c>
      <c r="F2637" s="31">
        <f t="shared" si="41"/>
        <v>503.94000000000005</v>
      </c>
    </row>
    <row r="2638" spans="1:6" ht="18.75" customHeight="1" x14ac:dyDescent="0.25">
      <c r="A2638" s="2" t="str">
        <f ca="1">IFERROR(__xludf.DUMMYFUNCTION("""COMPUTED_VALUE"""),"KPL-K5637")</f>
        <v>KPL-K5637</v>
      </c>
      <c r="B2638" s="3">
        <f ca="1">IFERROR(__xludf.DUMMYFUNCTION("""COMPUTED_VALUE"""),49330)</f>
        <v>49330</v>
      </c>
      <c r="C2638" s="3">
        <f ca="1">IFERROR(__xludf.DUMMYFUNCTION("""COMPUTED_VALUE"""),5902557382705)</f>
        <v>5902557382705</v>
      </c>
      <c r="D2638" s="4" t="str">
        <f ca="1">IFERROR(__xludf.DUMMYFUNCTION("""COMPUTED_VALUE"""),"KABINA NAROŻNA RAPID SLIDE GOLD 140x80")</f>
        <v>KABINA NAROŻNA RAPID SLIDE GOLD 140x80</v>
      </c>
      <c r="E2638" s="31">
        <v>401.58536585365857</v>
      </c>
      <c r="F2638" s="31">
        <f t="shared" si="41"/>
        <v>493.95000000000005</v>
      </c>
    </row>
    <row r="2639" spans="1:6" ht="18.75" customHeight="1" x14ac:dyDescent="0.25">
      <c r="A2639" s="2" t="str">
        <f ca="1">IFERROR(__xludf.DUMMYFUNCTION("""COMPUTED_VALUE"""),"KPL-K5636")</f>
        <v>KPL-K5636</v>
      </c>
      <c r="B2639" s="3">
        <f ca="1">IFERROR(__xludf.DUMMYFUNCTION("""COMPUTED_VALUE"""),49329)</f>
        <v>49329</v>
      </c>
      <c r="C2639" s="3">
        <f ca="1">IFERROR(__xludf.DUMMYFUNCTION("""COMPUTED_VALUE"""),5902557382675)</f>
        <v>5902557382675</v>
      </c>
      <c r="D2639" s="4" t="str">
        <f ca="1">IFERROR(__xludf.DUMMYFUNCTION("""COMPUTED_VALUE"""),"KABINA NAROŻNA RAPID SLIDE GOLD 130x100")</f>
        <v>KABINA NAROŻNA RAPID SLIDE GOLD 130x100</v>
      </c>
      <c r="E2639" s="31">
        <v>378.1219512195122</v>
      </c>
      <c r="F2639" s="31">
        <f t="shared" si="41"/>
        <v>465.09</v>
      </c>
    </row>
    <row r="2640" spans="1:6" ht="18.75" customHeight="1" x14ac:dyDescent="0.25">
      <c r="A2640" s="2" t="str">
        <f ca="1">IFERROR(__xludf.DUMMYFUNCTION("""COMPUTED_VALUE"""),"KPL-K5635")</f>
        <v>KPL-K5635</v>
      </c>
      <c r="B2640" s="3">
        <f ca="1">IFERROR(__xludf.DUMMYFUNCTION("""COMPUTED_VALUE"""),49328)</f>
        <v>49328</v>
      </c>
      <c r="C2640" s="3">
        <f ca="1">IFERROR(__xludf.DUMMYFUNCTION("""COMPUTED_VALUE"""),5902557382682)</f>
        <v>5902557382682</v>
      </c>
      <c r="D2640" s="4" t="str">
        <f ca="1">IFERROR(__xludf.DUMMYFUNCTION("""COMPUTED_VALUE"""),"KABINA NAROŻNA RAPID SLIDE GOLD 130x90")</f>
        <v>KABINA NAROŻNA RAPID SLIDE GOLD 130x90</v>
      </c>
      <c r="E2640" s="31">
        <v>364.58536585365857</v>
      </c>
      <c r="F2640" s="31">
        <f t="shared" si="41"/>
        <v>448.44000000000005</v>
      </c>
    </row>
    <row r="2641" spans="1:6" ht="18.75" customHeight="1" x14ac:dyDescent="0.25">
      <c r="A2641" s="2" t="str">
        <f ca="1">IFERROR(__xludf.DUMMYFUNCTION("""COMPUTED_VALUE"""),"KPL-K5634")</f>
        <v>KPL-K5634</v>
      </c>
      <c r="B2641" s="3">
        <f ca="1">IFERROR(__xludf.DUMMYFUNCTION("""COMPUTED_VALUE"""),49327)</f>
        <v>49327</v>
      </c>
      <c r="C2641" s="3">
        <f ca="1">IFERROR(__xludf.DUMMYFUNCTION("""COMPUTED_VALUE"""),5902557382699)</f>
        <v>5902557382699</v>
      </c>
      <c r="D2641" s="4" t="str">
        <f ca="1">IFERROR(__xludf.DUMMYFUNCTION("""COMPUTED_VALUE"""),"KABINA NAROŻNA RAPID SLIDE GOLD 130x80")</f>
        <v>KABINA NAROŻNA RAPID SLIDE GOLD 130x80</v>
      </c>
      <c r="E2641" s="31">
        <v>356.46341463414637</v>
      </c>
      <c r="F2641" s="31">
        <f t="shared" si="41"/>
        <v>438.45000000000005</v>
      </c>
    </row>
    <row r="2642" spans="1:6" ht="18.75" customHeight="1" x14ac:dyDescent="0.25">
      <c r="A2642" s="2" t="str">
        <f ca="1">IFERROR(__xludf.DUMMYFUNCTION("""COMPUTED_VALUE"""),"KPL-K5633")</f>
        <v>KPL-K5633</v>
      </c>
      <c r="B2642" s="3">
        <f ca="1">IFERROR(__xludf.DUMMYFUNCTION("""COMPUTED_VALUE"""),49326)</f>
        <v>49326</v>
      </c>
      <c r="C2642" s="3">
        <f ca="1">IFERROR(__xludf.DUMMYFUNCTION("""COMPUTED_VALUE"""),5902557382668)</f>
        <v>5902557382668</v>
      </c>
      <c r="D2642" s="4" t="str">
        <f ca="1">IFERROR(__xludf.DUMMYFUNCTION("""COMPUTED_VALUE"""),"KABINA NAROŻNA RAPID SLIDE GOLD 120x100")</f>
        <v>KABINA NAROŻNA RAPID SLIDE GOLD 120x100</v>
      </c>
      <c r="E2642" s="31">
        <v>410.60975609756105</v>
      </c>
      <c r="F2642" s="31">
        <f t="shared" si="41"/>
        <v>505.05000000000007</v>
      </c>
    </row>
    <row r="2643" spans="1:6" ht="18.75" customHeight="1" x14ac:dyDescent="0.25">
      <c r="A2643" s="2" t="str">
        <f ca="1">IFERROR(__xludf.DUMMYFUNCTION("""COMPUTED_VALUE"""),"KPL-K5632")</f>
        <v>KPL-K5632</v>
      </c>
      <c r="B2643" s="3">
        <f ca="1">IFERROR(__xludf.DUMMYFUNCTION("""COMPUTED_VALUE"""),49325)</f>
        <v>49325</v>
      </c>
      <c r="C2643" s="3">
        <f ca="1">IFERROR(__xludf.DUMMYFUNCTION("""COMPUTED_VALUE"""),5902557382651)</f>
        <v>5902557382651</v>
      </c>
      <c r="D2643" s="4" t="str">
        <f ca="1">IFERROR(__xludf.DUMMYFUNCTION("""COMPUTED_VALUE"""),"KABINA NAROŻNA RAPID SLIDE GOLD 120x90")</f>
        <v>KABINA NAROŻNA RAPID SLIDE GOLD 120x90</v>
      </c>
      <c r="E2643" s="31">
        <v>397.07317073170736</v>
      </c>
      <c r="F2643" s="31">
        <f t="shared" si="41"/>
        <v>488.40000000000003</v>
      </c>
    </row>
    <row r="2644" spans="1:6" ht="18.75" customHeight="1" x14ac:dyDescent="0.25">
      <c r="A2644" s="2" t="str">
        <f ca="1">IFERROR(__xludf.DUMMYFUNCTION("""COMPUTED_VALUE"""),"KPL-K5631")</f>
        <v>KPL-K5631</v>
      </c>
      <c r="B2644" s="3">
        <f ca="1">IFERROR(__xludf.DUMMYFUNCTION("""COMPUTED_VALUE"""),49324)</f>
        <v>49324</v>
      </c>
      <c r="C2644" s="3">
        <f ca="1">IFERROR(__xludf.DUMMYFUNCTION("""COMPUTED_VALUE"""),5902557382644)</f>
        <v>5902557382644</v>
      </c>
      <c r="D2644" s="4" t="str">
        <f ca="1">IFERROR(__xludf.DUMMYFUNCTION("""COMPUTED_VALUE"""),"KABINA NAROŻNA RAPID SLIDE GOLD 120x80")</f>
        <v>KABINA NAROŻNA RAPID SLIDE GOLD 120x80</v>
      </c>
      <c r="E2644" s="31">
        <v>388.95121951219517</v>
      </c>
      <c r="F2644" s="31">
        <f t="shared" si="41"/>
        <v>478.41</v>
      </c>
    </row>
    <row r="2645" spans="1:6" ht="18.75" customHeight="1" x14ac:dyDescent="0.25">
      <c r="A2645" s="2" t="str">
        <f ca="1">IFERROR(__xludf.DUMMYFUNCTION("""COMPUTED_VALUE"""),"KPL-K5630")</f>
        <v>KPL-K5630</v>
      </c>
      <c r="B2645" s="3">
        <f ca="1">IFERROR(__xludf.DUMMYFUNCTION("""COMPUTED_VALUE"""),49323)</f>
        <v>49323</v>
      </c>
      <c r="C2645" s="3">
        <f ca="1">IFERROR(__xludf.DUMMYFUNCTION("""COMPUTED_VALUE"""),5902557382613)</f>
        <v>5902557382613</v>
      </c>
      <c r="D2645" s="4" t="str">
        <f ca="1">IFERROR(__xludf.DUMMYFUNCTION("""COMPUTED_VALUE"""),"KABINA NAROŻNA RAPID SLIDE GOLD 110x100")</f>
        <v>KABINA NAROŻNA RAPID SLIDE GOLD 110x100</v>
      </c>
      <c r="E2645" s="31">
        <v>374.51219512195121</v>
      </c>
      <c r="F2645" s="31">
        <f t="shared" si="41"/>
        <v>460.65</v>
      </c>
    </row>
    <row r="2646" spans="1:6" ht="18.75" customHeight="1" x14ac:dyDescent="0.25">
      <c r="A2646" s="2" t="str">
        <f ca="1">IFERROR(__xludf.DUMMYFUNCTION("""COMPUTED_VALUE"""),"KPL-K5629")</f>
        <v>KPL-K5629</v>
      </c>
      <c r="B2646" s="3">
        <f ca="1">IFERROR(__xludf.DUMMYFUNCTION("""COMPUTED_VALUE"""),49322)</f>
        <v>49322</v>
      </c>
      <c r="C2646" s="3">
        <f ca="1">IFERROR(__xludf.DUMMYFUNCTION("""COMPUTED_VALUE"""),5902557382620)</f>
        <v>5902557382620</v>
      </c>
      <c r="D2646" s="4" t="str">
        <f ca="1">IFERROR(__xludf.DUMMYFUNCTION("""COMPUTED_VALUE"""),"KABINA NAROŻNA RAPID SLIDE GOLD 110x90")</f>
        <v>KABINA NAROŻNA RAPID SLIDE GOLD 110x90</v>
      </c>
      <c r="E2646" s="31">
        <v>360.97560975609758</v>
      </c>
      <c r="F2646" s="31">
        <f t="shared" si="41"/>
        <v>444</v>
      </c>
    </row>
    <row r="2647" spans="1:6" ht="18.75" customHeight="1" x14ac:dyDescent="0.25">
      <c r="A2647" s="2" t="str">
        <f ca="1">IFERROR(__xludf.DUMMYFUNCTION("""COMPUTED_VALUE"""),"KPL-K5628")</f>
        <v>KPL-K5628</v>
      </c>
      <c r="B2647" s="3">
        <f ca="1">IFERROR(__xludf.DUMMYFUNCTION("""COMPUTED_VALUE"""),49321)</f>
        <v>49321</v>
      </c>
      <c r="C2647" s="3">
        <f ca="1">IFERROR(__xludf.DUMMYFUNCTION("""COMPUTED_VALUE"""),5902557382637)</f>
        <v>5902557382637</v>
      </c>
      <c r="D2647" s="4" t="str">
        <f ca="1">IFERROR(__xludf.DUMMYFUNCTION("""COMPUTED_VALUE"""),"KABINA NAROŻNA RAPID SLIDE GOLD 110x80")</f>
        <v>KABINA NAROŻNA RAPID SLIDE GOLD 110x80</v>
      </c>
      <c r="E2647" s="31">
        <v>352.85365853658539</v>
      </c>
      <c r="F2647" s="31">
        <f t="shared" si="41"/>
        <v>434.01</v>
      </c>
    </row>
    <row r="2648" spans="1:6" ht="18.75" customHeight="1" x14ac:dyDescent="0.25">
      <c r="A2648" s="2" t="str">
        <f ca="1">IFERROR(__xludf.DUMMYFUNCTION("""COMPUTED_VALUE"""),"KPL-K5627")</f>
        <v>KPL-K5627</v>
      </c>
      <c r="B2648" s="3">
        <f ca="1">IFERROR(__xludf.DUMMYFUNCTION("""COMPUTED_VALUE"""),49320)</f>
        <v>49320</v>
      </c>
      <c r="C2648" s="3">
        <f ca="1">IFERROR(__xludf.DUMMYFUNCTION("""COMPUTED_VALUE"""),5902557382606)</f>
        <v>5902557382606</v>
      </c>
      <c r="D2648" s="4" t="str">
        <f ca="1">IFERROR(__xludf.DUMMYFUNCTION("""COMPUTED_VALUE"""),"KABINA NAROŻNA RAPID SLIDE GOLD 100x100")</f>
        <v>KABINA NAROŻNA RAPID SLIDE GOLD 100x100</v>
      </c>
      <c r="E2648" s="31">
        <v>393.46341463414643</v>
      </c>
      <c r="F2648" s="31">
        <f t="shared" si="41"/>
        <v>483.96000000000009</v>
      </c>
    </row>
    <row r="2649" spans="1:6" ht="18.75" customHeight="1" x14ac:dyDescent="0.25">
      <c r="A2649" s="2" t="str">
        <f ca="1">IFERROR(__xludf.DUMMYFUNCTION("""COMPUTED_VALUE"""),"KPL-K5626")</f>
        <v>KPL-K5626</v>
      </c>
      <c r="B2649" s="3">
        <f ca="1">IFERROR(__xludf.DUMMYFUNCTION("""COMPUTED_VALUE"""),49319)</f>
        <v>49319</v>
      </c>
      <c r="C2649" s="3">
        <f ca="1">IFERROR(__xludf.DUMMYFUNCTION("""COMPUTED_VALUE"""),5902557382590)</f>
        <v>5902557382590</v>
      </c>
      <c r="D2649" s="4" t="str">
        <f ca="1">IFERROR(__xludf.DUMMYFUNCTION("""COMPUTED_VALUE"""),"KABINA NAROŻNA RAPID SLIDE GOLD 100x90")</f>
        <v>KABINA NAROŻNA RAPID SLIDE GOLD 100x90</v>
      </c>
      <c r="E2649" s="31">
        <v>379.92682926829275</v>
      </c>
      <c r="F2649" s="31">
        <f t="shared" si="41"/>
        <v>467.31000000000006</v>
      </c>
    </row>
    <row r="2650" spans="1:6" ht="18.75" customHeight="1" x14ac:dyDescent="0.25">
      <c r="A2650" s="2" t="str">
        <f ca="1">IFERROR(__xludf.DUMMYFUNCTION("""COMPUTED_VALUE"""),"KPL-K5625")</f>
        <v>KPL-K5625</v>
      </c>
      <c r="B2650" s="3">
        <f ca="1">IFERROR(__xludf.DUMMYFUNCTION("""COMPUTED_VALUE"""),49318)</f>
        <v>49318</v>
      </c>
      <c r="C2650" s="3">
        <f ca="1">IFERROR(__xludf.DUMMYFUNCTION("""COMPUTED_VALUE"""),5902557382583)</f>
        <v>5902557382583</v>
      </c>
      <c r="D2650" s="4" t="str">
        <f ca="1">IFERROR(__xludf.DUMMYFUNCTION("""COMPUTED_VALUE"""),"KABINA NAROŻNA RAPID SLIDE GOLD 100x80")</f>
        <v>KABINA NAROŻNA RAPID SLIDE GOLD 100x80</v>
      </c>
      <c r="E2650" s="31">
        <v>371.80487804878049</v>
      </c>
      <c r="F2650" s="31">
        <f t="shared" si="41"/>
        <v>457.32</v>
      </c>
    </row>
    <row r="2651" spans="1:6" ht="18.75" customHeight="1" x14ac:dyDescent="0.25">
      <c r="A2651" s="2" t="str">
        <f ca="1">IFERROR(__xludf.DUMMYFUNCTION("""COMPUTED_VALUE"""),"KPL-K5624")</f>
        <v>KPL-K5624</v>
      </c>
      <c r="B2651" s="3">
        <f ca="1">IFERROR(__xludf.DUMMYFUNCTION("""COMPUTED_VALUE"""),49294)</f>
        <v>49294</v>
      </c>
      <c r="C2651" s="3">
        <f ca="1">IFERROR(__xludf.DUMMYFUNCTION("""COMPUTED_VALUE"""),5902557382576)</f>
        <v>5902557382576</v>
      </c>
      <c r="D2651" s="4" t="str">
        <f ca="1">IFERROR(__xludf.DUMMYFUNCTION("""COMPUTED_VALUE"""),"KABINA NAROŻNA RAPID SLIDE CHROM 150x100")</f>
        <v>KABINA NAROŻNA RAPID SLIDE CHROM 150x100</v>
      </c>
      <c r="E2651" s="31">
        <v>323.97560975609758</v>
      </c>
      <c r="F2651" s="31">
        <f t="shared" si="41"/>
        <v>398.49</v>
      </c>
    </row>
    <row r="2652" spans="1:6" ht="18.75" customHeight="1" x14ac:dyDescent="0.25">
      <c r="A2652" s="2" t="str">
        <f ca="1">IFERROR(__xludf.DUMMYFUNCTION("""COMPUTED_VALUE"""),"KPL-K5617")</f>
        <v>KPL-K5617</v>
      </c>
      <c r="B2652" s="3">
        <f ca="1">IFERROR(__xludf.DUMMYFUNCTION("""COMPUTED_VALUE"""),49293)</f>
        <v>49293</v>
      </c>
      <c r="C2652" s="3">
        <f ca="1">IFERROR(__xludf.DUMMYFUNCTION("""COMPUTED_VALUE"""),5902557382569)</f>
        <v>5902557382569</v>
      </c>
      <c r="D2652" s="4" t="str">
        <f ca="1">IFERROR(__xludf.DUMMYFUNCTION("""COMPUTED_VALUE"""),"KABINA NAROŻNA RAPID SLIDE CHROM 150x90")</f>
        <v>KABINA NAROŻNA RAPID SLIDE CHROM 150x90</v>
      </c>
      <c r="E2652" s="31">
        <v>322.17073170731709</v>
      </c>
      <c r="F2652" s="31">
        <f t="shared" si="41"/>
        <v>396.27000000000004</v>
      </c>
    </row>
    <row r="2653" spans="1:6" ht="18.75" customHeight="1" x14ac:dyDescent="0.25">
      <c r="A2653" s="2" t="str">
        <f ca="1">IFERROR(__xludf.DUMMYFUNCTION("""COMPUTED_VALUE"""),"KPL-K5616")</f>
        <v>KPL-K5616</v>
      </c>
      <c r="B2653" s="3">
        <f ca="1">IFERROR(__xludf.DUMMYFUNCTION("""COMPUTED_VALUE"""),49292)</f>
        <v>49292</v>
      </c>
      <c r="C2653" s="3">
        <f ca="1">IFERROR(__xludf.DUMMYFUNCTION("""COMPUTED_VALUE"""),5902557382552)</f>
        <v>5902557382552</v>
      </c>
      <c r="D2653" s="4" t="str">
        <f ca="1">IFERROR(__xludf.DUMMYFUNCTION("""COMPUTED_VALUE"""),"KABINA NAROŻNA RAPID SLIDE CHROM 150x80")</f>
        <v>KABINA NAROŻNA RAPID SLIDE CHROM 150x80</v>
      </c>
      <c r="E2653" s="31">
        <v>318.56097560975616</v>
      </c>
      <c r="F2653" s="31">
        <f t="shared" si="41"/>
        <v>391.83000000000004</v>
      </c>
    </row>
    <row r="2654" spans="1:6" ht="18.75" customHeight="1" x14ac:dyDescent="0.25">
      <c r="A2654" s="2" t="str">
        <f ca="1">IFERROR(__xludf.DUMMYFUNCTION("""COMPUTED_VALUE"""),"KPL-K5615")</f>
        <v>KPL-K5615</v>
      </c>
      <c r="B2654" s="3">
        <f ca="1">IFERROR(__xludf.DUMMYFUNCTION("""COMPUTED_VALUE"""),49291)</f>
        <v>49291</v>
      </c>
      <c r="C2654" s="3">
        <f ca="1">IFERROR(__xludf.DUMMYFUNCTION("""COMPUTED_VALUE"""),5902557382545)</f>
        <v>5902557382545</v>
      </c>
      <c r="D2654" s="4" t="str">
        <f ca="1">IFERROR(__xludf.DUMMYFUNCTION("""COMPUTED_VALUE"""),"KABINA NAROŻNA RAPID SLIDE CHROM 140x100")</f>
        <v>KABINA NAROŻNA RAPID SLIDE CHROM 140x100</v>
      </c>
      <c r="E2654" s="31">
        <v>314.04878048780489</v>
      </c>
      <c r="F2654" s="31">
        <f t="shared" si="41"/>
        <v>386.28000000000003</v>
      </c>
    </row>
    <row r="2655" spans="1:6" ht="18.75" customHeight="1" x14ac:dyDescent="0.25">
      <c r="A2655" s="2" t="str">
        <f ca="1">IFERROR(__xludf.DUMMYFUNCTION("""COMPUTED_VALUE"""),"KPL-K5614")</f>
        <v>KPL-K5614</v>
      </c>
      <c r="B2655" s="3">
        <f ca="1">IFERROR(__xludf.DUMMYFUNCTION("""COMPUTED_VALUE"""),49290)</f>
        <v>49290</v>
      </c>
      <c r="C2655" s="3">
        <f ca="1">IFERROR(__xludf.DUMMYFUNCTION("""COMPUTED_VALUE"""),5902557382538)</f>
        <v>5902557382538</v>
      </c>
      <c r="D2655" s="4" t="str">
        <f ca="1">IFERROR(__xludf.DUMMYFUNCTION("""COMPUTED_VALUE"""),"KABINA NAROŻNA RAPID SLIDE CHROM 140x90")</f>
        <v>KABINA NAROŻNA RAPID SLIDE CHROM 140x90</v>
      </c>
      <c r="E2655" s="31">
        <v>312.24390243902445</v>
      </c>
      <c r="F2655" s="31">
        <f t="shared" si="41"/>
        <v>384.06000000000006</v>
      </c>
    </row>
    <row r="2656" spans="1:6" ht="18.75" customHeight="1" x14ac:dyDescent="0.25">
      <c r="A2656" s="2" t="str">
        <f ca="1">IFERROR(__xludf.DUMMYFUNCTION("""COMPUTED_VALUE"""),"KPL-K5613")</f>
        <v>KPL-K5613</v>
      </c>
      <c r="B2656" s="3">
        <f ca="1">IFERROR(__xludf.DUMMYFUNCTION("""COMPUTED_VALUE"""),49289)</f>
        <v>49289</v>
      </c>
      <c r="C2656" s="3">
        <f ca="1">IFERROR(__xludf.DUMMYFUNCTION("""COMPUTED_VALUE"""),5902557382521)</f>
        <v>5902557382521</v>
      </c>
      <c r="D2656" s="4" t="str">
        <f ca="1">IFERROR(__xludf.DUMMYFUNCTION("""COMPUTED_VALUE"""),"KABINA NAROŻNA RAPID SLIDE CHROM 140x80")</f>
        <v>KABINA NAROŻNA RAPID SLIDE CHROM 140x80</v>
      </c>
      <c r="E2656" s="31">
        <v>308.63414634146346</v>
      </c>
      <c r="F2656" s="31">
        <f t="shared" si="41"/>
        <v>379.62000000000006</v>
      </c>
    </row>
    <row r="2657" spans="1:6" ht="18.75" customHeight="1" x14ac:dyDescent="0.25">
      <c r="A2657" s="2" t="str">
        <f ca="1">IFERROR(__xludf.DUMMYFUNCTION("""COMPUTED_VALUE"""),"KPL-K5612")</f>
        <v>KPL-K5612</v>
      </c>
      <c r="B2657" s="3">
        <f ca="1">IFERROR(__xludf.DUMMYFUNCTION("""COMPUTED_VALUE"""),49288)</f>
        <v>49288</v>
      </c>
      <c r="C2657" s="3">
        <f ca="1">IFERROR(__xludf.DUMMYFUNCTION("""COMPUTED_VALUE"""),5902557382514)</f>
        <v>5902557382514</v>
      </c>
      <c r="D2657" s="4" t="str">
        <f ca="1">IFERROR(__xludf.DUMMYFUNCTION("""COMPUTED_VALUE"""),"KABINA NAROŻNA RAPID SLIDE CHROM 130x100")</f>
        <v>KABINA NAROŻNA RAPID SLIDE CHROM 130x100</v>
      </c>
      <c r="E2657" s="31">
        <v>305.92682926829275</v>
      </c>
      <c r="F2657" s="31">
        <f t="shared" si="41"/>
        <v>376.29000000000008</v>
      </c>
    </row>
    <row r="2658" spans="1:6" ht="18.75" customHeight="1" x14ac:dyDescent="0.25">
      <c r="A2658" s="2" t="str">
        <f ca="1">IFERROR(__xludf.DUMMYFUNCTION("""COMPUTED_VALUE"""),"KPL-K5611")</f>
        <v>KPL-K5611</v>
      </c>
      <c r="B2658" s="3">
        <f ca="1">IFERROR(__xludf.DUMMYFUNCTION("""COMPUTED_VALUE"""),49287)</f>
        <v>49287</v>
      </c>
      <c r="C2658" s="3">
        <f ca="1">IFERROR(__xludf.DUMMYFUNCTION("""COMPUTED_VALUE"""),5902557382507)</f>
        <v>5902557382507</v>
      </c>
      <c r="D2658" s="4" t="str">
        <f ca="1">IFERROR(__xludf.DUMMYFUNCTION("""COMPUTED_VALUE"""),"KABINA NAROŻNA RAPID SLIDE CHROM 130x90")</f>
        <v>KABINA NAROŻNA RAPID SLIDE CHROM 130x90</v>
      </c>
      <c r="E2658" s="31">
        <v>304.12195121951225</v>
      </c>
      <c r="F2658" s="31">
        <f t="shared" si="41"/>
        <v>374.07000000000005</v>
      </c>
    </row>
    <row r="2659" spans="1:6" ht="18.75" customHeight="1" x14ac:dyDescent="0.25">
      <c r="A2659" s="2" t="str">
        <f ca="1">IFERROR(__xludf.DUMMYFUNCTION("""COMPUTED_VALUE"""),"KPL-K5610")</f>
        <v>KPL-K5610</v>
      </c>
      <c r="B2659" s="3">
        <f ca="1">IFERROR(__xludf.DUMMYFUNCTION("""COMPUTED_VALUE"""),49286)</f>
        <v>49286</v>
      </c>
      <c r="C2659" s="3">
        <f ca="1">IFERROR(__xludf.DUMMYFUNCTION("""COMPUTED_VALUE"""),5902557382491)</f>
        <v>5902557382491</v>
      </c>
      <c r="D2659" s="4" t="str">
        <f ca="1">IFERROR(__xludf.DUMMYFUNCTION("""COMPUTED_VALUE"""),"KABINA NAROŻNA RAPID SLIDE CHROM 130x80")</f>
        <v>KABINA NAROŻNA RAPID SLIDE CHROM 130x80</v>
      </c>
      <c r="E2659" s="31">
        <v>300.51219512195127</v>
      </c>
      <c r="F2659" s="31">
        <f t="shared" si="41"/>
        <v>369.63000000000005</v>
      </c>
    </row>
    <row r="2660" spans="1:6" ht="18.75" customHeight="1" x14ac:dyDescent="0.25">
      <c r="A2660" s="2" t="str">
        <f ca="1">IFERROR(__xludf.DUMMYFUNCTION("""COMPUTED_VALUE"""),"KPL-K5609")</f>
        <v>KPL-K5609</v>
      </c>
      <c r="B2660" s="3">
        <f ca="1">IFERROR(__xludf.DUMMYFUNCTION("""COMPUTED_VALUE"""),49285)</f>
        <v>49285</v>
      </c>
      <c r="C2660" s="3">
        <f ca="1">IFERROR(__xludf.DUMMYFUNCTION("""COMPUTED_VALUE"""),5902557382484)</f>
        <v>5902557382484</v>
      </c>
      <c r="D2660" s="4" t="str">
        <f ca="1">IFERROR(__xludf.DUMMYFUNCTION("""COMPUTED_VALUE"""),"KABINA NAROŻNA RAPID SLIDE CHROM 120x100")</f>
        <v>KABINA NAROŻNA RAPID SLIDE CHROM 120x100</v>
      </c>
      <c r="E2660" s="31">
        <v>302.31707317073176</v>
      </c>
      <c r="F2660" s="31">
        <f t="shared" si="41"/>
        <v>371.85000000000008</v>
      </c>
    </row>
    <row r="2661" spans="1:6" ht="18.75" customHeight="1" x14ac:dyDescent="0.25">
      <c r="A2661" s="2" t="str">
        <f ca="1">IFERROR(__xludf.DUMMYFUNCTION("""COMPUTED_VALUE"""),"KPL-K5608")</f>
        <v>KPL-K5608</v>
      </c>
      <c r="B2661" s="3">
        <f ca="1">IFERROR(__xludf.DUMMYFUNCTION("""COMPUTED_VALUE"""),49284)</f>
        <v>49284</v>
      </c>
      <c r="C2661" s="3">
        <f ca="1">IFERROR(__xludf.DUMMYFUNCTION("""COMPUTED_VALUE"""),5902557382477)</f>
        <v>5902557382477</v>
      </c>
      <c r="D2661" s="4" t="str">
        <f ca="1">IFERROR(__xludf.DUMMYFUNCTION("""COMPUTED_VALUE"""),"KABINA NAROŻNA RAPID SLIDE CHROM 120x90")</f>
        <v>KABINA NAROŻNA RAPID SLIDE CHROM 120x90</v>
      </c>
      <c r="E2661" s="31">
        <v>300.51219512195127</v>
      </c>
      <c r="F2661" s="31">
        <f t="shared" si="41"/>
        <v>369.63000000000005</v>
      </c>
    </row>
    <row r="2662" spans="1:6" ht="18.75" customHeight="1" x14ac:dyDescent="0.25">
      <c r="A2662" s="2" t="str">
        <f ca="1">IFERROR(__xludf.DUMMYFUNCTION("""COMPUTED_VALUE"""),"KPL-K5607")</f>
        <v>KPL-K5607</v>
      </c>
      <c r="B2662" s="3">
        <f ca="1">IFERROR(__xludf.DUMMYFUNCTION("""COMPUTED_VALUE"""),49283)</f>
        <v>49283</v>
      </c>
      <c r="C2662" s="3">
        <f ca="1">IFERROR(__xludf.DUMMYFUNCTION("""COMPUTED_VALUE"""),5902557382460)</f>
        <v>5902557382460</v>
      </c>
      <c r="D2662" s="4" t="str">
        <f ca="1">IFERROR(__xludf.DUMMYFUNCTION("""COMPUTED_VALUE"""),"KABINA NAROŻNA RAPID SLIDE CHROM 120x80")</f>
        <v>KABINA NAROŻNA RAPID SLIDE CHROM 120x80</v>
      </c>
      <c r="E2662" s="31">
        <v>296.90243902439028</v>
      </c>
      <c r="F2662" s="31">
        <f t="shared" si="41"/>
        <v>365.19000000000005</v>
      </c>
    </row>
    <row r="2663" spans="1:6" ht="18.75" customHeight="1" x14ac:dyDescent="0.25">
      <c r="A2663" s="2" t="str">
        <f ca="1">IFERROR(__xludf.DUMMYFUNCTION("""COMPUTED_VALUE"""),"KPL-K5605")</f>
        <v>KPL-K5605</v>
      </c>
      <c r="B2663" s="3">
        <f ca="1">IFERROR(__xludf.DUMMYFUNCTION("""COMPUTED_VALUE"""),49282)</f>
        <v>49282</v>
      </c>
      <c r="C2663" s="3">
        <f ca="1">IFERROR(__xludf.DUMMYFUNCTION("""COMPUTED_VALUE"""),5902557382453)</f>
        <v>5902557382453</v>
      </c>
      <c r="D2663" s="4" t="str">
        <f ca="1">IFERROR(__xludf.DUMMYFUNCTION("""COMPUTED_VALUE"""),"KABINA NAROŻNA RAPID SLIDE CHROM 110x100")</f>
        <v>KABINA NAROŻNA RAPID SLIDE CHROM 110x100</v>
      </c>
      <c r="E2663" s="31">
        <v>296.90243902439028</v>
      </c>
      <c r="F2663" s="31">
        <f t="shared" si="41"/>
        <v>365.19000000000005</v>
      </c>
    </row>
    <row r="2664" spans="1:6" ht="18.75" customHeight="1" x14ac:dyDescent="0.25">
      <c r="A2664" s="2" t="str">
        <f ca="1">IFERROR(__xludf.DUMMYFUNCTION("""COMPUTED_VALUE"""),"KPL-K5604")</f>
        <v>KPL-K5604</v>
      </c>
      <c r="B2664" s="3">
        <f ca="1">IFERROR(__xludf.DUMMYFUNCTION("""COMPUTED_VALUE"""),49281)</f>
        <v>49281</v>
      </c>
      <c r="C2664" s="3">
        <f ca="1">IFERROR(__xludf.DUMMYFUNCTION("""COMPUTED_VALUE"""),5902557382446)</f>
        <v>5902557382446</v>
      </c>
      <c r="D2664" s="4" t="str">
        <f ca="1">IFERROR(__xludf.DUMMYFUNCTION("""COMPUTED_VALUE"""),"KABINA NAROŻNA RAPID SLIDE CHROM 110x90")</f>
        <v>KABINA NAROŻNA RAPID SLIDE CHROM 110x90</v>
      </c>
      <c r="E2664" s="31">
        <v>295.09756097560978</v>
      </c>
      <c r="F2664" s="31">
        <f t="shared" si="41"/>
        <v>362.97</v>
      </c>
    </row>
    <row r="2665" spans="1:6" ht="18.75" customHeight="1" x14ac:dyDescent="0.25">
      <c r="A2665" s="2" t="str">
        <f ca="1">IFERROR(__xludf.DUMMYFUNCTION("""COMPUTED_VALUE"""),"KPL-K5603")</f>
        <v>KPL-K5603</v>
      </c>
      <c r="B2665" s="3">
        <f ca="1">IFERROR(__xludf.DUMMYFUNCTION("""COMPUTED_VALUE"""),49280)</f>
        <v>49280</v>
      </c>
      <c r="C2665" s="3">
        <f ca="1">IFERROR(__xludf.DUMMYFUNCTION("""COMPUTED_VALUE"""),5902557382439)</f>
        <v>5902557382439</v>
      </c>
      <c r="D2665" s="4" t="str">
        <f ca="1">IFERROR(__xludf.DUMMYFUNCTION("""COMPUTED_VALUE"""),"KABINA NAROŻNA RAPID SLIDE CHROM 110x80")</f>
        <v>KABINA NAROŻNA RAPID SLIDE CHROM 110x80</v>
      </c>
      <c r="E2665" s="31">
        <v>291.48780487804885</v>
      </c>
      <c r="F2665" s="31">
        <f t="shared" si="41"/>
        <v>358.53000000000009</v>
      </c>
    </row>
    <row r="2666" spans="1:6" ht="18.75" customHeight="1" x14ac:dyDescent="0.25">
      <c r="A2666" s="2" t="str">
        <f ca="1">IFERROR(__xludf.DUMMYFUNCTION("""COMPUTED_VALUE"""),"KPL-K5602")</f>
        <v>KPL-K5602</v>
      </c>
      <c r="B2666" s="3">
        <f ca="1">IFERROR(__xludf.DUMMYFUNCTION("""COMPUTED_VALUE"""),49279)</f>
        <v>49279</v>
      </c>
      <c r="C2666" s="3">
        <f ca="1">IFERROR(__xludf.DUMMYFUNCTION("""COMPUTED_VALUE"""),5902557382422)</f>
        <v>5902557382422</v>
      </c>
      <c r="D2666" s="4" t="str">
        <f ca="1">IFERROR(__xludf.DUMMYFUNCTION("""COMPUTED_VALUE"""),"KABINA NAROŻNA RAPID SLIDE CHROM 100x100")</f>
        <v>KABINA NAROŻNA RAPID SLIDE CHROM 100x100</v>
      </c>
      <c r="E2666" s="31">
        <v>289.68292682926835</v>
      </c>
      <c r="F2666" s="31">
        <f t="shared" si="41"/>
        <v>356.31000000000006</v>
      </c>
    </row>
    <row r="2667" spans="1:6" ht="18.75" customHeight="1" x14ac:dyDescent="0.25">
      <c r="A2667" s="2" t="str">
        <f ca="1">IFERROR(__xludf.DUMMYFUNCTION("""COMPUTED_VALUE"""),"KPL-K5601")</f>
        <v>KPL-K5601</v>
      </c>
      <c r="B2667" s="3">
        <f ca="1">IFERROR(__xludf.DUMMYFUNCTION("""COMPUTED_VALUE"""),49278)</f>
        <v>49278</v>
      </c>
      <c r="C2667" s="3">
        <f ca="1">IFERROR(__xludf.DUMMYFUNCTION("""COMPUTED_VALUE"""),5902557382415)</f>
        <v>5902557382415</v>
      </c>
      <c r="D2667" s="4" t="str">
        <f ca="1">IFERROR(__xludf.DUMMYFUNCTION("""COMPUTED_VALUE"""),"KABINA NAROŻNA RAPID SLIDE CHROM 100x90")</f>
        <v>KABINA NAROŻNA RAPID SLIDE CHROM 100x90</v>
      </c>
      <c r="E2667" s="31">
        <v>287.87804878048786</v>
      </c>
      <c r="F2667" s="31">
        <f t="shared" si="41"/>
        <v>354.09000000000009</v>
      </c>
    </row>
    <row r="2668" spans="1:6" ht="18.75" customHeight="1" x14ac:dyDescent="0.25">
      <c r="A2668" s="2" t="str">
        <f ca="1">IFERROR(__xludf.DUMMYFUNCTION("""COMPUTED_VALUE"""),"KPL-K5600")</f>
        <v>KPL-K5600</v>
      </c>
      <c r="B2668" s="3">
        <f ca="1">IFERROR(__xludf.DUMMYFUNCTION("""COMPUTED_VALUE"""),49277)</f>
        <v>49277</v>
      </c>
      <c r="C2668" s="3">
        <f ca="1">IFERROR(__xludf.DUMMYFUNCTION("""COMPUTED_VALUE"""),5902557382408)</f>
        <v>5902557382408</v>
      </c>
      <c r="D2668" s="4" t="str">
        <f ca="1">IFERROR(__xludf.DUMMYFUNCTION("""COMPUTED_VALUE"""),"KABINA NAROŻNA RAPID SLIDE CHROM 100x80")</f>
        <v>KABINA NAROŻNA RAPID SLIDE CHROM 100x80</v>
      </c>
      <c r="E2668" s="31">
        <v>284.26829268292687</v>
      </c>
      <c r="F2668" s="31">
        <f t="shared" si="41"/>
        <v>349.65000000000003</v>
      </c>
    </row>
    <row r="2669" spans="1:6" ht="18.75" customHeight="1" x14ac:dyDescent="0.25">
      <c r="A2669" s="2" t="str">
        <f ca="1">IFERROR(__xludf.DUMMYFUNCTION("""COMPUTED_VALUE"""),"KPL-K6606")</f>
        <v>KPL-K6606</v>
      </c>
      <c r="B2669" s="3">
        <f ca="1">IFERROR(__xludf.DUMMYFUNCTION("""COMPUTED_VALUE"""),49244)</f>
        <v>49244</v>
      </c>
      <c r="C2669" s="3">
        <f ca="1">IFERROR(__xludf.DUMMYFUNCTION("""COMPUTED_VALUE"""),5902557382354)</f>
        <v>5902557382354</v>
      </c>
      <c r="D2669" s="4" t="str">
        <f ca="1">IFERROR(__xludf.DUMMYFUNCTION("""COMPUTED_VALUE"""),"KABINA NAROŻNA RAPID SWING CHROM 100 x 100")</f>
        <v>KABINA NAROŻNA RAPID SWING CHROM 100 x 100</v>
      </c>
      <c r="E2669" s="31">
        <v>306.82926829268297</v>
      </c>
      <c r="F2669" s="31">
        <f t="shared" si="41"/>
        <v>377.40000000000003</v>
      </c>
    </row>
    <row r="2670" spans="1:6" ht="18.75" customHeight="1" x14ac:dyDescent="0.25">
      <c r="A2670" s="2" t="str">
        <f ca="1">IFERROR(__xludf.DUMMYFUNCTION("""COMPUTED_VALUE"""),"KPL-K5606")</f>
        <v>KPL-K5606</v>
      </c>
      <c r="B2670" s="3">
        <f ca="1">IFERROR(__xludf.DUMMYFUNCTION("""COMPUTED_VALUE"""),49243)</f>
        <v>49243</v>
      </c>
      <c r="C2670" s="3">
        <f ca="1">IFERROR(__xludf.DUMMYFUNCTION("""COMPUTED_VALUE"""),5902557382347)</f>
        <v>5902557382347</v>
      </c>
      <c r="D2670" s="4" t="str">
        <f ca="1">IFERROR(__xludf.DUMMYFUNCTION("""COMPUTED_VALUE"""),"KABINA NAROŻNA RAPID SWING CHROM 100 x 90")</f>
        <v>KABINA NAROŻNA RAPID SWING CHROM 100 x 90</v>
      </c>
      <c r="E2670" s="31">
        <v>305.02439024390247</v>
      </c>
      <c r="F2670" s="31">
        <f t="shared" si="41"/>
        <v>375.18000000000006</v>
      </c>
    </row>
    <row r="2671" spans="1:6" ht="18.75" customHeight="1" x14ac:dyDescent="0.25">
      <c r="A2671" s="2" t="str">
        <f ca="1">IFERROR(__xludf.DUMMYFUNCTION("""COMPUTED_VALUE"""),"KPL-K4606")</f>
        <v>KPL-K4606</v>
      </c>
      <c r="B2671" s="3">
        <f ca="1">IFERROR(__xludf.DUMMYFUNCTION("""COMPUTED_VALUE"""),49242)</f>
        <v>49242</v>
      </c>
      <c r="C2671" s="3">
        <f ca="1">IFERROR(__xludf.DUMMYFUNCTION("""COMPUTED_VALUE"""),5902557382330)</f>
        <v>5902557382330</v>
      </c>
      <c r="D2671" s="4" t="str">
        <f ca="1">IFERROR(__xludf.DUMMYFUNCTION("""COMPUTED_VALUE"""),"KABINA NAROŻNA RAPID SWING CHROM 100 x 80")</f>
        <v>KABINA NAROŻNA RAPID SWING CHROM 100 x 80</v>
      </c>
      <c r="E2671" s="31">
        <v>301.41463414634148</v>
      </c>
      <c r="F2671" s="31">
        <f t="shared" si="41"/>
        <v>370.74</v>
      </c>
    </row>
    <row r="2672" spans="1:6" ht="18.75" customHeight="1" x14ac:dyDescent="0.25">
      <c r="A2672" s="2" t="str">
        <f ca="1">IFERROR(__xludf.DUMMYFUNCTION("""COMPUTED_VALUE"""),"KPL-K3606")</f>
        <v>KPL-K3606</v>
      </c>
      <c r="B2672" s="3">
        <f ca="1">IFERROR(__xludf.DUMMYFUNCTION("""COMPUTED_VALUE"""),49241)</f>
        <v>49241</v>
      </c>
      <c r="C2672" s="3">
        <f ca="1">IFERROR(__xludf.DUMMYFUNCTION("""COMPUTED_VALUE"""),5902557382323)</f>
        <v>5902557382323</v>
      </c>
      <c r="D2672" s="4" t="str">
        <f ca="1">IFERROR(__xludf.DUMMYFUNCTION("""COMPUTED_VALUE"""),"KABINA NAROŻNA RAPID SWING CHROM 90 x 100")</f>
        <v>KABINA NAROŻNA RAPID SWING CHROM 90 x 100</v>
      </c>
      <c r="E2672" s="31">
        <v>294.19512195121956</v>
      </c>
      <c r="F2672" s="31">
        <f t="shared" si="41"/>
        <v>361.86000000000007</v>
      </c>
    </row>
    <row r="2673" spans="1:6" ht="18.75" customHeight="1" x14ac:dyDescent="0.25">
      <c r="A2673" s="2" t="str">
        <f ca="1">IFERROR(__xludf.DUMMYFUNCTION("""COMPUTED_VALUE"""),"KPL-K2606")</f>
        <v>KPL-K2606</v>
      </c>
      <c r="B2673" s="3">
        <f ca="1">IFERROR(__xludf.DUMMYFUNCTION("""COMPUTED_VALUE"""),49240)</f>
        <v>49240</v>
      </c>
      <c r="C2673" s="3">
        <f ca="1">IFERROR(__xludf.DUMMYFUNCTION("""COMPUTED_VALUE"""),5902557382316)</f>
        <v>5902557382316</v>
      </c>
      <c r="D2673" s="4" t="str">
        <f ca="1">IFERROR(__xludf.DUMMYFUNCTION("""COMPUTED_VALUE"""),"KABINA NAROŻNA RAPID SWING CHROM 90 x 90")</f>
        <v>KABINA NAROŻNA RAPID SWING CHROM 90 x 90</v>
      </c>
      <c r="E2673" s="31">
        <v>292.39024390243907</v>
      </c>
      <c r="F2673" s="31">
        <f t="shared" si="41"/>
        <v>359.64000000000004</v>
      </c>
    </row>
    <row r="2674" spans="1:6" ht="18.75" customHeight="1" x14ac:dyDescent="0.25">
      <c r="A2674" s="2" t="str">
        <f ca="1">IFERROR(__xludf.DUMMYFUNCTION("""COMPUTED_VALUE"""),"KPL-K1606")</f>
        <v>KPL-K1606</v>
      </c>
      <c r="B2674" s="3">
        <f ca="1">IFERROR(__xludf.DUMMYFUNCTION("""COMPUTED_VALUE"""),49239)</f>
        <v>49239</v>
      </c>
      <c r="C2674" s="3">
        <f ca="1">IFERROR(__xludf.DUMMYFUNCTION("""COMPUTED_VALUE"""),5902557382309)</f>
        <v>5902557382309</v>
      </c>
      <c r="D2674" s="4" t="str">
        <f ca="1">IFERROR(__xludf.DUMMYFUNCTION("""COMPUTED_VALUE"""),"KABINA NAROŻNA RAPID SWING CHROM 90 x 80")</f>
        <v>KABINA NAROŻNA RAPID SWING CHROM 90 x 80</v>
      </c>
      <c r="E2674" s="31">
        <v>288.78048780487808</v>
      </c>
      <c r="F2674" s="31">
        <f t="shared" si="41"/>
        <v>355.20000000000005</v>
      </c>
    </row>
    <row r="2675" spans="1:6" ht="18.75" customHeight="1" x14ac:dyDescent="0.25">
      <c r="A2675" s="2" t="str">
        <f ca="1">IFERROR(__xludf.DUMMYFUNCTION("""COMPUTED_VALUE"""),"KPL-45211")</f>
        <v>KPL-45211</v>
      </c>
      <c r="B2675" s="3">
        <f ca="1">IFERROR(__xludf.DUMMYFUNCTION("""COMPUTED_VALUE"""),49179)</f>
        <v>49179</v>
      </c>
      <c r="C2675" s="3">
        <f ca="1">IFERROR(__xludf.DUMMYFUNCTION("""COMPUTED_VALUE"""),5902557382385)</f>
        <v>5902557382385</v>
      </c>
      <c r="D2675" s="4" t="str">
        <f ca="1">IFERROR(__xludf.DUMMYFUNCTION("""COMPUTED_VALUE"""),"DRZWI PRYSZNICOWE HUGO BLACK 100 + ŚCIANKA 30")</f>
        <v>DRZWI PRYSZNICOWE HUGO BLACK 100 + ŚCIANKA 30</v>
      </c>
      <c r="E2675" s="31">
        <v>315.85365853658539</v>
      </c>
      <c r="F2675" s="31">
        <f t="shared" si="41"/>
        <v>388.5</v>
      </c>
    </row>
    <row r="2676" spans="1:6" ht="18.75" customHeight="1" x14ac:dyDescent="0.25">
      <c r="A2676" s="2" t="str">
        <f ca="1">IFERROR(__xludf.DUMMYFUNCTION("""COMPUTED_VALUE"""),"KPL-45210")</f>
        <v>KPL-45210</v>
      </c>
      <c r="B2676" s="3">
        <f ca="1">IFERROR(__xludf.DUMMYFUNCTION("""COMPUTED_VALUE"""),49178)</f>
        <v>49178</v>
      </c>
      <c r="C2676" s="3">
        <f ca="1">IFERROR(__xludf.DUMMYFUNCTION("""COMPUTED_VALUE"""),5902557382378)</f>
        <v>5902557382378</v>
      </c>
      <c r="D2676" s="4" t="str">
        <f ca="1">IFERROR(__xludf.DUMMYFUNCTION("""COMPUTED_VALUE"""),"DRZWI PRYSZNICOWE HUGO BLACK 90 + ŚCIANKA 30")</f>
        <v>DRZWI PRYSZNICOWE HUGO BLACK 90 + ŚCIANKA 30</v>
      </c>
      <c r="E2676" s="31">
        <v>322.17073170731709</v>
      </c>
      <c r="F2676" s="31">
        <f t="shared" si="41"/>
        <v>396.27000000000004</v>
      </c>
    </row>
    <row r="2677" spans="1:6" ht="18.75" customHeight="1" x14ac:dyDescent="0.25">
      <c r="A2677" s="2" t="str">
        <f ca="1">IFERROR(__xludf.DUMMYFUNCTION("""COMPUTED_VALUE"""),"KPL-45209")</f>
        <v>KPL-45209</v>
      </c>
      <c r="B2677" s="3">
        <f ca="1">IFERROR(__xludf.DUMMYFUNCTION("""COMPUTED_VALUE"""),49177)</f>
        <v>49177</v>
      </c>
      <c r="C2677" s="3">
        <f ca="1">IFERROR(__xludf.DUMMYFUNCTION("""COMPUTED_VALUE"""),5902557382361)</f>
        <v>5902557382361</v>
      </c>
      <c r="D2677" s="4" t="str">
        <f ca="1">IFERROR(__xludf.DUMMYFUNCTION("""COMPUTED_VALUE"""),"DRZWI PRYSZNICOWE HUGO BLACK 80 + ŚCIANKA 30")</f>
        <v>DRZWI PRYSZNICOWE HUGO BLACK 80 + ŚCIANKA 30</v>
      </c>
      <c r="E2677" s="31">
        <v>315.85365853658539</v>
      </c>
      <c r="F2677" s="31">
        <f t="shared" si="41"/>
        <v>388.5</v>
      </c>
    </row>
    <row r="2678" spans="1:6" ht="18.75" customHeight="1" x14ac:dyDescent="0.25">
      <c r="A2678" s="2" t="str">
        <f ca="1">IFERROR(__xludf.DUMMYFUNCTION("""COMPUTED_VALUE"""),"KPL-K5623")</f>
        <v>KPL-K5623</v>
      </c>
      <c r="B2678" s="3">
        <f ca="1">IFERROR(__xludf.DUMMYFUNCTION("""COMPUTED_VALUE"""),49160)</f>
        <v>49160</v>
      </c>
      <c r="C2678" s="3">
        <f ca="1">IFERROR(__xludf.DUMMYFUNCTION("""COMPUTED_VALUE"""),5902557382293)</f>
        <v>5902557382293</v>
      </c>
      <c r="D2678" s="4" t="str">
        <f ca="1">IFERROR(__xludf.DUMMYFUNCTION("""COMPUTED_VALUE"""),"KABINA NAROŻNA RAPID SWING GOLD 100x100")</f>
        <v>KABINA NAROŻNA RAPID SWING GOLD 100x100</v>
      </c>
      <c r="E2678" s="31">
        <v>407.00000000000006</v>
      </c>
      <c r="F2678" s="31">
        <f t="shared" si="41"/>
        <v>500.61000000000007</v>
      </c>
    </row>
    <row r="2679" spans="1:6" ht="18.75" customHeight="1" x14ac:dyDescent="0.25">
      <c r="A2679" s="2" t="str">
        <f ca="1">IFERROR(__xludf.DUMMYFUNCTION("""COMPUTED_VALUE"""),"KPL-K5622")</f>
        <v>KPL-K5622</v>
      </c>
      <c r="B2679" s="3">
        <f ca="1">IFERROR(__xludf.DUMMYFUNCTION("""COMPUTED_VALUE"""),49159)</f>
        <v>49159</v>
      </c>
      <c r="C2679" s="3">
        <f ca="1">IFERROR(__xludf.DUMMYFUNCTION("""COMPUTED_VALUE"""),5902557382286)</f>
        <v>5902557382286</v>
      </c>
      <c r="D2679" s="4" t="str">
        <f ca="1">IFERROR(__xludf.DUMMYFUNCTION("""COMPUTED_VALUE"""),"KABINA NAROŻNA RAPID SWING GOLD 100x90")</f>
        <v>KABINA NAROŻNA RAPID SWING GOLD 100x90</v>
      </c>
      <c r="E2679" s="31">
        <v>393.46341463414643</v>
      </c>
      <c r="F2679" s="31">
        <f t="shared" si="41"/>
        <v>483.96000000000009</v>
      </c>
    </row>
    <row r="2680" spans="1:6" ht="18.75" customHeight="1" x14ac:dyDescent="0.25">
      <c r="A2680" s="2" t="str">
        <f ca="1">IFERROR(__xludf.DUMMYFUNCTION("""COMPUTED_VALUE"""),"KPL-K5621")</f>
        <v>KPL-K5621</v>
      </c>
      <c r="B2680" s="3">
        <f ca="1">IFERROR(__xludf.DUMMYFUNCTION("""COMPUTED_VALUE"""),49158)</f>
        <v>49158</v>
      </c>
      <c r="C2680" s="3">
        <f ca="1">IFERROR(__xludf.DUMMYFUNCTION("""COMPUTED_VALUE"""),5902557382279)</f>
        <v>5902557382279</v>
      </c>
      <c r="D2680" s="4" t="str">
        <f ca="1">IFERROR(__xludf.DUMMYFUNCTION("""COMPUTED_VALUE"""),"KABINA NAROŻNA RAPID SWING GOLD 100x80")</f>
        <v>KABINA NAROŻNA RAPID SWING GOLD 100x80</v>
      </c>
      <c r="E2680" s="31">
        <v>385.34146341463423</v>
      </c>
      <c r="F2680" s="31">
        <f t="shared" si="41"/>
        <v>473.97000000000008</v>
      </c>
    </row>
    <row r="2681" spans="1:6" ht="18.75" customHeight="1" x14ac:dyDescent="0.25">
      <c r="A2681" s="2" t="str">
        <f ca="1">IFERROR(__xludf.DUMMYFUNCTION("""COMPUTED_VALUE"""),"KPL-K5620")</f>
        <v>KPL-K5620</v>
      </c>
      <c r="B2681" s="3">
        <f ca="1">IFERROR(__xludf.DUMMYFUNCTION("""COMPUTED_VALUE"""),49157)</f>
        <v>49157</v>
      </c>
      <c r="C2681" s="3">
        <f ca="1">IFERROR(__xludf.DUMMYFUNCTION("""COMPUTED_VALUE"""),5902557382262)</f>
        <v>5902557382262</v>
      </c>
      <c r="D2681" s="4" t="str">
        <f ca="1">IFERROR(__xludf.DUMMYFUNCTION("""COMPUTED_VALUE"""),"KABINA NAROŻNA RAPID SWING GOLD 90x100")</f>
        <v>KABINA NAROŻNA RAPID SWING GOLD 90x100</v>
      </c>
      <c r="E2681" s="31">
        <v>400.68292682926835</v>
      </c>
      <c r="F2681" s="31">
        <f t="shared" si="41"/>
        <v>492.84000000000009</v>
      </c>
    </row>
    <row r="2682" spans="1:6" ht="18.75" customHeight="1" x14ac:dyDescent="0.25">
      <c r="A2682" s="2" t="str">
        <f ca="1">IFERROR(__xludf.DUMMYFUNCTION("""COMPUTED_VALUE"""),"KPL-K5619")</f>
        <v>KPL-K5619</v>
      </c>
      <c r="B2682" s="3">
        <f ca="1">IFERROR(__xludf.DUMMYFUNCTION("""COMPUTED_VALUE"""),49156)</f>
        <v>49156</v>
      </c>
      <c r="C2682" s="3">
        <f ca="1">IFERROR(__xludf.DUMMYFUNCTION("""COMPUTED_VALUE"""),5902557382255)</f>
        <v>5902557382255</v>
      </c>
      <c r="D2682" s="4" t="str">
        <f ca="1">IFERROR(__xludf.DUMMYFUNCTION("""COMPUTED_VALUE"""),"KABINA NAROŻNA RAPID SWING GOLD 90x90")</f>
        <v>KABINA NAROŻNA RAPID SWING GOLD 90x90</v>
      </c>
      <c r="E2682" s="31">
        <v>387.14634146341473</v>
      </c>
      <c r="F2682" s="31">
        <f t="shared" si="41"/>
        <v>476.19000000000011</v>
      </c>
    </row>
    <row r="2683" spans="1:6" ht="18.75" customHeight="1" x14ac:dyDescent="0.25">
      <c r="A2683" s="2" t="str">
        <f ca="1">IFERROR(__xludf.DUMMYFUNCTION("""COMPUTED_VALUE"""),"KPL-K5618")</f>
        <v>KPL-K5618</v>
      </c>
      <c r="B2683" s="3">
        <f ca="1">IFERROR(__xludf.DUMMYFUNCTION("""COMPUTED_VALUE"""),49155)</f>
        <v>49155</v>
      </c>
      <c r="C2683" s="3">
        <f ca="1">IFERROR(__xludf.DUMMYFUNCTION("""COMPUTED_VALUE"""),5902557382248)</f>
        <v>5902557382248</v>
      </c>
      <c r="D2683" s="4" t="str">
        <f ca="1">IFERROR(__xludf.DUMMYFUNCTION("""COMPUTED_VALUE"""),"KABINA NAROŻNA RAPID SWING GOLD 90x80")</f>
        <v>KABINA NAROŻNA RAPID SWING GOLD 90x80</v>
      </c>
      <c r="E2683" s="31">
        <v>379.02439024390253</v>
      </c>
      <c r="F2683" s="31">
        <f t="shared" si="41"/>
        <v>466.2000000000001</v>
      </c>
    </row>
    <row r="2684" spans="1:6" ht="18.75" customHeight="1" x14ac:dyDescent="0.25">
      <c r="A2684" s="2" t="str">
        <f ca="1">IFERROR(__xludf.DUMMYFUNCTION("""COMPUTED_VALUE"""),"KPL-45208")</f>
        <v>KPL-45208</v>
      </c>
      <c r="B2684" s="3">
        <f ca="1">IFERROR(__xludf.DUMMYFUNCTION("""COMPUTED_VALUE"""),49147)</f>
        <v>49147</v>
      </c>
      <c r="C2684" s="3">
        <f ca="1">IFERROR(__xludf.DUMMYFUNCTION("""COMPUTED_VALUE"""),5902557376612)</f>
        <v>5902557376612</v>
      </c>
      <c r="D2684" s="4" t="str">
        <f ca="1">IFERROR(__xludf.DUMMYFUNCTION("""COMPUTED_VALUE"""),"DRZWI PRYSZNICOWE HUGO BLACK 100")</f>
        <v>DRZWI PRYSZNICOWE HUGO BLACK 100</v>
      </c>
      <c r="E2684" s="31">
        <v>268.92682926829269</v>
      </c>
      <c r="F2684" s="31">
        <f t="shared" si="41"/>
        <v>330.78000000000003</v>
      </c>
    </row>
    <row r="2685" spans="1:6" ht="18.75" customHeight="1" x14ac:dyDescent="0.25">
      <c r="A2685" s="2" t="str">
        <f ca="1">IFERROR(__xludf.DUMMYFUNCTION("""COMPUTED_VALUE"""),"KPL-45207")</f>
        <v>KPL-45207</v>
      </c>
      <c r="B2685" s="3">
        <f ca="1">IFERROR(__xludf.DUMMYFUNCTION("""COMPUTED_VALUE"""),49146)</f>
        <v>49146</v>
      </c>
      <c r="C2685" s="3">
        <f ca="1">IFERROR(__xludf.DUMMYFUNCTION("""COMPUTED_VALUE"""),5906366005299)</f>
        <v>5906366005299</v>
      </c>
      <c r="D2685" s="4" t="str">
        <f ca="1">IFERROR(__xludf.DUMMYFUNCTION("""COMPUTED_VALUE"""),"DRZWI PRYSZNICOWE HUGO BLACK 90")</f>
        <v>DRZWI PRYSZNICOWE HUGO BLACK 90</v>
      </c>
      <c r="E2685" s="31">
        <v>275.2439024390244</v>
      </c>
      <c r="F2685" s="31">
        <f t="shared" si="41"/>
        <v>338.55</v>
      </c>
    </row>
    <row r="2686" spans="1:6" ht="18.75" customHeight="1" x14ac:dyDescent="0.25">
      <c r="A2686" s="2" t="str">
        <f ca="1">IFERROR(__xludf.DUMMYFUNCTION("""COMPUTED_VALUE"""),"KPL-45206")</f>
        <v>KPL-45206</v>
      </c>
      <c r="B2686" s="3">
        <f ca="1">IFERROR(__xludf.DUMMYFUNCTION("""COMPUTED_VALUE"""),49144)</f>
        <v>49144</v>
      </c>
      <c r="C2686" s="3">
        <f ca="1">IFERROR(__xludf.DUMMYFUNCTION("""COMPUTED_VALUE"""),5906366005282)</f>
        <v>5906366005282</v>
      </c>
      <c r="D2686" s="4" t="str">
        <f ca="1">IFERROR(__xludf.DUMMYFUNCTION("""COMPUTED_VALUE"""),"DRZWI PRYSZNICOWE HUGO BLACK 80")</f>
        <v>DRZWI PRYSZNICOWE HUGO BLACK 80</v>
      </c>
      <c r="E2686" s="31">
        <v>268.92682926829269</v>
      </c>
      <c r="F2686" s="31">
        <f t="shared" si="41"/>
        <v>330.78000000000003</v>
      </c>
    </row>
    <row r="2687" spans="1:6" ht="18.75" customHeight="1" x14ac:dyDescent="0.25">
      <c r="A2687" s="2" t="str">
        <f ca="1">IFERROR(__xludf.DUMMYFUNCTION("""COMPUTED_VALUE"""),"KPL-45203")</f>
        <v>KPL-45203</v>
      </c>
      <c r="B2687" s="3">
        <f ca="1">IFERROR(__xludf.DUMMYFUNCTION("""COMPUTED_VALUE"""),48836)</f>
        <v>48836</v>
      </c>
      <c r="C2687" s="3">
        <f ca="1">IFERROR(__xludf.DUMMYFUNCTION("""COMPUTED_VALUE"""),5902557381227)</f>
        <v>5902557381227</v>
      </c>
      <c r="D2687" s="4" t="str">
        <f ca="1">IFERROR(__xludf.DUMMYFUNCTION("""COMPUTED_VALUE"""),"DRZWI PRYSZNICOWE HUGO GOLD BRUSH 80 + ŚCIANKA 30")</f>
        <v>DRZWI PRYSZNICOWE HUGO GOLD BRUSH 80 + ŚCIANKA 30</v>
      </c>
      <c r="E2687" s="31">
        <v>340.21951219512198</v>
      </c>
      <c r="F2687" s="31">
        <f t="shared" si="41"/>
        <v>418.47</v>
      </c>
    </row>
    <row r="2688" spans="1:6" ht="18.75" customHeight="1" x14ac:dyDescent="0.25">
      <c r="A2688" s="2" t="str">
        <f ca="1">IFERROR(__xludf.DUMMYFUNCTION("""COMPUTED_VALUE"""),"KPL-45204")</f>
        <v>KPL-45204</v>
      </c>
      <c r="B2688" s="3">
        <f ca="1">IFERROR(__xludf.DUMMYFUNCTION("""COMPUTED_VALUE"""),48835)</f>
        <v>48835</v>
      </c>
      <c r="C2688" s="3">
        <f ca="1">IFERROR(__xludf.DUMMYFUNCTION("""COMPUTED_VALUE"""),5902557381234)</f>
        <v>5902557381234</v>
      </c>
      <c r="D2688" s="4" t="str">
        <f ca="1">IFERROR(__xludf.DUMMYFUNCTION("""COMPUTED_VALUE"""),"DRZWI PRYSZNICOWE HUGO GOLD BRUSH 90 + ŚCIANKA 30")</f>
        <v>DRZWI PRYSZNICOWE HUGO GOLD BRUSH 90 + ŚCIANKA 30</v>
      </c>
      <c r="E2688" s="31">
        <v>349.2439024390244</v>
      </c>
      <c r="F2688" s="31">
        <f t="shared" si="41"/>
        <v>429.57</v>
      </c>
    </row>
    <row r="2689" spans="1:6" ht="18.75" customHeight="1" x14ac:dyDescent="0.25">
      <c r="A2689" s="2" t="str">
        <f ca="1">IFERROR(__xludf.DUMMYFUNCTION("""COMPUTED_VALUE"""),"KPL-45205")</f>
        <v>KPL-45205</v>
      </c>
      <c r="B2689" s="3">
        <f ca="1">IFERROR(__xludf.DUMMYFUNCTION("""COMPUTED_VALUE"""),48834)</f>
        <v>48834</v>
      </c>
      <c r="C2689" s="3">
        <f ca="1">IFERROR(__xludf.DUMMYFUNCTION("""COMPUTED_VALUE"""),5902557381241)</f>
        <v>5902557381241</v>
      </c>
      <c r="D2689" s="4" t="str">
        <f ca="1">IFERROR(__xludf.DUMMYFUNCTION("""COMPUTED_VALUE"""),"DRZWI PRYSZNICOWE HUGO GOLD BRUSH 100 + ŚCIANKA 30")</f>
        <v>DRZWI PRYSZNICOWE HUGO GOLD BRUSH 100 + ŚCIANKA 30</v>
      </c>
      <c r="E2689" s="31">
        <v>348.34146341463418</v>
      </c>
      <c r="F2689" s="31">
        <f t="shared" ref="F2689:F2752" si="42">E2689*1.23</f>
        <v>428.46000000000004</v>
      </c>
    </row>
    <row r="2690" spans="1:6" ht="18.75" customHeight="1" x14ac:dyDescent="0.25">
      <c r="A2690" s="2" t="str">
        <f ca="1">IFERROR(__xludf.DUMMYFUNCTION("""COMPUTED_VALUE"""),"KPL-45202")</f>
        <v>KPL-45202</v>
      </c>
      <c r="B2690" s="3">
        <f ca="1">IFERROR(__xludf.DUMMYFUNCTION("""COMPUTED_VALUE"""),48833)</f>
        <v>48833</v>
      </c>
      <c r="C2690" s="3">
        <f ca="1">IFERROR(__xludf.DUMMYFUNCTION("""COMPUTED_VALUE"""),5902557392766)</f>
        <v>5902557392766</v>
      </c>
      <c r="D2690" s="4" t="str">
        <f ca="1">IFERROR(__xludf.DUMMYFUNCTION("""COMPUTED_VALUE"""),"DRZWI PRYSZNICOWE HUGO GOLD BRUSH 100")</f>
        <v>DRZWI PRYSZNICOWE HUGO GOLD BRUSH 100</v>
      </c>
      <c r="E2690" s="31">
        <v>304.12195121951225</v>
      </c>
      <c r="F2690" s="31">
        <f t="shared" si="42"/>
        <v>374.07000000000005</v>
      </c>
    </row>
    <row r="2691" spans="1:6" ht="18.75" customHeight="1" x14ac:dyDescent="0.25">
      <c r="A2691" s="2" t="str">
        <f ca="1">IFERROR(__xludf.DUMMYFUNCTION("""COMPUTED_VALUE"""),"KPL-45201")</f>
        <v>KPL-45201</v>
      </c>
      <c r="B2691" s="3">
        <f ca="1">IFERROR(__xludf.DUMMYFUNCTION("""COMPUTED_VALUE"""),48832)</f>
        <v>48832</v>
      </c>
      <c r="C2691" s="3">
        <f ca="1">IFERROR(__xludf.DUMMYFUNCTION("""COMPUTED_VALUE"""),5902557392759)</f>
        <v>5902557392759</v>
      </c>
      <c r="D2691" s="4" t="str">
        <f ca="1">IFERROR(__xludf.DUMMYFUNCTION("""COMPUTED_VALUE"""),"DRZWI PRYSZNICOWE HUGO GOLD BRUSH 90")</f>
        <v>DRZWI PRYSZNICOWE HUGO GOLD BRUSH 90</v>
      </c>
      <c r="E2691" s="31">
        <v>305.02439024390247</v>
      </c>
      <c r="F2691" s="31">
        <f t="shared" si="42"/>
        <v>375.18000000000006</v>
      </c>
    </row>
    <row r="2692" spans="1:6" ht="18.75" customHeight="1" x14ac:dyDescent="0.25">
      <c r="A2692" s="2" t="str">
        <f ca="1">IFERROR(__xludf.DUMMYFUNCTION("""COMPUTED_VALUE"""),"KPL-45200")</f>
        <v>KPL-45200</v>
      </c>
      <c r="B2692" s="3">
        <f ca="1">IFERROR(__xludf.DUMMYFUNCTION("""COMPUTED_VALUE"""),48831)</f>
        <v>48831</v>
      </c>
      <c r="C2692" s="3">
        <f ca="1">IFERROR(__xludf.DUMMYFUNCTION("""COMPUTED_VALUE"""),5902557392742)</f>
        <v>5902557392742</v>
      </c>
      <c r="D2692" s="4" t="str">
        <f ca="1">IFERROR(__xludf.DUMMYFUNCTION("""COMPUTED_VALUE"""),"DRZWI PRYSZNICOWE HUGO GOLD BRUSH 80")</f>
        <v>DRZWI PRYSZNICOWE HUGO GOLD BRUSH 80</v>
      </c>
      <c r="E2692" s="31">
        <v>296.00000000000006</v>
      </c>
      <c r="F2692" s="31">
        <f t="shared" si="42"/>
        <v>364.08000000000004</v>
      </c>
    </row>
    <row r="2693" spans="1:6" ht="18.75" customHeight="1" x14ac:dyDescent="0.25">
      <c r="A2693" s="2" t="str">
        <f ca="1">IFERROR(__xludf.DUMMYFUNCTION("""COMPUTED_VALUE"""),"KPL-09140")</f>
        <v>KPL-09140</v>
      </c>
      <c r="B2693" s="3">
        <f ca="1">IFERROR(__xludf.DUMMYFUNCTION("""COMPUTED_VALUE"""),48736)</f>
        <v>48736</v>
      </c>
      <c r="C2693" s="3">
        <f ca="1">IFERROR(__xludf.DUMMYFUNCTION("""COMPUTED_VALUE"""),5902557396092)</f>
        <v>5902557396092</v>
      </c>
      <c r="D2693" s="4" t="str">
        <f ca="1">IFERROR(__xludf.DUMMYFUNCTION("""COMPUTED_VALUE"""),"KABINA DIAMOND GOLD+ BRODZIK DIAMOND WHITE 80X80")</f>
        <v>KABINA DIAMOND GOLD+ BRODZIK DIAMOND WHITE 80X80</v>
      </c>
      <c r="E2693" s="31">
        <v>499.95121951219522</v>
      </c>
      <c r="F2693" s="31">
        <f t="shared" si="42"/>
        <v>614.94000000000017</v>
      </c>
    </row>
    <row r="2694" spans="1:6" ht="18.75" customHeight="1" x14ac:dyDescent="0.25">
      <c r="A2694" s="2" t="str">
        <f ca="1">IFERROR(__xludf.DUMMYFUNCTION("""COMPUTED_VALUE"""),"KPL-K1963")</f>
        <v>KPL-K1963</v>
      </c>
      <c r="B2694" s="3">
        <f ca="1">IFERROR(__xludf.DUMMYFUNCTION("""COMPUTED_VALUE"""),47716)</f>
        <v>47716</v>
      </c>
      <c r="C2694" s="3">
        <f ca="1">IFERROR(__xludf.DUMMYFUNCTION("""COMPUTED_VALUE"""),5906366004926)</f>
        <v>5906366004926</v>
      </c>
      <c r="D2694" s="4" t="str">
        <f ca="1">IFERROR(__xludf.DUMMYFUNCTION("""COMPUTED_VALUE"""),"DRZWI PRYSZNICOWE MOLIER BLACK 100 + LISTWA MAG")</f>
        <v>DRZWI PRYSZNICOWE MOLIER BLACK 100 + LISTWA MAG</v>
      </c>
      <c r="E2694" s="31">
        <v>245.46341463414637</v>
      </c>
      <c r="F2694" s="31">
        <f t="shared" si="42"/>
        <v>301.92</v>
      </c>
    </row>
    <row r="2695" spans="1:6" ht="18.75" customHeight="1" x14ac:dyDescent="0.25">
      <c r="A2695" s="2" t="str">
        <f ca="1">IFERROR(__xludf.DUMMYFUNCTION("""COMPUTED_VALUE"""),"KPL-K1538")</f>
        <v>KPL-K1538</v>
      </c>
      <c r="B2695" s="3">
        <f ca="1">IFERROR(__xludf.DUMMYFUNCTION("""COMPUTED_VALUE"""),47715)</f>
        <v>47715</v>
      </c>
      <c r="C2695" s="3">
        <f ca="1">IFERROR(__xludf.DUMMYFUNCTION("""COMPUTED_VALUE"""),5906366008085)</f>
        <v>5906366008085</v>
      </c>
      <c r="D2695" s="4" t="str">
        <f ca="1">IFERROR(__xludf.DUMMYFUNCTION("""COMPUTED_VALUE"""),"DRZWI PRYSZNICOWE MOLIER BLACK 90 + LISTWA MAG")</f>
        <v>DRZWI PRYSZNICOWE MOLIER BLACK 90 + LISTWA MAG</v>
      </c>
      <c r="E2695" s="31">
        <v>239.14634146341464</v>
      </c>
      <c r="F2695" s="31">
        <f t="shared" si="42"/>
        <v>294.15000000000003</v>
      </c>
    </row>
    <row r="2696" spans="1:6" ht="18.75" customHeight="1" x14ac:dyDescent="0.25">
      <c r="A2696" s="2" t="str">
        <f ca="1">IFERROR(__xludf.DUMMYFUNCTION("""COMPUTED_VALUE"""),"KPL-K9537")</f>
        <v>KPL-K9537</v>
      </c>
      <c r="B2696" s="3">
        <f ca="1">IFERROR(__xludf.DUMMYFUNCTION("""COMPUTED_VALUE"""),47714)</f>
        <v>47714</v>
      </c>
      <c r="C2696" s="3">
        <f ca="1">IFERROR(__xludf.DUMMYFUNCTION("""COMPUTED_VALUE"""),5906366004919)</f>
        <v>5906366004919</v>
      </c>
      <c r="D2696" s="4" t="str">
        <f ca="1">IFERROR(__xludf.DUMMYFUNCTION("""COMPUTED_VALUE"""),"DRZWI PRYSZNICOWE MOLIER BLACK 80 + LISTWA MAGN")</f>
        <v>DRZWI PRYSZNICOWE MOLIER BLACK 80 + LISTWA MAGN</v>
      </c>
      <c r="E2696" s="31">
        <v>227.41463414634148</v>
      </c>
      <c r="F2696" s="31">
        <f t="shared" si="42"/>
        <v>279.72000000000003</v>
      </c>
    </row>
    <row r="2697" spans="1:6" ht="18.75" customHeight="1" x14ac:dyDescent="0.25">
      <c r="A2697" s="2" t="str">
        <f ca="1">IFERROR(__xludf.DUMMYFUNCTION("""COMPUTED_VALUE"""),"KPL-C1222")</f>
        <v>KPL-C1222</v>
      </c>
      <c r="B2697" s="3">
        <f ca="1">IFERROR(__xludf.DUMMYFUNCTION("""COMPUTED_VALUE"""),46327)</f>
        <v>46327</v>
      </c>
      <c r="C2697" s="3">
        <f ca="1">IFERROR(__xludf.DUMMYFUNCTION("""COMPUTED_VALUE"""),5906366000447)</f>
        <v>5906366000447</v>
      </c>
      <c r="D2697" s="4" t="str">
        <f ca="1">IFERROR(__xludf.DUMMYFUNCTION("""COMPUTED_VALUE"""),"ZESTAW MISA WC CARLO + BIDET WHITE GOLD EDGE")</f>
        <v>ZESTAW MISA WC CARLO + BIDET WHITE GOLD EDGE</v>
      </c>
      <c r="E2697" s="31">
        <v>339.31707317073176</v>
      </c>
      <c r="F2697" s="31">
        <f t="shared" si="42"/>
        <v>417.36000000000007</v>
      </c>
    </row>
    <row r="2698" spans="1:6" ht="18.75" customHeight="1" x14ac:dyDescent="0.25">
      <c r="A2698" s="2" t="str">
        <f ca="1">IFERROR(__xludf.DUMMYFUNCTION("""COMPUTED_VALUE"""),"KPL-C2288")</f>
        <v>KPL-C2288</v>
      </c>
      <c r="B2698" s="3">
        <f ca="1">IFERROR(__xludf.DUMMYFUNCTION("""COMPUTED_VALUE"""),44852)</f>
        <v>44852</v>
      </c>
      <c r="C2698" s="3">
        <f ca="1">IFERROR(__xludf.DUMMYFUNCTION("""COMPUTED_VALUE"""),5906366000430)</f>
        <v>5906366000430</v>
      </c>
      <c r="D2698" s="4" t="str">
        <f ca="1">IFERROR(__xludf.DUMMYFUNCTION("""COMPUTED_VALUE"""),"ZESTAW WC + BIDET CARLO MINI GOLD/WHITE")</f>
        <v>ZESTAW WC + BIDET CARLO MINI GOLD/WHITE</v>
      </c>
      <c r="E2698" s="31">
        <v>482.80487804878049</v>
      </c>
      <c r="F2698" s="31">
        <f t="shared" si="42"/>
        <v>593.85</v>
      </c>
    </row>
    <row r="2699" spans="1:6" ht="18.75" customHeight="1" x14ac:dyDescent="0.25">
      <c r="A2699" s="2" t="str">
        <f ca="1">IFERROR(__xludf.DUMMYFUNCTION("""COMPUTED_VALUE"""),"KPL-K0581")</f>
        <v>KPL-K0581</v>
      </c>
      <c r="B2699" s="3">
        <f ca="1">IFERROR(__xludf.DUMMYFUNCTION("""COMPUTED_VALUE"""),44827)</f>
        <v>44827</v>
      </c>
      <c r="C2699" s="3">
        <f ca="1">IFERROR(__xludf.DUMMYFUNCTION("""COMPUTED_VALUE"""),5902557396825)</f>
        <v>5902557396825</v>
      </c>
      <c r="D2699" s="4" t="str">
        <f ca="1">IFERROR(__xludf.DUMMYFUNCTION("""COMPUTED_VALUE"""),"ŚCIANKA PRYSZNICOWA AERO BLACK 80 + Półka Evo")</f>
        <v>ŚCIANKA PRYSZNICOWA AERO BLACK 80 + Półka Evo</v>
      </c>
      <c r="E2699" s="31">
        <v>244.56097560975613</v>
      </c>
      <c r="F2699" s="31">
        <f t="shared" si="42"/>
        <v>300.81000000000006</v>
      </c>
    </row>
    <row r="2700" spans="1:6" ht="18.75" customHeight="1" x14ac:dyDescent="0.25">
      <c r="A2700" s="2" t="str">
        <f ca="1">IFERROR(__xludf.DUMMYFUNCTION("""COMPUTED_VALUE"""),"KPL-K8443")</f>
        <v>KPL-K8443</v>
      </c>
      <c r="B2700" s="3">
        <f ca="1">IFERROR(__xludf.DUMMYFUNCTION("""COMPUTED_VALUE"""),44372)</f>
        <v>44372</v>
      </c>
      <c r="C2700" s="3">
        <f ca="1">IFERROR(__xludf.DUMMYFUNCTION("""COMPUTED_VALUE"""),5906366004285)</f>
        <v>5906366004285</v>
      </c>
      <c r="D2700" s="4" t="str">
        <f ca="1">IFERROR(__xludf.DUMMYFUNCTION("""COMPUTED_VALUE"""),"ŚCIANKA PRYSZNICOWA AERO GOLD 120 + PÓŁKA EVO")</f>
        <v>ŚCIANKA PRYSZNICOWA AERO GOLD 120 + PÓŁKA EVO</v>
      </c>
      <c r="E2700" s="31">
        <v>335.70731707317077</v>
      </c>
      <c r="F2700" s="31">
        <f t="shared" si="42"/>
        <v>412.92</v>
      </c>
    </row>
    <row r="2701" spans="1:6" ht="18.75" customHeight="1" x14ac:dyDescent="0.25">
      <c r="A2701" s="2" t="str">
        <f ca="1">IFERROR(__xludf.DUMMYFUNCTION("""COMPUTED_VALUE"""),"KPL-09998")</f>
        <v>KPL-09998</v>
      </c>
      <c r="B2701" s="3">
        <f ca="1">IFERROR(__xludf.DUMMYFUNCTION("""COMPUTED_VALUE"""),44203)</f>
        <v>44203</v>
      </c>
      <c r="C2701" s="3">
        <f ca="1">IFERROR(__xludf.DUMMYFUNCTION("""COMPUTED_VALUE"""),5902557373598)</f>
        <v>5902557373598</v>
      </c>
      <c r="D2701" s="4" t="str">
        <f ca="1">IFERROR(__xludf.DUMMYFUNCTION("""COMPUTED_VALUE"""),"Royal Gold Edge+ Lungo L.gold wysoka+Korek L.gold")</f>
        <v>Royal Gold Edge+ Lungo L.gold wysoka+Korek L.gold</v>
      </c>
      <c r="E2701" s="31">
        <v>183.19512195121951</v>
      </c>
      <c r="F2701" s="31">
        <f t="shared" si="42"/>
        <v>225.32999999999998</v>
      </c>
    </row>
    <row r="2702" spans="1:6" ht="18.75" customHeight="1" x14ac:dyDescent="0.25">
      <c r="A2702" s="2" t="str">
        <f ca="1">IFERROR(__xludf.DUMMYFUNCTION("""COMPUTED_VALUE"""),"KPL-09992")</f>
        <v>KPL-09992</v>
      </c>
      <c r="B2702" s="3">
        <f ca="1">IFERROR(__xludf.DUMMYFUNCTION("""COMPUTED_VALUE"""),44202)</f>
        <v>44202</v>
      </c>
      <c r="C2702" s="3">
        <f ca="1">IFERROR(__xludf.DUMMYFUNCTION("""COMPUTED_VALUE"""),5902557373536)</f>
        <v>5902557373536</v>
      </c>
      <c r="D2702" s="4" t="str">
        <f ca="1">IFERROR(__xludf.DUMMYFUNCTION("""COMPUTED_VALUE"""),"Vegas Marble Black Mat+ Duet L.G.Wysoka+ Korek L.G")</f>
        <v>Vegas Marble Black Mat+ Duet L.G.Wysoka+ Korek L.G</v>
      </c>
      <c r="E2702" s="31">
        <v>196.73170731707322</v>
      </c>
      <c r="F2702" s="31">
        <f t="shared" si="42"/>
        <v>241.98000000000005</v>
      </c>
    </row>
    <row r="2703" spans="1:6" ht="18.75" customHeight="1" x14ac:dyDescent="0.25">
      <c r="A2703" s="2" t="str">
        <f ca="1">IFERROR(__xludf.DUMMYFUNCTION("""COMPUTED_VALUE"""),"KPL-09993")</f>
        <v>KPL-09993</v>
      </c>
      <c r="B2703" s="3">
        <f ca="1">IFERROR(__xludf.DUMMYFUNCTION("""COMPUTED_VALUE"""),44201)</f>
        <v>44201</v>
      </c>
      <c r="C2703" s="3">
        <f ca="1">IFERROR(__xludf.DUMMYFUNCTION("""COMPUTED_VALUE"""),5902557373543)</f>
        <v>5902557373543</v>
      </c>
      <c r="D2703" s="4" t="str">
        <f ca="1">IFERROR(__xludf.DUMMYFUNCTION("""COMPUTED_VALUE"""),"Belinda marble mat+Mayson Black wysoka+Korek black")</f>
        <v>Belinda marble mat+Mayson Black wysoka+Korek black</v>
      </c>
      <c r="E2703" s="31">
        <v>163.34146341463415</v>
      </c>
      <c r="F2703" s="31">
        <f t="shared" si="42"/>
        <v>200.91</v>
      </c>
    </row>
    <row r="2704" spans="1:6" ht="18.75" customHeight="1" x14ac:dyDescent="0.25">
      <c r="A2704" s="2" t="str">
        <f ca="1">IFERROR(__xludf.DUMMYFUNCTION("""COMPUTED_VALUE"""),"KPL-09995")</f>
        <v>KPL-09995</v>
      </c>
      <c r="B2704" s="3">
        <f ca="1">IFERROR(__xludf.DUMMYFUNCTION("""COMPUTED_VALUE"""),44200)</f>
        <v>44200</v>
      </c>
      <c r="C2704" s="3">
        <f ca="1">IFERROR(__xludf.DUMMYFUNCTION("""COMPUTED_VALUE"""),5902557373567)</f>
        <v>5902557373567</v>
      </c>
      <c r="D2704" s="4" t="str">
        <f ca="1">IFERROR(__xludf.DUMMYFUNCTION("""COMPUTED_VALUE"""),"Sofia Black White+ Lungo wysoka black+Korek black")</f>
        <v>Sofia Black White+ Lungo wysoka black+Korek black</v>
      </c>
      <c r="E2704" s="31">
        <v>139.87804878048783</v>
      </c>
      <c r="F2704" s="31">
        <f t="shared" si="42"/>
        <v>172.05000000000004</v>
      </c>
    </row>
    <row r="2705" spans="1:6" ht="18.75" customHeight="1" x14ac:dyDescent="0.25">
      <c r="A2705" s="2" t="str">
        <f ca="1">IFERROR(__xludf.DUMMYFUNCTION("""COMPUTED_VALUE"""),"KPL-09996")</f>
        <v>KPL-09996</v>
      </c>
      <c r="B2705" s="3">
        <f ca="1">IFERROR(__xludf.DUMMYFUNCTION("""COMPUTED_VALUE"""),44199)</f>
        <v>44199</v>
      </c>
      <c r="C2705" s="3">
        <f ca="1">IFERROR(__xludf.DUMMYFUNCTION("""COMPUTED_VALUE"""),5902557373574)</f>
        <v>5902557373574</v>
      </c>
      <c r="D2705" s="4" t="str">
        <f ca="1">IFERROR(__xludf.DUMMYFUNCTION("""COMPUTED_VALUE"""),"Pamela+ Lungo wysoka Black+ Korek Black")</f>
        <v>Pamela+ Lungo wysoka Black+ Korek Black</v>
      </c>
      <c r="E2705" s="31">
        <v>128.14634146341464</v>
      </c>
      <c r="F2705" s="31">
        <f t="shared" si="42"/>
        <v>157.62</v>
      </c>
    </row>
    <row r="2706" spans="1:6" ht="18.75" customHeight="1" x14ac:dyDescent="0.25">
      <c r="A2706" s="2" t="str">
        <f ca="1">IFERROR(__xludf.DUMMYFUNCTION("""COMPUTED_VALUE"""),"KPL-09997")</f>
        <v>KPL-09997</v>
      </c>
      <c r="B2706" s="3">
        <f ca="1">IFERROR(__xludf.DUMMYFUNCTION("""COMPUTED_VALUE"""),44198)</f>
        <v>44198</v>
      </c>
      <c r="C2706" s="3">
        <f ca="1">IFERROR(__xludf.DUMMYFUNCTION("""COMPUTED_VALUE"""),5902557373581)</f>
        <v>5902557373581</v>
      </c>
      <c r="D2706" s="4" t="str">
        <f ca="1">IFERROR(__xludf.DUMMYFUNCTION("""COMPUTED_VALUE"""),"Umywalka Shila + Lungo wysoka Black+ Korek black")</f>
        <v>Umywalka Shila + Lungo wysoka Black+ Korek black</v>
      </c>
      <c r="E2706" s="31">
        <v>146.19512195121953</v>
      </c>
      <c r="F2706" s="31">
        <f t="shared" si="42"/>
        <v>179.82000000000002</v>
      </c>
    </row>
    <row r="2707" spans="1:6" ht="18.75" customHeight="1" x14ac:dyDescent="0.25">
      <c r="A2707" s="2" t="str">
        <f ca="1">IFERROR(__xludf.DUMMYFUNCTION("""COMPUTED_VALUE"""),"KPL-09994")</f>
        <v>KPL-09994</v>
      </c>
      <c r="B2707" s="3">
        <f ca="1">IFERROR(__xludf.DUMMYFUNCTION("""COMPUTED_VALUE"""),44197)</f>
        <v>44197</v>
      </c>
      <c r="C2707" s="3">
        <f ca="1">IFERROR(__xludf.DUMMYFUNCTION("""COMPUTED_VALUE"""),5902557373550)</f>
        <v>5902557373550</v>
      </c>
      <c r="D2707" s="4" t="str">
        <f ca="1">IFERROR(__xludf.DUMMYFUNCTION("""COMPUTED_VALUE"""),"Sofia black marble+Lungo L.gold wysoka+Korek L.g")</f>
        <v>Sofia black marble+Lungo L.gold wysoka+Korek L.g</v>
      </c>
      <c r="E2707" s="31">
        <v>148.90243902439028</v>
      </c>
      <c r="F2707" s="31">
        <f t="shared" si="42"/>
        <v>183.15000000000003</v>
      </c>
    </row>
    <row r="2708" spans="1:6" ht="18.75" customHeight="1" x14ac:dyDescent="0.25">
      <c r="A2708" s="2" t="str">
        <f ca="1">IFERROR(__xludf.DUMMYFUNCTION("""COMPUTED_VALUE"""),"KPL-09999")</f>
        <v>KPL-09999</v>
      </c>
      <c r="B2708" s="3">
        <f ca="1">IFERROR(__xludf.DUMMYFUNCTION("""COMPUTED_VALUE"""),44196)</f>
        <v>44196</v>
      </c>
      <c r="C2708" s="3">
        <f ca="1">IFERROR(__xludf.DUMMYFUNCTION("""COMPUTED_VALUE"""),5902557373772)</f>
        <v>5902557373772</v>
      </c>
      <c r="D2708" s="4" t="str">
        <f ca="1">IFERROR(__xludf.DUMMYFUNCTION("""COMPUTED_VALUE"""),"Linda Stone+Lungo l.gold wysoka+Korek l.gold")</f>
        <v>Linda Stone+Lungo l.gold wysoka+Korek l.gold</v>
      </c>
      <c r="E2708" s="31">
        <v>154.31707317073173</v>
      </c>
      <c r="F2708" s="31">
        <f t="shared" si="42"/>
        <v>189.81000000000003</v>
      </c>
    </row>
    <row r="2709" spans="1:6" ht="18.75" customHeight="1" x14ac:dyDescent="0.25">
      <c r="A2709" s="2" t="str">
        <f ca="1">IFERROR(__xludf.DUMMYFUNCTION("""COMPUTED_VALUE"""),"KPL-10000")</f>
        <v>KPL-10000</v>
      </c>
      <c r="B2709" s="3">
        <f ca="1">IFERROR(__xludf.DUMMYFUNCTION("""COMPUTED_VALUE"""),44195)</f>
        <v>44195</v>
      </c>
      <c r="C2709" s="3">
        <f ca="1">IFERROR(__xludf.DUMMYFUNCTION("""COMPUTED_VALUE"""),5902557373611)</f>
        <v>5902557373611</v>
      </c>
      <c r="D2709" s="4" t="str">
        <f ca="1">IFERROR(__xludf.DUMMYFUNCTION("""COMPUTED_VALUE"""),"Sofia Gold Edge+Lungo L.gold wysoka+ Korek L.gold")</f>
        <v>Sofia Gold Edge+Lungo L.gold wysoka+ Korek L.gold</v>
      </c>
      <c r="E2709" s="31">
        <v>152.51219512195124</v>
      </c>
      <c r="F2709" s="31">
        <f t="shared" si="42"/>
        <v>187.59000000000003</v>
      </c>
    </row>
    <row r="2710" spans="1:6" ht="18.75" customHeight="1" x14ac:dyDescent="0.25">
      <c r="A2710" s="2" t="str">
        <f ca="1">IFERROR(__xludf.DUMMYFUNCTION("""COMPUTED_VALUE"""),"KPL-10001")</f>
        <v>KPL-10001</v>
      </c>
      <c r="B2710" s="3">
        <f ca="1">IFERROR(__xludf.DUMMYFUNCTION("""COMPUTED_VALUE"""),44194)</f>
        <v>44194</v>
      </c>
      <c r="C2710" s="3">
        <f ca="1">IFERROR(__xludf.DUMMYFUNCTION("""COMPUTED_VALUE"""),5902557373628)</f>
        <v>5902557373628</v>
      </c>
      <c r="D2710" s="4" t="str">
        <f ca="1">IFERROR(__xludf.DUMMYFUNCTION("""COMPUTED_VALUE"""),"Pearl Black Gold Edge+Lungo wysoka l.g.+ Korek l.g")</f>
        <v>Pearl Black Gold Edge+Lungo wysoka l.g.+ Korek l.g</v>
      </c>
      <c r="E2710" s="31">
        <v>201.24390243902442</v>
      </c>
      <c r="F2710" s="31">
        <f t="shared" si="42"/>
        <v>247.53000000000003</v>
      </c>
    </row>
    <row r="2711" spans="1:6" ht="18.75" customHeight="1" x14ac:dyDescent="0.25">
      <c r="A2711" s="2" t="str">
        <f ca="1">IFERROR(__xludf.DUMMYFUNCTION("""COMPUTED_VALUE"""),"KPL-C2760")</f>
        <v>KPL-C2760</v>
      </c>
      <c r="B2711" s="3">
        <f ca="1">IFERROR(__xludf.DUMMYFUNCTION("""COMPUTED_VALUE"""),43321)</f>
        <v>43321</v>
      </c>
      <c r="C2711" s="3">
        <f ca="1">IFERROR(__xludf.DUMMYFUNCTION("""COMPUTED_VALUE"""),5906366005879)</f>
        <v>5906366005879</v>
      </c>
      <c r="D2711" s="4" t="str">
        <f ca="1">IFERROR(__xludf.DUMMYFUNCTION("""COMPUTED_VALUE"""),"ZESTAW MISA WC CARLO MINI FLAT + BIDET CARLO MINI")</f>
        <v>ZESTAW MISA WC CARLO MINI FLAT + BIDET CARLO MINI</v>
      </c>
      <c r="E2711" s="31">
        <v>251.78048780487808</v>
      </c>
      <c r="F2711" s="31">
        <f t="shared" si="42"/>
        <v>309.69000000000005</v>
      </c>
    </row>
    <row r="2712" spans="1:6" ht="18.75" customHeight="1" x14ac:dyDescent="0.25">
      <c r="A2712" s="2" t="str">
        <f ca="1">IFERROR(__xludf.DUMMYFUNCTION("""COMPUTED_VALUE"""),"KPL-K1004")</f>
        <v>KPL-K1004</v>
      </c>
      <c r="B2712" s="3">
        <f ca="1">IFERROR(__xludf.DUMMYFUNCTION("""COMPUTED_VALUE"""),43316)</f>
        <v>43316</v>
      </c>
      <c r="C2712" s="3">
        <f ca="1">IFERROR(__xludf.DUMMYFUNCTION("""COMPUTED_VALUE"""),5902557393534)</f>
        <v>5902557393534</v>
      </c>
      <c r="D2712" s="4" t="str">
        <f ca="1">IFERROR(__xludf.DUMMYFUNCTION("""COMPUTED_VALUE"""),"KABINA CONCEPT BLACK 80x80 + BRODZIK SAVOY CZARNY")</f>
        <v>KABINA CONCEPT BLACK 80x80 + BRODZIK SAVOY CZARNY</v>
      </c>
      <c r="E2712" s="31">
        <v>271.63414634146346</v>
      </c>
      <c r="F2712" s="31">
        <f t="shared" si="42"/>
        <v>334.11000000000007</v>
      </c>
    </row>
    <row r="2713" spans="1:6" ht="18.75" customHeight="1" x14ac:dyDescent="0.25">
      <c r="A2713" s="2" t="str">
        <f ca="1">IFERROR(__xludf.DUMMYFUNCTION("""COMPUTED_VALUE"""),"KPL-K1003")</f>
        <v>KPL-K1003</v>
      </c>
      <c r="B2713" s="3">
        <f ca="1">IFERROR(__xludf.DUMMYFUNCTION("""COMPUTED_VALUE"""),43315)</f>
        <v>43315</v>
      </c>
      <c r="C2713" s="3">
        <f ca="1">IFERROR(__xludf.DUMMYFUNCTION("""COMPUTED_VALUE"""),5902557396399)</f>
        <v>5902557396399</v>
      </c>
      <c r="D2713" s="4" t="str">
        <f ca="1">IFERROR(__xludf.DUMMYFUNCTION("""COMPUTED_VALUE"""),"KABINA CONCEPT BLACK 80x80 + BRODZIK SAVOY BIAŁY")</f>
        <v>KABINA CONCEPT BLACK 80x80 + BRODZIK SAVOY BIAŁY</v>
      </c>
      <c r="E2713" s="31">
        <v>268.02439024390247</v>
      </c>
      <c r="F2713" s="31">
        <f t="shared" si="42"/>
        <v>329.67</v>
      </c>
    </row>
    <row r="2714" spans="1:6" ht="18.75" customHeight="1" x14ac:dyDescent="0.25">
      <c r="A2714" s="2" t="str">
        <f ca="1">IFERROR(__xludf.DUMMYFUNCTION("""COMPUTED_VALUE"""),"KPL-K1979")</f>
        <v>KPL-K1979</v>
      </c>
      <c r="B2714" s="3">
        <f ca="1">IFERROR(__xludf.DUMMYFUNCTION("""COMPUTED_VALUE"""),43306)</f>
        <v>43306</v>
      </c>
      <c r="C2714" s="3">
        <f ca="1">IFERROR(__xludf.DUMMYFUNCTION("""COMPUTED_VALUE"""),5902557396795)</f>
        <v>5902557396795</v>
      </c>
      <c r="D2714" s="4" t="str">
        <f ca="1">IFERROR(__xludf.DUMMYFUNCTION("""COMPUTED_VALUE"""),"KABINA HEX BLACK 90x90 + BRODZIK DIAMOND CZARNY")</f>
        <v>KABINA HEX BLACK 90x90 + BRODZIK DIAMOND CZARNY</v>
      </c>
      <c r="E2714" s="31">
        <v>407.00000000000006</v>
      </c>
      <c r="F2714" s="31">
        <f t="shared" si="42"/>
        <v>500.61000000000007</v>
      </c>
    </row>
    <row r="2715" spans="1:6" ht="18.75" customHeight="1" x14ac:dyDescent="0.25">
      <c r="A2715" s="2" t="str">
        <f ca="1">IFERROR(__xludf.DUMMYFUNCTION("""COMPUTED_VALUE"""),"KPL-K0979")</f>
        <v>KPL-K0979</v>
      </c>
      <c r="B2715" s="3">
        <f ca="1">IFERROR(__xludf.DUMMYFUNCTION("""COMPUTED_VALUE"""),43305)</f>
        <v>43305</v>
      </c>
      <c r="C2715" s="3">
        <f ca="1">IFERROR(__xludf.DUMMYFUNCTION("""COMPUTED_VALUE"""),5902557396788)</f>
        <v>5902557396788</v>
      </c>
      <c r="D2715" s="4" t="str">
        <f ca="1">IFERROR(__xludf.DUMMYFUNCTION("""COMPUTED_VALUE"""),"KABINA HEX BLACK 90x90 + BRODZIK DIAMOND BIAŁY")</f>
        <v>KABINA HEX BLACK 90x90 + BRODZIK DIAMOND BIAŁY</v>
      </c>
      <c r="E2715" s="31">
        <v>402.48780487804885</v>
      </c>
      <c r="F2715" s="31">
        <f t="shared" si="42"/>
        <v>495.06000000000006</v>
      </c>
    </row>
    <row r="2716" spans="1:6" ht="18.75" customHeight="1" x14ac:dyDescent="0.25">
      <c r="A2716" s="2" t="str">
        <f ca="1">IFERROR(__xludf.DUMMYFUNCTION("""COMPUTED_VALUE"""),"KPL-K8969")</f>
        <v>KPL-K8969</v>
      </c>
      <c r="B2716" s="3">
        <f ca="1">IFERROR(__xludf.DUMMYFUNCTION("""COMPUTED_VALUE"""),43301)</f>
        <v>43301</v>
      </c>
      <c r="C2716" s="3"/>
      <c r="D2716" s="4" t="str">
        <f ca="1">IFERROR(__xludf.DUMMYFUNCTION("""COMPUTED_VALUE"""),"KABINA HEX BLACK 80x80 + BRODZIK DIAMOND BIAŁY")</f>
        <v>KABINA HEX BLACK 80x80 + BRODZIK DIAMOND BIAŁY</v>
      </c>
      <c r="E2716" s="31">
        <v>377.21951219512198</v>
      </c>
      <c r="F2716" s="31">
        <f t="shared" si="42"/>
        <v>463.98</v>
      </c>
    </row>
    <row r="2717" spans="1:6" ht="18.75" customHeight="1" x14ac:dyDescent="0.25">
      <c r="A2717" s="2" t="str">
        <f ca="1">IFERROR(__xludf.DUMMYFUNCTION("""COMPUTED_VALUE"""),"KPL-K8778")</f>
        <v>KPL-K8778</v>
      </c>
      <c r="B2717" s="3">
        <f ca="1">IFERROR(__xludf.DUMMYFUNCTION("""COMPUTED_VALUE"""),43297)</f>
        <v>43297</v>
      </c>
      <c r="C2717" s="3"/>
      <c r="D2717" s="4" t="str">
        <f ca="1">IFERROR(__xludf.DUMMYFUNCTION("""COMPUTED_VALUE"""),"KABINA AXIN CHORM 80x80 + BRODZIK DIAMOND BIAŁY")</f>
        <v>KABINA AXIN CHORM 80x80 + BRODZIK DIAMOND BIAŁY</v>
      </c>
      <c r="E2717" s="31">
        <v>371.80487804878049</v>
      </c>
      <c r="F2717" s="31">
        <f t="shared" si="42"/>
        <v>457.32</v>
      </c>
    </row>
    <row r="2718" spans="1:6" ht="18.75" customHeight="1" x14ac:dyDescent="0.25">
      <c r="A2718" s="2" t="str">
        <f ca="1">IFERROR(__xludf.DUMMYFUNCTION("""COMPUTED_VALUE"""),"KPL-K1779")</f>
        <v>KPL-K1779</v>
      </c>
      <c r="B2718" s="3">
        <f ca="1">IFERROR(__xludf.DUMMYFUNCTION("""COMPUTED_VALUE"""),43294)</f>
        <v>43294</v>
      </c>
      <c r="C2718" s="3">
        <f ca="1">IFERROR(__xludf.DUMMYFUNCTION("""COMPUTED_VALUE"""),5902557387502)</f>
        <v>5902557387502</v>
      </c>
      <c r="D2718" s="4" t="str">
        <f ca="1">IFERROR(__xludf.DUMMYFUNCTION("""COMPUTED_VALUE"""),"KABINA AXIN CHROM 90x90 + BRODZIK DIAMOND CZARNY")</f>
        <v>KABINA AXIN CHROM 90x90 + BRODZIK DIAMOND CZARNY</v>
      </c>
      <c r="E2718" s="31">
        <v>351.04878048780489</v>
      </c>
      <c r="F2718" s="31">
        <f t="shared" si="42"/>
        <v>431.79</v>
      </c>
    </row>
    <row r="2719" spans="1:6" ht="18.75" customHeight="1" x14ac:dyDescent="0.25">
      <c r="A2719" s="2" t="str">
        <f ca="1">IFERROR(__xludf.DUMMYFUNCTION("""COMPUTED_VALUE"""),"KPL-K8779")</f>
        <v>KPL-K8779</v>
      </c>
      <c r="B2719" s="3">
        <f ca="1">IFERROR(__xludf.DUMMYFUNCTION("""COMPUTED_VALUE"""),43293)</f>
        <v>43293</v>
      </c>
      <c r="C2719" s="3">
        <f ca="1">IFERROR(__xludf.DUMMYFUNCTION("""COMPUTED_VALUE"""),5902557387496)</f>
        <v>5902557387496</v>
      </c>
      <c r="D2719" s="4" t="str">
        <f ca="1">IFERROR(__xludf.DUMMYFUNCTION("""COMPUTED_VALUE"""),"KABINA AXIN CHROM 90x90 + BRODZIK DIAMOND BIAŁY")</f>
        <v>KABINA AXIN CHROM 90x90 + BRODZIK DIAMOND BIAŁY</v>
      </c>
      <c r="E2719" s="31">
        <v>346.53658536585368</v>
      </c>
      <c r="F2719" s="31">
        <f t="shared" si="42"/>
        <v>426.24</v>
      </c>
    </row>
    <row r="2720" spans="1:6" ht="18.75" customHeight="1" x14ac:dyDescent="0.25">
      <c r="A2720" s="2" t="str">
        <f ca="1">IFERROR(__xludf.DUMMYFUNCTION("""COMPUTED_VALUE"""),"KPL-K1006")</f>
        <v>KPL-K1006</v>
      </c>
      <c r="B2720" s="3">
        <f ca="1">IFERROR(__xludf.DUMMYFUNCTION("""COMPUTED_VALUE"""),43249)</f>
        <v>43249</v>
      </c>
      <c r="C2720" s="3">
        <f ca="1">IFERROR(__xludf.DUMMYFUNCTION("""COMPUTED_VALUE"""),5902557393558)</f>
        <v>5902557393558</v>
      </c>
      <c r="D2720" s="4" t="str">
        <f ca="1">IFERROR(__xludf.DUMMYFUNCTION("""COMPUTED_VALUE"""),"KABINA CONCEPT BLACK 80x100 + BRODZIK SAVOY CZARNY")</f>
        <v>KABINA CONCEPT BLACK 80x100 + BRODZIK SAVOY CZARNY</v>
      </c>
      <c r="E2720" s="31">
        <v>309.53658536585368</v>
      </c>
      <c r="F2720" s="31">
        <f t="shared" si="42"/>
        <v>380.73</v>
      </c>
    </row>
    <row r="2721" spans="1:6" ht="18.75" customHeight="1" x14ac:dyDescent="0.25">
      <c r="A2721" s="2" t="str">
        <f ca="1">IFERROR(__xludf.DUMMYFUNCTION("""COMPUTED_VALUE"""),"KPL-K1005")</f>
        <v>KPL-K1005</v>
      </c>
      <c r="B2721" s="3">
        <f ca="1">IFERROR(__xludf.DUMMYFUNCTION("""COMPUTED_VALUE"""),43248)</f>
        <v>43248</v>
      </c>
      <c r="C2721" s="3">
        <f ca="1">IFERROR(__xludf.DUMMYFUNCTION("""COMPUTED_VALUE"""),5902557396405)</f>
        <v>5902557396405</v>
      </c>
      <c r="D2721" s="4" t="str">
        <f ca="1">IFERROR(__xludf.DUMMYFUNCTION("""COMPUTED_VALUE"""),"KABINA CONCEPT BLACK 80x100 + BRODZIK SAVOY BIAŁY")</f>
        <v>KABINA CONCEPT BLACK 80x100 + BRODZIK SAVOY BIAŁY</v>
      </c>
      <c r="E2721" s="31">
        <v>295.09756097560978</v>
      </c>
      <c r="F2721" s="31">
        <f t="shared" si="42"/>
        <v>362.97</v>
      </c>
    </row>
    <row r="2722" spans="1:6" ht="18.75" customHeight="1" x14ac:dyDescent="0.25">
      <c r="A2722" s="2" t="str">
        <f ca="1">IFERROR(__xludf.DUMMYFUNCTION("""COMPUTED_VALUE"""),"KPL-K1002")</f>
        <v>KPL-K1002</v>
      </c>
      <c r="B2722" s="3">
        <f ca="1">IFERROR(__xludf.DUMMYFUNCTION("""COMPUTED_VALUE"""),43191)</f>
        <v>43191</v>
      </c>
      <c r="C2722" s="3">
        <f ca="1">IFERROR(__xludf.DUMMYFUNCTION("""COMPUTED_VALUE"""),5902557393596)</f>
        <v>5902557393596</v>
      </c>
      <c r="D2722" s="4" t="str">
        <f ca="1">IFERROR(__xludf.DUMMYFUNCTION("""COMPUTED_VALUE"""),"KABINA CONCEPT BLACK 90x90 + BRODZIK SAVOY CZARNY")</f>
        <v>KABINA CONCEPT BLACK 90x90 + BRODZIK SAVOY CZARNY</v>
      </c>
      <c r="E2722" s="31">
        <v>298.70731707317077</v>
      </c>
      <c r="F2722" s="31">
        <f t="shared" si="42"/>
        <v>367.41</v>
      </c>
    </row>
    <row r="2723" spans="1:6" ht="18.75" customHeight="1" x14ac:dyDescent="0.25">
      <c r="A2723" s="2" t="str">
        <f ca="1">IFERROR(__xludf.DUMMYFUNCTION("""COMPUTED_VALUE"""),"KPL-K1001")</f>
        <v>KPL-K1001</v>
      </c>
      <c r="B2723" s="3">
        <f ca="1">IFERROR(__xludf.DUMMYFUNCTION("""COMPUTED_VALUE"""),43190)</f>
        <v>43190</v>
      </c>
      <c r="C2723" s="3">
        <f ca="1">IFERROR(__xludf.DUMMYFUNCTION("""COMPUTED_VALUE"""),5902557396382)</f>
        <v>5902557396382</v>
      </c>
      <c r="D2723" s="4" t="str">
        <f ca="1">IFERROR(__xludf.DUMMYFUNCTION("""COMPUTED_VALUE"""),"KABINA CONCEPT BLACK 90x90 + BRODZIK SAVOY BIAŁY")</f>
        <v>KABINA CONCEPT BLACK 90x90 + BRODZIK SAVOY BIAŁY</v>
      </c>
      <c r="E2723" s="31">
        <v>283.36585365853659</v>
      </c>
      <c r="F2723" s="31">
        <f t="shared" si="42"/>
        <v>348.54</v>
      </c>
    </row>
    <row r="2724" spans="1:6" ht="18.75" customHeight="1" x14ac:dyDescent="0.25">
      <c r="A2724" s="2" t="str">
        <f ca="1">IFERROR(__xludf.DUMMYFUNCTION("""COMPUTED_VALUE"""),"KPL-K1010")</f>
        <v>KPL-K1010</v>
      </c>
      <c r="B2724" s="3">
        <f ca="1">IFERROR(__xludf.DUMMYFUNCTION("""COMPUTED_VALUE"""),43086)</f>
        <v>43086</v>
      </c>
      <c r="C2724" s="3">
        <f ca="1">IFERROR(__xludf.DUMMYFUNCTION("""COMPUTED_VALUE"""),5906366003110)</f>
        <v>5906366003110</v>
      </c>
      <c r="D2724" s="4" t="str">
        <f ca="1">IFERROR(__xludf.DUMMYFUNCTION("""COMPUTED_VALUE"""),"KABINA PUNTO CHROM 80x100 + BRODZIK SAVOY CZARNY")</f>
        <v>KABINA PUNTO CHROM 80x100 + BRODZIK SAVOY CZARNY</v>
      </c>
      <c r="E2724" s="31">
        <v>302.31707317073176</v>
      </c>
      <c r="F2724" s="31">
        <f t="shared" si="42"/>
        <v>371.85000000000008</v>
      </c>
    </row>
    <row r="2725" spans="1:6" ht="18.75" customHeight="1" x14ac:dyDescent="0.25">
      <c r="A2725" s="2" t="str">
        <f ca="1">IFERROR(__xludf.DUMMYFUNCTION("""COMPUTED_VALUE"""),"KPL-K1008")</f>
        <v>KPL-K1008</v>
      </c>
      <c r="B2725" s="3">
        <f ca="1">IFERROR(__xludf.DUMMYFUNCTION("""COMPUTED_VALUE"""),43085)</f>
        <v>43085</v>
      </c>
      <c r="C2725" s="3">
        <f ca="1">IFERROR(__xludf.DUMMYFUNCTION("""COMPUTED_VALUE"""),5906366003134)</f>
        <v>5906366003134</v>
      </c>
      <c r="D2725" s="4" t="str">
        <f ca="1">IFERROR(__xludf.DUMMYFUNCTION("""COMPUTED_VALUE"""),"KABINA PUNTO CHROM 90x90 + BRODZIK SAVOY CZARNY")</f>
        <v>KABINA PUNTO CHROM 90x90 + BRODZIK SAVOY CZARNY</v>
      </c>
      <c r="E2725" s="31">
        <v>286.07317073170736</v>
      </c>
      <c r="F2725" s="31">
        <f t="shared" si="42"/>
        <v>351.87000000000006</v>
      </c>
    </row>
    <row r="2726" spans="1:6" ht="18.75" customHeight="1" x14ac:dyDescent="0.25">
      <c r="A2726" s="2" t="str">
        <f ca="1">IFERROR(__xludf.DUMMYFUNCTION("""COMPUTED_VALUE"""),"KPL-K1017")</f>
        <v>KPL-K1017</v>
      </c>
      <c r="B2726" s="3">
        <f ca="1">IFERROR(__xludf.DUMMYFUNCTION("""COMPUTED_VALUE"""),43084)</f>
        <v>43084</v>
      </c>
      <c r="C2726" s="3">
        <f ca="1">IFERROR(__xludf.DUMMYFUNCTION("""COMPUTED_VALUE"""),5902557368655)</f>
        <v>5902557368655</v>
      </c>
      <c r="D2726" s="4" t="str">
        <f ca="1">IFERROR(__xludf.DUMMYFUNCTION("""COMPUTED_VALUE"""),"KABINA PUNTO BLACK 80x100 + BRODZIK SAVOY CZARNY")</f>
        <v>KABINA PUNTO BLACK 80x100 + BRODZIK SAVOY CZARNY</v>
      </c>
      <c r="E2726" s="31">
        <v>302.31707317073176</v>
      </c>
      <c r="F2726" s="31">
        <f t="shared" si="42"/>
        <v>371.85000000000008</v>
      </c>
    </row>
    <row r="2727" spans="1:6" ht="18.75" customHeight="1" x14ac:dyDescent="0.25">
      <c r="A2727" s="2" t="str">
        <f ca="1">IFERROR(__xludf.DUMMYFUNCTION("""COMPUTED_VALUE"""),"KPL-K1015")</f>
        <v>KPL-K1015</v>
      </c>
      <c r="B2727" s="3">
        <f ca="1">IFERROR(__xludf.DUMMYFUNCTION("""COMPUTED_VALUE"""),43083)</f>
        <v>43083</v>
      </c>
      <c r="C2727" s="3">
        <f ca="1">IFERROR(__xludf.DUMMYFUNCTION("""COMPUTED_VALUE"""),5902557396429)</f>
        <v>5902557396429</v>
      </c>
      <c r="D2727" s="4" t="str">
        <f ca="1">IFERROR(__xludf.DUMMYFUNCTION("""COMPUTED_VALUE"""),"KABINA PUNTO BLACK 90x90 + BRODZIK SAVOY CZARNY")</f>
        <v>KABINA PUNTO BLACK 90x90 + BRODZIK SAVOY CZARNY</v>
      </c>
      <c r="E2727" s="31">
        <v>292.39024390243907</v>
      </c>
      <c r="F2727" s="31">
        <f t="shared" si="42"/>
        <v>359.64000000000004</v>
      </c>
    </row>
    <row r="2728" spans="1:6" ht="18.75" customHeight="1" x14ac:dyDescent="0.25">
      <c r="A2728" s="2" t="str">
        <f ca="1">IFERROR(__xludf.DUMMYFUNCTION("""COMPUTED_VALUE"""),"KPL-K1013")</f>
        <v>KPL-K1013</v>
      </c>
      <c r="B2728" s="3">
        <f ca="1">IFERROR(__xludf.DUMMYFUNCTION("""COMPUTED_VALUE"""),43082)</f>
        <v>43082</v>
      </c>
      <c r="C2728" s="3">
        <f ca="1">IFERROR(__xludf.DUMMYFUNCTION("""COMPUTED_VALUE"""),5902557396412)</f>
        <v>5902557396412</v>
      </c>
      <c r="D2728" s="4" t="str">
        <f ca="1">IFERROR(__xludf.DUMMYFUNCTION("""COMPUTED_VALUE"""),"KABINA PUNTO BLACK 80x80 + BRODZIK SAVOY CZARNY")</f>
        <v>KABINA PUNTO BLACK 80x80 + BRODZIK SAVOY CZARNY</v>
      </c>
      <c r="E2728" s="31">
        <v>262.60975609756099</v>
      </c>
      <c r="F2728" s="31">
        <f t="shared" si="42"/>
        <v>323.01</v>
      </c>
    </row>
    <row r="2729" spans="1:6" ht="18.75" customHeight="1" x14ac:dyDescent="0.25">
      <c r="A2729" s="2" t="str">
        <f ca="1">IFERROR(__xludf.DUMMYFUNCTION("""COMPUTED_VALUE"""),"KPL-K1863")</f>
        <v>KPL-K1863</v>
      </c>
      <c r="B2729" s="3">
        <f ca="1">IFERROR(__xludf.DUMMYFUNCTION("""COMPUTED_VALUE"""),43081)</f>
        <v>43081</v>
      </c>
      <c r="C2729" s="3">
        <f ca="1">IFERROR(__xludf.DUMMYFUNCTION("""COMPUTED_VALUE"""),5906366003127)</f>
        <v>5906366003127</v>
      </c>
      <c r="D2729" s="4" t="str">
        <f ca="1">IFERROR(__xludf.DUMMYFUNCTION("""COMPUTED_VALUE"""),"KABINA PUNTO CHROM 80x80 + BRODZIK SAVOY BLACK")</f>
        <v>KABINA PUNTO CHROM 80x80 + BRODZIK SAVOY BLACK</v>
      </c>
      <c r="E2729" s="31">
        <v>265.31707317073176</v>
      </c>
      <c r="F2729" s="31">
        <f t="shared" si="42"/>
        <v>326.34000000000003</v>
      </c>
    </row>
    <row r="2730" spans="1:6" ht="18.75" customHeight="1" x14ac:dyDescent="0.25">
      <c r="A2730" s="2" t="str">
        <f ca="1">IFERROR(__xludf.DUMMYFUNCTION("""COMPUTED_VALUE"""),"KPL-U8900")</f>
        <v>KPL-U8900</v>
      </c>
      <c r="B2730" s="3">
        <f ca="1">IFERROR(__xludf.DUMMYFUNCTION("""COMPUTED_VALUE"""),43042)</f>
        <v>43042</v>
      </c>
      <c r="C2730" s="3">
        <f ca="1">IFERROR(__xludf.DUMMYFUNCTION("""COMPUTED_VALUE"""),5906366004735)</f>
        <v>5906366004735</v>
      </c>
      <c r="D2730" s="4" t="str">
        <f ca="1">IFERROR(__xludf.DUMMYFUNCTION("""COMPUTED_VALUE"""),"UMYWALKA GOYA WHITE + RAMA 50")</f>
        <v>UMYWALKA GOYA WHITE + RAMA 50</v>
      </c>
      <c r="E2730" s="31">
        <v>170.5609756097561</v>
      </c>
      <c r="F2730" s="31">
        <f t="shared" si="42"/>
        <v>209.79</v>
      </c>
    </row>
    <row r="2731" spans="1:6" ht="18.75" customHeight="1" x14ac:dyDescent="0.25">
      <c r="A2731" s="2" t="str">
        <f ca="1">IFERROR(__xludf.DUMMYFUNCTION("""COMPUTED_VALUE"""),"KPL-U8902")</f>
        <v>KPL-U8902</v>
      </c>
      <c r="B2731" s="3">
        <f ca="1">IFERROR(__xludf.DUMMYFUNCTION("""COMPUTED_VALUE"""),43041)</f>
        <v>43041</v>
      </c>
      <c r="C2731" s="3">
        <f ca="1">IFERROR(__xludf.DUMMYFUNCTION("""COMPUTED_VALUE"""),5906366004674)</f>
        <v>5906366004674</v>
      </c>
      <c r="D2731" s="4" t="str">
        <f ca="1">IFERROR(__xludf.DUMMYFUNCTION("""COMPUTED_VALUE"""),"UMYWALKA GOYA WHITE + RAMA 70")</f>
        <v>UMYWALKA GOYA WHITE + RAMA 70</v>
      </c>
      <c r="E2731" s="31">
        <v>219.29268292682929</v>
      </c>
      <c r="F2731" s="31">
        <f t="shared" si="42"/>
        <v>269.73</v>
      </c>
    </row>
    <row r="2732" spans="1:6" ht="18.75" customHeight="1" x14ac:dyDescent="0.25">
      <c r="A2732" s="2" t="str">
        <f ca="1">IFERROR(__xludf.DUMMYFUNCTION("""COMPUTED_VALUE"""),"KPL-U8778")</f>
        <v>KPL-U8778</v>
      </c>
      <c r="B2732" s="3">
        <f ca="1">IFERROR(__xludf.DUMMYFUNCTION("""COMPUTED_VALUE"""),43039)</f>
        <v>43039</v>
      </c>
      <c r="C2732" s="3">
        <f ca="1">IFERROR(__xludf.DUMMYFUNCTION("""COMPUTED_VALUE"""),5906366004728)</f>
        <v>5906366004728</v>
      </c>
      <c r="D2732" s="4" t="str">
        <f ca="1">IFERROR(__xludf.DUMMYFUNCTION("""COMPUTED_VALUE"""),"UMYWALKA GOYA BLACK + RAMA 50")</f>
        <v>UMYWALKA GOYA BLACK + RAMA 50</v>
      </c>
      <c r="E2732" s="31">
        <v>202.14634146341467</v>
      </c>
      <c r="F2732" s="31">
        <f t="shared" si="42"/>
        <v>248.64000000000004</v>
      </c>
    </row>
    <row r="2733" spans="1:6" ht="18.75" customHeight="1" x14ac:dyDescent="0.25">
      <c r="A2733" s="2" t="str">
        <f ca="1">IFERROR(__xludf.DUMMYFUNCTION("""COMPUTED_VALUE"""),"KPL-U8802")</f>
        <v>KPL-U8802</v>
      </c>
      <c r="B2733" s="3">
        <f ca="1">IFERROR(__xludf.DUMMYFUNCTION("""COMPUTED_VALUE"""),43038)</f>
        <v>43038</v>
      </c>
      <c r="C2733" s="3">
        <f ca="1">IFERROR(__xludf.DUMMYFUNCTION("""COMPUTED_VALUE"""),5906366004711)</f>
        <v>5906366004711</v>
      </c>
      <c r="D2733" s="4" t="str">
        <f ca="1">IFERROR(__xludf.DUMMYFUNCTION("""COMPUTED_VALUE"""),"UMYWALKA GOYA BLACK + RAMA 70")</f>
        <v>UMYWALKA GOYA BLACK + RAMA 70</v>
      </c>
      <c r="E2733" s="31">
        <v>255.39024390243907</v>
      </c>
      <c r="F2733" s="31">
        <f t="shared" si="42"/>
        <v>314.13000000000005</v>
      </c>
    </row>
    <row r="2734" spans="1:6" ht="18.75" customHeight="1" x14ac:dyDescent="0.25">
      <c r="A2734" s="2" t="str">
        <f ca="1">IFERROR(__xludf.DUMMYFUNCTION("""COMPUTED_VALUE"""),"KPL-K8441")</f>
        <v>KPL-K8441</v>
      </c>
      <c r="B2734" s="3">
        <f ca="1">IFERROR(__xludf.DUMMYFUNCTION("""COMPUTED_VALUE"""),43000)</f>
        <v>43000</v>
      </c>
      <c r="C2734" s="3">
        <f ca="1">IFERROR(__xludf.DUMMYFUNCTION("""COMPUTED_VALUE"""),5906366004308)</f>
        <v>5906366004308</v>
      </c>
      <c r="D2734" s="4" t="str">
        <f ca="1">IFERROR(__xludf.DUMMYFUNCTION("""COMPUTED_VALUE"""),"ŚCIANKA PRYSZNICOWA AERO GOLD 110 + PÓŁKA EVO")</f>
        <v>ŚCIANKA PRYSZNICOWA AERO GOLD 110 + PÓŁKA EVO</v>
      </c>
      <c r="E2734" s="31">
        <v>318.56097560975616</v>
      </c>
      <c r="F2734" s="31">
        <f t="shared" si="42"/>
        <v>391.83000000000004</v>
      </c>
    </row>
    <row r="2735" spans="1:6" ht="18.75" customHeight="1" x14ac:dyDescent="0.25">
      <c r="A2735" s="2" t="str">
        <f ca="1">IFERROR(__xludf.DUMMYFUNCTION("""COMPUTED_VALUE"""),"KPL-K8440")</f>
        <v>KPL-K8440</v>
      </c>
      <c r="B2735" s="3">
        <f ca="1">IFERROR(__xludf.DUMMYFUNCTION("""COMPUTED_VALUE"""),42999)</f>
        <v>42999</v>
      </c>
      <c r="C2735" s="3">
        <f ca="1">IFERROR(__xludf.DUMMYFUNCTION("""COMPUTED_VALUE"""),5906366004339)</f>
        <v>5906366004339</v>
      </c>
      <c r="D2735" s="4" t="str">
        <f ca="1">IFERROR(__xludf.DUMMYFUNCTION("""COMPUTED_VALUE"""),"ŚCIANKA PRYSZNICOWA AERO GOLD 100 + PÓŁKA EVO")</f>
        <v>ŚCIANKA PRYSZNICOWA AERO GOLD 100 + PÓŁKA EVO</v>
      </c>
      <c r="E2735" s="31">
        <v>292.39024390243907</v>
      </c>
      <c r="F2735" s="31">
        <f t="shared" si="42"/>
        <v>359.64000000000004</v>
      </c>
    </row>
    <row r="2736" spans="1:6" ht="18.75" customHeight="1" x14ac:dyDescent="0.25">
      <c r="A2736" s="2" t="str">
        <f ca="1">IFERROR(__xludf.DUMMYFUNCTION("""COMPUTED_VALUE"""),"KPL-K8439")</f>
        <v>KPL-K8439</v>
      </c>
      <c r="B2736" s="3">
        <f ca="1">IFERROR(__xludf.DUMMYFUNCTION("""COMPUTED_VALUE"""),42998)</f>
        <v>42998</v>
      </c>
      <c r="C2736" s="3">
        <f ca="1">IFERROR(__xludf.DUMMYFUNCTION("""COMPUTED_VALUE"""),5906366004346)</f>
        <v>5906366004346</v>
      </c>
      <c r="D2736" s="4" t="str">
        <f ca="1">IFERROR(__xludf.DUMMYFUNCTION("""COMPUTED_VALUE"""),"ŚCIANKA PRYSZNICOWA AERO GOLD 80 + PÓŁKA EVO")</f>
        <v>ŚCIANKA PRYSZNICOWA AERO GOLD 80 + PÓŁKA EVO</v>
      </c>
      <c r="E2736" s="31">
        <v>290.58536585365857</v>
      </c>
      <c r="F2736" s="31">
        <f t="shared" si="42"/>
        <v>357.42</v>
      </c>
    </row>
    <row r="2737" spans="1:6" ht="18.75" customHeight="1" x14ac:dyDescent="0.25">
      <c r="A2737" s="2" t="str">
        <f ca="1">IFERROR(__xludf.DUMMYFUNCTION("""COMPUTED_VALUE"""),"KPL-K8442")</f>
        <v>KPL-K8442</v>
      </c>
      <c r="B2737" s="3">
        <f ca="1">IFERROR(__xludf.DUMMYFUNCTION("""COMPUTED_VALUE"""),42997)</f>
        <v>42997</v>
      </c>
      <c r="C2737" s="3">
        <f ca="1">IFERROR(__xludf.DUMMYFUNCTION("""COMPUTED_VALUE"""),5906366000102)</f>
        <v>5906366000102</v>
      </c>
      <c r="D2737" s="4" t="str">
        <f ca="1">IFERROR(__xludf.DUMMYFUNCTION("""COMPUTED_VALUE"""),"ŚCIANKA PRYSZNICOWA AERO GOLD 90 + PÓŁKA EVO")</f>
        <v>ŚCIANKA PRYSZNICOWA AERO GOLD 90 + PÓŁKA EVO</v>
      </c>
      <c r="E2737" s="31">
        <v>290.58536585365857</v>
      </c>
      <c r="F2737" s="31">
        <f t="shared" si="42"/>
        <v>357.42</v>
      </c>
    </row>
    <row r="2738" spans="1:6" ht="18.75" customHeight="1" x14ac:dyDescent="0.25">
      <c r="A2738" s="2" t="str">
        <f ca="1">IFERROR(__xludf.DUMMYFUNCTION("""COMPUTED_VALUE"""),"KPL-K0863")</f>
        <v>KPL-K0863</v>
      </c>
      <c r="B2738" s="3">
        <f ca="1">IFERROR(__xludf.DUMMYFUNCTION("""COMPUTED_VALUE"""),42668)</f>
        <v>42668</v>
      </c>
      <c r="C2738" s="3">
        <f ca="1">IFERROR(__xludf.DUMMYFUNCTION("""COMPUTED_VALUE"""),5902557393510)</f>
        <v>5902557393510</v>
      </c>
      <c r="D2738" s="4" t="str">
        <f ca="1">IFERROR(__xludf.DUMMYFUNCTION("""COMPUTED_VALUE"""),"KABINA PUNTO CHROM 80x80 + BRODZIK SAVOY BIAŁY")</f>
        <v>KABINA PUNTO CHROM 80x80 + BRODZIK SAVOY BIAŁY</v>
      </c>
      <c r="E2738" s="31">
        <v>261.70731707317077</v>
      </c>
      <c r="F2738" s="31">
        <f t="shared" si="42"/>
        <v>321.90000000000003</v>
      </c>
    </row>
    <row r="2739" spans="1:6" ht="18.75" customHeight="1" x14ac:dyDescent="0.25">
      <c r="A2739" s="2" t="str">
        <f ca="1">IFERROR(__xludf.DUMMYFUNCTION("""COMPUTED_VALUE"""),"KPL-K1007")</f>
        <v>KPL-K1007</v>
      </c>
      <c r="B2739" s="3">
        <f ca="1">IFERROR(__xludf.DUMMYFUNCTION("""COMPUTED_VALUE"""),42666)</f>
        <v>42666</v>
      </c>
      <c r="C2739" s="3">
        <f ca="1">IFERROR(__xludf.DUMMYFUNCTION("""COMPUTED_VALUE"""),5902557393541)</f>
        <v>5902557393541</v>
      </c>
      <c r="D2739" s="4" t="str">
        <f ca="1">IFERROR(__xludf.DUMMYFUNCTION("""COMPUTED_VALUE"""),"KABINA PUNTO CHROM 90x90 + BRODZIK SAVOY BIAŁY")</f>
        <v>KABINA PUNTO CHROM 90x90 + BRODZIK SAVOY BIAŁY</v>
      </c>
      <c r="E2739" s="31">
        <v>270.73170731707319</v>
      </c>
      <c r="F2739" s="31">
        <f t="shared" si="42"/>
        <v>333</v>
      </c>
    </row>
    <row r="2740" spans="1:6" ht="18.75" customHeight="1" x14ac:dyDescent="0.25">
      <c r="A2740" s="2" t="str">
        <f ca="1">IFERROR(__xludf.DUMMYFUNCTION("""COMPUTED_VALUE"""),"KPL-K1009")</f>
        <v>KPL-K1009</v>
      </c>
      <c r="B2740" s="3">
        <f ca="1">IFERROR(__xludf.DUMMYFUNCTION("""COMPUTED_VALUE"""),42661)</f>
        <v>42661</v>
      </c>
      <c r="C2740" s="3">
        <f ca="1">IFERROR(__xludf.DUMMYFUNCTION("""COMPUTED_VALUE"""),5902557393503)</f>
        <v>5902557393503</v>
      </c>
      <c r="D2740" s="4" t="str">
        <f ca="1">IFERROR(__xludf.DUMMYFUNCTION("""COMPUTED_VALUE"""),"KABINA PUNTO CHROM 80x100 + BRODZIK SAVOY BIAŁY")</f>
        <v>KABINA PUNTO CHROM 80x100 + BRODZIK SAVOY BIAŁY</v>
      </c>
      <c r="E2740" s="31">
        <v>287.87804878048786</v>
      </c>
      <c r="F2740" s="31">
        <f t="shared" si="42"/>
        <v>354.09000000000009</v>
      </c>
    </row>
    <row r="2741" spans="1:6" ht="18.75" customHeight="1" x14ac:dyDescent="0.25">
      <c r="A2741" s="2" t="str">
        <f ca="1">IFERROR(__xludf.DUMMYFUNCTION("""COMPUTED_VALUE"""),"KPL-K7550")</f>
        <v>KPL-K7550</v>
      </c>
      <c r="B2741" s="3">
        <f ca="1">IFERROR(__xludf.DUMMYFUNCTION("""COMPUTED_VALUE"""),42544)</f>
        <v>42544</v>
      </c>
      <c r="C2741" s="3">
        <f ca="1">IFERROR(__xludf.DUMMYFUNCTION("""COMPUTED_VALUE"""),5902557390663)</f>
        <v>5902557390663</v>
      </c>
      <c r="D2741" s="4" t="str">
        <f ca="1">IFERROR(__xludf.DUMMYFUNCTION("""COMPUTED_VALUE"""),"ŚCIANKA PRYSZNICOWA AERO CHROM ""N"" 120 + Półka Evo")</f>
        <v>ŚCIANKA PRYSZNICOWA AERO CHROM "N" 120 + Półka Evo</v>
      </c>
      <c r="E2741" s="31">
        <v>266.21951219512198</v>
      </c>
      <c r="F2741" s="31">
        <f t="shared" si="42"/>
        <v>327.45000000000005</v>
      </c>
    </row>
    <row r="2742" spans="1:6" ht="18.75" customHeight="1" x14ac:dyDescent="0.25">
      <c r="A2742" s="2" t="str">
        <f ca="1">IFERROR(__xludf.DUMMYFUNCTION("""COMPUTED_VALUE"""),"KPL-K0612")</f>
        <v>KPL-K0612</v>
      </c>
      <c r="B2742" s="3">
        <f ca="1">IFERROR(__xludf.DUMMYFUNCTION("""COMPUTED_VALUE"""),42543)</f>
        <v>42543</v>
      </c>
      <c r="C2742" s="3">
        <f ca="1">IFERROR(__xludf.DUMMYFUNCTION("""COMPUTED_VALUE"""),5902557390649)</f>
        <v>5902557390649</v>
      </c>
      <c r="D2742" s="4" t="str">
        <f ca="1">IFERROR(__xludf.DUMMYFUNCTION("""COMPUTED_VALUE"""),"ŚCIANKA PRYSZNICOWA AERO 110 + PÓŁKA EVO")</f>
        <v>ŚCIANKA PRYSZNICOWA AERO 110 + PÓŁKA EVO</v>
      </c>
      <c r="E2742" s="31">
        <v>276.14634146341467</v>
      </c>
      <c r="F2742" s="31">
        <f t="shared" si="42"/>
        <v>339.66</v>
      </c>
    </row>
    <row r="2743" spans="1:6" ht="18.75" customHeight="1" x14ac:dyDescent="0.25">
      <c r="A2743" s="2" t="str">
        <f ca="1">IFERROR(__xludf.DUMMYFUNCTION("""COMPUTED_VALUE"""),"KPL-K0613")</f>
        <v>KPL-K0613</v>
      </c>
      <c r="B2743" s="3">
        <f ca="1">IFERROR(__xludf.DUMMYFUNCTION("""COMPUTED_VALUE"""),42541)</f>
        <v>42541</v>
      </c>
      <c r="C2743" s="3">
        <f ca="1">IFERROR(__xludf.DUMMYFUNCTION("""COMPUTED_VALUE"""),5902557390601)</f>
        <v>5902557390601</v>
      </c>
      <c r="D2743" s="4" t="str">
        <f ca="1">IFERROR(__xludf.DUMMYFUNCTION("""COMPUTED_VALUE"""),"ŚCIANKA PRYSZNICOWA AERO 100 + PÓŁKA EVO")</f>
        <v>ŚCIANKA PRYSZNICOWA AERO 100 + PÓŁKA EVO</v>
      </c>
      <c r="E2743" s="31">
        <v>261.70731707317077</v>
      </c>
      <c r="F2743" s="31">
        <f t="shared" si="42"/>
        <v>321.90000000000003</v>
      </c>
    </row>
    <row r="2744" spans="1:6" ht="18.75" customHeight="1" x14ac:dyDescent="0.25">
      <c r="A2744" s="2" t="str">
        <f ca="1">IFERROR(__xludf.DUMMYFUNCTION("""COMPUTED_VALUE"""),"KPL-K0553")</f>
        <v>KPL-K0553</v>
      </c>
      <c r="B2744" s="3">
        <f ca="1">IFERROR(__xludf.DUMMYFUNCTION("""COMPUTED_VALUE"""),42539)</f>
        <v>42539</v>
      </c>
      <c r="C2744" s="3">
        <f ca="1">IFERROR(__xludf.DUMMYFUNCTION("""COMPUTED_VALUE"""),5902557390618)</f>
        <v>5902557390618</v>
      </c>
      <c r="D2744" s="4" t="str">
        <f ca="1">IFERROR(__xludf.DUMMYFUNCTION("""COMPUTED_VALUE"""),"ŚCIANKA PRYSZNICOWA AERO CHROM ""N"" 90 + Półka Evo")</f>
        <v>ŚCIANKA PRYSZNICOWA AERO CHROM "N" 90 + Półka Evo</v>
      </c>
      <c r="E2744" s="31">
        <v>238.2439024390244</v>
      </c>
      <c r="F2744" s="31">
        <f t="shared" si="42"/>
        <v>293.04000000000002</v>
      </c>
    </row>
    <row r="2745" spans="1:6" ht="18.75" customHeight="1" x14ac:dyDescent="0.25">
      <c r="A2745" s="2" t="str">
        <f ca="1">IFERROR(__xludf.DUMMYFUNCTION("""COMPUTED_VALUE"""),"KPL-K0615")</f>
        <v>KPL-K0615</v>
      </c>
      <c r="B2745" s="3">
        <f ca="1">IFERROR(__xludf.DUMMYFUNCTION("""COMPUTED_VALUE"""),42538)</f>
        <v>42538</v>
      </c>
      <c r="C2745" s="3">
        <f ca="1">IFERROR(__xludf.DUMMYFUNCTION("""COMPUTED_VALUE"""),5902557390632)</f>
        <v>5902557390632</v>
      </c>
      <c r="D2745" s="4" t="str">
        <f ca="1">IFERROR(__xludf.DUMMYFUNCTION("""COMPUTED_VALUE"""),"ŚCIANKA PRYSZNICOWA AERO 80 + PÓŁKA EVO")</f>
        <v>ŚCIANKA PRYSZNICOWA AERO 80 + PÓŁKA EVO</v>
      </c>
      <c r="E2745" s="31">
        <v>230.1219512195122</v>
      </c>
      <c r="F2745" s="31">
        <f t="shared" si="42"/>
        <v>283.05</v>
      </c>
    </row>
    <row r="2746" spans="1:6" ht="18.75" customHeight="1" x14ac:dyDescent="0.25">
      <c r="A2746" s="2" t="str">
        <f ca="1">IFERROR(__xludf.DUMMYFUNCTION("""COMPUTED_VALUE"""),"KPL-K7840")</f>
        <v>KPL-K7840</v>
      </c>
      <c r="B2746" s="3">
        <f ca="1">IFERROR(__xludf.DUMMYFUNCTION("""COMPUTED_VALUE"""),42536)</f>
        <v>42536</v>
      </c>
      <c r="C2746" s="3">
        <f ca="1">IFERROR(__xludf.DUMMYFUNCTION("""COMPUTED_VALUE"""),5902557390670)</f>
        <v>5902557390670</v>
      </c>
      <c r="D2746" s="4" t="str">
        <f ca="1">IFERROR(__xludf.DUMMYFUNCTION("""COMPUTED_VALUE"""),"ŚCIANKA PRYSZNICOWA AERO 70 + PÓŁKA EVO")</f>
        <v>ŚCIANKA PRYSZNICOWA AERO 70 + PÓŁKA EVO</v>
      </c>
      <c r="E2746" s="31">
        <v>239.14634146341464</v>
      </c>
      <c r="F2746" s="31">
        <f t="shared" si="42"/>
        <v>294.15000000000003</v>
      </c>
    </row>
    <row r="2747" spans="1:6" ht="18.75" customHeight="1" x14ac:dyDescent="0.25">
      <c r="A2747" s="2" t="str">
        <f ca="1">IFERROR(__xludf.DUMMYFUNCTION("""COMPUTED_VALUE"""),"KPL-06900")</f>
        <v>KPL-06900</v>
      </c>
      <c r="B2747" s="3">
        <f ca="1">IFERROR(__xludf.DUMMYFUNCTION("""COMPUTED_VALUE"""),42234)</f>
        <v>42234</v>
      </c>
      <c r="C2747" s="3">
        <f ca="1">IFERROR(__xludf.DUMMYFUNCTION("""COMPUTED_VALUE"""),5902557396542)</f>
        <v>5902557396542</v>
      </c>
      <c r="D2747" s="4" t="str">
        <f ca="1">IFERROR(__xludf.DUMMYFUNCTION("""COMPUTED_VALUE"""),"KABINA DIAMOND BLACK+ BRODZIK DIAMOND WHITE 80X80")</f>
        <v>KABINA DIAMOND BLACK+ BRODZIK DIAMOND WHITE 80X80</v>
      </c>
      <c r="E2747" s="31">
        <v>434.97560975609758</v>
      </c>
      <c r="F2747" s="31">
        <f t="shared" si="42"/>
        <v>535.02</v>
      </c>
    </row>
    <row r="2748" spans="1:6" ht="18.75" customHeight="1" x14ac:dyDescent="0.25">
      <c r="A2748" s="2" t="str">
        <f ca="1">IFERROR(__xludf.DUMMYFUNCTION("""COMPUTED_VALUE"""),"KPL-15622")</f>
        <v>KPL-15622</v>
      </c>
      <c r="B2748" s="3">
        <f ca="1">IFERROR(__xludf.DUMMYFUNCTION("""COMPUTED_VALUE"""),42232)</f>
        <v>42232</v>
      </c>
      <c r="C2748" s="3">
        <f ca="1">IFERROR(__xludf.DUMMYFUNCTION("""COMPUTED_VALUE"""),5902557390571)</f>
        <v>5902557390571</v>
      </c>
      <c r="D2748" s="4" t="str">
        <f ca="1">IFERROR(__xludf.DUMMYFUNCTION("""COMPUTED_VALUE"""),"KABINA DIAMOND BLACK+ BRODZIK DIAMOND BLACK 90X90")</f>
        <v>KABINA DIAMOND BLACK+ BRODZIK DIAMOND BLACK 90X90</v>
      </c>
      <c r="E2748" s="31">
        <v>450.31707317073176</v>
      </c>
      <c r="F2748" s="31">
        <f t="shared" si="42"/>
        <v>553.8900000000001</v>
      </c>
    </row>
    <row r="2749" spans="1:6" ht="18.75" customHeight="1" x14ac:dyDescent="0.25">
      <c r="A2749" s="2" t="str">
        <f ca="1">IFERROR(__xludf.DUMMYFUNCTION("""COMPUTED_VALUE"""),"KPL-05622")</f>
        <v>KPL-05622</v>
      </c>
      <c r="B2749" s="3">
        <f ca="1">IFERROR(__xludf.DUMMYFUNCTION("""COMPUTED_VALUE"""),42231)</f>
        <v>42231</v>
      </c>
      <c r="C2749" s="3">
        <f ca="1">IFERROR(__xludf.DUMMYFUNCTION("""COMPUTED_VALUE"""),5902557390564)</f>
        <v>5902557390564</v>
      </c>
      <c r="D2749" s="4" t="str">
        <f ca="1">IFERROR(__xludf.DUMMYFUNCTION("""COMPUTED_VALUE"""),"KABINA DIAMOND BLACK+ BRODZIK DIAMOND WHITE 90X90")</f>
        <v>KABINA DIAMOND BLACK+ BRODZIK DIAMOND WHITE 90X90</v>
      </c>
      <c r="E2749" s="31">
        <v>445.80487804878055</v>
      </c>
      <c r="F2749" s="31">
        <f t="shared" si="42"/>
        <v>548.34</v>
      </c>
    </row>
    <row r="2750" spans="1:6" ht="18.75" customHeight="1" x14ac:dyDescent="0.25">
      <c r="A2750" s="2" t="str">
        <f ca="1">IFERROR(__xludf.DUMMYFUNCTION("""COMPUTED_VALUE"""),"KPL-14904")</f>
        <v>KPL-14904</v>
      </c>
      <c r="B2750" s="3">
        <f ca="1">IFERROR(__xludf.DUMMYFUNCTION("""COMPUTED_VALUE"""),42229)</f>
        <v>42229</v>
      </c>
      <c r="C2750" s="3">
        <f ca="1">IFERROR(__xludf.DUMMYFUNCTION("""COMPUTED_VALUE"""),5902557390595)</f>
        <v>5902557390595</v>
      </c>
      <c r="D2750" s="4" t="str">
        <f ca="1">IFERROR(__xludf.DUMMYFUNCTION("""COMPUTED_VALUE"""),"KABINA DIAMOND GOLD+ BRODZIK DIAMOND BLACK 90X90")</f>
        <v>KABINA DIAMOND GOLD+ BRODZIK DIAMOND BLACK 90X90</v>
      </c>
      <c r="E2750" s="31">
        <v>529.73170731707319</v>
      </c>
      <c r="F2750" s="31">
        <f t="shared" si="42"/>
        <v>651.57000000000005</v>
      </c>
    </row>
    <row r="2751" spans="1:6" ht="18.75" customHeight="1" x14ac:dyDescent="0.25">
      <c r="A2751" s="2" t="str">
        <f ca="1">IFERROR(__xludf.DUMMYFUNCTION("""COMPUTED_VALUE"""),"KPL-04904")</f>
        <v>KPL-04904</v>
      </c>
      <c r="B2751" s="3">
        <f ca="1">IFERROR(__xludf.DUMMYFUNCTION("""COMPUTED_VALUE"""),42228)</f>
        <v>42228</v>
      </c>
      <c r="C2751" s="3">
        <f ca="1">IFERROR(__xludf.DUMMYFUNCTION("""COMPUTED_VALUE"""),5902557390588)</f>
        <v>5902557390588</v>
      </c>
      <c r="D2751" s="4" t="str">
        <f ca="1">IFERROR(__xludf.DUMMYFUNCTION("""COMPUTED_VALUE"""),"KABINA DIAMOND GOLD+ BRODZIK DIAMOND WHITE 90X90")</f>
        <v>KABINA DIAMOND GOLD+ BRODZIK DIAMOND WHITE 90X90</v>
      </c>
      <c r="E2751" s="31">
        <v>525.21951219512198</v>
      </c>
      <c r="F2751" s="31">
        <f t="shared" si="42"/>
        <v>646.02</v>
      </c>
    </row>
    <row r="2752" spans="1:6" ht="18.75" customHeight="1" x14ac:dyDescent="0.25">
      <c r="A2752" s="2" t="str">
        <f ca="1">IFERROR(__xludf.DUMMYFUNCTION("""COMPUTED_VALUE"""),"KPL-90008")</f>
        <v>KPL-90008</v>
      </c>
      <c r="B2752" s="3">
        <f ca="1">IFERROR(__xludf.DUMMYFUNCTION("""COMPUTED_VALUE"""),41967)</f>
        <v>41967</v>
      </c>
      <c r="C2752" s="3">
        <f ca="1">IFERROR(__xludf.DUMMYFUNCTION("""COMPUTED_VALUE"""),5902557396122)</f>
        <v>5902557396122</v>
      </c>
      <c r="D2752" s="4" t="str">
        <f ca="1">IFERROR(__xludf.DUMMYFUNCTION("""COMPUTED_VALUE"""),"STELAŻ PODTYNKOWY WC + PRZYCISK H GOLD")</f>
        <v>STELAŻ PODTYNKOWY WC + PRZYCISK H GOLD</v>
      </c>
      <c r="E2752" s="31">
        <v>186.80487804878049</v>
      </c>
      <c r="F2752" s="31">
        <f t="shared" si="42"/>
        <v>229.77</v>
      </c>
    </row>
    <row r="2753" spans="1:6" ht="18.75" customHeight="1" x14ac:dyDescent="0.25">
      <c r="A2753" s="2" t="str">
        <f ca="1">IFERROR(__xludf.DUMMYFUNCTION("""COMPUTED_VALUE"""),"KPL-U8779")</f>
        <v>KPL-U8779</v>
      </c>
      <c r="B2753" s="3">
        <f ca="1">IFERROR(__xludf.DUMMYFUNCTION("""COMPUTED_VALUE"""),41940)</f>
        <v>41940</v>
      </c>
      <c r="C2753" s="3">
        <f ca="1">IFERROR(__xludf.DUMMYFUNCTION("""COMPUTED_VALUE"""),5906366004698)</f>
        <v>5906366004698</v>
      </c>
      <c r="D2753" s="4" t="str">
        <f ca="1">IFERROR(__xludf.DUMMYFUNCTION("""COMPUTED_VALUE"""),"UMYWALKA GOYA BLACK + RAMA 60")</f>
        <v>UMYWALKA GOYA BLACK + RAMA 60</v>
      </c>
      <c r="E2753" s="31">
        <v>229.21951219512198</v>
      </c>
      <c r="F2753" s="31">
        <f t="shared" ref="F2753:F2816" si="43">E2753*1.23</f>
        <v>281.94000000000005</v>
      </c>
    </row>
    <row r="2754" spans="1:6" ht="18.75" customHeight="1" x14ac:dyDescent="0.25">
      <c r="A2754" s="2" t="str">
        <f ca="1">IFERROR(__xludf.DUMMYFUNCTION("""COMPUTED_VALUE"""),"KPL-K7631")</f>
        <v>KPL-K7631</v>
      </c>
      <c r="B2754" s="3">
        <f ca="1">IFERROR(__xludf.DUMMYFUNCTION("""COMPUTED_VALUE"""),40914)</f>
        <v>40914</v>
      </c>
      <c r="C2754" s="3">
        <f ca="1">IFERROR(__xludf.DUMMYFUNCTION("""COMPUTED_VALUE"""),5906366004353)</f>
        <v>5906366004353</v>
      </c>
      <c r="D2754" s="4" t="str">
        <f ca="1">IFERROR(__xludf.DUMMYFUNCTION("""COMPUTED_VALUE"""),"ŚCIANKA PRYSZNICOWA BLER 120 + PÓŁKA EVO")</f>
        <v>ŚCIANKA PRYSZNICOWA BLER 120 + PÓŁKA EVO</v>
      </c>
      <c r="E2754" s="31">
        <v>286.97560975609764</v>
      </c>
      <c r="F2754" s="31">
        <f t="shared" si="43"/>
        <v>352.98000000000008</v>
      </c>
    </row>
    <row r="2755" spans="1:6" ht="18.75" customHeight="1" x14ac:dyDescent="0.25">
      <c r="A2755" s="2" t="str">
        <f ca="1">IFERROR(__xludf.DUMMYFUNCTION("""COMPUTED_VALUE"""),"KPL-K7630")</f>
        <v>KPL-K7630</v>
      </c>
      <c r="B2755" s="3">
        <f ca="1">IFERROR(__xludf.DUMMYFUNCTION("""COMPUTED_VALUE"""),40913)</f>
        <v>40913</v>
      </c>
      <c r="C2755" s="3">
        <f ca="1">IFERROR(__xludf.DUMMYFUNCTION("""COMPUTED_VALUE"""),5906366004360)</f>
        <v>5906366004360</v>
      </c>
      <c r="D2755" s="4" t="str">
        <f ca="1">IFERROR(__xludf.DUMMYFUNCTION("""COMPUTED_VALUE"""),"ŚCIANKA PRYSZNICOWA BLER 110 + PÓŁKA EVO")</f>
        <v>ŚCIANKA PRYSZNICOWA BLER 110 + PÓŁKA EVO</v>
      </c>
      <c r="E2755" s="31">
        <v>276.14634146341467</v>
      </c>
      <c r="F2755" s="31">
        <f t="shared" si="43"/>
        <v>339.66</v>
      </c>
    </row>
    <row r="2756" spans="1:6" ht="18.75" customHeight="1" x14ac:dyDescent="0.25">
      <c r="A2756" s="2" t="str">
        <f ca="1">IFERROR(__xludf.DUMMYFUNCTION("""COMPUTED_VALUE"""),"KPL-K7634")</f>
        <v>KPL-K7634</v>
      </c>
      <c r="B2756" s="3">
        <f ca="1">IFERROR(__xludf.DUMMYFUNCTION("""COMPUTED_VALUE"""),40912)</f>
        <v>40912</v>
      </c>
      <c r="C2756" s="3">
        <f ca="1">IFERROR(__xludf.DUMMYFUNCTION("""COMPUTED_VALUE"""),5906366004377)</f>
        <v>5906366004377</v>
      </c>
      <c r="D2756" s="4" t="str">
        <f ca="1">IFERROR(__xludf.DUMMYFUNCTION("""COMPUTED_VALUE"""),"ŚCIANKA PRYSZNICOWA BLER 100 + PÓŁKA EVO")</f>
        <v>ŚCIANKA PRYSZNICOWA BLER 100 + PÓŁKA EVO</v>
      </c>
      <c r="E2756" s="31">
        <v>266.21951219512198</v>
      </c>
      <c r="F2756" s="31">
        <f t="shared" si="43"/>
        <v>327.45000000000005</v>
      </c>
    </row>
    <row r="2757" spans="1:6" ht="18.75" customHeight="1" x14ac:dyDescent="0.25">
      <c r="A2757" s="2" t="str">
        <f ca="1">IFERROR(__xludf.DUMMYFUNCTION("""COMPUTED_VALUE"""),"KPL-K7638")</f>
        <v>KPL-K7638</v>
      </c>
      <c r="B2757" s="3">
        <f ca="1">IFERROR(__xludf.DUMMYFUNCTION("""COMPUTED_VALUE"""),40911)</f>
        <v>40911</v>
      </c>
      <c r="C2757" s="3">
        <f ca="1">IFERROR(__xludf.DUMMYFUNCTION("""COMPUTED_VALUE"""),5906366004384)</f>
        <v>5906366004384</v>
      </c>
      <c r="D2757" s="4" t="str">
        <f ca="1">IFERROR(__xludf.DUMMYFUNCTION("""COMPUTED_VALUE"""),"ŚCIANKA PRYSZNICOWA BLER 90 + PÓŁKA EVO")</f>
        <v>ŚCIANKA PRYSZNICOWA BLER 90 + PÓŁKA EVO</v>
      </c>
      <c r="E2757" s="31">
        <v>252.68292682926833</v>
      </c>
      <c r="F2757" s="31">
        <f t="shared" si="43"/>
        <v>310.8</v>
      </c>
    </row>
    <row r="2758" spans="1:6" ht="18.75" customHeight="1" x14ac:dyDescent="0.25">
      <c r="A2758" s="2" t="str">
        <f ca="1">IFERROR(__xludf.DUMMYFUNCTION("""COMPUTED_VALUE"""),"KPL-K7637")</f>
        <v>KPL-K7637</v>
      </c>
      <c r="B2758" s="3">
        <f ca="1">IFERROR(__xludf.DUMMYFUNCTION("""COMPUTED_VALUE"""),40910)</f>
        <v>40910</v>
      </c>
      <c r="C2758" s="3">
        <f ca="1">IFERROR(__xludf.DUMMYFUNCTION("""COMPUTED_VALUE"""),5906366004391)</f>
        <v>5906366004391</v>
      </c>
      <c r="D2758" s="4" t="str">
        <f ca="1">IFERROR(__xludf.DUMMYFUNCTION("""COMPUTED_VALUE"""),"ŚCIANKA PRYSZNICOWA BLER 80 + PÓŁKA EVO")</f>
        <v>ŚCIANKA PRYSZNICOWA BLER 80 + PÓŁKA EVO</v>
      </c>
      <c r="E2758" s="31">
        <v>244.56097560975613</v>
      </c>
      <c r="F2758" s="31">
        <f t="shared" si="43"/>
        <v>300.81000000000006</v>
      </c>
    </row>
    <row r="2759" spans="1:6" ht="18.75" customHeight="1" x14ac:dyDescent="0.25">
      <c r="A2759" s="2" t="str">
        <f ca="1">IFERROR(__xludf.DUMMYFUNCTION("""COMPUTED_VALUE"""),"KPL-K7636")</f>
        <v>KPL-K7636</v>
      </c>
      <c r="B2759" s="3">
        <f ca="1">IFERROR(__xludf.DUMMYFUNCTION("""COMPUTED_VALUE"""),40904)</f>
        <v>40904</v>
      </c>
      <c r="C2759" s="3">
        <f ca="1">IFERROR(__xludf.DUMMYFUNCTION("""COMPUTED_VALUE"""),5906366004407)</f>
        <v>5906366004407</v>
      </c>
      <c r="D2759" s="4" t="str">
        <f ca="1">IFERROR(__xludf.DUMMYFUNCTION("""COMPUTED_VALUE"""),"ŚCIANKA PRYSZNICOWA BLER 70 + PÓŁKA EVO")</f>
        <v>ŚCIANKA PRYSZNICOWA BLER 70 + PÓŁKA EVO</v>
      </c>
      <c r="E2759" s="31">
        <v>222.90243902439028</v>
      </c>
      <c r="F2759" s="31">
        <f t="shared" si="43"/>
        <v>274.17</v>
      </c>
    </row>
    <row r="2760" spans="1:6" ht="18.75" customHeight="1" x14ac:dyDescent="0.25">
      <c r="A2760" s="2" t="str">
        <f ca="1">IFERROR(__xludf.DUMMYFUNCTION("""COMPUTED_VALUE"""),"KPL-K7957")</f>
        <v>KPL-K7957</v>
      </c>
      <c r="B2760" s="3">
        <f ca="1">IFERROR(__xludf.DUMMYFUNCTION("""COMPUTED_VALUE"""),40876)</f>
        <v>40876</v>
      </c>
      <c r="C2760" s="3">
        <f ca="1">IFERROR(__xludf.DUMMYFUNCTION("""COMPUTED_VALUE"""),5906366004414)</f>
        <v>5906366004414</v>
      </c>
      <c r="D2760" s="4" t="str">
        <f ca="1">IFERROR(__xludf.DUMMYFUNCTION("""COMPUTED_VALUE"""),"ŚCIANKA PRYSZNICOWA BLER-1 120 + PÓŁKA EVO")</f>
        <v>ŚCIANKA PRYSZNICOWA BLER-1 120 + PÓŁKA EVO</v>
      </c>
      <c r="E2760" s="31">
        <v>333.90243902439028</v>
      </c>
      <c r="F2760" s="31">
        <f t="shared" si="43"/>
        <v>410.70000000000005</v>
      </c>
    </row>
    <row r="2761" spans="1:6" ht="18.75" customHeight="1" x14ac:dyDescent="0.25">
      <c r="A2761" s="2" t="str">
        <f ca="1">IFERROR(__xludf.DUMMYFUNCTION("""COMPUTED_VALUE"""),"KPL-K7956")</f>
        <v>KPL-K7956</v>
      </c>
      <c r="B2761" s="3">
        <f ca="1">IFERROR(__xludf.DUMMYFUNCTION("""COMPUTED_VALUE"""),40875)</f>
        <v>40875</v>
      </c>
      <c r="C2761" s="3">
        <f ca="1">IFERROR(__xludf.DUMMYFUNCTION("""COMPUTED_VALUE"""),5906366004421)</f>
        <v>5906366004421</v>
      </c>
      <c r="D2761" s="4" t="str">
        <f ca="1">IFERROR(__xludf.DUMMYFUNCTION("""COMPUTED_VALUE"""),"ŚCIANKA PRYSZNICOWA BLER-1 110 + PÓŁKA EVO")</f>
        <v>ŚCIANKA PRYSZNICOWA BLER-1 110 + PÓŁKA EVO</v>
      </c>
      <c r="E2761" s="31">
        <v>318.56097560975616</v>
      </c>
      <c r="F2761" s="31">
        <f t="shared" si="43"/>
        <v>391.83000000000004</v>
      </c>
    </row>
    <row r="2762" spans="1:6" ht="18.75" customHeight="1" x14ac:dyDescent="0.25">
      <c r="A2762" s="2" t="str">
        <f ca="1">IFERROR(__xludf.DUMMYFUNCTION("""COMPUTED_VALUE"""),"KPL-K7955")</f>
        <v>KPL-K7955</v>
      </c>
      <c r="B2762" s="3">
        <f ca="1">IFERROR(__xludf.DUMMYFUNCTION("""COMPUTED_VALUE"""),40874)</f>
        <v>40874</v>
      </c>
      <c r="C2762" s="3">
        <f ca="1">IFERROR(__xludf.DUMMYFUNCTION("""COMPUTED_VALUE"""),5906366004438)</f>
        <v>5906366004438</v>
      </c>
      <c r="D2762" s="4" t="str">
        <f ca="1">IFERROR(__xludf.DUMMYFUNCTION("""COMPUTED_VALUE"""),"ŚCIANKA PRYSZNICOWA BLER-1 100 + PÓŁKA EVO")</f>
        <v>ŚCIANKA PRYSZNICOWA BLER-1 100 + PÓŁKA EVO</v>
      </c>
      <c r="E2762" s="31">
        <v>274.34146341463418</v>
      </c>
      <c r="F2762" s="31">
        <f t="shared" si="43"/>
        <v>337.44000000000005</v>
      </c>
    </row>
    <row r="2763" spans="1:6" ht="18.75" customHeight="1" x14ac:dyDescent="0.25">
      <c r="A2763" s="2" t="str">
        <f ca="1">IFERROR(__xludf.DUMMYFUNCTION("""COMPUTED_VALUE"""),"KPL-K7953")</f>
        <v>KPL-K7953</v>
      </c>
      <c r="B2763" s="3">
        <f ca="1">IFERROR(__xludf.DUMMYFUNCTION("""COMPUTED_VALUE"""),40873)</f>
        <v>40873</v>
      </c>
      <c r="C2763" s="3">
        <f ca="1">IFERROR(__xludf.DUMMYFUNCTION("""COMPUTED_VALUE"""),5906366004445)</f>
        <v>5906366004445</v>
      </c>
      <c r="D2763" s="4" t="str">
        <f ca="1">IFERROR(__xludf.DUMMYFUNCTION("""COMPUTED_VALUE"""),"ŚCIANKA PRYSZNICOWA BLER-1 90 + PÓŁKA EVO")</f>
        <v>ŚCIANKA PRYSZNICOWA BLER-1 90 + PÓŁKA EVO</v>
      </c>
      <c r="E2763" s="31">
        <v>270.73170731707319</v>
      </c>
      <c r="F2763" s="31">
        <f t="shared" si="43"/>
        <v>333</v>
      </c>
    </row>
    <row r="2764" spans="1:6" ht="18.75" customHeight="1" x14ac:dyDescent="0.25">
      <c r="A2764" s="2" t="str">
        <f ca="1">IFERROR(__xludf.DUMMYFUNCTION("""COMPUTED_VALUE"""),"KPL-K7952")</f>
        <v>KPL-K7952</v>
      </c>
      <c r="B2764" s="3">
        <f ca="1">IFERROR(__xludf.DUMMYFUNCTION("""COMPUTED_VALUE"""),40872)</f>
        <v>40872</v>
      </c>
      <c r="C2764" s="3">
        <f ca="1">IFERROR(__xludf.DUMMYFUNCTION("""COMPUTED_VALUE"""),5906366004452)</f>
        <v>5906366004452</v>
      </c>
      <c r="D2764" s="4" t="str">
        <f ca="1">IFERROR(__xludf.DUMMYFUNCTION("""COMPUTED_VALUE"""),"ŚCIANKA PRYSZNICOWA BLER-1 80 + PÓŁKA EVO")</f>
        <v>ŚCIANKA PRYSZNICOWA BLER-1 80 + PÓŁKA EVO</v>
      </c>
      <c r="E2764" s="31">
        <v>275.2439024390244</v>
      </c>
      <c r="F2764" s="31">
        <f t="shared" si="43"/>
        <v>338.55</v>
      </c>
    </row>
    <row r="2765" spans="1:6" ht="18.75" customHeight="1" x14ac:dyDescent="0.25">
      <c r="A2765" s="2" t="str">
        <f ca="1">IFERROR(__xludf.DUMMYFUNCTION("""COMPUTED_VALUE"""),"KPL-K0599")</f>
        <v>KPL-K0599</v>
      </c>
      <c r="B2765" s="3">
        <f ca="1">IFERROR(__xludf.DUMMYFUNCTION("""COMPUTED_VALUE"""),40863)</f>
        <v>40863</v>
      </c>
      <c r="C2765" s="3">
        <f ca="1">IFERROR(__xludf.DUMMYFUNCTION("""COMPUTED_VALUE"""),5902557396849)</f>
        <v>5902557396849</v>
      </c>
      <c r="D2765" s="4" t="str">
        <f ca="1">IFERROR(__xludf.DUMMYFUNCTION("""COMPUTED_VALUE"""),"ŚCIANKA PRYSZNICOWA AERO BLACK 120 + PÓŁKA EVO")</f>
        <v>ŚCIANKA PRYSZNICOWA AERO BLACK 120 + PÓŁKA EVO</v>
      </c>
      <c r="E2765" s="31">
        <v>266.21951219512198</v>
      </c>
      <c r="F2765" s="31">
        <f t="shared" si="43"/>
        <v>327.45000000000005</v>
      </c>
    </row>
    <row r="2766" spans="1:6" ht="18.75" customHeight="1" x14ac:dyDescent="0.25">
      <c r="A2766" s="2" t="str">
        <f ca="1">IFERROR(__xludf.DUMMYFUNCTION("""COMPUTED_VALUE"""),"KPL-K0597")</f>
        <v>KPL-K0597</v>
      </c>
      <c r="B2766" s="3">
        <f ca="1">IFERROR(__xludf.DUMMYFUNCTION("""COMPUTED_VALUE"""),40861)</f>
        <v>40861</v>
      </c>
      <c r="C2766" s="3">
        <f ca="1">IFERROR(__xludf.DUMMYFUNCTION("""COMPUTED_VALUE"""),5902557386543)</f>
        <v>5902557386543</v>
      </c>
      <c r="D2766" s="4" t="str">
        <f ca="1">IFERROR(__xludf.DUMMYFUNCTION("""COMPUTED_VALUE"""),"ŚCIANKA PRYSZNICOWA AERO BLACK 110 + Półka Evo")</f>
        <v>ŚCIANKA PRYSZNICOWA AERO BLACK 110 + Półka Evo</v>
      </c>
      <c r="E2766" s="31">
        <v>259.00000000000006</v>
      </c>
      <c r="F2766" s="31">
        <f t="shared" si="43"/>
        <v>318.57000000000005</v>
      </c>
    </row>
    <row r="2767" spans="1:6" ht="18.75" customHeight="1" x14ac:dyDescent="0.25">
      <c r="A2767" s="2" t="str">
        <f ca="1">IFERROR(__xludf.DUMMYFUNCTION("""COMPUTED_VALUE"""),"KPL-K0596")</f>
        <v>KPL-K0596</v>
      </c>
      <c r="B2767" s="3">
        <f ca="1">IFERROR(__xludf.DUMMYFUNCTION("""COMPUTED_VALUE"""),40859)</f>
        <v>40859</v>
      </c>
      <c r="C2767" s="3">
        <f ca="1">IFERROR(__xludf.DUMMYFUNCTION("""COMPUTED_VALUE"""),5902557396832)</f>
        <v>5902557396832</v>
      </c>
      <c r="D2767" s="4" t="str">
        <f ca="1">IFERROR(__xludf.DUMMYFUNCTION("""COMPUTED_VALUE"""),"ŚCIANKA PRYSZNICOWA AERO BLACK 100 + Półka Evo")</f>
        <v>ŚCIANKA PRYSZNICOWA AERO BLACK 100 + Półka Evo</v>
      </c>
      <c r="E2767" s="31">
        <v>250.87804878048783</v>
      </c>
      <c r="F2767" s="31">
        <f t="shared" si="43"/>
        <v>308.58000000000004</v>
      </c>
    </row>
    <row r="2768" spans="1:6" ht="18.75" customHeight="1" x14ac:dyDescent="0.25">
      <c r="A2768" s="2" t="str">
        <f ca="1">IFERROR(__xludf.DUMMYFUNCTION("""COMPUTED_VALUE"""),"KPL-K7581")</f>
        <v>KPL-K7581</v>
      </c>
      <c r="B2768" s="3">
        <f ca="1">IFERROR(__xludf.DUMMYFUNCTION("""COMPUTED_VALUE"""),40858)</f>
        <v>40858</v>
      </c>
      <c r="C2768" s="3">
        <f ca="1">IFERROR(__xludf.DUMMYFUNCTION("""COMPUTED_VALUE"""),5902557396818)</f>
        <v>5902557396818</v>
      </c>
      <c r="D2768" s="4" t="str">
        <f ca="1">IFERROR(__xludf.DUMMYFUNCTION("""COMPUTED_VALUE"""),"ŚCIANKA PRYSZNICOWA AERO BLACK 90 + Półka Evo")</f>
        <v>ŚCIANKA PRYSZNICOWA AERO BLACK 90 + Półka Evo</v>
      </c>
      <c r="E2768" s="31">
        <v>249.07317073170736</v>
      </c>
      <c r="F2768" s="31">
        <f t="shared" si="43"/>
        <v>306.36000000000007</v>
      </c>
    </row>
    <row r="2769" spans="1:6" ht="18.75" customHeight="1" x14ac:dyDescent="0.25">
      <c r="A2769" s="2" t="str">
        <f ca="1">IFERROR(__xludf.DUMMYFUNCTION("""COMPUTED_VALUE"""),"KPL-K1016")</f>
        <v>KPL-K1016</v>
      </c>
      <c r="B2769" s="3">
        <f ca="1">IFERROR(__xludf.DUMMYFUNCTION("""COMPUTED_VALUE"""),39581)</f>
        <v>39581</v>
      </c>
      <c r="C2769" s="3"/>
      <c r="D2769" s="4" t="str">
        <f ca="1">IFERROR(__xludf.DUMMYFUNCTION("""COMPUTED_VALUE"""),"KABINA PUNTO BLACK 80x100 + BRODZIK SAVOY BIAŁY")</f>
        <v>KABINA PUNTO BLACK 80x100 + BRODZIK SAVOY BIAŁY</v>
      </c>
      <c r="E2769" s="31">
        <v>287.87804878048786</v>
      </c>
      <c r="F2769" s="31">
        <f t="shared" si="43"/>
        <v>354.09000000000009</v>
      </c>
    </row>
    <row r="2770" spans="1:6" ht="18.75" customHeight="1" x14ac:dyDescent="0.25">
      <c r="A2770" s="2" t="str">
        <f ca="1">IFERROR(__xludf.DUMMYFUNCTION("""COMPUTED_VALUE"""),"KPL-90009")</f>
        <v>KPL-90009</v>
      </c>
      <c r="B2770" s="3">
        <f ca="1">IFERROR(__xludf.DUMMYFUNCTION("""COMPUTED_VALUE"""),39375)</f>
        <v>39375</v>
      </c>
      <c r="C2770" s="3">
        <f ca="1">IFERROR(__xludf.DUMMYFUNCTION("""COMPUTED_VALUE"""),5902557396146)</f>
        <v>5902557396146</v>
      </c>
      <c r="D2770" s="4" t="str">
        <f ca="1">IFERROR(__xludf.DUMMYFUNCTION("""COMPUTED_VALUE"""),"STELAŻ PODTYNKOWY WC + PRZYCISK F GOLD")</f>
        <v>STELAŻ PODTYNKOWY WC + PRZYCISK F GOLD</v>
      </c>
      <c r="E2770" s="31">
        <v>186.80487804878049</v>
      </c>
      <c r="F2770" s="31">
        <f t="shared" si="43"/>
        <v>229.77</v>
      </c>
    </row>
    <row r="2771" spans="1:6" ht="18.75" customHeight="1" x14ac:dyDescent="0.25">
      <c r="A2771" s="2" t="str">
        <f ca="1">IFERROR(__xludf.DUMMYFUNCTION("""COMPUTED_VALUE"""),"KPL-K1014")</f>
        <v>KPL-K1014</v>
      </c>
      <c r="B2771" s="3">
        <f ca="1">IFERROR(__xludf.DUMMYFUNCTION("""COMPUTED_VALUE"""),38019)</f>
        <v>38019</v>
      </c>
      <c r="C2771" s="3"/>
      <c r="D2771" s="4" t="str">
        <f ca="1">IFERROR(__xludf.DUMMYFUNCTION("""COMPUTED_VALUE"""),"KABINA PUNTO BLACK 90x90 + BRODZIK SAVOY BIAŁY")</f>
        <v>KABINA PUNTO BLACK 90x90 + BRODZIK SAVOY BIAŁY</v>
      </c>
      <c r="E2771" s="31">
        <v>277.04878048780489</v>
      </c>
      <c r="F2771" s="31">
        <f t="shared" si="43"/>
        <v>340.77000000000004</v>
      </c>
    </row>
    <row r="2772" spans="1:6" ht="18.75" customHeight="1" x14ac:dyDescent="0.25">
      <c r="A2772" s="2" t="str">
        <f ca="1">IFERROR(__xludf.DUMMYFUNCTION("""COMPUTED_VALUE"""),"KPL-K1012")</f>
        <v>KPL-K1012</v>
      </c>
      <c r="B2772" s="3">
        <f ca="1">IFERROR(__xludf.DUMMYFUNCTION("""COMPUTED_VALUE"""),38013)</f>
        <v>38013</v>
      </c>
      <c r="C2772" s="3"/>
      <c r="D2772" s="4" t="str">
        <f ca="1">IFERROR(__xludf.DUMMYFUNCTION("""COMPUTED_VALUE"""),"KABINA PUNTO BLACK 80x80 + BRODZIK SAVOY BIAŁY")</f>
        <v>KABINA PUNTO BLACK 80x80 + BRODZIK SAVOY BIAŁY</v>
      </c>
      <c r="E2772" s="31">
        <v>259.00000000000006</v>
      </c>
      <c r="F2772" s="31">
        <f t="shared" si="43"/>
        <v>318.57000000000005</v>
      </c>
    </row>
    <row r="2773" spans="1:6" ht="18.75" customHeight="1" x14ac:dyDescent="0.25">
      <c r="A2773" s="2" t="str">
        <f ca="1">IFERROR(__xludf.DUMMYFUNCTION("""COMPUTED_VALUE"""),"KPL-U8901")</f>
        <v>KPL-U8901</v>
      </c>
      <c r="B2773" s="3">
        <f ca="1">IFERROR(__xludf.DUMMYFUNCTION("""COMPUTED_VALUE"""),37496)</f>
        <v>37496</v>
      </c>
      <c r="C2773" s="3">
        <f ca="1">IFERROR(__xludf.DUMMYFUNCTION("""COMPUTED_VALUE"""),5906366004681)</f>
        <v>5906366004681</v>
      </c>
      <c r="D2773" s="4" t="str">
        <f ca="1">IFERROR(__xludf.DUMMYFUNCTION("""COMPUTED_VALUE"""),"UMYWALKA GOYA WHITE + RAMA 60")</f>
        <v>UMYWALKA GOYA WHITE + RAMA 60</v>
      </c>
      <c r="E2773" s="31">
        <v>197.63414634146343</v>
      </c>
      <c r="F2773" s="31">
        <f t="shared" si="43"/>
        <v>243.09000000000003</v>
      </c>
    </row>
    <row r="2774" spans="1:6" ht="18.75" customHeight="1" x14ac:dyDescent="0.25">
      <c r="A2774" s="2" t="str">
        <f ca="1">IFERROR(__xludf.DUMMYFUNCTION("""COMPUTED_VALUE"""),"KPL-90006")</f>
        <v>KPL-90006</v>
      </c>
      <c r="B2774" s="3">
        <f ca="1">IFERROR(__xludf.DUMMYFUNCTION("""COMPUTED_VALUE"""),35310)</f>
        <v>35310</v>
      </c>
      <c r="C2774" s="3">
        <f ca="1">IFERROR(__xludf.DUMMYFUNCTION("""COMPUTED_VALUE"""),5902557396115)</f>
        <v>5902557396115</v>
      </c>
      <c r="D2774" s="4" t="str">
        <f ca="1">IFERROR(__xludf.DUMMYFUNCTION("""COMPUTED_VALUE"""),"STELAŻ PODTYNKOWY WC + PRZYCISK H BLACK")</f>
        <v>STELAŻ PODTYNKOWY WC + PRZYCISK H BLACK</v>
      </c>
      <c r="E2774" s="31">
        <v>165.14634146341464</v>
      </c>
      <c r="F2774" s="31">
        <f t="shared" si="43"/>
        <v>203.13</v>
      </c>
    </row>
    <row r="2775" spans="1:6" ht="18.75" customHeight="1" x14ac:dyDescent="0.25">
      <c r="A2775" s="2" t="str">
        <f ca="1">IFERROR(__xludf.DUMMYFUNCTION("""COMPUTED_VALUE"""),"KPL-90007")</f>
        <v>KPL-90007</v>
      </c>
      <c r="B2775" s="3">
        <f ca="1">IFERROR(__xludf.DUMMYFUNCTION("""COMPUTED_VALUE"""),35309)</f>
        <v>35309</v>
      </c>
      <c r="C2775" s="3">
        <f ca="1">IFERROR(__xludf.DUMMYFUNCTION("""COMPUTED_VALUE"""),5902557396160)</f>
        <v>5902557396160</v>
      </c>
      <c r="D2775" s="4" t="str">
        <f ca="1">IFERROR(__xludf.DUMMYFUNCTION("""COMPUTED_VALUE"""),"STELAŻ PODTYNKOWY WC + PRZYCISK F BLACK")</f>
        <v>STELAŻ PODTYNKOWY WC + PRZYCISK F BLACK</v>
      </c>
      <c r="E2775" s="31">
        <v>165.14634146341464</v>
      </c>
      <c r="F2775" s="31">
        <f t="shared" si="43"/>
        <v>203.13</v>
      </c>
    </row>
    <row r="2776" spans="1:6" ht="18.75" customHeight="1" x14ac:dyDescent="0.25">
      <c r="A2776" s="2" t="str">
        <f ca="1">IFERROR(__xludf.DUMMYFUNCTION("""COMPUTED_VALUE"""),"KPL-009945")</f>
        <v>KPL-009945</v>
      </c>
      <c r="B2776" s="3">
        <f ca="1">IFERROR(__xludf.DUMMYFUNCTION("""COMPUTED_VALUE"""),34329)</f>
        <v>34329</v>
      </c>
      <c r="C2776" s="3">
        <f ca="1">IFERROR(__xludf.DUMMYFUNCTION("""COMPUTED_VALUE"""),5906366005718)</f>
        <v>5906366005718</v>
      </c>
      <c r="D2776" s="4" t="str">
        <f ca="1">IFERROR(__xludf.DUMMYFUNCTION("""COMPUTED_VALUE"""),"KABINA PRYSZNICOWA NAROŻNA RAPID SWING 150X100")</f>
        <v>KABINA PRYSZNICOWA NAROŻNA RAPID SWING 150X100</v>
      </c>
      <c r="E2776" s="31">
        <v>114.60975609756099</v>
      </c>
      <c r="F2776" s="31">
        <f t="shared" si="43"/>
        <v>140.97000000000003</v>
      </c>
    </row>
    <row r="2777" spans="1:6" ht="18.75" customHeight="1" x14ac:dyDescent="0.25">
      <c r="A2777" s="2" t="str">
        <f ca="1">IFERROR(__xludf.DUMMYFUNCTION("""COMPUTED_VALUE"""),"KPL-009936")</f>
        <v>KPL-009936</v>
      </c>
      <c r="B2777" s="3">
        <f ca="1">IFERROR(__xludf.DUMMYFUNCTION("""COMPUTED_VALUE"""),34320)</f>
        <v>34320</v>
      </c>
      <c r="C2777" s="3">
        <f ca="1">IFERROR(__xludf.DUMMYFUNCTION("""COMPUTED_VALUE"""),5902557390465)</f>
        <v>5902557390465</v>
      </c>
      <c r="D2777" s="4" t="str">
        <f ca="1">IFERROR(__xludf.DUMMYFUNCTION("""COMPUTED_VALUE"""),"KABINA PRYSZNICOWA NAROŻNA RAPID SWING 120X100")</f>
        <v>KABINA PRYSZNICOWA NAROŻNA RAPID SWING 120X100</v>
      </c>
      <c r="E2777" s="31">
        <v>326.6829268292683</v>
      </c>
      <c r="F2777" s="31">
        <f t="shared" si="43"/>
        <v>401.82</v>
      </c>
    </row>
    <row r="2778" spans="1:6" ht="18.75" customHeight="1" x14ac:dyDescent="0.25">
      <c r="A2778" s="2" t="str">
        <f ca="1">IFERROR(__xludf.DUMMYFUNCTION("""COMPUTED_VALUE"""),"KPL-009935")</f>
        <v>KPL-009935</v>
      </c>
      <c r="B2778" s="3">
        <f ca="1">IFERROR(__xludf.DUMMYFUNCTION("""COMPUTED_VALUE"""),34319)</f>
        <v>34319</v>
      </c>
      <c r="C2778" s="3">
        <f ca="1">IFERROR(__xludf.DUMMYFUNCTION("""COMPUTED_VALUE"""),5902557390458)</f>
        <v>5902557390458</v>
      </c>
      <c r="D2778" s="4" t="str">
        <f ca="1">IFERROR(__xludf.DUMMYFUNCTION("""COMPUTED_VALUE"""),"KABINA PRYSZNICOWA NAROŻNA RAPID SWING 120X90")</f>
        <v>KABINA PRYSZNICOWA NAROŻNA RAPID SWING 120X90</v>
      </c>
      <c r="E2778" s="31">
        <v>320.36585365853659</v>
      </c>
      <c r="F2778" s="31">
        <f t="shared" si="43"/>
        <v>394.05</v>
      </c>
    </row>
    <row r="2779" spans="1:6" ht="18.75" customHeight="1" x14ac:dyDescent="0.25">
      <c r="A2779" s="2" t="str">
        <f ca="1">IFERROR(__xludf.DUMMYFUNCTION("""COMPUTED_VALUE"""),"KPL-009934")</f>
        <v>KPL-009934</v>
      </c>
      <c r="B2779" s="3">
        <f ca="1">IFERROR(__xludf.DUMMYFUNCTION("""COMPUTED_VALUE"""),34318)</f>
        <v>34318</v>
      </c>
      <c r="C2779" s="3">
        <f ca="1">IFERROR(__xludf.DUMMYFUNCTION("""COMPUTED_VALUE"""),5902557390441)</f>
        <v>5902557390441</v>
      </c>
      <c r="D2779" s="4" t="str">
        <f ca="1">IFERROR(__xludf.DUMMYFUNCTION("""COMPUTED_VALUE"""),"KABINA PRYSZNICOWA NAROŻNA RAPID SWING 120X80")</f>
        <v>KABINA PRYSZNICOWA NAROŻNA RAPID SWING 120X80</v>
      </c>
      <c r="E2779" s="31">
        <v>315.85365853658539</v>
      </c>
      <c r="F2779" s="31">
        <f t="shared" si="43"/>
        <v>388.5</v>
      </c>
    </row>
    <row r="2780" spans="1:6" ht="18.75" customHeight="1" x14ac:dyDescent="0.25">
      <c r="A2780" s="2" t="str">
        <f ca="1">IFERROR(__xludf.DUMMYFUNCTION("""COMPUTED_VALUE"""),"KPL-009930")</f>
        <v>KPL-009930</v>
      </c>
      <c r="B2780" s="3">
        <f ca="1">IFERROR(__xludf.DUMMYFUNCTION("""COMPUTED_VALUE"""),34314)</f>
        <v>34314</v>
      </c>
      <c r="C2780" s="3">
        <f ca="1">IFERROR(__xludf.DUMMYFUNCTION("""COMPUTED_VALUE"""),5902557390434)</f>
        <v>5902557390434</v>
      </c>
      <c r="D2780" s="4" t="str">
        <f ca="1">IFERROR(__xludf.DUMMYFUNCTION("""COMPUTED_VALUE"""),"KABINA PRYSZNICOWA NAROŻNA RAPID SWING 100X100")</f>
        <v>KABINA PRYSZNICOWA NAROŻNA RAPID SWING 100X100</v>
      </c>
      <c r="E2780" s="31">
        <v>306.82926829268297</v>
      </c>
      <c r="F2780" s="31">
        <f t="shared" si="43"/>
        <v>377.40000000000003</v>
      </c>
    </row>
    <row r="2781" spans="1:6" ht="18.75" customHeight="1" x14ac:dyDescent="0.25">
      <c r="A2781" s="2" t="str">
        <f ca="1">IFERROR(__xludf.DUMMYFUNCTION("""COMPUTED_VALUE"""),"KPL-009929")</f>
        <v>KPL-009929</v>
      </c>
      <c r="B2781" s="3">
        <f ca="1">IFERROR(__xludf.DUMMYFUNCTION("""COMPUTED_VALUE"""),34313)</f>
        <v>34313</v>
      </c>
      <c r="C2781" s="3">
        <f ca="1">IFERROR(__xludf.DUMMYFUNCTION("""COMPUTED_VALUE"""),5902557390427)</f>
        <v>5902557390427</v>
      </c>
      <c r="D2781" s="4" t="str">
        <f ca="1">IFERROR(__xludf.DUMMYFUNCTION("""COMPUTED_VALUE"""),"KABINA PRYSZNICOWA NAROŻNA RAPID SWING 100X90")</f>
        <v>KABINA PRYSZNICOWA NAROŻNA RAPID SWING 100X90</v>
      </c>
      <c r="E2781" s="31">
        <v>300.51219512195127</v>
      </c>
      <c r="F2781" s="31">
        <f t="shared" si="43"/>
        <v>369.63000000000005</v>
      </c>
    </row>
    <row r="2782" spans="1:6" ht="18.75" customHeight="1" x14ac:dyDescent="0.25">
      <c r="A2782" s="2" t="str">
        <f ca="1">IFERROR(__xludf.DUMMYFUNCTION("""COMPUTED_VALUE"""),"KPL-009928")</f>
        <v>KPL-009928</v>
      </c>
      <c r="B2782" s="3">
        <f ca="1">IFERROR(__xludf.DUMMYFUNCTION("""COMPUTED_VALUE"""),34312)</f>
        <v>34312</v>
      </c>
      <c r="C2782" s="3">
        <f ca="1">IFERROR(__xludf.DUMMYFUNCTION("""COMPUTED_VALUE"""),5902557390410)</f>
        <v>5902557390410</v>
      </c>
      <c r="D2782" s="4" t="str">
        <f ca="1">IFERROR(__xludf.DUMMYFUNCTION("""COMPUTED_VALUE"""),"KABINA PRYSZNICOWA NAROŻNA RAPID SWING 100X80")</f>
        <v>KABINA PRYSZNICOWA NAROŻNA RAPID SWING 100X80</v>
      </c>
      <c r="E2782" s="31">
        <v>296.00000000000006</v>
      </c>
      <c r="F2782" s="31">
        <f t="shared" si="43"/>
        <v>364.08000000000004</v>
      </c>
    </row>
    <row r="2783" spans="1:6" ht="18.75" customHeight="1" x14ac:dyDescent="0.25">
      <c r="A2783" s="2" t="str">
        <f ca="1">IFERROR(__xludf.DUMMYFUNCTION("""COMPUTED_VALUE"""),"KPL-009927")</f>
        <v>KPL-009927</v>
      </c>
      <c r="B2783" s="3">
        <f ca="1">IFERROR(__xludf.DUMMYFUNCTION("""COMPUTED_VALUE"""),34311)</f>
        <v>34311</v>
      </c>
      <c r="C2783" s="3">
        <f ca="1">IFERROR(__xludf.DUMMYFUNCTION("""COMPUTED_VALUE"""),5902557390403)</f>
        <v>5902557390403</v>
      </c>
      <c r="D2783" s="4" t="str">
        <f ca="1">IFERROR(__xludf.DUMMYFUNCTION("""COMPUTED_VALUE"""),"KABINA PRYSZNICOWA NAROŻNA RAPID SWING 90X100")</f>
        <v>KABINA PRYSZNICOWA NAROŻNA RAPID SWING 90X100</v>
      </c>
      <c r="E2783" s="31">
        <v>300.51219512195127</v>
      </c>
      <c r="F2783" s="31">
        <f t="shared" si="43"/>
        <v>369.63000000000005</v>
      </c>
    </row>
    <row r="2784" spans="1:6" ht="18.75" customHeight="1" x14ac:dyDescent="0.25">
      <c r="A2784" s="2" t="str">
        <f ca="1">IFERROR(__xludf.DUMMYFUNCTION("""COMPUTED_VALUE"""),"KPL-009926")</f>
        <v>KPL-009926</v>
      </c>
      <c r="B2784" s="3">
        <f ca="1">IFERROR(__xludf.DUMMYFUNCTION("""COMPUTED_VALUE"""),34310)</f>
        <v>34310</v>
      </c>
      <c r="C2784" s="3">
        <f ca="1">IFERROR(__xludf.DUMMYFUNCTION("""COMPUTED_VALUE"""),5902557390397)</f>
        <v>5902557390397</v>
      </c>
      <c r="D2784" s="4" t="str">
        <f ca="1">IFERROR(__xludf.DUMMYFUNCTION("""COMPUTED_VALUE"""),"KABINA PRYSZNICOWA NAROŻNA RAPID SWING 90X90")</f>
        <v>KABINA PRYSZNICOWA NAROŻNA RAPID SWING 90X90</v>
      </c>
      <c r="E2784" s="31">
        <v>294.19512195121956</v>
      </c>
      <c r="F2784" s="31">
        <f t="shared" si="43"/>
        <v>361.86000000000007</v>
      </c>
    </row>
    <row r="2785" spans="1:6" ht="18.75" customHeight="1" x14ac:dyDescent="0.25">
      <c r="A2785" s="2" t="str">
        <f ca="1">IFERROR(__xludf.DUMMYFUNCTION("""COMPUTED_VALUE"""),"KPL-009925")</f>
        <v>KPL-009925</v>
      </c>
      <c r="B2785" s="3">
        <f ca="1">IFERROR(__xludf.DUMMYFUNCTION("""COMPUTED_VALUE"""),34309)</f>
        <v>34309</v>
      </c>
      <c r="C2785" s="3">
        <f ca="1">IFERROR(__xludf.DUMMYFUNCTION("""COMPUTED_VALUE"""),5902557390380)</f>
        <v>5902557390380</v>
      </c>
      <c r="D2785" s="4" t="str">
        <f ca="1">IFERROR(__xludf.DUMMYFUNCTION("""COMPUTED_VALUE"""),"KABINA PRYSZNICOWA NAROŻNA RAPID SWING 90X80")</f>
        <v>KABINA PRYSZNICOWA NAROŻNA RAPID SWING 90X80</v>
      </c>
      <c r="E2785" s="31">
        <v>289.68292682926835</v>
      </c>
      <c r="F2785" s="31">
        <f t="shared" si="43"/>
        <v>356.31000000000006</v>
      </c>
    </row>
    <row r="2786" spans="1:6" ht="18.75" customHeight="1" x14ac:dyDescent="0.25">
      <c r="A2786" s="2" t="str">
        <f ca="1">IFERROR(__xludf.DUMMYFUNCTION("""COMPUTED_VALUE"""),"KPL-009924")</f>
        <v>KPL-009924</v>
      </c>
      <c r="B2786" s="3">
        <f ca="1">IFERROR(__xludf.DUMMYFUNCTION("""COMPUTED_VALUE"""),34308)</f>
        <v>34308</v>
      </c>
      <c r="C2786" s="3">
        <f ca="1">IFERROR(__xludf.DUMMYFUNCTION("""COMPUTED_VALUE"""),5902557390373)</f>
        <v>5902557390373</v>
      </c>
      <c r="D2786" s="4" t="str">
        <f ca="1">IFERROR(__xludf.DUMMYFUNCTION("""COMPUTED_VALUE"""),"KABINA PRYSZNICOWA NAROŻNA RAPID SWING 80X100")</f>
        <v>KABINA PRYSZNICOWA NAROŻNA RAPID SWING 80X100</v>
      </c>
      <c r="E2786" s="31">
        <v>294.19512195121956</v>
      </c>
      <c r="F2786" s="31">
        <f t="shared" si="43"/>
        <v>361.86000000000007</v>
      </c>
    </row>
    <row r="2787" spans="1:6" ht="18.75" customHeight="1" x14ac:dyDescent="0.25">
      <c r="A2787" s="2" t="str">
        <f ca="1">IFERROR(__xludf.DUMMYFUNCTION("""COMPUTED_VALUE"""),"KPL-009923")</f>
        <v>KPL-009923</v>
      </c>
      <c r="B2787" s="3">
        <f ca="1">IFERROR(__xludf.DUMMYFUNCTION("""COMPUTED_VALUE"""),34307)</f>
        <v>34307</v>
      </c>
      <c r="C2787" s="3">
        <f ca="1">IFERROR(__xludf.DUMMYFUNCTION("""COMPUTED_VALUE"""),5902557390366)</f>
        <v>5902557390366</v>
      </c>
      <c r="D2787" s="4" t="str">
        <f ca="1">IFERROR(__xludf.DUMMYFUNCTION("""COMPUTED_VALUE"""),"KABINA PRYSZNICOWA NAROŻNA RAPID SWING 80X90")</f>
        <v>KABINA PRYSZNICOWA NAROŻNA RAPID SWING 80X90</v>
      </c>
      <c r="E2787" s="31">
        <v>287.87804878048786</v>
      </c>
      <c r="F2787" s="31">
        <f t="shared" si="43"/>
        <v>354.09000000000009</v>
      </c>
    </row>
    <row r="2788" spans="1:6" ht="18.75" customHeight="1" x14ac:dyDescent="0.25">
      <c r="A2788" s="2" t="str">
        <f ca="1">IFERROR(__xludf.DUMMYFUNCTION("""COMPUTED_VALUE"""),"KPL-009922")</f>
        <v>KPL-009922</v>
      </c>
      <c r="B2788" s="3">
        <f ca="1">IFERROR(__xludf.DUMMYFUNCTION("""COMPUTED_VALUE"""),34306)</f>
        <v>34306</v>
      </c>
      <c r="C2788" s="3">
        <f ca="1">IFERROR(__xludf.DUMMYFUNCTION("""COMPUTED_VALUE"""),5902557390359)</f>
        <v>5902557390359</v>
      </c>
      <c r="D2788" s="4" t="str">
        <f ca="1">IFERROR(__xludf.DUMMYFUNCTION("""COMPUTED_VALUE"""),"KABINA PRYSZNICOWA NAROŻNA RAPID SWING 80X80")</f>
        <v>KABINA PRYSZNICOWA NAROŻNA RAPID SWING 80X80</v>
      </c>
      <c r="E2788" s="31">
        <v>283.36585365853659</v>
      </c>
      <c r="F2788" s="31">
        <f t="shared" si="43"/>
        <v>348.54</v>
      </c>
    </row>
    <row r="2789" spans="1:6" ht="18.75" customHeight="1" x14ac:dyDescent="0.25">
      <c r="A2789" s="2" t="str">
        <f ca="1">IFERROR(__xludf.DUMMYFUNCTION("""COMPUTED_VALUE"""),"KPL-009921")</f>
        <v>KPL-009921</v>
      </c>
      <c r="B2789" s="3">
        <f ca="1">IFERROR(__xludf.DUMMYFUNCTION("""COMPUTED_VALUE"""),34305)</f>
        <v>34305</v>
      </c>
      <c r="C2789" s="3">
        <f ca="1">IFERROR(__xludf.DUMMYFUNCTION("""COMPUTED_VALUE"""),5902557390342)</f>
        <v>5902557390342</v>
      </c>
      <c r="D2789" s="4" t="str">
        <f ca="1">IFERROR(__xludf.DUMMYFUNCTION("""COMPUTED_VALUE"""),"KABINA PRYSZNICOWA NAROŻNA RAPID SWING 70X100")</f>
        <v>KABINA PRYSZNICOWA NAROŻNA RAPID SWING 70X100</v>
      </c>
      <c r="E2789" s="31">
        <v>290.58536585365857</v>
      </c>
      <c r="F2789" s="31">
        <f t="shared" si="43"/>
        <v>357.42</v>
      </c>
    </row>
    <row r="2790" spans="1:6" ht="18.75" customHeight="1" x14ac:dyDescent="0.25">
      <c r="A2790" s="2" t="str">
        <f ca="1">IFERROR(__xludf.DUMMYFUNCTION("""COMPUTED_VALUE"""),"KPL-009920")</f>
        <v>KPL-009920</v>
      </c>
      <c r="B2790" s="3">
        <f ca="1">IFERROR(__xludf.DUMMYFUNCTION("""COMPUTED_VALUE"""),34304)</f>
        <v>34304</v>
      </c>
      <c r="C2790" s="3">
        <f ca="1">IFERROR(__xludf.DUMMYFUNCTION("""COMPUTED_VALUE"""),5902557390335)</f>
        <v>5902557390335</v>
      </c>
      <c r="D2790" s="4" t="str">
        <f ca="1">IFERROR(__xludf.DUMMYFUNCTION("""COMPUTED_VALUE"""),"KABINA PRYSZNICOWA NAROŻNA RAPID SWING 70X90")</f>
        <v>KABINA PRYSZNICOWA NAROŻNA RAPID SWING 70X90</v>
      </c>
      <c r="E2790" s="31">
        <v>284.26829268292687</v>
      </c>
      <c r="F2790" s="31">
        <f t="shared" si="43"/>
        <v>349.65000000000003</v>
      </c>
    </row>
    <row r="2791" spans="1:6" ht="18.75" customHeight="1" x14ac:dyDescent="0.25">
      <c r="A2791" s="2" t="str">
        <f ca="1">IFERROR(__xludf.DUMMYFUNCTION("""COMPUTED_VALUE"""),"KPL-009919")</f>
        <v>KPL-009919</v>
      </c>
      <c r="B2791" s="3">
        <f ca="1">IFERROR(__xludf.DUMMYFUNCTION("""COMPUTED_VALUE"""),34303)</f>
        <v>34303</v>
      </c>
      <c r="C2791" s="3">
        <f ca="1">IFERROR(__xludf.DUMMYFUNCTION("""COMPUTED_VALUE"""),5902557390328)</f>
        <v>5902557390328</v>
      </c>
      <c r="D2791" s="4" t="str">
        <f ca="1">IFERROR(__xludf.DUMMYFUNCTION("""COMPUTED_VALUE"""),"KABINA PRYSZNICOWA NAROŻNA RAPID SWING 70x80")</f>
        <v>KABINA PRYSZNICOWA NAROŻNA RAPID SWING 70x80</v>
      </c>
      <c r="E2791" s="31">
        <v>279.75609756097566</v>
      </c>
      <c r="F2791" s="31">
        <f t="shared" si="43"/>
        <v>344.10000000000008</v>
      </c>
    </row>
    <row r="2792" spans="1:6" ht="18.75" customHeight="1" x14ac:dyDescent="0.25">
      <c r="A2792" s="2" t="str">
        <f ca="1">IFERROR(__xludf.DUMMYFUNCTION("""COMPUTED_VALUE"""),"KPL-09918")</f>
        <v>KPL-09918</v>
      </c>
      <c r="B2792" s="3">
        <f ca="1">IFERROR(__xludf.DUMMYFUNCTION("""COMPUTED_VALUE"""),33874)</f>
        <v>33874</v>
      </c>
      <c r="C2792" s="3">
        <f ca="1">IFERROR(__xludf.DUMMYFUNCTION("""COMPUTED_VALUE"""),5902557393824)</f>
        <v>5902557393824</v>
      </c>
      <c r="D2792" s="4" t="str">
        <f ca="1">IFERROR(__xludf.DUMMYFUNCTION("""COMPUTED_VALUE"""),"KABINA PRYSZNICOWA PRZYŚCIENNA RAPID FOLD 100x100")</f>
        <v>KABINA PRYSZNICOWA PRZYŚCIENNA RAPID FOLD 100x100</v>
      </c>
      <c r="E2792" s="31">
        <v>481</v>
      </c>
      <c r="F2792" s="31">
        <f t="shared" si="43"/>
        <v>591.63</v>
      </c>
    </row>
    <row r="2793" spans="1:6" ht="18.75" customHeight="1" x14ac:dyDescent="0.25">
      <c r="A2793" s="2" t="str">
        <f ca="1">IFERROR(__xludf.DUMMYFUNCTION("""COMPUTED_VALUE"""),"KPL-09917")</f>
        <v>KPL-09917</v>
      </c>
      <c r="B2793" s="3">
        <f ca="1">IFERROR(__xludf.DUMMYFUNCTION("""COMPUTED_VALUE"""),33873)</f>
        <v>33873</v>
      </c>
      <c r="C2793" s="3">
        <f ca="1">IFERROR(__xludf.DUMMYFUNCTION("""COMPUTED_VALUE"""),5902557393817)</f>
        <v>5902557393817</v>
      </c>
      <c r="D2793" s="4" t="str">
        <f ca="1">IFERROR(__xludf.DUMMYFUNCTION("""COMPUTED_VALUE"""),"KABINA PRYSZNICOWA PRZYŚCIENNA RAPID FOLD 100 x 90")</f>
        <v>KABINA PRYSZNICOWA PRZYŚCIENNA RAPID FOLD 100 x 90</v>
      </c>
      <c r="E2793" s="31">
        <v>468.36585365853659</v>
      </c>
      <c r="F2793" s="31">
        <f t="shared" si="43"/>
        <v>576.09</v>
      </c>
    </row>
    <row r="2794" spans="1:6" ht="18.75" customHeight="1" x14ac:dyDescent="0.25">
      <c r="A2794" s="2" t="str">
        <f ca="1">IFERROR(__xludf.DUMMYFUNCTION("""COMPUTED_VALUE"""),"KPL-09916")</f>
        <v>KPL-09916</v>
      </c>
      <c r="B2794" s="3">
        <f ca="1">IFERROR(__xludf.DUMMYFUNCTION("""COMPUTED_VALUE"""),33872)</f>
        <v>33872</v>
      </c>
      <c r="C2794" s="3">
        <f ca="1">IFERROR(__xludf.DUMMYFUNCTION("""COMPUTED_VALUE"""),5902557393800)</f>
        <v>5902557393800</v>
      </c>
      <c r="D2794" s="4" t="str">
        <f ca="1">IFERROR(__xludf.DUMMYFUNCTION("""COMPUTED_VALUE"""),"KABINA PRYSZNICOWA PRZYŚCIENNA RAPID FOLD 100 x 80")</f>
        <v>KABINA PRYSZNICOWA PRZYŚCIENNA RAPID FOLD 100 x 80</v>
      </c>
      <c r="E2794" s="31">
        <v>459.34146341463418</v>
      </c>
      <c r="F2794" s="31">
        <f t="shared" si="43"/>
        <v>564.99</v>
      </c>
    </row>
    <row r="2795" spans="1:6" ht="18.75" customHeight="1" x14ac:dyDescent="0.25">
      <c r="A2795" s="2" t="str">
        <f ca="1">IFERROR(__xludf.DUMMYFUNCTION("""COMPUTED_VALUE"""),"KPL-09915")</f>
        <v>KPL-09915</v>
      </c>
      <c r="B2795" s="3">
        <f ca="1">IFERROR(__xludf.DUMMYFUNCTION("""COMPUTED_VALUE"""),33871)</f>
        <v>33871</v>
      </c>
      <c r="C2795" s="3">
        <f ca="1">IFERROR(__xludf.DUMMYFUNCTION("""COMPUTED_VALUE"""),5902557393794)</f>
        <v>5902557393794</v>
      </c>
      <c r="D2795" s="4" t="str">
        <f ca="1">IFERROR(__xludf.DUMMYFUNCTION("""COMPUTED_VALUE"""),"KABINA PRYSZNICOWA PRZYŚCIENNA RAPID FOLD 90 x 100")</f>
        <v>KABINA PRYSZNICOWA PRZYŚCIENNA RAPID FOLD 90 x 100</v>
      </c>
      <c r="E2795" s="31">
        <v>455.73170731707319</v>
      </c>
      <c r="F2795" s="31">
        <f t="shared" si="43"/>
        <v>560.55000000000007</v>
      </c>
    </row>
    <row r="2796" spans="1:6" ht="18.75" customHeight="1" x14ac:dyDescent="0.25">
      <c r="A2796" s="2" t="str">
        <f ca="1">IFERROR(__xludf.DUMMYFUNCTION("""COMPUTED_VALUE"""),"KPL-09914")</f>
        <v>KPL-09914</v>
      </c>
      <c r="B2796" s="3">
        <f ca="1">IFERROR(__xludf.DUMMYFUNCTION("""COMPUTED_VALUE"""),33870)</f>
        <v>33870</v>
      </c>
      <c r="C2796" s="3">
        <f ca="1">IFERROR(__xludf.DUMMYFUNCTION("""COMPUTED_VALUE"""),5902557393787)</f>
        <v>5902557393787</v>
      </c>
      <c r="D2796" s="4" t="str">
        <f ca="1">IFERROR(__xludf.DUMMYFUNCTION("""COMPUTED_VALUE"""),"KABINA PRYSZNICOWA PRZYŚCIENNA RAPID FOLD 90 x 90")</f>
        <v>KABINA PRYSZNICOWA PRZYŚCIENNA RAPID FOLD 90 x 90</v>
      </c>
      <c r="E2796" s="31">
        <v>443.09756097560978</v>
      </c>
      <c r="F2796" s="31">
        <f t="shared" si="43"/>
        <v>545.01</v>
      </c>
    </row>
    <row r="2797" spans="1:6" ht="18.75" customHeight="1" x14ac:dyDescent="0.25">
      <c r="A2797" s="2" t="str">
        <f ca="1">IFERROR(__xludf.DUMMYFUNCTION("""COMPUTED_VALUE"""),"KPL-09913")</f>
        <v>KPL-09913</v>
      </c>
      <c r="B2797" s="3">
        <f ca="1">IFERROR(__xludf.DUMMYFUNCTION("""COMPUTED_VALUE"""),33869)</f>
        <v>33869</v>
      </c>
      <c r="C2797" s="3">
        <f ca="1">IFERROR(__xludf.DUMMYFUNCTION("""COMPUTED_VALUE"""),5902557393770)</f>
        <v>5902557393770</v>
      </c>
      <c r="D2797" s="4" t="str">
        <f ca="1">IFERROR(__xludf.DUMMYFUNCTION("""COMPUTED_VALUE"""),"KABINA PRYSZNICOWA PRZYŚCIENNA RAPID FOLD 90 x 80")</f>
        <v>KABINA PRYSZNICOWA PRZYŚCIENNA RAPID FOLD 90 x 80</v>
      </c>
      <c r="E2797" s="31">
        <v>434.07317073170736</v>
      </c>
      <c r="F2797" s="31">
        <f t="shared" si="43"/>
        <v>533.91000000000008</v>
      </c>
    </row>
    <row r="2798" spans="1:6" ht="18.75" customHeight="1" x14ac:dyDescent="0.25">
      <c r="A2798" s="2" t="str">
        <f ca="1">IFERROR(__xludf.DUMMYFUNCTION("""COMPUTED_VALUE"""),"KPL-09912")</f>
        <v>KPL-09912</v>
      </c>
      <c r="B2798" s="3">
        <f ca="1">IFERROR(__xludf.DUMMYFUNCTION("""COMPUTED_VALUE"""),33868)</f>
        <v>33868</v>
      </c>
      <c r="C2798" s="3">
        <f ca="1">IFERROR(__xludf.DUMMYFUNCTION("""COMPUTED_VALUE"""),5902557393763)</f>
        <v>5902557393763</v>
      </c>
      <c r="D2798" s="4" t="str">
        <f ca="1">IFERROR(__xludf.DUMMYFUNCTION("""COMPUTED_VALUE"""),"KABINA PRYSZNICOWA PRZYŚCIENNA RAPID FOLD 80 x 100")</f>
        <v>KABINA PRYSZNICOWA PRZYŚCIENNA RAPID FOLD 80 x 100</v>
      </c>
      <c r="E2798" s="31">
        <v>450.31707317073176</v>
      </c>
      <c r="F2798" s="31">
        <f t="shared" si="43"/>
        <v>553.8900000000001</v>
      </c>
    </row>
    <row r="2799" spans="1:6" ht="18.75" customHeight="1" x14ac:dyDescent="0.25">
      <c r="A2799" s="2" t="str">
        <f ca="1">IFERROR(__xludf.DUMMYFUNCTION("""COMPUTED_VALUE"""),"KPL-09911")</f>
        <v>KPL-09911</v>
      </c>
      <c r="B2799" s="3">
        <f ca="1">IFERROR(__xludf.DUMMYFUNCTION("""COMPUTED_VALUE"""),33867)</f>
        <v>33867</v>
      </c>
      <c r="C2799" s="3">
        <f ca="1">IFERROR(__xludf.DUMMYFUNCTION("""COMPUTED_VALUE"""),5902557393756)</f>
        <v>5902557393756</v>
      </c>
      <c r="D2799" s="4" t="str">
        <f ca="1">IFERROR(__xludf.DUMMYFUNCTION("""COMPUTED_VALUE"""),"KABINA PRYSZNICOWA PRZYŚCIENNA RAPID FOLD 80 x 90")</f>
        <v>KABINA PRYSZNICOWA PRZYŚCIENNA RAPID FOLD 80 x 90</v>
      </c>
      <c r="E2799" s="31">
        <v>437.68292682926835</v>
      </c>
      <c r="F2799" s="31">
        <f t="shared" si="43"/>
        <v>538.35</v>
      </c>
    </row>
    <row r="2800" spans="1:6" ht="18.75" customHeight="1" x14ac:dyDescent="0.25">
      <c r="A2800" s="2" t="str">
        <f ca="1">IFERROR(__xludf.DUMMYFUNCTION("""COMPUTED_VALUE"""),"KPL-09910")</f>
        <v>KPL-09910</v>
      </c>
      <c r="B2800" s="3">
        <f ca="1">IFERROR(__xludf.DUMMYFUNCTION("""COMPUTED_VALUE"""),33866)</f>
        <v>33866</v>
      </c>
      <c r="C2800" s="3">
        <f ca="1">IFERROR(__xludf.DUMMYFUNCTION("""COMPUTED_VALUE"""),5902557393749)</f>
        <v>5902557393749</v>
      </c>
      <c r="D2800" s="4" t="str">
        <f ca="1">IFERROR(__xludf.DUMMYFUNCTION("""COMPUTED_VALUE"""),"KABINA PRYSZNICOWA PRZYŚCIENNA RAPID FOLD 80 x 80")</f>
        <v>KABINA PRYSZNICOWA PRZYŚCIENNA RAPID FOLD 80 x 80</v>
      </c>
      <c r="E2800" s="31">
        <v>428.65853658536588</v>
      </c>
      <c r="F2800" s="31">
        <f t="shared" si="43"/>
        <v>527.25</v>
      </c>
    </row>
    <row r="2801" spans="1:6" ht="18.75" customHeight="1" x14ac:dyDescent="0.25">
      <c r="A2801" s="2" t="str">
        <f ca="1">IFERROR(__xludf.DUMMYFUNCTION("""COMPUTED_VALUE"""),"KPL-09906")</f>
        <v>KPL-09906</v>
      </c>
      <c r="B2801" s="3">
        <f ca="1">IFERROR(__xludf.DUMMYFUNCTION("""COMPUTED_VALUE"""),33859)</f>
        <v>33859</v>
      </c>
      <c r="C2801" s="3">
        <f ca="1">IFERROR(__xludf.DUMMYFUNCTION("""COMPUTED_VALUE"""),5902557390311)</f>
        <v>5902557390311</v>
      </c>
      <c r="D2801" s="4" t="str">
        <f ca="1">IFERROR(__xludf.DUMMYFUNCTION("""COMPUTED_VALUE"""),"KABINA PRYSZNICOWA NAROŻNA RAPID FOLD 100 x 100")</f>
        <v>KABINA PRYSZNICOWA NAROŻNA RAPID FOLD 100 x 100</v>
      </c>
      <c r="E2801" s="31">
        <v>324.87804878048786</v>
      </c>
      <c r="F2801" s="31">
        <f t="shared" si="43"/>
        <v>399.60000000000008</v>
      </c>
    </row>
    <row r="2802" spans="1:6" ht="18.75" customHeight="1" x14ac:dyDescent="0.25">
      <c r="A2802" s="2" t="str">
        <f ca="1">IFERROR(__xludf.DUMMYFUNCTION("""COMPUTED_VALUE"""),"KPL-09905")</f>
        <v>KPL-09905</v>
      </c>
      <c r="B2802" s="3">
        <f ca="1">IFERROR(__xludf.DUMMYFUNCTION("""COMPUTED_VALUE"""),33858)</f>
        <v>33858</v>
      </c>
      <c r="C2802" s="3">
        <f ca="1">IFERROR(__xludf.DUMMYFUNCTION("""COMPUTED_VALUE"""),5902557390304)</f>
        <v>5902557390304</v>
      </c>
      <c r="D2802" s="4" t="str">
        <f ca="1">IFERROR(__xludf.DUMMYFUNCTION("""COMPUTED_VALUE"""),"KABINA PRYSZNICOWA NAROŻNA RAPID FOLD 100 x 90")</f>
        <v>KABINA PRYSZNICOWA NAROŻNA RAPID FOLD 100 x 90</v>
      </c>
      <c r="E2802" s="31">
        <v>318.56097560975616</v>
      </c>
      <c r="F2802" s="31">
        <f t="shared" si="43"/>
        <v>391.83000000000004</v>
      </c>
    </row>
    <row r="2803" spans="1:6" ht="18.75" customHeight="1" x14ac:dyDescent="0.25">
      <c r="A2803" s="2" t="str">
        <f ca="1">IFERROR(__xludf.DUMMYFUNCTION("""COMPUTED_VALUE"""),"KPL-09904")</f>
        <v>KPL-09904</v>
      </c>
      <c r="B2803" s="3">
        <f ca="1">IFERROR(__xludf.DUMMYFUNCTION("""COMPUTED_VALUE"""),33857)</f>
        <v>33857</v>
      </c>
      <c r="C2803" s="3">
        <f ca="1">IFERROR(__xludf.DUMMYFUNCTION("""COMPUTED_VALUE"""),5902557390298)</f>
        <v>5902557390298</v>
      </c>
      <c r="D2803" s="4" t="str">
        <f ca="1">IFERROR(__xludf.DUMMYFUNCTION("""COMPUTED_VALUE"""),"KABINA PRYSZNICOWA NAROŻNA RAPID FOLD 100 x 80")</f>
        <v>KABINA PRYSZNICOWA NAROŻNA RAPID FOLD 100 x 80</v>
      </c>
      <c r="E2803" s="31">
        <v>314.04878048780489</v>
      </c>
      <c r="F2803" s="31">
        <f t="shared" si="43"/>
        <v>386.28000000000003</v>
      </c>
    </row>
    <row r="2804" spans="1:6" ht="18.75" customHeight="1" x14ac:dyDescent="0.25">
      <c r="A2804" s="2" t="str">
        <f ca="1">IFERROR(__xludf.DUMMYFUNCTION("""COMPUTED_VALUE"""),"KPL-09903")</f>
        <v>KPL-09903</v>
      </c>
      <c r="B2804" s="3">
        <f ca="1">IFERROR(__xludf.DUMMYFUNCTION("""COMPUTED_VALUE"""),33856)</f>
        <v>33856</v>
      </c>
      <c r="C2804" s="3">
        <f ca="1">IFERROR(__xludf.DUMMYFUNCTION("""COMPUTED_VALUE"""),5902557390281)</f>
        <v>5902557390281</v>
      </c>
      <c r="D2804" s="4" t="str">
        <f ca="1">IFERROR(__xludf.DUMMYFUNCTION("""COMPUTED_VALUE"""),"KABINA PRYSZNICOWA NAROŻNA RAPID FOLD 90 x 100")</f>
        <v>KABINA PRYSZNICOWA NAROŻNA RAPID FOLD 90 x 100</v>
      </c>
      <c r="E2804" s="31">
        <v>299.60975609756105</v>
      </c>
      <c r="F2804" s="31">
        <f t="shared" si="43"/>
        <v>368.5200000000001</v>
      </c>
    </row>
    <row r="2805" spans="1:6" ht="18.75" customHeight="1" x14ac:dyDescent="0.25">
      <c r="A2805" s="2" t="str">
        <f ca="1">IFERROR(__xludf.DUMMYFUNCTION("""COMPUTED_VALUE"""),"KPL-09902")</f>
        <v>KPL-09902</v>
      </c>
      <c r="B2805" s="3">
        <f ca="1">IFERROR(__xludf.DUMMYFUNCTION("""COMPUTED_VALUE"""),33855)</f>
        <v>33855</v>
      </c>
      <c r="C2805" s="3">
        <f ca="1">IFERROR(__xludf.DUMMYFUNCTION("""COMPUTED_VALUE"""),5902557390274)</f>
        <v>5902557390274</v>
      </c>
      <c r="D2805" s="4" t="str">
        <f ca="1">IFERROR(__xludf.DUMMYFUNCTION("""COMPUTED_VALUE"""),"KABINA PRYSZNICOWA NAROŻNA RAPID FOLD 90 x 90")</f>
        <v>KABINA PRYSZNICOWA NAROŻNA RAPID FOLD 90 x 90</v>
      </c>
      <c r="E2805" s="31">
        <v>293.29268292682934</v>
      </c>
      <c r="F2805" s="31">
        <f t="shared" si="43"/>
        <v>360.75000000000011</v>
      </c>
    </row>
    <row r="2806" spans="1:6" ht="18.75" customHeight="1" x14ac:dyDescent="0.25">
      <c r="A2806" s="2" t="str">
        <f ca="1">IFERROR(__xludf.DUMMYFUNCTION("""COMPUTED_VALUE"""),"KPL-09901")</f>
        <v>KPL-09901</v>
      </c>
      <c r="B2806" s="3">
        <f ca="1">IFERROR(__xludf.DUMMYFUNCTION("""COMPUTED_VALUE"""),33854)</f>
        <v>33854</v>
      </c>
      <c r="C2806" s="3">
        <f ca="1">IFERROR(__xludf.DUMMYFUNCTION("""COMPUTED_VALUE"""),5902557390267)</f>
        <v>5902557390267</v>
      </c>
      <c r="D2806" s="4" t="str">
        <f ca="1">IFERROR(__xludf.DUMMYFUNCTION("""COMPUTED_VALUE"""),"KABINA PRYSZNICOWA NAROŻNA RAPID FOLD 90 x 80")</f>
        <v>KABINA PRYSZNICOWA NAROŻNA RAPID FOLD 90 x 80</v>
      </c>
      <c r="E2806" s="31">
        <v>288.78048780487808</v>
      </c>
      <c r="F2806" s="31">
        <f t="shared" si="43"/>
        <v>355.20000000000005</v>
      </c>
    </row>
    <row r="2807" spans="1:6" ht="18.75" customHeight="1" x14ac:dyDescent="0.25">
      <c r="A2807" s="2" t="str">
        <f ca="1">IFERROR(__xludf.DUMMYFUNCTION("""COMPUTED_VALUE"""),"KPL-09900")</f>
        <v>KPL-09900</v>
      </c>
      <c r="B2807" s="3">
        <f ca="1">IFERROR(__xludf.DUMMYFUNCTION("""COMPUTED_VALUE"""),33853)</f>
        <v>33853</v>
      </c>
      <c r="C2807" s="3">
        <f ca="1">IFERROR(__xludf.DUMMYFUNCTION("""COMPUTED_VALUE"""),5902557390250)</f>
        <v>5902557390250</v>
      </c>
      <c r="D2807" s="4" t="str">
        <f ca="1">IFERROR(__xludf.DUMMYFUNCTION("""COMPUTED_VALUE"""),"KABINA PRYSZNICOWA NAROŻNA RAPID FOLD 80 x 100")</f>
        <v>KABINA PRYSZNICOWA NAROŻNA RAPID FOLD 80 x 100</v>
      </c>
      <c r="E2807" s="31">
        <v>294.19512195121956</v>
      </c>
      <c r="F2807" s="31">
        <f t="shared" si="43"/>
        <v>361.86000000000007</v>
      </c>
    </row>
    <row r="2808" spans="1:6" ht="18.75" customHeight="1" x14ac:dyDescent="0.25">
      <c r="A2808" s="2" t="str">
        <f ca="1">IFERROR(__xludf.DUMMYFUNCTION("""COMPUTED_VALUE"""),"KPL-09899")</f>
        <v>KPL-09899</v>
      </c>
      <c r="B2808" s="3">
        <f ca="1">IFERROR(__xludf.DUMMYFUNCTION("""COMPUTED_VALUE"""),33852)</f>
        <v>33852</v>
      </c>
      <c r="C2808" s="3">
        <f ca="1">IFERROR(__xludf.DUMMYFUNCTION("""COMPUTED_VALUE"""),5902557390243)</f>
        <v>5902557390243</v>
      </c>
      <c r="D2808" s="4" t="str">
        <f ca="1">IFERROR(__xludf.DUMMYFUNCTION("""COMPUTED_VALUE"""),"KABINA PRYSZNICOWA NAROŻNA RAPID FOLD 80 x 90")</f>
        <v>KABINA PRYSZNICOWA NAROŻNA RAPID FOLD 80 x 90</v>
      </c>
      <c r="E2808" s="31">
        <v>287.87804878048786</v>
      </c>
      <c r="F2808" s="31">
        <f t="shared" si="43"/>
        <v>354.09000000000009</v>
      </c>
    </row>
    <row r="2809" spans="1:6" ht="18.75" customHeight="1" x14ac:dyDescent="0.25">
      <c r="A2809" s="2" t="str">
        <f ca="1">IFERROR(__xludf.DUMMYFUNCTION("""COMPUTED_VALUE"""),"KPL-09898")</f>
        <v>KPL-09898</v>
      </c>
      <c r="B2809" s="3">
        <f ca="1">IFERROR(__xludf.DUMMYFUNCTION("""COMPUTED_VALUE"""),33851)</f>
        <v>33851</v>
      </c>
      <c r="C2809" s="3">
        <f ca="1">IFERROR(__xludf.DUMMYFUNCTION("""COMPUTED_VALUE"""),5902557390236)</f>
        <v>5902557390236</v>
      </c>
      <c r="D2809" s="4" t="str">
        <f ca="1">IFERROR(__xludf.DUMMYFUNCTION("""COMPUTED_VALUE"""),"KABINA PRYSZNICOWA NAROŻNA RAPID FOLD 80 x 80")</f>
        <v>KABINA PRYSZNICOWA NAROŻNA RAPID FOLD 80 x 80</v>
      </c>
      <c r="E2809" s="31">
        <v>283.36585365853659</v>
      </c>
      <c r="F2809" s="31">
        <f t="shared" si="43"/>
        <v>348.54</v>
      </c>
    </row>
    <row r="2810" spans="1:6" ht="18.75" customHeight="1" x14ac:dyDescent="0.25">
      <c r="A2810" s="2" t="str">
        <f ca="1">IFERROR(__xludf.DUMMYFUNCTION("""COMPUTED_VALUE"""),"KPL-09894")</f>
        <v>KPL-09894</v>
      </c>
      <c r="B2810" s="3">
        <f ca="1">IFERROR(__xludf.DUMMYFUNCTION("""COMPUTED_VALUE"""),33753)</f>
        <v>33753</v>
      </c>
      <c r="C2810" s="3">
        <f ca="1">IFERROR(__xludf.DUMMYFUNCTION("""COMPUTED_VALUE"""),5902557394036)</f>
        <v>5902557394036</v>
      </c>
      <c r="D2810" s="4" t="str">
        <f ca="1">IFERROR(__xludf.DUMMYFUNCTION("""COMPUTED_VALUE"""),"KABINA PRYSZNICOWA PRZYŚCIENNA RAPID SLIDE 160x100")</f>
        <v>KABINA PRYSZNICOWA PRZYŚCIENNA RAPID SLIDE 160x100</v>
      </c>
      <c r="E2810" s="31">
        <v>504.46341463414643</v>
      </c>
      <c r="F2810" s="31">
        <f t="shared" si="43"/>
        <v>620.49000000000012</v>
      </c>
    </row>
    <row r="2811" spans="1:6" ht="18.75" customHeight="1" x14ac:dyDescent="0.25">
      <c r="A2811" s="2" t="str">
        <f ca="1">IFERROR(__xludf.DUMMYFUNCTION("""COMPUTED_VALUE"""),"KPL-09874")</f>
        <v>KPL-09874</v>
      </c>
      <c r="B2811" s="3">
        <f ca="1">IFERROR(__xludf.DUMMYFUNCTION("""COMPUTED_VALUE"""),33752)</f>
        <v>33752</v>
      </c>
      <c r="C2811" s="3">
        <f ca="1">IFERROR(__xludf.DUMMYFUNCTION("""COMPUTED_VALUE"""),5902557393831)</f>
        <v>5902557393831</v>
      </c>
      <c r="D2811" s="4" t="str">
        <f ca="1">IFERROR(__xludf.DUMMYFUNCTION("""COMPUTED_VALUE"""),"KABINA PRYSZNICOWA PRZYŚCIENNA RAPID SLIDE 100x80")</f>
        <v>KABINA PRYSZNICOWA PRZYŚCIENNA RAPID SLIDE 100x80</v>
      </c>
      <c r="E2811" s="31">
        <v>440.39024390243907</v>
      </c>
      <c r="F2811" s="31">
        <f t="shared" si="43"/>
        <v>541.68000000000006</v>
      </c>
    </row>
    <row r="2812" spans="1:6" ht="18.75" customHeight="1" x14ac:dyDescent="0.25">
      <c r="A2812" s="2" t="str">
        <f ca="1">IFERROR(__xludf.DUMMYFUNCTION("""COMPUTED_VALUE"""),"KPL-09893")</f>
        <v>KPL-09893</v>
      </c>
      <c r="B2812" s="3">
        <f ca="1">IFERROR(__xludf.DUMMYFUNCTION("""COMPUTED_VALUE"""),33751)</f>
        <v>33751</v>
      </c>
      <c r="C2812" s="3">
        <f ca="1">IFERROR(__xludf.DUMMYFUNCTION("""COMPUTED_VALUE"""),5902557394029)</f>
        <v>5902557394029</v>
      </c>
      <c r="D2812" s="4" t="str">
        <f ca="1">IFERROR(__xludf.DUMMYFUNCTION("""COMPUTED_VALUE"""),"KABINA PRYSZNICOWA PRZYŚCIENNA RAPID SLIDE 160x90")</f>
        <v>KABINA PRYSZNICOWA PRZYŚCIENNA RAPID SLIDE 160x90</v>
      </c>
      <c r="E2812" s="31">
        <v>491.82926829268303</v>
      </c>
      <c r="F2812" s="31">
        <f t="shared" si="43"/>
        <v>604.95000000000016</v>
      </c>
    </row>
    <row r="2813" spans="1:6" ht="18.75" customHeight="1" x14ac:dyDescent="0.25">
      <c r="A2813" s="2" t="str">
        <f ca="1">IFERROR(__xludf.DUMMYFUNCTION("""COMPUTED_VALUE"""),"KPL-09892")</f>
        <v>KPL-09892</v>
      </c>
      <c r="B2813" s="3">
        <f ca="1">IFERROR(__xludf.DUMMYFUNCTION("""COMPUTED_VALUE"""),33750)</f>
        <v>33750</v>
      </c>
      <c r="C2813" s="3">
        <f ca="1">IFERROR(__xludf.DUMMYFUNCTION("""COMPUTED_VALUE"""),5902557394012)</f>
        <v>5902557394012</v>
      </c>
      <c r="D2813" s="4" t="str">
        <f ca="1">IFERROR(__xludf.DUMMYFUNCTION("""COMPUTED_VALUE"""),"KABINA PRYSZNICOWA PRZYŚCIENNA RAPID SLIDE 160x80")</f>
        <v>KABINA PRYSZNICOWA PRZYŚCIENNA RAPID SLIDE 160x80</v>
      </c>
      <c r="E2813" s="31">
        <v>482.80487804878049</v>
      </c>
      <c r="F2813" s="31">
        <f t="shared" si="43"/>
        <v>593.85</v>
      </c>
    </row>
    <row r="2814" spans="1:6" ht="18.75" customHeight="1" x14ac:dyDescent="0.25">
      <c r="A2814" s="2" t="str">
        <f ca="1">IFERROR(__xludf.DUMMYFUNCTION("""COMPUTED_VALUE"""),"KPL-09891")</f>
        <v>KPL-09891</v>
      </c>
      <c r="B2814" s="3">
        <f ca="1">IFERROR(__xludf.DUMMYFUNCTION("""COMPUTED_VALUE"""),33749)</f>
        <v>33749</v>
      </c>
      <c r="C2814" s="3">
        <f ca="1">IFERROR(__xludf.DUMMYFUNCTION("""COMPUTED_VALUE"""),5902557394005)</f>
        <v>5902557394005</v>
      </c>
      <c r="D2814" s="4" t="str">
        <f ca="1">IFERROR(__xludf.DUMMYFUNCTION("""COMPUTED_VALUE"""),"KABINA PRYSZNICOWA PRZYŚCIENNA RAPID SLIDE 150x100")</f>
        <v>KABINA PRYSZNICOWA PRZYŚCIENNA RAPID SLIDE 150x100</v>
      </c>
      <c r="E2814" s="31">
        <v>490.92682926829275</v>
      </c>
      <c r="F2814" s="31">
        <f t="shared" si="43"/>
        <v>603.84</v>
      </c>
    </row>
    <row r="2815" spans="1:6" ht="18.75" customHeight="1" x14ac:dyDescent="0.25">
      <c r="A2815" s="2" t="str">
        <f ca="1">IFERROR(__xludf.DUMMYFUNCTION("""COMPUTED_VALUE"""),"KPL-09890")</f>
        <v>KPL-09890</v>
      </c>
      <c r="B2815" s="3">
        <f ca="1">IFERROR(__xludf.DUMMYFUNCTION("""COMPUTED_VALUE"""),33748)</f>
        <v>33748</v>
      </c>
      <c r="C2815" s="3">
        <f ca="1">IFERROR(__xludf.DUMMYFUNCTION("""COMPUTED_VALUE"""),5902557393992)</f>
        <v>5902557393992</v>
      </c>
      <c r="D2815" s="4" t="str">
        <f ca="1">IFERROR(__xludf.DUMMYFUNCTION("""COMPUTED_VALUE"""),"KABINA PRYSZNICOWA PRZYŚCIENNA RAPID SLIDE 150x90")</f>
        <v>KABINA PRYSZNICOWA PRZYŚCIENNA RAPID SLIDE 150x90</v>
      </c>
      <c r="E2815" s="31">
        <v>478.29268292682929</v>
      </c>
      <c r="F2815" s="31">
        <f t="shared" si="43"/>
        <v>588.30000000000007</v>
      </c>
    </row>
    <row r="2816" spans="1:6" ht="18.75" customHeight="1" x14ac:dyDescent="0.25">
      <c r="A2816" s="2" t="str">
        <f ca="1">IFERROR(__xludf.DUMMYFUNCTION("""COMPUTED_VALUE"""),"KPL-09889")</f>
        <v>KPL-09889</v>
      </c>
      <c r="B2816" s="3">
        <f ca="1">IFERROR(__xludf.DUMMYFUNCTION("""COMPUTED_VALUE"""),33747)</f>
        <v>33747</v>
      </c>
      <c r="C2816" s="3">
        <f ca="1">IFERROR(__xludf.DUMMYFUNCTION("""COMPUTED_VALUE"""),5902557393985)</f>
        <v>5902557393985</v>
      </c>
      <c r="D2816" s="4" t="str">
        <f ca="1">IFERROR(__xludf.DUMMYFUNCTION("""COMPUTED_VALUE"""),"KABINA PRYSZNICOWA PRZYŚCIENNA RAPID SLIDE 150x80")</f>
        <v>KABINA PRYSZNICOWA PRZYŚCIENNA RAPID SLIDE 150x80</v>
      </c>
      <c r="E2816" s="31">
        <v>469.26829268292687</v>
      </c>
      <c r="F2816" s="31">
        <f t="shared" si="43"/>
        <v>577.20000000000005</v>
      </c>
    </row>
    <row r="2817" spans="1:6" ht="18.75" customHeight="1" x14ac:dyDescent="0.25">
      <c r="A2817" s="2" t="str">
        <f ca="1">IFERROR(__xludf.DUMMYFUNCTION("""COMPUTED_VALUE"""),"KPL-09888")</f>
        <v>KPL-09888</v>
      </c>
      <c r="B2817" s="3">
        <f ca="1">IFERROR(__xludf.DUMMYFUNCTION("""COMPUTED_VALUE"""),33746)</f>
        <v>33746</v>
      </c>
      <c r="C2817" s="3">
        <f ca="1">IFERROR(__xludf.DUMMYFUNCTION("""COMPUTED_VALUE"""),5902557393978)</f>
        <v>5902557393978</v>
      </c>
      <c r="D2817" s="4" t="str">
        <f ca="1">IFERROR(__xludf.DUMMYFUNCTION("""COMPUTED_VALUE"""),"KABINA PRYSZNICOWA PRZYŚCIENNA RAPID SLIDE 140x100")</f>
        <v>KABINA PRYSZNICOWA PRZYŚCIENNA RAPID SLIDE 140x100</v>
      </c>
      <c r="E2817" s="31">
        <v>489.12195121951225</v>
      </c>
      <c r="F2817" s="31">
        <f t="shared" ref="F2817:F2880" si="44">E2817*1.23</f>
        <v>601.62000000000012</v>
      </c>
    </row>
    <row r="2818" spans="1:6" ht="18.75" customHeight="1" x14ac:dyDescent="0.25">
      <c r="A2818" s="2" t="str">
        <f ca="1">IFERROR(__xludf.DUMMYFUNCTION("""COMPUTED_VALUE"""),"KPL-09887")</f>
        <v>KPL-09887</v>
      </c>
      <c r="B2818" s="3">
        <f ca="1">IFERROR(__xludf.DUMMYFUNCTION("""COMPUTED_VALUE"""),33745)</f>
        <v>33745</v>
      </c>
      <c r="C2818" s="3">
        <f ca="1">IFERROR(__xludf.DUMMYFUNCTION("""COMPUTED_VALUE"""),5902557393961)</f>
        <v>5902557393961</v>
      </c>
      <c r="D2818" s="4" t="str">
        <f ca="1">IFERROR(__xludf.DUMMYFUNCTION("""COMPUTED_VALUE"""),"KABINA PRYSZNICOWA PRZYŚCIENNA RAPID SLIDE 140x90")</f>
        <v>KABINA PRYSZNICOWA PRZYŚCIENNA RAPID SLIDE 140x90</v>
      </c>
      <c r="E2818" s="31">
        <v>476.48780487804879</v>
      </c>
      <c r="F2818" s="31">
        <f t="shared" si="44"/>
        <v>586.08000000000004</v>
      </c>
    </row>
    <row r="2819" spans="1:6" ht="18.75" customHeight="1" x14ac:dyDescent="0.25">
      <c r="A2819" s="2" t="str">
        <f ca="1">IFERROR(__xludf.DUMMYFUNCTION("""COMPUTED_VALUE"""),"KPL-09886")</f>
        <v>KPL-09886</v>
      </c>
      <c r="B2819" s="3">
        <f ca="1">IFERROR(__xludf.DUMMYFUNCTION("""COMPUTED_VALUE"""),33744)</f>
        <v>33744</v>
      </c>
      <c r="C2819" s="3">
        <f ca="1">IFERROR(__xludf.DUMMYFUNCTION("""COMPUTED_VALUE"""),5902557393954)</f>
        <v>5902557393954</v>
      </c>
      <c r="D2819" s="4" t="str">
        <f ca="1">IFERROR(__xludf.DUMMYFUNCTION("""COMPUTED_VALUE"""),"KABINA PRYSZNICOWA PRZYŚCIENNA RAPID SLIDE 140x80")</f>
        <v>KABINA PRYSZNICOWA PRZYŚCIENNA RAPID SLIDE 140x80</v>
      </c>
      <c r="E2819" s="31">
        <v>467.46341463414637</v>
      </c>
      <c r="F2819" s="31">
        <f t="shared" si="44"/>
        <v>574.98</v>
      </c>
    </row>
    <row r="2820" spans="1:6" ht="18.75" customHeight="1" x14ac:dyDescent="0.25">
      <c r="A2820" s="2" t="str">
        <f ca="1">IFERROR(__xludf.DUMMYFUNCTION("""COMPUTED_VALUE"""),"KPL-09885")</f>
        <v>KPL-09885</v>
      </c>
      <c r="B2820" s="3">
        <f ca="1">IFERROR(__xludf.DUMMYFUNCTION("""COMPUTED_VALUE"""),33743)</f>
        <v>33743</v>
      </c>
      <c r="C2820" s="3">
        <f ca="1">IFERROR(__xludf.DUMMYFUNCTION("""COMPUTED_VALUE"""),5902557393947)</f>
        <v>5902557393947</v>
      </c>
      <c r="D2820" s="4" t="str">
        <f ca="1">IFERROR(__xludf.DUMMYFUNCTION("""COMPUTED_VALUE"""),"KABINA PRYSZNICOWA PRZYŚCIENNA RAPID SLIDE 130x100")</f>
        <v>KABINA PRYSZNICOWA PRZYŚCIENNA RAPID SLIDE 130x100</v>
      </c>
      <c r="E2820" s="31">
        <v>482.80487804878049</v>
      </c>
      <c r="F2820" s="31">
        <f t="shared" si="44"/>
        <v>593.85</v>
      </c>
    </row>
    <row r="2821" spans="1:6" ht="18.75" customHeight="1" x14ac:dyDescent="0.25">
      <c r="A2821" s="2" t="str">
        <f ca="1">IFERROR(__xludf.DUMMYFUNCTION("""COMPUTED_VALUE"""),"KPL-09884")</f>
        <v>KPL-09884</v>
      </c>
      <c r="B2821" s="3">
        <f ca="1">IFERROR(__xludf.DUMMYFUNCTION("""COMPUTED_VALUE"""),33742)</f>
        <v>33742</v>
      </c>
      <c r="C2821" s="3">
        <f ca="1">IFERROR(__xludf.DUMMYFUNCTION("""COMPUTED_VALUE"""),5902557393930)</f>
        <v>5902557393930</v>
      </c>
      <c r="D2821" s="4" t="str">
        <f ca="1">IFERROR(__xludf.DUMMYFUNCTION("""COMPUTED_VALUE"""),"KABINA PRYSZNICOWA PRZYŚCIENNA RAPID SLIDE 130x90")</f>
        <v>KABINA PRYSZNICOWA PRZYŚCIENNA RAPID SLIDE 130x90</v>
      </c>
      <c r="E2821" s="31">
        <v>470.17073170731709</v>
      </c>
      <c r="F2821" s="31">
        <f t="shared" si="44"/>
        <v>578.31000000000006</v>
      </c>
    </row>
    <row r="2822" spans="1:6" ht="18.75" customHeight="1" x14ac:dyDescent="0.25">
      <c r="A2822" s="2" t="str">
        <f ca="1">IFERROR(__xludf.DUMMYFUNCTION("""COMPUTED_VALUE"""),"KPL-09883")</f>
        <v>KPL-09883</v>
      </c>
      <c r="B2822" s="3">
        <f ca="1">IFERROR(__xludf.DUMMYFUNCTION("""COMPUTED_VALUE"""),33741)</f>
        <v>33741</v>
      </c>
      <c r="C2822" s="3">
        <f ca="1">IFERROR(__xludf.DUMMYFUNCTION("""COMPUTED_VALUE"""),5902557393923)</f>
        <v>5902557393923</v>
      </c>
      <c r="D2822" s="4" t="str">
        <f ca="1">IFERROR(__xludf.DUMMYFUNCTION("""COMPUTED_VALUE"""),"KABINA PRYSZNICOWA PRZYŚCIENNA RAPID SLIDE 130x80")</f>
        <v>KABINA PRYSZNICOWA PRZYŚCIENNA RAPID SLIDE 130x80</v>
      </c>
      <c r="E2822" s="31">
        <v>461.14634146341467</v>
      </c>
      <c r="F2822" s="31">
        <f t="shared" si="44"/>
        <v>567.21</v>
      </c>
    </row>
    <row r="2823" spans="1:6" ht="18.75" customHeight="1" x14ac:dyDescent="0.25">
      <c r="A2823" s="2" t="str">
        <f ca="1">IFERROR(__xludf.DUMMYFUNCTION("""COMPUTED_VALUE"""),"KPL-09882")</f>
        <v>KPL-09882</v>
      </c>
      <c r="B2823" s="3">
        <f ca="1">IFERROR(__xludf.DUMMYFUNCTION("""COMPUTED_VALUE"""),33740)</f>
        <v>33740</v>
      </c>
      <c r="C2823" s="3">
        <f ca="1">IFERROR(__xludf.DUMMYFUNCTION("""COMPUTED_VALUE"""),5902557393916)</f>
        <v>5902557393916</v>
      </c>
      <c r="D2823" s="4" t="str">
        <f ca="1">IFERROR(__xludf.DUMMYFUNCTION("""COMPUTED_VALUE"""),"KABINA PRYSZNICOWA PRZYŚCIENNA RAPID SLIDE 120x100")</f>
        <v>KABINA PRYSZNICOWA PRZYŚCIENNA RAPID SLIDE 120x100</v>
      </c>
      <c r="E2823" s="31">
        <v>476.48780487804879</v>
      </c>
      <c r="F2823" s="31">
        <f t="shared" si="44"/>
        <v>586.08000000000004</v>
      </c>
    </row>
    <row r="2824" spans="1:6" ht="18.75" customHeight="1" x14ac:dyDescent="0.25">
      <c r="A2824" s="2" t="str">
        <f ca="1">IFERROR(__xludf.DUMMYFUNCTION("""COMPUTED_VALUE"""),"KPL-09881")</f>
        <v>KPL-09881</v>
      </c>
      <c r="B2824" s="3">
        <f ca="1">IFERROR(__xludf.DUMMYFUNCTION("""COMPUTED_VALUE"""),33739)</f>
        <v>33739</v>
      </c>
      <c r="C2824" s="3">
        <f ca="1">IFERROR(__xludf.DUMMYFUNCTION("""COMPUTED_VALUE"""),5902557393909)</f>
        <v>5902557393909</v>
      </c>
      <c r="D2824" s="4" t="str">
        <f ca="1">IFERROR(__xludf.DUMMYFUNCTION("""COMPUTED_VALUE"""),"KABINA PRYSZNICOWA PRZYŚCIENNA RAPID SLIDE 120x90")</f>
        <v>KABINA PRYSZNICOWA PRZYŚCIENNA RAPID SLIDE 120x90</v>
      </c>
      <c r="E2824" s="31">
        <v>463.85365853658539</v>
      </c>
      <c r="F2824" s="31">
        <f t="shared" si="44"/>
        <v>570.54</v>
      </c>
    </row>
    <row r="2825" spans="1:6" ht="18.75" customHeight="1" x14ac:dyDescent="0.25">
      <c r="A2825" s="2" t="str">
        <f ca="1">IFERROR(__xludf.DUMMYFUNCTION("""COMPUTED_VALUE"""),"KPL-09880")</f>
        <v>KPL-09880</v>
      </c>
      <c r="B2825" s="3">
        <f ca="1">IFERROR(__xludf.DUMMYFUNCTION("""COMPUTED_VALUE"""),33738)</f>
        <v>33738</v>
      </c>
      <c r="C2825" s="3">
        <f ca="1">IFERROR(__xludf.DUMMYFUNCTION("""COMPUTED_VALUE"""),5902557393893)</f>
        <v>5902557393893</v>
      </c>
      <c r="D2825" s="4" t="str">
        <f ca="1">IFERROR(__xludf.DUMMYFUNCTION("""COMPUTED_VALUE"""),"KABINA PRYSZNICOWA PRZYŚCIENNA RAPID SLIDE 120x80")</f>
        <v>KABINA PRYSZNICOWA PRZYŚCIENNA RAPID SLIDE 120x80</v>
      </c>
      <c r="E2825" s="31">
        <v>454.82926829268297</v>
      </c>
      <c r="F2825" s="31">
        <f t="shared" si="44"/>
        <v>559.44000000000005</v>
      </c>
    </row>
    <row r="2826" spans="1:6" ht="18.75" customHeight="1" x14ac:dyDescent="0.25">
      <c r="A2826" s="2" t="str">
        <f ca="1">IFERROR(__xludf.DUMMYFUNCTION("""COMPUTED_VALUE"""),"KPL-09879")</f>
        <v>KPL-09879</v>
      </c>
      <c r="B2826" s="3">
        <f ca="1">IFERROR(__xludf.DUMMYFUNCTION("""COMPUTED_VALUE"""),33737)</f>
        <v>33737</v>
      </c>
      <c r="C2826" s="3">
        <f ca="1">IFERROR(__xludf.DUMMYFUNCTION("""COMPUTED_VALUE"""),5902557393886)</f>
        <v>5902557393886</v>
      </c>
      <c r="D2826" s="4" t="str">
        <f ca="1">IFERROR(__xludf.DUMMYFUNCTION("""COMPUTED_VALUE"""),"KABINA PRYSZNICOWA PRZYŚCIENNA RAPID SLIDE 110x100")</f>
        <v>KABINA PRYSZNICOWA PRZYŚCIENNA RAPID SLIDE 110x100</v>
      </c>
      <c r="E2826" s="31">
        <v>470.17073170731709</v>
      </c>
      <c r="F2826" s="31">
        <f t="shared" si="44"/>
        <v>578.31000000000006</v>
      </c>
    </row>
    <row r="2827" spans="1:6" ht="18.75" customHeight="1" x14ac:dyDescent="0.25">
      <c r="A2827" s="2" t="str">
        <f ca="1">IFERROR(__xludf.DUMMYFUNCTION("""COMPUTED_VALUE"""),"KPL-09878")</f>
        <v>KPL-09878</v>
      </c>
      <c r="B2827" s="3">
        <f ca="1">IFERROR(__xludf.DUMMYFUNCTION("""COMPUTED_VALUE"""),33736)</f>
        <v>33736</v>
      </c>
      <c r="C2827" s="3">
        <f ca="1">IFERROR(__xludf.DUMMYFUNCTION("""COMPUTED_VALUE"""),5902557393879)</f>
        <v>5902557393879</v>
      </c>
      <c r="D2827" s="4" t="str">
        <f ca="1">IFERROR(__xludf.DUMMYFUNCTION("""COMPUTED_VALUE"""),"KABINA PRYSZNICOWA PRZYŚCIENNA RAPID SLIDE 110x90")</f>
        <v>KABINA PRYSZNICOWA PRZYŚCIENNA RAPID SLIDE 110x90</v>
      </c>
      <c r="E2827" s="31">
        <v>457.53658536585368</v>
      </c>
      <c r="F2827" s="31">
        <f t="shared" si="44"/>
        <v>562.77</v>
      </c>
    </row>
    <row r="2828" spans="1:6" ht="18.75" customHeight="1" x14ac:dyDescent="0.25">
      <c r="A2828" s="2" t="str">
        <f ca="1">IFERROR(__xludf.DUMMYFUNCTION("""COMPUTED_VALUE"""),"KPL-09877")</f>
        <v>KPL-09877</v>
      </c>
      <c r="B2828" s="3">
        <f ca="1">IFERROR(__xludf.DUMMYFUNCTION("""COMPUTED_VALUE"""),33735)</f>
        <v>33735</v>
      </c>
      <c r="C2828" s="3">
        <f ca="1">IFERROR(__xludf.DUMMYFUNCTION("""COMPUTED_VALUE"""),5902557393862)</f>
        <v>5902557393862</v>
      </c>
      <c r="D2828" s="4" t="str">
        <f ca="1">IFERROR(__xludf.DUMMYFUNCTION("""COMPUTED_VALUE"""),"KABINA PRYSZNICOWA PRZYŚCIENNA RAPID SLIDE 110x80")</f>
        <v>KABINA PRYSZNICOWA PRZYŚCIENNA RAPID SLIDE 110x80</v>
      </c>
      <c r="E2828" s="31">
        <v>448.51219512195127</v>
      </c>
      <c r="F2828" s="31">
        <f t="shared" si="44"/>
        <v>551.67000000000007</v>
      </c>
    </row>
    <row r="2829" spans="1:6" ht="18.75" customHeight="1" x14ac:dyDescent="0.25">
      <c r="A2829" s="2" t="str">
        <f ca="1">IFERROR(__xludf.DUMMYFUNCTION("""COMPUTED_VALUE"""),"KPL-09876")</f>
        <v>KPL-09876</v>
      </c>
      <c r="B2829" s="3">
        <f ca="1">IFERROR(__xludf.DUMMYFUNCTION("""COMPUTED_VALUE"""),33734)</f>
        <v>33734</v>
      </c>
      <c r="C2829" s="3">
        <f ca="1">IFERROR(__xludf.DUMMYFUNCTION("""COMPUTED_VALUE"""),5902557393855)</f>
        <v>5902557393855</v>
      </c>
      <c r="D2829" s="4" t="str">
        <f ca="1">IFERROR(__xludf.DUMMYFUNCTION("""COMPUTED_VALUE"""),"KABINA PRYSZNICOWA PRZYŚCIENNA RAPID SLIDE 100x100")</f>
        <v>KABINA PRYSZNICOWA PRZYŚCIENNA RAPID SLIDE 100x100</v>
      </c>
      <c r="E2829" s="31">
        <v>462.04878048780489</v>
      </c>
      <c r="F2829" s="31">
        <f t="shared" si="44"/>
        <v>568.32000000000005</v>
      </c>
    </row>
    <row r="2830" spans="1:6" ht="18.75" customHeight="1" x14ac:dyDescent="0.25">
      <c r="A2830" s="2" t="str">
        <f ca="1">IFERROR(__xludf.DUMMYFUNCTION("""COMPUTED_VALUE"""),"KPL-09875")</f>
        <v>KPL-09875</v>
      </c>
      <c r="B2830" s="3">
        <f ca="1">IFERROR(__xludf.DUMMYFUNCTION("""COMPUTED_VALUE"""),33733)</f>
        <v>33733</v>
      </c>
      <c r="C2830" s="3">
        <f ca="1">IFERROR(__xludf.DUMMYFUNCTION("""COMPUTED_VALUE"""),5902557393848)</f>
        <v>5902557393848</v>
      </c>
      <c r="D2830" s="4" t="str">
        <f ca="1">IFERROR(__xludf.DUMMYFUNCTION("""COMPUTED_VALUE"""),"KABINA PRYSZNICOWA PRZYŚCIENNA RAPID SLIDE 100x90")</f>
        <v>KABINA PRYSZNICOWA PRZYŚCIENNA RAPID SLIDE 100x90</v>
      </c>
      <c r="E2830" s="31">
        <v>449.41463414634148</v>
      </c>
      <c r="F2830" s="31">
        <f t="shared" si="44"/>
        <v>552.78</v>
      </c>
    </row>
    <row r="2831" spans="1:6" ht="18.75" customHeight="1" x14ac:dyDescent="0.25">
      <c r="A2831" s="2" t="str">
        <f ca="1">IFERROR(__xludf.DUMMYFUNCTION("""COMPUTED_VALUE"""),"KPL-09873")</f>
        <v>KPL-09873</v>
      </c>
      <c r="B2831" s="3">
        <f ca="1">IFERROR(__xludf.DUMMYFUNCTION("""COMPUTED_VALUE"""),33730)</f>
        <v>33730</v>
      </c>
      <c r="C2831" s="3">
        <f ca="1">IFERROR(__xludf.DUMMYFUNCTION("""COMPUTED_VALUE"""),5902557390199)</f>
        <v>5902557390199</v>
      </c>
      <c r="D2831" s="4" t="str">
        <f ca="1">IFERROR(__xludf.DUMMYFUNCTION("""COMPUTED_VALUE"""),"KABINA PRYSZNICOWA NAROŻNA RAPID SLIDE 160 x 100")</f>
        <v>KABINA PRYSZNICOWA NAROŻNA RAPID SLIDE 160 x 100</v>
      </c>
      <c r="E2831" s="31">
        <v>348.34146341463418</v>
      </c>
      <c r="F2831" s="31">
        <f t="shared" si="44"/>
        <v>428.46000000000004</v>
      </c>
    </row>
    <row r="2832" spans="1:6" ht="18.75" customHeight="1" x14ac:dyDescent="0.25">
      <c r="A2832" s="2" t="str">
        <f ca="1">IFERROR(__xludf.DUMMYFUNCTION("""COMPUTED_VALUE"""),"KPL-09853")</f>
        <v>KPL-09853</v>
      </c>
      <c r="B2832" s="3">
        <f ca="1">IFERROR(__xludf.DUMMYFUNCTION("""COMPUTED_VALUE"""),33729)</f>
        <v>33729</v>
      </c>
      <c r="C2832" s="3">
        <f ca="1">IFERROR(__xludf.DUMMYFUNCTION("""COMPUTED_VALUE"""),5902557389810)</f>
        <v>5902557389810</v>
      </c>
      <c r="D2832" s="4" t="str">
        <f ca="1">IFERROR(__xludf.DUMMYFUNCTION("""COMPUTED_VALUE"""),"KABINA PRYSZNICOWA NAROŻNA RAPID SLIDE 100 x 80")</f>
        <v>KABINA PRYSZNICOWA NAROŻNA RAPID SLIDE 100 x 80</v>
      </c>
      <c r="E2832" s="31">
        <v>295.09756097560978</v>
      </c>
      <c r="F2832" s="31">
        <f t="shared" si="44"/>
        <v>362.97</v>
      </c>
    </row>
    <row r="2833" spans="1:6" ht="18.75" customHeight="1" x14ac:dyDescent="0.25">
      <c r="A2833" s="2" t="str">
        <f ca="1">IFERROR(__xludf.DUMMYFUNCTION("""COMPUTED_VALUE"""),"KPL-09872")</f>
        <v>KPL-09872</v>
      </c>
      <c r="B2833" s="3">
        <f ca="1">IFERROR(__xludf.DUMMYFUNCTION("""COMPUTED_VALUE"""),33728)</f>
        <v>33728</v>
      </c>
      <c r="C2833" s="3">
        <f ca="1">IFERROR(__xludf.DUMMYFUNCTION("""COMPUTED_VALUE"""),5902557390182)</f>
        <v>5902557390182</v>
      </c>
      <c r="D2833" s="4" t="str">
        <f ca="1">IFERROR(__xludf.DUMMYFUNCTION("""COMPUTED_VALUE"""),"KABINA PRYSZNICOWA NAROŻNA RAPID SLIDE 160 x 90")</f>
        <v>KABINA PRYSZNICOWA NAROŻNA RAPID SLIDE 160 x 90</v>
      </c>
      <c r="E2833" s="31">
        <v>342.02439024390247</v>
      </c>
      <c r="F2833" s="31">
        <f t="shared" si="44"/>
        <v>420.69000000000005</v>
      </c>
    </row>
    <row r="2834" spans="1:6" ht="18.75" customHeight="1" x14ac:dyDescent="0.25">
      <c r="A2834" s="2" t="str">
        <f ca="1">IFERROR(__xludf.DUMMYFUNCTION("""COMPUTED_VALUE"""),"KPL-09871")</f>
        <v>KPL-09871</v>
      </c>
      <c r="B2834" s="3">
        <f ca="1">IFERROR(__xludf.DUMMYFUNCTION("""COMPUTED_VALUE"""),33727)</f>
        <v>33727</v>
      </c>
      <c r="C2834" s="3">
        <f ca="1">IFERROR(__xludf.DUMMYFUNCTION("""COMPUTED_VALUE"""),5902557390175)</f>
        <v>5902557390175</v>
      </c>
      <c r="D2834" s="4" t="str">
        <f ca="1">IFERROR(__xludf.DUMMYFUNCTION("""COMPUTED_VALUE"""),"KABINA PRYSZNICOWA NAROŻNA RAPID SLIDE 160 x 80")</f>
        <v>KABINA PRYSZNICOWA NAROŻNA RAPID SLIDE 160 x 80</v>
      </c>
      <c r="E2834" s="31">
        <v>337.51219512195127</v>
      </c>
      <c r="F2834" s="31">
        <f t="shared" si="44"/>
        <v>415.14000000000004</v>
      </c>
    </row>
    <row r="2835" spans="1:6" ht="18.75" customHeight="1" x14ac:dyDescent="0.25">
      <c r="A2835" s="2" t="str">
        <f ca="1">IFERROR(__xludf.DUMMYFUNCTION("""COMPUTED_VALUE"""),"KPL-09870")</f>
        <v>KPL-09870</v>
      </c>
      <c r="B2835" s="3">
        <f ca="1">IFERROR(__xludf.DUMMYFUNCTION("""COMPUTED_VALUE"""),33726)</f>
        <v>33726</v>
      </c>
      <c r="C2835" s="3">
        <f ca="1">IFERROR(__xludf.DUMMYFUNCTION("""COMPUTED_VALUE"""),5902557390168)</f>
        <v>5902557390168</v>
      </c>
      <c r="D2835" s="4" t="str">
        <f ca="1">IFERROR(__xludf.DUMMYFUNCTION("""COMPUTED_VALUE"""),"KABINA PRYSZNICOWA NAROŻNA RAPID SLIDE 150 x 100")</f>
        <v>KABINA PRYSZNICOWA NAROŻNA RAPID SLIDE 150 x 100</v>
      </c>
      <c r="E2835" s="31">
        <v>334.80487804878049</v>
      </c>
      <c r="F2835" s="31">
        <f t="shared" si="44"/>
        <v>411.81</v>
      </c>
    </row>
    <row r="2836" spans="1:6" ht="18.75" customHeight="1" x14ac:dyDescent="0.25">
      <c r="A2836" s="2" t="str">
        <f ca="1">IFERROR(__xludf.DUMMYFUNCTION("""COMPUTED_VALUE"""),"KPL-09869")</f>
        <v>KPL-09869</v>
      </c>
      <c r="B2836" s="3">
        <f ca="1">IFERROR(__xludf.DUMMYFUNCTION("""COMPUTED_VALUE"""),33725)</f>
        <v>33725</v>
      </c>
      <c r="C2836" s="3">
        <f ca="1">IFERROR(__xludf.DUMMYFUNCTION("""COMPUTED_VALUE"""),5902557390151)</f>
        <v>5902557390151</v>
      </c>
      <c r="D2836" s="4" t="str">
        <f ca="1">IFERROR(__xludf.DUMMYFUNCTION("""COMPUTED_VALUE"""),"KABINA PRYSZNICOWA NAROŻNA RAPID SLIDE 150 x 90")</f>
        <v>KABINA PRYSZNICOWA NAROŻNA RAPID SLIDE 150 x 90</v>
      </c>
      <c r="E2836" s="31">
        <v>328.48780487804879</v>
      </c>
      <c r="F2836" s="31">
        <f t="shared" si="44"/>
        <v>404.04</v>
      </c>
    </row>
    <row r="2837" spans="1:6" ht="18.75" customHeight="1" x14ac:dyDescent="0.25">
      <c r="A2837" s="2" t="str">
        <f ca="1">IFERROR(__xludf.DUMMYFUNCTION("""COMPUTED_VALUE"""),"KPL-09868")</f>
        <v>KPL-09868</v>
      </c>
      <c r="B2837" s="3">
        <f ca="1">IFERROR(__xludf.DUMMYFUNCTION("""COMPUTED_VALUE"""),33724)</f>
        <v>33724</v>
      </c>
      <c r="C2837" s="3">
        <f ca="1">IFERROR(__xludf.DUMMYFUNCTION("""COMPUTED_VALUE"""),5902557390144)</f>
        <v>5902557390144</v>
      </c>
      <c r="D2837" s="4" t="str">
        <f ca="1">IFERROR(__xludf.DUMMYFUNCTION("""COMPUTED_VALUE"""),"KABINA PRYSZNICOWA NAROŻNA RAPID SLIDE 150 x 80")</f>
        <v>KABINA PRYSZNICOWA NAROŻNA RAPID SLIDE 150 x 80</v>
      </c>
      <c r="E2837" s="31">
        <v>323.97560975609758</v>
      </c>
      <c r="F2837" s="31">
        <f t="shared" si="44"/>
        <v>398.49</v>
      </c>
    </row>
    <row r="2838" spans="1:6" ht="18.75" customHeight="1" x14ac:dyDescent="0.25">
      <c r="A2838" s="2" t="str">
        <f ca="1">IFERROR(__xludf.DUMMYFUNCTION("""COMPUTED_VALUE"""),"KPL-09867")</f>
        <v>KPL-09867</v>
      </c>
      <c r="B2838" s="3">
        <f ca="1">IFERROR(__xludf.DUMMYFUNCTION("""COMPUTED_VALUE"""),33723)</f>
        <v>33723</v>
      </c>
      <c r="C2838" s="3">
        <f ca="1">IFERROR(__xludf.DUMMYFUNCTION("""COMPUTED_VALUE"""),5902557390137)</f>
        <v>5902557390137</v>
      </c>
      <c r="D2838" s="4" t="str">
        <f ca="1">IFERROR(__xludf.DUMMYFUNCTION("""COMPUTED_VALUE"""),"KABINA PRYSZNICOWA NAROŻNA RAPID SLIDE 140 x 100")</f>
        <v>KABINA PRYSZNICOWA NAROŻNA RAPID SLIDE 140 x 100</v>
      </c>
      <c r="E2838" s="31">
        <v>333.00000000000006</v>
      </c>
      <c r="F2838" s="31">
        <f t="shared" si="44"/>
        <v>409.59000000000009</v>
      </c>
    </row>
    <row r="2839" spans="1:6" ht="18.75" customHeight="1" x14ac:dyDescent="0.25">
      <c r="A2839" s="2" t="str">
        <f ca="1">IFERROR(__xludf.DUMMYFUNCTION("""COMPUTED_VALUE"""),"KPL-09866")</f>
        <v>KPL-09866</v>
      </c>
      <c r="B2839" s="3">
        <f ca="1">IFERROR(__xludf.DUMMYFUNCTION("""COMPUTED_VALUE"""),33722)</f>
        <v>33722</v>
      </c>
      <c r="C2839" s="3">
        <f ca="1">IFERROR(__xludf.DUMMYFUNCTION("""COMPUTED_VALUE"""),5902557390120)</f>
        <v>5902557390120</v>
      </c>
      <c r="D2839" s="4" t="str">
        <f ca="1">IFERROR(__xludf.DUMMYFUNCTION("""COMPUTED_VALUE"""),"KABINA PRYSZNICOWA NAROŻNA RAPID SLIDE 140x90")</f>
        <v>KABINA PRYSZNICOWA NAROŻNA RAPID SLIDE 140x90</v>
      </c>
      <c r="E2839" s="31">
        <v>326.6829268292683</v>
      </c>
      <c r="F2839" s="31">
        <f t="shared" si="44"/>
        <v>401.82</v>
      </c>
    </row>
    <row r="2840" spans="1:6" ht="18.75" customHeight="1" x14ac:dyDescent="0.25">
      <c r="A2840" s="2" t="str">
        <f ca="1">IFERROR(__xludf.DUMMYFUNCTION("""COMPUTED_VALUE"""),"KPL-09865")</f>
        <v>KPL-09865</v>
      </c>
      <c r="B2840" s="3">
        <f ca="1">IFERROR(__xludf.DUMMYFUNCTION("""COMPUTED_VALUE"""),33721)</f>
        <v>33721</v>
      </c>
      <c r="C2840" s="3">
        <f ca="1">IFERROR(__xludf.DUMMYFUNCTION("""COMPUTED_VALUE"""),5902557390113)</f>
        <v>5902557390113</v>
      </c>
      <c r="D2840" s="4" t="str">
        <f ca="1">IFERROR(__xludf.DUMMYFUNCTION("""COMPUTED_VALUE"""),"KABINA PRYSZNICOWA NAROŻNA RAPID SLIDE 140 x 80")</f>
        <v>KABINA PRYSZNICOWA NAROŻNA RAPID SLIDE 140 x 80</v>
      </c>
      <c r="E2840" s="31">
        <v>322.17073170731709</v>
      </c>
      <c r="F2840" s="31">
        <f t="shared" si="44"/>
        <v>396.27000000000004</v>
      </c>
    </row>
    <row r="2841" spans="1:6" ht="18.75" customHeight="1" x14ac:dyDescent="0.25">
      <c r="A2841" s="2" t="str">
        <f ca="1">IFERROR(__xludf.DUMMYFUNCTION("""COMPUTED_VALUE"""),"KPL-09864")</f>
        <v>KPL-09864</v>
      </c>
      <c r="B2841" s="3">
        <f ca="1">IFERROR(__xludf.DUMMYFUNCTION("""COMPUTED_VALUE"""),33720)</f>
        <v>33720</v>
      </c>
      <c r="C2841" s="3">
        <f ca="1">IFERROR(__xludf.DUMMYFUNCTION("""COMPUTED_VALUE"""),5902557387311)</f>
        <v>5902557387311</v>
      </c>
      <c r="D2841" s="4" t="str">
        <f ca="1">IFERROR(__xludf.DUMMYFUNCTION("""COMPUTED_VALUE"""),"KABINA PRYSZNICOWA NAROŻNA RAPID SLIDE 130 x 100")</f>
        <v>KABINA PRYSZNICOWA NAROŻNA RAPID SLIDE 130 x 100</v>
      </c>
      <c r="E2841" s="31">
        <v>326.6829268292683</v>
      </c>
      <c r="F2841" s="31">
        <f t="shared" si="44"/>
        <v>401.82</v>
      </c>
    </row>
    <row r="2842" spans="1:6" ht="18.75" customHeight="1" x14ac:dyDescent="0.25">
      <c r="A2842" s="2" t="str">
        <f ca="1">IFERROR(__xludf.DUMMYFUNCTION("""COMPUTED_VALUE"""),"KPL-09863")</f>
        <v>KPL-09863</v>
      </c>
      <c r="B2842" s="3">
        <f ca="1">IFERROR(__xludf.DUMMYFUNCTION("""COMPUTED_VALUE"""),33719)</f>
        <v>33719</v>
      </c>
      <c r="C2842" s="3">
        <f ca="1">IFERROR(__xludf.DUMMYFUNCTION("""COMPUTED_VALUE"""),5902557387304)</f>
        <v>5902557387304</v>
      </c>
      <c r="D2842" s="4" t="str">
        <f ca="1">IFERROR(__xludf.DUMMYFUNCTION("""COMPUTED_VALUE"""),"KABINA PRYSZNICOWA NAROŻNA RAPID SLIDE 130 x 90")</f>
        <v>KABINA PRYSZNICOWA NAROŻNA RAPID SLIDE 130 x 90</v>
      </c>
      <c r="E2842" s="31">
        <v>320.36585365853659</v>
      </c>
      <c r="F2842" s="31">
        <f t="shared" si="44"/>
        <v>394.05</v>
      </c>
    </row>
    <row r="2843" spans="1:6" ht="18.75" customHeight="1" x14ac:dyDescent="0.25">
      <c r="A2843" s="2" t="str">
        <f ca="1">IFERROR(__xludf.DUMMYFUNCTION("""COMPUTED_VALUE"""),"KPL-09862")</f>
        <v>KPL-09862</v>
      </c>
      <c r="B2843" s="3">
        <f ca="1">IFERROR(__xludf.DUMMYFUNCTION("""COMPUTED_VALUE"""),33718)</f>
        <v>33718</v>
      </c>
      <c r="C2843" s="3">
        <f ca="1">IFERROR(__xludf.DUMMYFUNCTION("""COMPUTED_VALUE"""),5902557387298)</f>
        <v>5902557387298</v>
      </c>
      <c r="D2843" s="4" t="str">
        <f ca="1">IFERROR(__xludf.DUMMYFUNCTION("""COMPUTED_VALUE"""),"KABINA PRYSZNICOWA NAROŻNA RAPID SLIDE 130 X 80")</f>
        <v>KABINA PRYSZNICOWA NAROŻNA RAPID SLIDE 130 X 80</v>
      </c>
      <c r="E2843" s="31">
        <v>315.85365853658539</v>
      </c>
      <c r="F2843" s="31">
        <f t="shared" si="44"/>
        <v>388.5</v>
      </c>
    </row>
    <row r="2844" spans="1:6" ht="18.75" customHeight="1" x14ac:dyDescent="0.25">
      <c r="A2844" s="2" t="str">
        <f ca="1">IFERROR(__xludf.DUMMYFUNCTION("""COMPUTED_VALUE"""),"KPL-09861")</f>
        <v>KPL-09861</v>
      </c>
      <c r="B2844" s="3">
        <f ca="1">IFERROR(__xludf.DUMMYFUNCTION("""COMPUTED_VALUE"""),33717)</f>
        <v>33717</v>
      </c>
      <c r="C2844" s="3">
        <f ca="1">IFERROR(__xludf.DUMMYFUNCTION("""COMPUTED_VALUE"""),5902557390083)</f>
        <v>5902557390083</v>
      </c>
      <c r="D2844" s="4" t="str">
        <f ca="1">IFERROR(__xludf.DUMMYFUNCTION("""COMPUTED_VALUE"""),"KABINA PRYSZNICOWA NAROŻNA RAPID SLIDE 120 x 100")</f>
        <v>KABINA PRYSZNICOWA NAROŻNA RAPID SLIDE 120 x 100</v>
      </c>
      <c r="E2844" s="31">
        <v>320.36585365853659</v>
      </c>
      <c r="F2844" s="31">
        <f t="shared" si="44"/>
        <v>394.05</v>
      </c>
    </row>
    <row r="2845" spans="1:6" ht="18.75" customHeight="1" x14ac:dyDescent="0.25">
      <c r="A2845" s="2" t="str">
        <f ca="1">IFERROR(__xludf.DUMMYFUNCTION("""COMPUTED_VALUE"""),"KPL-09860")</f>
        <v>KPL-09860</v>
      </c>
      <c r="B2845" s="3">
        <f ca="1">IFERROR(__xludf.DUMMYFUNCTION("""COMPUTED_VALUE"""),33716)</f>
        <v>33716</v>
      </c>
      <c r="C2845" s="3">
        <f ca="1">IFERROR(__xludf.DUMMYFUNCTION("""COMPUTED_VALUE"""),5902557390076)</f>
        <v>5902557390076</v>
      </c>
      <c r="D2845" s="4" t="str">
        <f ca="1">IFERROR(__xludf.DUMMYFUNCTION("""COMPUTED_VALUE"""),"KABINA PRYSZNICOWA NAROŻNA RAPID SLIDE 120 x 90")</f>
        <v>KABINA PRYSZNICOWA NAROŻNA RAPID SLIDE 120 x 90</v>
      </c>
      <c r="E2845" s="31">
        <v>314.04878048780489</v>
      </c>
      <c r="F2845" s="31">
        <f t="shared" si="44"/>
        <v>386.28000000000003</v>
      </c>
    </row>
    <row r="2846" spans="1:6" ht="18.75" customHeight="1" x14ac:dyDescent="0.25">
      <c r="A2846" s="2" t="str">
        <f ca="1">IFERROR(__xludf.DUMMYFUNCTION("""COMPUTED_VALUE"""),"KPL-09859")</f>
        <v>KPL-09859</v>
      </c>
      <c r="B2846" s="3">
        <f ca="1">IFERROR(__xludf.DUMMYFUNCTION("""COMPUTED_VALUE"""),33715)</f>
        <v>33715</v>
      </c>
      <c r="C2846" s="3">
        <f ca="1">IFERROR(__xludf.DUMMYFUNCTION("""COMPUTED_VALUE"""),5902557390069)</f>
        <v>5902557390069</v>
      </c>
      <c r="D2846" s="4" t="str">
        <f ca="1">IFERROR(__xludf.DUMMYFUNCTION("""COMPUTED_VALUE"""),"KABINA PRYSZNICOWA NAROŻNA RAPID SLIDE 120 x 80")</f>
        <v>KABINA PRYSZNICOWA NAROŻNA RAPID SLIDE 120 x 80</v>
      </c>
      <c r="E2846" s="31">
        <v>309.53658536585368</v>
      </c>
      <c r="F2846" s="31">
        <f t="shared" si="44"/>
        <v>380.73</v>
      </c>
    </row>
    <row r="2847" spans="1:6" ht="18.75" customHeight="1" x14ac:dyDescent="0.25">
      <c r="A2847" s="2" t="str">
        <f ca="1">IFERROR(__xludf.DUMMYFUNCTION("""COMPUTED_VALUE"""),"KPL-09858")</f>
        <v>KPL-09858</v>
      </c>
      <c r="B2847" s="3">
        <f ca="1">IFERROR(__xludf.DUMMYFUNCTION("""COMPUTED_VALUE"""),33714)</f>
        <v>33714</v>
      </c>
      <c r="C2847" s="3">
        <f ca="1">IFERROR(__xludf.DUMMYFUNCTION("""COMPUTED_VALUE"""),5902557390052)</f>
        <v>5902557390052</v>
      </c>
      <c r="D2847" s="4" t="str">
        <f ca="1">IFERROR(__xludf.DUMMYFUNCTION("""COMPUTED_VALUE"""),"KABINA PRYSZNICOWA NAROŻNA RAPID SLIDE 110 x 100")</f>
        <v>KABINA PRYSZNICOWA NAROŻNA RAPID SLIDE 110 x 100</v>
      </c>
      <c r="E2847" s="31">
        <v>314.04878048780489</v>
      </c>
      <c r="F2847" s="31">
        <f t="shared" si="44"/>
        <v>386.28000000000003</v>
      </c>
    </row>
    <row r="2848" spans="1:6" ht="18.75" customHeight="1" x14ac:dyDescent="0.25">
      <c r="A2848" s="2" t="str">
        <f ca="1">IFERROR(__xludf.DUMMYFUNCTION("""COMPUTED_VALUE"""),"KPL-09857")</f>
        <v>KPL-09857</v>
      </c>
      <c r="B2848" s="3">
        <f ca="1">IFERROR(__xludf.DUMMYFUNCTION("""COMPUTED_VALUE"""),33713)</f>
        <v>33713</v>
      </c>
      <c r="C2848" s="3">
        <f ca="1">IFERROR(__xludf.DUMMYFUNCTION("""COMPUTED_VALUE"""),5902557390045)</f>
        <v>5902557390045</v>
      </c>
      <c r="D2848" s="4" t="str">
        <f ca="1">IFERROR(__xludf.DUMMYFUNCTION("""COMPUTED_VALUE"""),"KABINA PRYSZNICOWA NAROŻNA RAPID SLIDE 110 x 90")</f>
        <v>KABINA PRYSZNICOWA NAROŻNA RAPID SLIDE 110 x 90</v>
      </c>
      <c r="E2848" s="31">
        <v>307.73170731707319</v>
      </c>
      <c r="F2848" s="31">
        <f t="shared" si="44"/>
        <v>378.51</v>
      </c>
    </row>
    <row r="2849" spans="1:6" ht="18.75" customHeight="1" x14ac:dyDescent="0.25">
      <c r="A2849" s="2" t="str">
        <f ca="1">IFERROR(__xludf.DUMMYFUNCTION("""COMPUTED_VALUE"""),"KPL-09856")</f>
        <v>KPL-09856</v>
      </c>
      <c r="B2849" s="3">
        <f ca="1">IFERROR(__xludf.DUMMYFUNCTION("""COMPUTED_VALUE"""),33712)</f>
        <v>33712</v>
      </c>
      <c r="C2849" s="3">
        <f ca="1">IFERROR(__xludf.DUMMYFUNCTION("""COMPUTED_VALUE"""),5902557390038)</f>
        <v>5902557390038</v>
      </c>
      <c r="D2849" s="4" t="str">
        <f ca="1">IFERROR(__xludf.DUMMYFUNCTION("""COMPUTED_VALUE"""),"KABINA PRYSZNICOWA NAROŻNA RAPID SLIDE 110 x 80")</f>
        <v>KABINA PRYSZNICOWA NAROŻNA RAPID SLIDE 110 x 80</v>
      </c>
      <c r="E2849" s="31">
        <v>303.21951219512198</v>
      </c>
      <c r="F2849" s="31">
        <f t="shared" si="44"/>
        <v>372.96000000000004</v>
      </c>
    </row>
    <row r="2850" spans="1:6" ht="18.75" customHeight="1" x14ac:dyDescent="0.25">
      <c r="A2850" s="2" t="str">
        <f ca="1">IFERROR(__xludf.DUMMYFUNCTION("""COMPUTED_VALUE"""),"KPL-09855")</f>
        <v>KPL-09855</v>
      </c>
      <c r="B2850" s="3">
        <f ca="1">IFERROR(__xludf.DUMMYFUNCTION("""COMPUTED_VALUE"""),33711)</f>
        <v>33711</v>
      </c>
      <c r="C2850" s="3">
        <f ca="1">IFERROR(__xludf.DUMMYFUNCTION("""COMPUTED_VALUE"""),5902557389834)</f>
        <v>5902557389834</v>
      </c>
      <c r="D2850" s="4" t="str">
        <f ca="1">IFERROR(__xludf.DUMMYFUNCTION("""COMPUTED_VALUE"""),"KABINA PRYSZNICOWA NAROŻNA RAPID SLIDE 100 x 100")</f>
        <v>KABINA PRYSZNICOWA NAROŻNA RAPID SLIDE 100 x 100</v>
      </c>
      <c r="E2850" s="31">
        <v>305.92682926829275</v>
      </c>
      <c r="F2850" s="31">
        <f t="shared" si="44"/>
        <v>376.29000000000008</v>
      </c>
    </row>
    <row r="2851" spans="1:6" ht="18.75" customHeight="1" x14ac:dyDescent="0.25">
      <c r="A2851" s="2" t="str">
        <f ca="1">IFERROR(__xludf.DUMMYFUNCTION("""COMPUTED_VALUE"""),"KPL-09854")</f>
        <v>KPL-09854</v>
      </c>
      <c r="B2851" s="3">
        <f ca="1">IFERROR(__xludf.DUMMYFUNCTION("""COMPUTED_VALUE"""),33710)</f>
        <v>33710</v>
      </c>
      <c r="C2851" s="3">
        <f ca="1">IFERROR(__xludf.DUMMYFUNCTION("""COMPUTED_VALUE"""),5902557389827)</f>
        <v>5902557389827</v>
      </c>
      <c r="D2851" s="4" t="str">
        <f ca="1">IFERROR(__xludf.DUMMYFUNCTION("""COMPUTED_VALUE"""),"KABINA PRYSZNICOWA NAROŻNA RAPID SLIDE 100 x 90")</f>
        <v>KABINA PRYSZNICOWA NAROŻNA RAPID SLIDE 100 x 90</v>
      </c>
      <c r="E2851" s="31">
        <v>299.60975609756105</v>
      </c>
      <c r="F2851" s="31">
        <f t="shared" si="44"/>
        <v>368.5200000000001</v>
      </c>
    </row>
    <row r="2852" spans="1:6" ht="18.75" customHeight="1" x14ac:dyDescent="0.25">
      <c r="A2852" s="2" t="str">
        <f ca="1">IFERROR(__xludf.DUMMYFUNCTION("""COMPUTED_VALUE"""),"KPL-00438")</f>
        <v>KPL-00438</v>
      </c>
      <c r="B2852" s="3">
        <f ca="1">IFERROR(__xludf.DUMMYFUNCTION("""COMPUTED_VALUE"""),30761)</f>
        <v>30761</v>
      </c>
      <c r="C2852" s="3"/>
      <c r="D2852" s="4" t="str">
        <f ca="1">IFERROR(__xludf.DUMMYFUNCTION("""COMPUTED_VALUE"""),"KABINA PRYSZ. NIXON-2 100x150 PRAWA")</f>
        <v>KABINA PRYSZ. NIXON-2 100x150 PRAWA</v>
      </c>
      <c r="E2852" s="31">
        <v>468.36585365853659</v>
      </c>
      <c r="F2852" s="31">
        <f t="shared" si="44"/>
        <v>576.09</v>
      </c>
    </row>
    <row r="2853" spans="1:6" ht="18.75" customHeight="1" x14ac:dyDescent="0.25">
      <c r="A2853" s="2" t="str">
        <f ca="1">IFERROR(__xludf.DUMMYFUNCTION("""COMPUTED_VALUE"""),"KPL-00437")</f>
        <v>KPL-00437</v>
      </c>
      <c r="B2853" s="3">
        <f ca="1">IFERROR(__xludf.DUMMYFUNCTION("""COMPUTED_VALUE"""),30760)</f>
        <v>30760</v>
      </c>
      <c r="C2853" s="3"/>
      <c r="D2853" s="4" t="str">
        <f ca="1">IFERROR(__xludf.DUMMYFUNCTION("""COMPUTED_VALUE"""),"KABINA PRYSZ. NIXON-2 100x150 LEWA")</f>
        <v>KABINA PRYSZ. NIXON-2 100x150 LEWA</v>
      </c>
      <c r="E2853" s="31">
        <v>468.36585365853659</v>
      </c>
      <c r="F2853" s="31">
        <f t="shared" si="44"/>
        <v>576.09</v>
      </c>
    </row>
    <row r="2854" spans="1:6" ht="18.75" customHeight="1" x14ac:dyDescent="0.25">
      <c r="A2854" s="2" t="str">
        <f ca="1">IFERROR(__xludf.DUMMYFUNCTION("""COMPUTED_VALUE"""),"KPL-00672")</f>
        <v>KPL-00672</v>
      </c>
      <c r="B2854" s="3">
        <f ca="1">IFERROR(__xludf.DUMMYFUNCTION("""COMPUTED_VALUE"""),26727)</f>
        <v>26727</v>
      </c>
      <c r="C2854" s="3"/>
      <c r="D2854" s="4" t="str">
        <f ca="1">IFERROR(__xludf.DUMMYFUNCTION("""COMPUTED_VALUE"""),"ZESTAW WC + BIDET CARLO MINI RIML/DURO  BLACK MAT")</f>
        <v>ZESTAW WC + BIDET CARLO MINI RIML/DURO  BLACK MAT</v>
      </c>
      <c r="E2854" s="31">
        <v>345.63414634146346</v>
      </c>
      <c r="F2854" s="31">
        <f t="shared" si="44"/>
        <v>425.13000000000005</v>
      </c>
    </row>
    <row r="2855" spans="1:6" ht="18.75" customHeight="1" x14ac:dyDescent="0.25">
      <c r="A2855" s="2" t="str">
        <f ca="1">IFERROR(__xludf.DUMMYFUNCTION("""COMPUTED_VALUE"""),"KPL-00436")</f>
        <v>KPL-00436</v>
      </c>
      <c r="B2855" s="3">
        <f ca="1">IFERROR(__xludf.DUMMYFUNCTION("""COMPUTED_VALUE"""),26707)</f>
        <v>26707</v>
      </c>
      <c r="C2855" s="3"/>
      <c r="D2855" s="4" t="str">
        <f ca="1">IFERROR(__xludf.DUMMYFUNCTION("""COMPUTED_VALUE"""),"KABINA PRYSZ. NIXON-2 100x140 PRAWA")</f>
        <v>KABINA PRYSZ. NIXON-2 100x140 PRAWA</v>
      </c>
      <c r="E2855" s="31">
        <v>452.12195121951225</v>
      </c>
      <c r="F2855" s="31">
        <f t="shared" si="44"/>
        <v>556.11</v>
      </c>
    </row>
    <row r="2856" spans="1:6" ht="18.75" customHeight="1" x14ac:dyDescent="0.25">
      <c r="A2856" s="2" t="str">
        <f ca="1">IFERROR(__xludf.DUMMYFUNCTION("""COMPUTED_VALUE"""),"KPL-00435")</f>
        <v>KPL-00435</v>
      </c>
      <c r="B2856" s="3">
        <f ca="1">IFERROR(__xludf.DUMMYFUNCTION("""COMPUTED_VALUE"""),26706)</f>
        <v>26706</v>
      </c>
      <c r="C2856" s="3"/>
      <c r="D2856" s="4" t="str">
        <f ca="1">IFERROR(__xludf.DUMMYFUNCTION("""COMPUTED_VALUE"""),"KABINA PRYSZ. NIXON-2 100x140 LEWA")</f>
        <v>KABINA PRYSZ. NIXON-2 100x140 LEWA</v>
      </c>
      <c r="E2856" s="31">
        <v>452.12195121951225</v>
      </c>
      <c r="F2856" s="31">
        <f t="shared" si="44"/>
        <v>556.11</v>
      </c>
    </row>
    <row r="2857" spans="1:6" ht="18.75" customHeight="1" x14ac:dyDescent="0.25">
      <c r="A2857" s="2" t="str">
        <f ca="1">IFERROR(__xludf.DUMMYFUNCTION("""COMPUTED_VALUE"""),"KPL-00434")</f>
        <v>KPL-00434</v>
      </c>
      <c r="B2857" s="3">
        <f ca="1">IFERROR(__xludf.DUMMYFUNCTION("""COMPUTED_VALUE"""),26703)</f>
        <v>26703</v>
      </c>
      <c r="C2857" s="3"/>
      <c r="D2857" s="4" t="str">
        <f ca="1">IFERROR(__xludf.DUMMYFUNCTION("""COMPUTED_VALUE"""),"KABINA PRYSZ. NIXON-2 100x130 PRAWA")</f>
        <v>KABINA PRYSZ. NIXON-2 100x130 PRAWA</v>
      </c>
      <c r="E2857" s="31">
        <v>497.24390243902445</v>
      </c>
      <c r="F2857" s="31">
        <f t="shared" si="44"/>
        <v>611.61</v>
      </c>
    </row>
    <row r="2858" spans="1:6" ht="18.75" customHeight="1" x14ac:dyDescent="0.25">
      <c r="A2858" s="2" t="str">
        <f ca="1">IFERROR(__xludf.DUMMYFUNCTION("""COMPUTED_VALUE"""),"KPL-00433")</f>
        <v>KPL-00433</v>
      </c>
      <c r="B2858" s="3">
        <f ca="1">IFERROR(__xludf.DUMMYFUNCTION("""COMPUTED_VALUE"""),26702)</f>
        <v>26702</v>
      </c>
      <c r="C2858" s="3"/>
      <c r="D2858" s="4" t="str">
        <f ca="1">IFERROR(__xludf.DUMMYFUNCTION("""COMPUTED_VALUE"""),"KABINA PRYSZ. NIXON-2 100x130 LEWA")</f>
        <v>KABINA PRYSZ. NIXON-2 100x130 LEWA</v>
      </c>
      <c r="E2858" s="31">
        <v>497.24390243902445</v>
      </c>
      <c r="F2858" s="31">
        <f t="shared" si="44"/>
        <v>611.61</v>
      </c>
    </row>
    <row r="2859" spans="1:6" ht="18.75" customHeight="1" x14ac:dyDescent="0.25">
      <c r="A2859" s="2" t="str">
        <f ca="1">IFERROR(__xludf.DUMMYFUNCTION("""COMPUTED_VALUE"""),"KPL-00432")</f>
        <v>KPL-00432</v>
      </c>
      <c r="B2859" s="3">
        <f ca="1">IFERROR(__xludf.DUMMYFUNCTION("""COMPUTED_VALUE"""),26699)</f>
        <v>26699</v>
      </c>
      <c r="C2859" s="3"/>
      <c r="D2859" s="4" t="str">
        <f ca="1">IFERROR(__xludf.DUMMYFUNCTION("""COMPUTED_VALUE"""),"KABINA PRYSZ. NIXON-2 100x120 PRAWA")</f>
        <v>KABINA PRYSZ. NIXON-2 100x120 PRAWA</v>
      </c>
      <c r="E2859" s="31">
        <v>444.00000000000006</v>
      </c>
      <c r="F2859" s="31">
        <f t="shared" si="44"/>
        <v>546.12000000000012</v>
      </c>
    </row>
    <row r="2860" spans="1:6" ht="18.75" customHeight="1" x14ac:dyDescent="0.25">
      <c r="A2860" s="2" t="str">
        <f ca="1">IFERROR(__xludf.DUMMYFUNCTION("""COMPUTED_VALUE"""),"KPL-00431")</f>
        <v>KPL-00431</v>
      </c>
      <c r="B2860" s="3">
        <f ca="1">IFERROR(__xludf.DUMMYFUNCTION("""COMPUTED_VALUE"""),26698)</f>
        <v>26698</v>
      </c>
      <c r="C2860" s="3"/>
      <c r="D2860" s="4" t="str">
        <f ca="1">IFERROR(__xludf.DUMMYFUNCTION("""COMPUTED_VALUE"""),"KABINA PRYSZ. NIXON-2 100x120 LEWA")</f>
        <v>KABINA PRYSZ. NIXON-2 100x120 LEWA</v>
      </c>
      <c r="E2860" s="31">
        <v>444.00000000000006</v>
      </c>
      <c r="F2860" s="31">
        <f t="shared" si="44"/>
        <v>546.12000000000012</v>
      </c>
    </row>
    <row r="2861" spans="1:6" ht="18.75" customHeight="1" x14ac:dyDescent="0.25">
      <c r="A2861" s="2" t="str">
        <f ca="1">IFERROR(__xludf.DUMMYFUNCTION("""COMPUTED_VALUE"""),"KPL-00428")</f>
        <v>KPL-00428</v>
      </c>
      <c r="B2861" s="3">
        <f ca="1">IFERROR(__xludf.DUMMYFUNCTION("""COMPUTED_VALUE"""),26691)</f>
        <v>26691</v>
      </c>
      <c r="C2861" s="3"/>
      <c r="D2861" s="4" t="str">
        <f ca="1">IFERROR(__xludf.DUMMYFUNCTION("""COMPUTED_VALUE"""),"KABINA PRYSZ. NIXON-2 100x100 PRAWA")</f>
        <v>KABINA PRYSZ. NIXON-2 100x100 PRAWA</v>
      </c>
      <c r="E2861" s="31">
        <v>468.36585365853659</v>
      </c>
      <c r="F2861" s="31">
        <f t="shared" si="44"/>
        <v>576.09</v>
      </c>
    </row>
    <row r="2862" spans="1:6" ht="18.75" customHeight="1" x14ac:dyDescent="0.25">
      <c r="A2862" s="2" t="str">
        <f ca="1">IFERROR(__xludf.DUMMYFUNCTION("""COMPUTED_VALUE"""),"KPL-00427")</f>
        <v>KPL-00427</v>
      </c>
      <c r="B2862" s="3">
        <f ca="1">IFERROR(__xludf.DUMMYFUNCTION("""COMPUTED_VALUE"""),26690)</f>
        <v>26690</v>
      </c>
      <c r="C2862" s="3"/>
      <c r="D2862" s="4" t="str">
        <f ca="1">IFERROR(__xludf.DUMMYFUNCTION("""COMPUTED_VALUE"""),"KABINA PRYSZ. NIXON-2 100x100 LEWA")</f>
        <v>KABINA PRYSZ. NIXON-2 100x100 LEWA</v>
      </c>
      <c r="E2862" s="31">
        <v>468.36585365853659</v>
      </c>
      <c r="F2862" s="31">
        <f t="shared" si="44"/>
        <v>576.09</v>
      </c>
    </row>
    <row r="2863" spans="1:6" ht="18.75" customHeight="1" x14ac:dyDescent="0.25">
      <c r="A2863" s="2" t="str">
        <f ca="1">IFERROR(__xludf.DUMMYFUNCTION("""COMPUTED_VALUE"""),"KPL-00426")</f>
        <v>KPL-00426</v>
      </c>
      <c r="B2863" s="3">
        <f ca="1">IFERROR(__xludf.DUMMYFUNCTION("""COMPUTED_VALUE"""),26688)</f>
        <v>26688</v>
      </c>
      <c r="C2863" s="3"/>
      <c r="D2863" s="4" t="str">
        <f ca="1">IFERROR(__xludf.DUMMYFUNCTION("""COMPUTED_VALUE"""),"KABINA PRYSZ. NIXON-2 90x150 PRAWA")</f>
        <v>KABINA PRYSZ. NIXON-2 90x150 PRAWA</v>
      </c>
      <c r="E2863" s="31">
        <v>421.43902439024396</v>
      </c>
      <c r="F2863" s="31">
        <f t="shared" si="44"/>
        <v>518.37</v>
      </c>
    </row>
    <row r="2864" spans="1:6" ht="18.75" customHeight="1" x14ac:dyDescent="0.25">
      <c r="A2864" s="2" t="str">
        <f ca="1">IFERROR(__xludf.DUMMYFUNCTION("""COMPUTED_VALUE"""),"KPL-00425")</f>
        <v>KPL-00425</v>
      </c>
      <c r="B2864" s="3">
        <f ca="1">IFERROR(__xludf.DUMMYFUNCTION("""COMPUTED_VALUE"""),26687)</f>
        <v>26687</v>
      </c>
      <c r="C2864" s="3"/>
      <c r="D2864" s="4" t="str">
        <f ca="1">IFERROR(__xludf.DUMMYFUNCTION("""COMPUTED_VALUE"""),"KABINA PRYSZ. NIXON-2 90x150 LEWA")</f>
        <v>KABINA PRYSZ. NIXON-2 90x150 LEWA</v>
      </c>
      <c r="E2864" s="31">
        <v>421.43902439024396</v>
      </c>
      <c r="F2864" s="31">
        <f t="shared" si="44"/>
        <v>518.37</v>
      </c>
    </row>
    <row r="2865" spans="1:6" ht="18.75" customHeight="1" x14ac:dyDescent="0.25">
      <c r="A2865" s="2" t="str">
        <f ca="1">IFERROR(__xludf.DUMMYFUNCTION("""COMPUTED_VALUE"""),"KPL-00424")</f>
        <v>KPL-00424</v>
      </c>
      <c r="B2865" s="3">
        <f ca="1">IFERROR(__xludf.DUMMYFUNCTION("""COMPUTED_VALUE"""),25201)</f>
        <v>25201</v>
      </c>
      <c r="C2865" s="3"/>
      <c r="D2865" s="4" t="str">
        <f ca="1">IFERROR(__xludf.DUMMYFUNCTION("""COMPUTED_VALUE"""),"KABINA PRYSZ. NIXON-2 90x140 PRAWA")</f>
        <v>KABINA PRYSZ. NIXON-2 90x140 PRAWA</v>
      </c>
      <c r="E2865" s="31">
        <v>405.19512195121956</v>
      </c>
      <c r="F2865" s="31">
        <f t="shared" si="44"/>
        <v>498.39000000000004</v>
      </c>
    </row>
    <row r="2866" spans="1:6" ht="18.75" customHeight="1" x14ac:dyDescent="0.25">
      <c r="A2866" s="2" t="str">
        <f ca="1">IFERROR(__xludf.DUMMYFUNCTION("""COMPUTED_VALUE"""),"KPL-00423")</f>
        <v>KPL-00423</v>
      </c>
      <c r="B2866" s="3">
        <f ca="1">IFERROR(__xludf.DUMMYFUNCTION("""COMPUTED_VALUE"""),25200)</f>
        <v>25200</v>
      </c>
      <c r="C2866" s="3"/>
      <c r="D2866" s="4" t="str">
        <f ca="1">IFERROR(__xludf.DUMMYFUNCTION("""COMPUTED_VALUE"""),"KABINA PRYSZ. NIXON-2 90x140 LEWA")</f>
        <v>KABINA PRYSZ. NIXON-2 90x140 LEWA</v>
      </c>
      <c r="E2866" s="31">
        <v>405.19512195121956</v>
      </c>
      <c r="F2866" s="31">
        <f t="shared" si="44"/>
        <v>498.39000000000004</v>
      </c>
    </row>
    <row r="2867" spans="1:6" ht="18.75" customHeight="1" x14ac:dyDescent="0.25">
      <c r="A2867" s="2" t="str">
        <f ca="1">IFERROR(__xludf.DUMMYFUNCTION("""COMPUTED_VALUE"""),"KPL-00422")</f>
        <v>KPL-00422</v>
      </c>
      <c r="B2867" s="3">
        <f ca="1">IFERROR(__xludf.DUMMYFUNCTION("""COMPUTED_VALUE"""),25197)</f>
        <v>25197</v>
      </c>
      <c r="C2867" s="3"/>
      <c r="D2867" s="4" t="str">
        <f ca="1">IFERROR(__xludf.DUMMYFUNCTION("""COMPUTED_VALUE"""),"KABINA PRYSZ. NIXON-2 90x130 PRAWA")</f>
        <v>KABINA PRYSZ. NIXON-2 90x130 PRAWA</v>
      </c>
      <c r="E2867" s="31">
        <v>450.31707317073176</v>
      </c>
      <c r="F2867" s="31">
        <f t="shared" si="44"/>
        <v>553.8900000000001</v>
      </c>
    </row>
    <row r="2868" spans="1:6" ht="18.75" customHeight="1" x14ac:dyDescent="0.25">
      <c r="A2868" s="2" t="str">
        <f ca="1">IFERROR(__xludf.DUMMYFUNCTION("""COMPUTED_VALUE"""),"KPL-00421")</f>
        <v>KPL-00421</v>
      </c>
      <c r="B2868" s="3">
        <f ca="1">IFERROR(__xludf.DUMMYFUNCTION("""COMPUTED_VALUE"""),25196)</f>
        <v>25196</v>
      </c>
      <c r="C2868" s="3"/>
      <c r="D2868" s="4" t="str">
        <f ca="1">IFERROR(__xludf.DUMMYFUNCTION("""COMPUTED_VALUE"""),"KABINA PRYSZ. NIXON-2 90x130 LEWA")</f>
        <v>KABINA PRYSZ. NIXON-2 90x130 LEWA</v>
      </c>
      <c r="E2868" s="31">
        <v>450.31707317073176</v>
      </c>
      <c r="F2868" s="31">
        <f t="shared" si="44"/>
        <v>553.8900000000001</v>
      </c>
    </row>
    <row r="2869" spans="1:6" ht="18.75" customHeight="1" x14ac:dyDescent="0.25">
      <c r="A2869" s="2" t="str">
        <f ca="1">IFERROR(__xludf.DUMMYFUNCTION("""COMPUTED_VALUE"""),"KPL-00420")</f>
        <v>KPL-00420</v>
      </c>
      <c r="B2869" s="3">
        <f ca="1">IFERROR(__xludf.DUMMYFUNCTION("""COMPUTED_VALUE"""),25193)</f>
        <v>25193</v>
      </c>
      <c r="C2869" s="3"/>
      <c r="D2869" s="4" t="str">
        <f ca="1">IFERROR(__xludf.DUMMYFUNCTION("""COMPUTED_VALUE"""),"KABINA PRYSZ. NIXON-2 90x120 PRAWA")</f>
        <v>KABINA PRYSZ. NIXON-2 90x120 PRAWA</v>
      </c>
      <c r="E2869" s="31">
        <v>397.07317073170736</v>
      </c>
      <c r="F2869" s="31">
        <f t="shared" si="44"/>
        <v>488.40000000000003</v>
      </c>
    </row>
    <row r="2870" spans="1:6" ht="18.75" customHeight="1" x14ac:dyDescent="0.25">
      <c r="A2870" s="2" t="str">
        <f ca="1">IFERROR(__xludf.DUMMYFUNCTION("""COMPUTED_VALUE"""),"KPL-00419")</f>
        <v>KPL-00419</v>
      </c>
      <c r="B2870" s="3">
        <f ca="1">IFERROR(__xludf.DUMMYFUNCTION("""COMPUTED_VALUE"""),25192)</f>
        <v>25192</v>
      </c>
      <c r="C2870" s="3"/>
      <c r="D2870" s="4" t="str">
        <f ca="1">IFERROR(__xludf.DUMMYFUNCTION("""COMPUTED_VALUE"""),"KABINA PRYSZ. NIXON-2 90x120 LEWA")</f>
        <v>KABINA PRYSZ. NIXON-2 90x120 LEWA</v>
      </c>
      <c r="E2870" s="31">
        <v>397.07317073170736</v>
      </c>
      <c r="F2870" s="31">
        <f t="shared" si="44"/>
        <v>488.40000000000003</v>
      </c>
    </row>
    <row r="2871" spans="1:6" ht="18.75" customHeight="1" x14ac:dyDescent="0.25">
      <c r="A2871" s="2" t="str">
        <f ca="1">IFERROR(__xludf.DUMMYFUNCTION("""COMPUTED_VALUE"""),"KPL-00416")</f>
        <v>KPL-00416</v>
      </c>
      <c r="B2871" s="3">
        <f ca="1">IFERROR(__xludf.DUMMYFUNCTION("""COMPUTED_VALUE"""),25185)</f>
        <v>25185</v>
      </c>
      <c r="C2871" s="3"/>
      <c r="D2871" s="4" t="str">
        <f ca="1">IFERROR(__xludf.DUMMYFUNCTION("""COMPUTED_VALUE"""),"KABINA PRYSZ. NIXON-2 90x100 PRAWA")</f>
        <v>KABINA PRYSZ. NIXON-2 90x100 PRAWA</v>
      </c>
      <c r="E2871" s="31">
        <v>421.43902439024396</v>
      </c>
      <c r="F2871" s="31">
        <f t="shared" si="44"/>
        <v>518.37</v>
      </c>
    </row>
    <row r="2872" spans="1:6" ht="18.75" customHeight="1" x14ac:dyDescent="0.25">
      <c r="A2872" s="2" t="str">
        <f ca="1">IFERROR(__xludf.DUMMYFUNCTION("""COMPUTED_VALUE"""),"KPL-00415")</f>
        <v>KPL-00415</v>
      </c>
      <c r="B2872" s="3">
        <f ca="1">IFERROR(__xludf.DUMMYFUNCTION("""COMPUTED_VALUE"""),25184)</f>
        <v>25184</v>
      </c>
      <c r="C2872" s="3"/>
      <c r="D2872" s="4" t="str">
        <f ca="1">IFERROR(__xludf.DUMMYFUNCTION("""COMPUTED_VALUE"""),"KABINA PRYSZ. NIXON-2 90x100 LEWA")</f>
        <v>KABINA PRYSZ. NIXON-2 90x100 LEWA</v>
      </c>
      <c r="E2872" s="31">
        <v>421.43902439024396</v>
      </c>
      <c r="F2872" s="31">
        <f t="shared" si="44"/>
        <v>518.37</v>
      </c>
    </row>
    <row r="2873" spans="1:6" ht="18.75" customHeight="1" x14ac:dyDescent="0.25">
      <c r="A2873" s="2" t="str">
        <f ca="1">IFERROR(__xludf.DUMMYFUNCTION("""COMPUTED_VALUE"""),"KPL-00414")</f>
        <v>KPL-00414</v>
      </c>
      <c r="B2873" s="3">
        <f ca="1">IFERROR(__xludf.DUMMYFUNCTION("""COMPUTED_VALUE"""),25181)</f>
        <v>25181</v>
      </c>
      <c r="C2873" s="3">
        <f ca="1">IFERROR(__xludf.DUMMYFUNCTION("""COMPUTED_VALUE"""),5902557395859)</f>
        <v>5902557395859</v>
      </c>
      <c r="D2873" s="4" t="str">
        <f ca="1">IFERROR(__xludf.DUMMYFUNCTION("""COMPUTED_VALUE"""),"KABINA PRYSZ. NIXON-2 80x150 PRAWA")</f>
        <v>KABINA PRYSZ. NIXON-2 80x150 PRAWA</v>
      </c>
      <c r="E2873" s="31">
        <v>406.09756097560984</v>
      </c>
      <c r="F2873" s="31">
        <f t="shared" si="44"/>
        <v>499.50000000000011</v>
      </c>
    </row>
    <row r="2874" spans="1:6" ht="18.75" customHeight="1" x14ac:dyDescent="0.25">
      <c r="A2874" s="2" t="str">
        <f ca="1">IFERROR(__xludf.DUMMYFUNCTION("""COMPUTED_VALUE"""),"KPL-00413")</f>
        <v>KPL-00413</v>
      </c>
      <c r="B2874" s="3">
        <f ca="1">IFERROR(__xludf.DUMMYFUNCTION("""COMPUTED_VALUE"""),25180)</f>
        <v>25180</v>
      </c>
      <c r="C2874" s="3">
        <f ca="1">IFERROR(__xludf.DUMMYFUNCTION("""COMPUTED_VALUE"""),5902557395866)</f>
        <v>5902557395866</v>
      </c>
      <c r="D2874" s="4" t="str">
        <f ca="1">IFERROR(__xludf.DUMMYFUNCTION("""COMPUTED_VALUE"""),"KABINA PRYSZ. NIXON-2 80x150 LEWA")</f>
        <v>KABINA PRYSZ. NIXON-2 80x150 LEWA</v>
      </c>
      <c r="E2874" s="31">
        <v>406.09756097560984</v>
      </c>
      <c r="F2874" s="31">
        <f t="shared" si="44"/>
        <v>499.50000000000011</v>
      </c>
    </row>
    <row r="2875" spans="1:6" ht="18.75" customHeight="1" x14ac:dyDescent="0.25">
      <c r="A2875" s="2" t="str">
        <f ca="1">IFERROR(__xludf.DUMMYFUNCTION("""COMPUTED_VALUE"""),"KPL-00412")</f>
        <v>KPL-00412</v>
      </c>
      <c r="B2875" s="3">
        <f ca="1">IFERROR(__xludf.DUMMYFUNCTION("""COMPUTED_VALUE"""),25177)</f>
        <v>25177</v>
      </c>
      <c r="C2875" s="3">
        <f ca="1">IFERROR(__xludf.DUMMYFUNCTION("""COMPUTED_VALUE"""),5902557395842)</f>
        <v>5902557395842</v>
      </c>
      <c r="D2875" s="4" t="str">
        <f ca="1">IFERROR(__xludf.DUMMYFUNCTION("""COMPUTED_VALUE"""),"KABINA PRYSZ. NIXON-2 80x140 PRAWA")</f>
        <v>KABINA PRYSZ. NIXON-2 80x140 PRAWA</v>
      </c>
      <c r="E2875" s="31">
        <v>389.85365853658544</v>
      </c>
      <c r="F2875" s="31">
        <f t="shared" si="44"/>
        <v>479.5200000000001</v>
      </c>
    </row>
    <row r="2876" spans="1:6" ht="18.75" customHeight="1" x14ac:dyDescent="0.25">
      <c r="A2876" s="2" t="str">
        <f ca="1">IFERROR(__xludf.DUMMYFUNCTION("""COMPUTED_VALUE"""),"KPL-00411")</f>
        <v>KPL-00411</v>
      </c>
      <c r="B2876" s="3">
        <f ca="1">IFERROR(__xludf.DUMMYFUNCTION("""COMPUTED_VALUE"""),25176)</f>
        <v>25176</v>
      </c>
      <c r="C2876" s="3">
        <f ca="1">IFERROR(__xludf.DUMMYFUNCTION("""COMPUTED_VALUE"""),5902557395835)</f>
        <v>5902557395835</v>
      </c>
      <c r="D2876" s="4" t="str">
        <f ca="1">IFERROR(__xludf.DUMMYFUNCTION("""COMPUTED_VALUE"""),"KABINA PRYSZ. NIXON-2 80x140 LEWA")</f>
        <v>KABINA PRYSZ. NIXON-2 80x140 LEWA</v>
      </c>
      <c r="E2876" s="31">
        <v>389.85365853658544</v>
      </c>
      <c r="F2876" s="31">
        <f t="shared" si="44"/>
        <v>479.5200000000001</v>
      </c>
    </row>
    <row r="2877" spans="1:6" ht="18.75" customHeight="1" x14ac:dyDescent="0.25">
      <c r="A2877" s="2" t="str">
        <f ca="1">IFERROR(__xludf.DUMMYFUNCTION("""COMPUTED_VALUE"""),"KPL-00410")</f>
        <v>KPL-00410</v>
      </c>
      <c r="B2877" s="3">
        <f ca="1">IFERROR(__xludf.DUMMYFUNCTION("""COMPUTED_VALUE"""),25173)</f>
        <v>25173</v>
      </c>
      <c r="C2877" s="3">
        <f ca="1">IFERROR(__xludf.DUMMYFUNCTION("""COMPUTED_VALUE"""),5902557395828)</f>
        <v>5902557395828</v>
      </c>
      <c r="D2877" s="4" t="str">
        <f ca="1">IFERROR(__xludf.DUMMYFUNCTION("""COMPUTED_VALUE"""),"KABINA PRYSZ. NIXON-2 80x130 PRAWA")</f>
        <v>KABINA PRYSZ. NIXON-2 80x130 PRAWA</v>
      </c>
      <c r="E2877" s="31">
        <v>434.97560975609758</v>
      </c>
      <c r="F2877" s="31">
        <f t="shared" si="44"/>
        <v>535.02</v>
      </c>
    </row>
    <row r="2878" spans="1:6" ht="18.75" customHeight="1" x14ac:dyDescent="0.25">
      <c r="A2878" s="2" t="str">
        <f ca="1">IFERROR(__xludf.DUMMYFUNCTION("""COMPUTED_VALUE"""),"KPL-00409")</f>
        <v>KPL-00409</v>
      </c>
      <c r="B2878" s="3">
        <f ca="1">IFERROR(__xludf.DUMMYFUNCTION("""COMPUTED_VALUE"""),25172)</f>
        <v>25172</v>
      </c>
      <c r="C2878" s="3">
        <f ca="1">IFERROR(__xludf.DUMMYFUNCTION("""COMPUTED_VALUE"""),5902557395811)</f>
        <v>5902557395811</v>
      </c>
      <c r="D2878" s="4" t="str">
        <f ca="1">IFERROR(__xludf.DUMMYFUNCTION("""COMPUTED_VALUE"""),"KABINA PRYSZ. NIXON-2 80x130 LEWA")</f>
        <v>KABINA PRYSZ. NIXON-2 80x130 LEWA</v>
      </c>
      <c r="E2878" s="31">
        <v>434.97560975609758</v>
      </c>
      <c r="F2878" s="31">
        <f t="shared" si="44"/>
        <v>535.02</v>
      </c>
    </row>
    <row r="2879" spans="1:6" ht="18.75" customHeight="1" x14ac:dyDescent="0.25">
      <c r="A2879" s="2" t="str">
        <f ca="1">IFERROR(__xludf.DUMMYFUNCTION("""COMPUTED_VALUE"""),"KPL-00408")</f>
        <v>KPL-00408</v>
      </c>
      <c r="B2879" s="3">
        <f ca="1">IFERROR(__xludf.DUMMYFUNCTION("""COMPUTED_VALUE"""),25169)</f>
        <v>25169</v>
      </c>
      <c r="C2879" s="3"/>
      <c r="D2879" s="4" t="str">
        <f ca="1">IFERROR(__xludf.DUMMYFUNCTION("""COMPUTED_VALUE"""),"KABINA PRYSZ. NIXON-2 80x120 PRAWA")</f>
        <v>KABINA PRYSZ. NIXON-2 80x120 PRAWA</v>
      </c>
      <c r="E2879" s="31">
        <v>381.73170731707324</v>
      </c>
      <c r="F2879" s="31">
        <f t="shared" si="44"/>
        <v>469.53000000000009</v>
      </c>
    </row>
    <row r="2880" spans="1:6" ht="18.75" customHeight="1" x14ac:dyDescent="0.25">
      <c r="A2880" s="2" t="str">
        <f ca="1">IFERROR(__xludf.DUMMYFUNCTION("""COMPUTED_VALUE"""),"KPL-00407")</f>
        <v>KPL-00407</v>
      </c>
      <c r="B2880" s="3">
        <f ca="1">IFERROR(__xludf.DUMMYFUNCTION("""COMPUTED_VALUE"""),25168)</f>
        <v>25168</v>
      </c>
      <c r="C2880" s="3"/>
      <c r="D2880" s="4" t="str">
        <f ca="1">IFERROR(__xludf.DUMMYFUNCTION("""COMPUTED_VALUE"""),"KABINA PRYSZ. NIXON-2 80x120 LEWA")</f>
        <v>KABINA PRYSZ. NIXON-2 80x120 LEWA</v>
      </c>
      <c r="E2880" s="31">
        <v>381.73170731707324</v>
      </c>
      <c r="F2880" s="31">
        <f t="shared" si="44"/>
        <v>469.53000000000009</v>
      </c>
    </row>
    <row r="2881" spans="1:6" ht="18.75" customHeight="1" x14ac:dyDescent="0.25">
      <c r="A2881" s="2" t="str">
        <f ca="1">IFERROR(__xludf.DUMMYFUNCTION("""COMPUTED_VALUE"""),"KPL-00404")</f>
        <v>KPL-00404</v>
      </c>
      <c r="B2881" s="3">
        <f ca="1">IFERROR(__xludf.DUMMYFUNCTION("""COMPUTED_VALUE"""),25161)</f>
        <v>25161</v>
      </c>
      <c r="C2881" s="3"/>
      <c r="D2881" s="4" t="str">
        <f ca="1">IFERROR(__xludf.DUMMYFUNCTION("""COMPUTED_VALUE"""),"KABINA PRYSZ. NIXON-2 80x100 PRAWA")</f>
        <v>KABINA PRYSZ. NIXON-2 80x100 PRAWA</v>
      </c>
      <c r="E2881" s="31">
        <v>406.09756097560984</v>
      </c>
      <c r="F2881" s="31">
        <f t="shared" ref="F2881:F2944" si="45">E2881*1.23</f>
        <v>499.50000000000011</v>
      </c>
    </row>
    <row r="2882" spans="1:6" ht="18.75" customHeight="1" x14ac:dyDescent="0.25">
      <c r="A2882" s="2" t="str">
        <f ca="1">IFERROR(__xludf.DUMMYFUNCTION("""COMPUTED_VALUE"""),"KPL-00403")</f>
        <v>KPL-00403</v>
      </c>
      <c r="B2882" s="3">
        <f ca="1">IFERROR(__xludf.DUMMYFUNCTION("""COMPUTED_VALUE"""),25160)</f>
        <v>25160</v>
      </c>
      <c r="C2882" s="3"/>
      <c r="D2882" s="4" t="str">
        <f ca="1">IFERROR(__xludf.DUMMYFUNCTION("""COMPUTED_VALUE"""),"KABINA PRYSZ. NIXON-2 80x100 LEWA")</f>
        <v>KABINA PRYSZ. NIXON-2 80x100 LEWA</v>
      </c>
      <c r="E2882" s="31">
        <v>406.09756097560984</v>
      </c>
      <c r="F2882" s="31">
        <f t="shared" si="45"/>
        <v>499.50000000000011</v>
      </c>
    </row>
    <row r="2883" spans="1:6" ht="18.75" customHeight="1" x14ac:dyDescent="0.25">
      <c r="A2883" s="2" t="str">
        <f ca="1">IFERROR(__xludf.DUMMYFUNCTION("""COMPUTED_VALUE"""),"KPL-07462")</f>
        <v>KPL-07462</v>
      </c>
      <c r="B2883" s="3">
        <f ca="1">IFERROR(__xludf.DUMMYFUNCTION("""COMPUTED_VALUE"""),24502)</f>
        <v>24502</v>
      </c>
      <c r="C2883" s="3">
        <f ca="1">IFERROR(__xludf.DUMMYFUNCTION("""COMPUTED_VALUE"""),5902557399123)</f>
        <v>5902557399123</v>
      </c>
      <c r="D2883" s="4" t="str">
        <f ca="1">IFERROR(__xludf.DUMMYFUNCTION("""COMPUTED_VALUE"""),"KABINA PRYSZNICOWA SKŁADANA FOLD N2 120x120")</f>
        <v>KABINA PRYSZNICOWA SKŁADANA FOLD N2 120x120</v>
      </c>
      <c r="E2883" s="31">
        <v>391.65853658536594</v>
      </c>
      <c r="F2883" s="31">
        <f t="shared" si="45"/>
        <v>481.74000000000012</v>
      </c>
    </row>
    <row r="2884" spans="1:6" ht="18.75" customHeight="1" x14ac:dyDescent="0.25">
      <c r="A2884" s="2" t="str">
        <f ca="1">IFERROR(__xludf.DUMMYFUNCTION("""COMPUTED_VALUE"""),"KPL-07461")</f>
        <v>KPL-07461</v>
      </c>
      <c r="B2884" s="3">
        <f ca="1">IFERROR(__xludf.DUMMYFUNCTION("""COMPUTED_VALUE"""),24493)</f>
        <v>24493</v>
      </c>
      <c r="C2884" s="3">
        <f ca="1">IFERROR(__xludf.DUMMYFUNCTION("""COMPUTED_VALUE"""),5902557399116)</f>
        <v>5902557399116</v>
      </c>
      <c r="D2884" s="4" t="str">
        <f ca="1">IFERROR(__xludf.DUMMYFUNCTION("""COMPUTED_VALUE"""),"KABINA PRYSZNICOWA SKŁADANA FOLD N2 110x120")</f>
        <v>KABINA PRYSZNICOWA SKŁADANA FOLD N2 110x120</v>
      </c>
      <c r="E2884" s="31">
        <v>384.43902439024396</v>
      </c>
      <c r="F2884" s="31">
        <f t="shared" si="45"/>
        <v>472.86000000000007</v>
      </c>
    </row>
    <row r="2885" spans="1:6" ht="18.75" customHeight="1" x14ac:dyDescent="0.25">
      <c r="A2885" s="2" t="str">
        <f ca="1">IFERROR(__xludf.DUMMYFUNCTION("""COMPUTED_VALUE"""),"KPL-07460")</f>
        <v>KPL-07460</v>
      </c>
      <c r="B2885" s="3">
        <f ca="1">IFERROR(__xludf.DUMMYFUNCTION("""COMPUTED_VALUE"""),24492)</f>
        <v>24492</v>
      </c>
      <c r="C2885" s="3">
        <f ca="1">IFERROR(__xludf.DUMMYFUNCTION("""COMPUTED_VALUE"""),5902557399109)</f>
        <v>5902557399109</v>
      </c>
      <c r="D2885" s="4" t="str">
        <f ca="1">IFERROR(__xludf.DUMMYFUNCTION("""COMPUTED_VALUE"""),"KABINA PRYSZNICOWA SKŁADANA FOLD N2 110x110")</f>
        <v>KABINA PRYSZNICOWA SKŁADANA FOLD N2 110x110</v>
      </c>
      <c r="E2885" s="31">
        <v>377.21951219512198</v>
      </c>
      <c r="F2885" s="31">
        <f t="shared" si="45"/>
        <v>463.98</v>
      </c>
    </row>
    <row r="2886" spans="1:6" ht="18.75" customHeight="1" x14ac:dyDescent="0.25">
      <c r="A2886" s="2" t="str">
        <f ca="1">IFERROR(__xludf.DUMMYFUNCTION("""COMPUTED_VALUE"""),"KPL-07459")</f>
        <v>KPL-07459</v>
      </c>
      <c r="B2886" s="3">
        <f ca="1">IFERROR(__xludf.DUMMYFUNCTION("""COMPUTED_VALUE"""),24491)</f>
        <v>24491</v>
      </c>
      <c r="C2886" s="3">
        <f ca="1">IFERROR(__xludf.DUMMYFUNCTION("""COMPUTED_VALUE"""),5902557399093)</f>
        <v>5902557399093</v>
      </c>
      <c r="D2886" s="4" t="str">
        <f ca="1">IFERROR(__xludf.DUMMYFUNCTION("""COMPUTED_VALUE"""),"KABINA PRYSZNICOWA SKŁADANA FOLD N2 100x120")</f>
        <v>KABINA PRYSZNICOWA SKŁADANA FOLD N2 100x120</v>
      </c>
      <c r="E2886" s="31">
        <v>377.21951219512198</v>
      </c>
      <c r="F2886" s="31">
        <f t="shared" si="45"/>
        <v>463.98</v>
      </c>
    </row>
    <row r="2887" spans="1:6" ht="18.75" customHeight="1" x14ac:dyDescent="0.25">
      <c r="A2887" s="2" t="str">
        <f ca="1">IFERROR(__xludf.DUMMYFUNCTION("""COMPUTED_VALUE"""),"KPL-07458")</f>
        <v>KPL-07458</v>
      </c>
      <c r="B2887" s="3">
        <f ca="1">IFERROR(__xludf.DUMMYFUNCTION("""COMPUTED_VALUE"""),24490)</f>
        <v>24490</v>
      </c>
      <c r="C2887" s="3">
        <f ca="1">IFERROR(__xludf.DUMMYFUNCTION("""COMPUTED_VALUE"""),5902557399086)</f>
        <v>5902557399086</v>
      </c>
      <c r="D2887" s="4" t="str">
        <f ca="1">IFERROR(__xludf.DUMMYFUNCTION("""COMPUTED_VALUE"""),"KABINA PRYSZNICOWA SKŁADANA FOLD N2 100x110")</f>
        <v>KABINA PRYSZNICOWA SKŁADANA FOLD N2 100x110</v>
      </c>
      <c r="E2887" s="31">
        <v>370</v>
      </c>
      <c r="F2887" s="31">
        <f t="shared" si="45"/>
        <v>455.09999999999997</v>
      </c>
    </row>
    <row r="2888" spans="1:6" ht="18.75" customHeight="1" x14ac:dyDescent="0.25">
      <c r="A2888" s="2" t="str">
        <f ca="1">IFERROR(__xludf.DUMMYFUNCTION("""COMPUTED_VALUE"""),"KPL-07457")</f>
        <v>KPL-07457</v>
      </c>
      <c r="B2888" s="3">
        <f ca="1">IFERROR(__xludf.DUMMYFUNCTION("""COMPUTED_VALUE"""),24489)</f>
        <v>24489</v>
      </c>
      <c r="C2888" s="3">
        <f ca="1">IFERROR(__xludf.DUMMYFUNCTION("""COMPUTED_VALUE"""),5902557399079)</f>
        <v>5902557399079</v>
      </c>
      <c r="D2888" s="4" t="str">
        <f ca="1">IFERROR(__xludf.DUMMYFUNCTION("""COMPUTED_VALUE"""),"KABINA PRYSZNICOWA SKŁADANA FOLD N2 100x100")</f>
        <v>KABINA PRYSZNICOWA SKŁADANA FOLD N2 100x100</v>
      </c>
      <c r="E2888" s="31">
        <v>362.78048780487808</v>
      </c>
      <c r="F2888" s="31">
        <f t="shared" si="45"/>
        <v>446.22</v>
      </c>
    </row>
    <row r="2889" spans="1:6" ht="18.75" customHeight="1" x14ac:dyDescent="0.25">
      <c r="A2889" s="2" t="str">
        <f ca="1">IFERROR(__xludf.DUMMYFUNCTION("""COMPUTED_VALUE"""),"KPL-07456")</f>
        <v>KPL-07456</v>
      </c>
      <c r="B2889" s="3">
        <f ca="1">IFERROR(__xludf.DUMMYFUNCTION("""COMPUTED_VALUE"""),24488)</f>
        <v>24488</v>
      </c>
      <c r="C2889" s="3">
        <f ca="1">IFERROR(__xludf.DUMMYFUNCTION("""COMPUTED_VALUE"""),5902557399062)</f>
        <v>5902557399062</v>
      </c>
      <c r="D2889" s="4" t="str">
        <f ca="1">IFERROR(__xludf.DUMMYFUNCTION("""COMPUTED_VALUE"""),"KABINA PRYSZNICOWA SKŁADANA FOLD N2 90x120")</f>
        <v>KABINA PRYSZNICOWA SKŁADANA FOLD N2 90x120</v>
      </c>
      <c r="E2889" s="31">
        <v>378.1219512195122</v>
      </c>
      <c r="F2889" s="31">
        <f t="shared" si="45"/>
        <v>465.09</v>
      </c>
    </row>
    <row r="2890" spans="1:6" ht="18.75" customHeight="1" x14ac:dyDescent="0.25">
      <c r="A2890" s="2" t="str">
        <f ca="1">IFERROR(__xludf.DUMMYFUNCTION("""COMPUTED_VALUE"""),"KPL-07455")</f>
        <v>KPL-07455</v>
      </c>
      <c r="B2890" s="3">
        <f ca="1">IFERROR(__xludf.DUMMYFUNCTION("""COMPUTED_VALUE"""),24487)</f>
        <v>24487</v>
      </c>
      <c r="C2890" s="3">
        <f ca="1">IFERROR(__xludf.DUMMYFUNCTION("""COMPUTED_VALUE"""),5902557399055)</f>
        <v>5902557399055</v>
      </c>
      <c r="D2890" s="4" t="str">
        <f ca="1">IFERROR(__xludf.DUMMYFUNCTION("""COMPUTED_VALUE"""),"KABINA PRYSZNICOWA SKŁADANA FOLD N2 90x110")</f>
        <v>KABINA PRYSZNICOWA SKŁADANA FOLD N2 90x110</v>
      </c>
      <c r="E2890" s="31">
        <v>370.90243902439028</v>
      </c>
      <c r="F2890" s="31">
        <f t="shared" si="45"/>
        <v>456.21000000000004</v>
      </c>
    </row>
    <row r="2891" spans="1:6" ht="18.75" customHeight="1" x14ac:dyDescent="0.25">
      <c r="A2891" s="2" t="str">
        <f ca="1">IFERROR(__xludf.DUMMYFUNCTION("""COMPUTED_VALUE"""),"KPL-07454")</f>
        <v>KPL-07454</v>
      </c>
      <c r="B2891" s="3">
        <f ca="1">IFERROR(__xludf.DUMMYFUNCTION("""COMPUTED_VALUE"""),24486)</f>
        <v>24486</v>
      </c>
      <c r="C2891" s="3">
        <f ca="1">IFERROR(__xludf.DUMMYFUNCTION("""COMPUTED_VALUE"""),5902557399048)</f>
        <v>5902557399048</v>
      </c>
      <c r="D2891" s="4" t="str">
        <f ca="1">IFERROR(__xludf.DUMMYFUNCTION("""COMPUTED_VALUE"""),"KABINA PRYSZNICOWA SKŁADANA FOLD N2 90x100")</f>
        <v>KABINA PRYSZNICOWA SKŁADANA FOLD N2 90x100</v>
      </c>
      <c r="E2891" s="31">
        <v>363.6829268292683</v>
      </c>
      <c r="F2891" s="31">
        <f t="shared" si="45"/>
        <v>447.33</v>
      </c>
    </row>
    <row r="2892" spans="1:6" ht="18.75" customHeight="1" x14ac:dyDescent="0.25">
      <c r="A2892" s="2" t="str">
        <f ca="1">IFERROR(__xludf.DUMMYFUNCTION("""COMPUTED_VALUE"""),"KPL-07444")</f>
        <v>KPL-07444</v>
      </c>
      <c r="B2892" s="3">
        <f ca="1">IFERROR(__xludf.DUMMYFUNCTION("""COMPUTED_VALUE"""),24484)</f>
        <v>24484</v>
      </c>
      <c r="C2892" s="3">
        <f ca="1">IFERROR(__xludf.DUMMYFUNCTION("""COMPUTED_VALUE"""),5902557398942)</f>
        <v>5902557398942</v>
      </c>
      <c r="D2892" s="4" t="str">
        <f ca="1">IFERROR(__xludf.DUMMYFUNCTION("""COMPUTED_VALUE"""),"KABINA PRYSZNICOWA SKŁADANA FOLD N2 70x70")</f>
        <v>KABINA PRYSZNICOWA SKŁADANA FOLD N2 70x70</v>
      </c>
      <c r="E2892" s="31">
        <v>330.29268292682929</v>
      </c>
      <c r="F2892" s="31">
        <f t="shared" si="45"/>
        <v>406.26</v>
      </c>
    </row>
    <row r="2893" spans="1:6" ht="18.75" customHeight="1" x14ac:dyDescent="0.25">
      <c r="A2893" s="2" t="str">
        <f ca="1">IFERROR(__xludf.DUMMYFUNCTION("""COMPUTED_VALUE"""),"KPL-07453")</f>
        <v>KPL-07453</v>
      </c>
      <c r="B2893" s="3">
        <f ca="1">IFERROR(__xludf.DUMMYFUNCTION("""COMPUTED_VALUE"""),24483)</f>
        <v>24483</v>
      </c>
      <c r="C2893" s="3">
        <f ca="1">IFERROR(__xludf.DUMMYFUNCTION("""COMPUTED_VALUE"""),5902557399031)</f>
        <v>5902557399031</v>
      </c>
      <c r="D2893" s="4" t="str">
        <f ca="1">IFERROR(__xludf.DUMMYFUNCTION("""COMPUTED_VALUE"""),"KABINA PRYSZNICOWA SKŁADANA FOLD N2 80x120")</f>
        <v>KABINA PRYSZNICOWA SKŁADANA FOLD N2 80x120</v>
      </c>
      <c r="E2893" s="31">
        <v>363.6829268292683</v>
      </c>
      <c r="F2893" s="31">
        <f t="shared" si="45"/>
        <v>447.33</v>
      </c>
    </row>
    <row r="2894" spans="1:6" ht="18.75" customHeight="1" x14ac:dyDescent="0.25">
      <c r="A2894" s="2" t="str">
        <f ca="1">IFERROR(__xludf.DUMMYFUNCTION("""COMPUTED_VALUE"""),"KPL-07452")</f>
        <v>KPL-07452</v>
      </c>
      <c r="B2894" s="3">
        <f ca="1">IFERROR(__xludf.DUMMYFUNCTION("""COMPUTED_VALUE"""),24482)</f>
        <v>24482</v>
      </c>
      <c r="C2894" s="3">
        <f ca="1">IFERROR(__xludf.DUMMYFUNCTION("""COMPUTED_VALUE"""),5902557399024)</f>
        <v>5902557399024</v>
      </c>
      <c r="D2894" s="4" t="str">
        <f ca="1">IFERROR(__xludf.DUMMYFUNCTION("""COMPUTED_VALUE"""),"KABINA PRYSZNICOWA SKŁADANA FOLD N2 80x110")</f>
        <v>KABINA PRYSZNICOWA SKŁADANA FOLD N2 80x110</v>
      </c>
      <c r="E2894" s="31">
        <v>356.46341463414637</v>
      </c>
      <c r="F2894" s="31">
        <f t="shared" si="45"/>
        <v>438.45000000000005</v>
      </c>
    </row>
    <row r="2895" spans="1:6" ht="18.75" customHeight="1" x14ac:dyDescent="0.25">
      <c r="A2895" s="2" t="str">
        <f ca="1">IFERROR(__xludf.DUMMYFUNCTION("""COMPUTED_VALUE"""),"KPL-07451")</f>
        <v>KPL-07451</v>
      </c>
      <c r="B2895" s="3">
        <f ca="1">IFERROR(__xludf.DUMMYFUNCTION("""COMPUTED_VALUE"""),24481)</f>
        <v>24481</v>
      </c>
      <c r="C2895" s="3">
        <f ca="1">IFERROR(__xludf.DUMMYFUNCTION("""COMPUTED_VALUE"""),5902557399017)</f>
        <v>5902557399017</v>
      </c>
      <c r="D2895" s="4" t="str">
        <f ca="1">IFERROR(__xludf.DUMMYFUNCTION("""COMPUTED_VALUE"""),"KABINA PRYSZNICOWA SKŁADANA FOLD N2 80x100")</f>
        <v>KABINA PRYSZNICOWA SKŁADANA FOLD N2 80x100</v>
      </c>
      <c r="E2895" s="31">
        <v>349.2439024390244</v>
      </c>
      <c r="F2895" s="31">
        <f t="shared" si="45"/>
        <v>429.57</v>
      </c>
    </row>
    <row r="2896" spans="1:6" ht="18.75" customHeight="1" x14ac:dyDescent="0.25">
      <c r="A2896" s="2" t="str">
        <f ca="1">IFERROR(__xludf.DUMMYFUNCTION("""COMPUTED_VALUE"""),"KPL-07448")</f>
        <v>KPL-07448</v>
      </c>
      <c r="B2896" s="3">
        <f ca="1">IFERROR(__xludf.DUMMYFUNCTION("""COMPUTED_VALUE"""),24480)</f>
        <v>24480</v>
      </c>
      <c r="C2896" s="3">
        <f ca="1">IFERROR(__xludf.DUMMYFUNCTION("""COMPUTED_VALUE"""),5902557398980)</f>
        <v>5902557398980</v>
      </c>
      <c r="D2896" s="4" t="str">
        <f ca="1">IFERROR(__xludf.DUMMYFUNCTION("""COMPUTED_VALUE"""),"KABINA PRYSZNICOWA SKŁADANA FOLD N2 80x90")</f>
        <v>KABINA PRYSZNICOWA SKŁADANA FOLD N2 80x90</v>
      </c>
      <c r="E2896" s="31">
        <v>350.14634146341467</v>
      </c>
      <c r="F2896" s="31">
        <f t="shared" si="45"/>
        <v>430.68000000000006</v>
      </c>
    </row>
    <row r="2897" spans="1:6" ht="18.75" customHeight="1" x14ac:dyDescent="0.25">
      <c r="A2897" s="2" t="str">
        <f ca="1">IFERROR(__xludf.DUMMYFUNCTION("""COMPUTED_VALUE"""),"KPL-K7443")</f>
        <v>KPL-K7443</v>
      </c>
      <c r="B2897" s="3">
        <f ca="1">IFERROR(__xludf.DUMMYFUNCTION("""COMPUTED_VALUE"""),24479)</f>
        <v>24479</v>
      </c>
      <c r="C2897" s="3">
        <f ca="1">IFERROR(__xludf.DUMMYFUNCTION("""COMPUTED_VALUE"""),5906366007125)</f>
        <v>5906366007125</v>
      </c>
      <c r="D2897" s="4" t="str">
        <f ca="1">IFERROR(__xludf.DUMMYFUNCTION("""COMPUTED_VALUE"""),"KABINA PRYSZNICOWA SKŁADANA FOLD N2 80x80")</f>
        <v>KABINA PRYSZNICOWA SKŁADANA FOLD N2 80x80</v>
      </c>
      <c r="E2897" s="31">
        <v>335.70731707317077</v>
      </c>
      <c r="F2897" s="31">
        <f t="shared" si="45"/>
        <v>412.92</v>
      </c>
    </row>
    <row r="2898" spans="1:6" ht="18.75" customHeight="1" x14ac:dyDescent="0.25">
      <c r="A2898" s="2" t="str">
        <f ca="1">IFERROR(__xludf.DUMMYFUNCTION("""COMPUTED_VALUE"""),"KPL-07450")</f>
        <v>KPL-07450</v>
      </c>
      <c r="B2898" s="3">
        <f ca="1">IFERROR(__xludf.DUMMYFUNCTION("""COMPUTED_VALUE"""),24478)</f>
        <v>24478</v>
      </c>
      <c r="C2898" s="3">
        <f ca="1">IFERROR(__xludf.DUMMYFUNCTION("""COMPUTED_VALUE"""),5902557399000)</f>
        <v>5902557399000</v>
      </c>
      <c r="D2898" s="4" t="str">
        <f ca="1">IFERROR(__xludf.DUMMYFUNCTION("""COMPUTED_VALUE"""),"KABINA PRYSZNICOWA SKŁADANA FOLD N2 70x120")</f>
        <v>KABINA PRYSZNICOWA SKŁADANA FOLD N2 70x120</v>
      </c>
      <c r="E2898" s="31">
        <v>360.97560975609758</v>
      </c>
      <c r="F2898" s="31">
        <f t="shared" si="45"/>
        <v>444</v>
      </c>
    </row>
    <row r="2899" spans="1:6" ht="18.75" customHeight="1" x14ac:dyDescent="0.25">
      <c r="A2899" s="2" t="str">
        <f ca="1">IFERROR(__xludf.DUMMYFUNCTION("""COMPUTED_VALUE"""),"KPL-07449")</f>
        <v>KPL-07449</v>
      </c>
      <c r="B2899" s="3">
        <f ca="1">IFERROR(__xludf.DUMMYFUNCTION("""COMPUTED_VALUE"""),24477)</f>
        <v>24477</v>
      </c>
      <c r="C2899" s="3">
        <f ca="1">IFERROR(__xludf.DUMMYFUNCTION("""COMPUTED_VALUE"""),5902557398997)</f>
        <v>5902557398997</v>
      </c>
      <c r="D2899" s="4" t="str">
        <f ca="1">IFERROR(__xludf.DUMMYFUNCTION("""COMPUTED_VALUE"""),"KABINA PRYSZNICOWA SKŁADANA FOLD N2 70x110")</f>
        <v>KABINA PRYSZNICOWA SKŁADANA FOLD N2 70x110</v>
      </c>
      <c r="E2899" s="31">
        <v>353.7560975609756</v>
      </c>
      <c r="F2899" s="31">
        <f t="shared" si="45"/>
        <v>435.12</v>
      </c>
    </row>
    <row r="2900" spans="1:6" ht="18.75" customHeight="1" x14ac:dyDescent="0.25">
      <c r="A2900" s="2" t="str">
        <f ca="1">IFERROR(__xludf.DUMMYFUNCTION("""COMPUTED_VALUE"""),"KPL-07447")</f>
        <v>KPL-07447</v>
      </c>
      <c r="B2900" s="3">
        <f ca="1">IFERROR(__xludf.DUMMYFUNCTION("""COMPUTED_VALUE"""),24476)</f>
        <v>24476</v>
      </c>
      <c r="C2900" s="3">
        <f ca="1">IFERROR(__xludf.DUMMYFUNCTION("""COMPUTED_VALUE"""),5902557398973)</f>
        <v>5902557398973</v>
      </c>
      <c r="D2900" s="4" t="str">
        <f ca="1">IFERROR(__xludf.DUMMYFUNCTION("""COMPUTED_VALUE"""),"KABINA PRYSZNICOWA SKŁADANA FOLD N2 70x100")</f>
        <v>KABINA PRYSZNICOWA SKŁADANA FOLD N2 70x100</v>
      </c>
      <c r="E2900" s="31">
        <v>346.53658536585368</v>
      </c>
      <c r="F2900" s="31">
        <f t="shared" si="45"/>
        <v>426.24</v>
      </c>
    </row>
    <row r="2901" spans="1:6" ht="18.75" customHeight="1" x14ac:dyDescent="0.25">
      <c r="A2901" s="2" t="str">
        <f ca="1">IFERROR(__xludf.DUMMYFUNCTION("""COMPUTED_VALUE"""),"KPL-07446")</f>
        <v>KPL-07446</v>
      </c>
      <c r="B2901" s="3">
        <f ca="1">IFERROR(__xludf.DUMMYFUNCTION("""COMPUTED_VALUE"""),24475)</f>
        <v>24475</v>
      </c>
      <c r="C2901" s="3">
        <f ca="1">IFERROR(__xludf.DUMMYFUNCTION("""COMPUTED_VALUE"""),5902557398966)</f>
        <v>5902557398966</v>
      </c>
      <c r="D2901" s="4" t="str">
        <f ca="1">IFERROR(__xludf.DUMMYFUNCTION("""COMPUTED_VALUE"""),"KABINA PRYSZNICOWA SKŁADANA FOLD N2 70x90")</f>
        <v>KABINA PRYSZNICOWA SKŁADANA FOLD N2 70x90</v>
      </c>
      <c r="E2901" s="31">
        <v>347.4390243902439</v>
      </c>
      <c r="F2901" s="31">
        <f t="shared" si="45"/>
        <v>427.34999999999997</v>
      </c>
    </row>
    <row r="2902" spans="1:6" ht="18.75" customHeight="1" x14ac:dyDescent="0.25">
      <c r="A2902" s="2" t="str">
        <f ca="1">IFERROR(__xludf.DUMMYFUNCTION("""COMPUTED_VALUE"""),"KPL-07445")</f>
        <v>KPL-07445</v>
      </c>
      <c r="B2902" s="3">
        <f ca="1">IFERROR(__xludf.DUMMYFUNCTION("""COMPUTED_VALUE"""),24474)</f>
        <v>24474</v>
      </c>
      <c r="C2902" s="3">
        <f ca="1">IFERROR(__xludf.DUMMYFUNCTION("""COMPUTED_VALUE"""),5902557398959)</f>
        <v>5902557398959</v>
      </c>
      <c r="D2902" s="4" t="str">
        <f ca="1">IFERROR(__xludf.DUMMYFUNCTION("""COMPUTED_VALUE"""),"KABINA PRYSZNICOWA SKŁADANA FOLD N2 70x80")</f>
        <v>KABINA PRYSZNICOWA SKŁADANA FOLD N2 70x80</v>
      </c>
      <c r="E2902" s="31">
        <v>333.00000000000006</v>
      </c>
      <c r="F2902" s="31">
        <f t="shared" si="45"/>
        <v>409.59000000000009</v>
      </c>
    </row>
    <row r="2903" spans="1:6" ht="18.75" customHeight="1" x14ac:dyDescent="0.25">
      <c r="A2903" s="2" t="str">
        <f ca="1">IFERROR(__xludf.DUMMYFUNCTION("""COMPUTED_VALUE"""),"KPL-90011")</f>
        <v>KPL-90011</v>
      </c>
      <c r="B2903" s="3">
        <f ca="1">IFERROR(__xludf.DUMMYFUNCTION("""COMPUTED_VALUE"""),17366)</f>
        <v>17366</v>
      </c>
      <c r="C2903" s="3">
        <f ca="1">IFERROR(__xludf.DUMMYFUNCTION("""COMPUTED_VALUE"""),5902557396139)</f>
        <v>5902557396139</v>
      </c>
      <c r="D2903" s="4" t="str">
        <f ca="1">IFERROR(__xludf.DUMMYFUNCTION("""COMPUTED_VALUE"""),"STELAŻ PODTYNKOWY WC + PRZYCISK H CHROM")</f>
        <v>STELAŻ PODTYNKOWY WC + PRZYCISK H CHROM</v>
      </c>
      <c r="E2903" s="31">
        <v>165.14634146341464</v>
      </c>
      <c r="F2903" s="31">
        <f t="shared" si="45"/>
        <v>203.13</v>
      </c>
    </row>
    <row r="2904" spans="1:6" ht="18.75" customHeight="1" x14ac:dyDescent="0.25">
      <c r="A2904" s="2" t="str">
        <f ca="1">IFERROR(__xludf.DUMMYFUNCTION("""COMPUTED_VALUE"""),"KPL-90010")</f>
        <v>KPL-90010</v>
      </c>
      <c r="B2904" s="3">
        <f ca="1">IFERROR(__xludf.DUMMYFUNCTION("""COMPUTED_VALUE"""),17354)</f>
        <v>17354</v>
      </c>
      <c r="C2904" s="3">
        <f ca="1">IFERROR(__xludf.DUMMYFUNCTION("""COMPUTED_VALUE"""),5902557396153)</f>
        <v>5902557396153</v>
      </c>
      <c r="D2904" s="4" t="str">
        <f ca="1">IFERROR(__xludf.DUMMYFUNCTION("""COMPUTED_VALUE"""),"STELAŻ PODTYNKOWY WC + PRZYCISK F CHROM")</f>
        <v>STELAŻ PODTYNKOWY WC + PRZYCISK F CHROM</v>
      </c>
      <c r="E2904" s="31">
        <v>165.14634146341464</v>
      </c>
      <c r="F2904" s="31">
        <f t="shared" si="45"/>
        <v>203.13</v>
      </c>
    </row>
    <row r="2905" spans="1:6" ht="18.75" customHeight="1" x14ac:dyDescent="0.25">
      <c r="A2905" s="2" t="str">
        <f ca="1">IFERROR(__xludf.DUMMYFUNCTION("""COMPUTED_VALUE"""),"KPL-W1101")</f>
        <v>KPL-W1101</v>
      </c>
      <c r="B2905" s="3"/>
      <c r="C2905" s="3">
        <f ca="1">IFERROR(__xludf.DUMMYFUNCTION("""COMPUTED_VALUE"""),5906366012945)</f>
        <v>5906366012945</v>
      </c>
      <c r="D2905" s="4" t="str">
        <f ca="1">IFERROR(__xludf.DUMMYFUNCTION("""COMPUTED_VALUE"""),"WANNA SPARTA 175 + KOREK WANNOWY")</f>
        <v>WANNA SPARTA 175 + KOREK WANNOWY</v>
      </c>
      <c r="E2905" s="31">
        <v>718.34146341463418</v>
      </c>
      <c r="F2905" s="31">
        <f t="shared" si="45"/>
        <v>883.56000000000006</v>
      </c>
    </row>
    <row r="2906" spans="1:6" ht="18.75" customHeight="1" x14ac:dyDescent="0.25">
      <c r="A2906" s="2" t="str">
        <f ca="1">IFERROR(__xludf.DUMMYFUNCTION("""COMPUTED_VALUE"""),"REA-77043")</f>
        <v>REA-77043</v>
      </c>
      <c r="B2906" s="3">
        <f ca="1">IFERROR(__xludf.DUMMYFUNCTION("""COMPUTED_VALUE"""),49518)</f>
        <v>49518</v>
      </c>
      <c r="C2906" s="3">
        <f ca="1">IFERROR(__xludf.DUMMYFUNCTION("""COMPUTED_VALUE"""),5902557384075)</f>
        <v>5902557384075</v>
      </c>
      <c r="D2906" s="4" t="str">
        <f ca="1">IFERROR(__xludf.DUMMYFUNCTION("""COMPUTED_VALUE"""),"322197 DOZOWNIK DO MYDŁA CZARNY HILL")</f>
        <v>322197 DOZOWNIK DO MYDŁA CZARNY HILL</v>
      </c>
      <c r="E2906" s="31">
        <v>13.536585365853661</v>
      </c>
      <c r="F2906" s="31">
        <f t="shared" si="45"/>
        <v>16.650000000000002</v>
      </c>
    </row>
    <row r="2907" spans="1:6" ht="18.75" customHeight="1" x14ac:dyDescent="0.25">
      <c r="A2907" s="2" t="str">
        <f ca="1">IFERROR(__xludf.DUMMYFUNCTION("""COMPUTED_VALUE"""),"REA-77067")</f>
        <v>REA-77067</v>
      </c>
      <c r="B2907" s="3">
        <f ca="1">IFERROR(__xludf.DUMMYFUNCTION("""COMPUTED_VALUE"""),49543)</f>
        <v>49543</v>
      </c>
      <c r="C2907" s="3">
        <f ca="1">IFERROR(__xludf.DUMMYFUNCTION("""COMPUTED_VALUE"""),5902557384280)</f>
        <v>5902557384280</v>
      </c>
      <c r="D2907" s="4" t="str">
        <f ca="1">IFERROR(__xludf.DUMMYFUNCTION("""COMPUTED_VALUE"""),"322197A DOZOWNIK DO MYDŁA ZŁOTY HILL")</f>
        <v>322197A DOZOWNIK DO MYDŁA ZŁOTY HILL</v>
      </c>
      <c r="E2907" s="31">
        <v>18.04878048780488</v>
      </c>
      <c r="F2907" s="31">
        <f t="shared" si="45"/>
        <v>22.200000000000003</v>
      </c>
    </row>
    <row r="2908" spans="1:6" ht="18.75" customHeight="1" x14ac:dyDescent="0.25">
      <c r="A2908" s="2" t="str">
        <f ca="1">IFERROR(__xludf.DUMMYFUNCTION("""COMPUTED_VALUE"""),"REA-77041")</f>
        <v>REA-77041</v>
      </c>
      <c r="B2908" s="3">
        <f ca="1">IFERROR(__xludf.DUMMYFUNCTION("""COMPUTED_VALUE"""),49526)</f>
        <v>49526</v>
      </c>
      <c r="C2908" s="3">
        <f ca="1">IFERROR(__xludf.DUMMYFUNCTION("""COMPUTED_VALUE"""),5902557384150)</f>
        <v>5902557384150</v>
      </c>
      <c r="D2908" s="4" t="str">
        <f ca="1">IFERROR(__xludf.DUMMYFUNCTION("""COMPUTED_VALUE"""),"322212 DOZOWNIK DO MYDŁA CZARNY")</f>
        <v>322212 DOZOWNIK DO MYDŁA CZARNY</v>
      </c>
      <c r="E2908" s="31">
        <v>9.0243902439024399</v>
      </c>
      <c r="F2908" s="31">
        <f t="shared" si="45"/>
        <v>11.100000000000001</v>
      </c>
    </row>
    <row r="2909" spans="1:6" ht="18.75" customHeight="1" x14ac:dyDescent="0.25">
      <c r="A2909" s="2" t="str">
        <f ca="1">IFERROR(__xludf.DUMMYFUNCTION("""COMPUTED_VALUE"""),"REA-80046")</f>
        <v>REA-80046</v>
      </c>
      <c r="B2909" s="3">
        <f ca="1">IFERROR(__xludf.DUMMYFUNCTION("""COMPUTED_VALUE"""),43679)</f>
        <v>43679</v>
      </c>
      <c r="C2909" s="3">
        <f ca="1">IFERROR(__xludf.DUMMYFUNCTION("""COMPUTED_VALUE"""),5902557371570)</f>
        <v>5902557371570</v>
      </c>
      <c r="D2909" s="4" t="str">
        <f ca="1">IFERROR(__xludf.DUMMYFUNCTION("""COMPUTED_VALUE"""),"OSTE 06 CHROME DOZOWNIK")</f>
        <v>OSTE 06 CHROME DOZOWNIK</v>
      </c>
      <c r="E2909" s="31">
        <v>13.536585365853661</v>
      </c>
      <c r="F2909" s="31">
        <f t="shared" si="45"/>
        <v>16.650000000000002</v>
      </c>
    </row>
    <row r="2910" spans="1:6" ht="18.75" customHeight="1" x14ac:dyDescent="0.25">
      <c r="A2910" s="2" t="str">
        <f ca="1">IFERROR(__xludf.DUMMYFUNCTION("""COMPUTED_VALUE"""),"REA-77052")</f>
        <v>REA-77052</v>
      </c>
      <c r="B2910" s="3">
        <f ca="1">IFERROR(__xludf.DUMMYFUNCTION("""COMPUTED_VALUE"""),49690)</f>
        <v>49690</v>
      </c>
      <c r="C2910" s="3">
        <f ca="1">IFERROR(__xludf.DUMMYFUNCTION("""COMPUTED_VALUE"""),5902557385119)</f>
        <v>5902557385119</v>
      </c>
      <c r="D2910" s="4" t="str">
        <f ca="1">IFERROR(__xludf.DUMMYFUNCTION("""COMPUTED_VALUE"""),"322217A DOZOWNIK DO MYDŁA CZARNY DUO")</f>
        <v>322217A DOZOWNIK DO MYDŁA CZARNY DUO</v>
      </c>
      <c r="E2910" s="31">
        <v>18.04878048780488</v>
      </c>
      <c r="F2910" s="31">
        <f t="shared" si="45"/>
        <v>22.200000000000003</v>
      </c>
    </row>
    <row r="2911" spans="1:6" ht="18.75" customHeight="1" x14ac:dyDescent="0.25">
      <c r="A2911" s="2" t="str">
        <f ca="1">IFERROR(__xludf.DUMMYFUNCTION("""COMPUTED_VALUE"""),"REA-80047")</f>
        <v>REA-80047</v>
      </c>
      <c r="B2911" s="3">
        <f ca="1">IFERROR(__xludf.DUMMYFUNCTION("""COMPUTED_VALUE"""),43677)</f>
        <v>43677</v>
      </c>
      <c r="C2911" s="3">
        <f ca="1">IFERROR(__xludf.DUMMYFUNCTION("""COMPUTED_VALUE"""),5902557371563)</f>
        <v>5902557371563</v>
      </c>
      <c r="D2911" s="4" t="str">
        <f ca="1">IFERROR(__xludf.DUMMYFUNCTION("""COMPUTED_VALUE"""),"OSTE 06 BLACK DOZOWNIK")</f>
        <v>OSTE 06 BLACK DOZOWNIK</v>
      </c>
      <c r="E2911" s="31">
        <v>18.04878048780488</v>
      </c>
      <c r="F2911" s="31">
        <f t="shared" si="45"/>
        <v>22.200000000000003</v>
      </c>
    </row>
    <row r="2912" spans="1:6" ht="18.75" customHeight="1" x14ac:dyDescent="0.25">
      <c r="A2912" s="2" t="str">
        <f ca="1">IFERROR(__xludf.DUMMYFUNCTION("""COMPUTED_VALUE"""),"REA-77075")</f>
        <v>REA-77075</v>
      </c>
      <c r="B2912" s="3">
        <f ca="1">IFERROR(__xludf.DUMMYFUNCTION("""COMPUTED_VALUE"""),49541)</f>
        <v>49541</v>
      </c>
      <c r="C2912" s="3">
        <f ca="1">IFERROR(__xludf.DUMMYFUNCTION("""COMPUTED_VALUE"""),5902557384273)</f>
        <v>5902557384273</v>
      </c>
      <c r="D2912" s="4" t="str">
        <f ca="1">IFERROR(__xludf.DUMMYFUNCTION("""COMPUTED_VALUE"""),"322217 DOZOWNIK DO MYDŁA NIKIEL SZCZOTKOWANY DUO")</f>
        <v>322217 DOZOWNIK DO MYDŁA NIKIEL SZCZOTKOWANY DUO</v>
      </c>
      <c r="E2912" s="31">
        <v>18.04878048780488</v>
      </c>
      <c r="F2912" s="31">
        <f t="shared" si="45"/>
        <v>22.200000000000003</v>
      </c>
    </row>
    <row r="2913" spans="1:6" ht="18.75" customHeight="1" x14ac:dyDescent="0.25">
      <c r="A2913" s="2" t="str">
        <f ca="1">IFERROR(__xludf.DUMMYFUNCTION("""COMPUTED_VALUE"""),"REA-77069")</f>
        <v>REA-77069</v>
      </c>
      <c r="B2913" s="3">
        <f ca="1">IFERROR(__xludf.DUMMYFUNCTION("""COMPUTED_VALUE"""),49551)</f>
        <v>49551</v>
      </c>
      <c r="C2913" s="3">
        <f ca="1">IFERROR(__xludf.DUMMYFUNCTION("""COMPUTED_VALUE"""),5902557384358)</f>
        <v>5902557384358</v>
      </c>
      <c r="D2913" s="4" t="str">
        <f ca="1">IFERROR(__xludf.DUMMYFUNCTION("""COMPUTED_VALUE"""),"322212A DOZOWNIK DO MYDŁA ZŁOTY")</f>
        <v>322212A DOZOWNIK DO MYDŁA ZŁOTY</v>
      </c>
      <c r="E2913" s="31">
        <v>18.04878048780488</v>
      </c>
      <c r="F2913" s="31">
        <f t="shared" si="45"/>
        <v>22.200000000000003</v>
      </c>
    </row>
    <row r="2914" spans="1:6" ht="18.75" customHeight="1" x14ac:dyDescent="0.25">
      <c r="A2914" s="2" t="str">
        <f ca="1">IFERROR(__xludf.DUMMYFUNCTION("""COMPUTED_VALUE"""),"REA-77026")</f>
        <v>REA-77026</v>
      </c>
      <c r="B2914" s="3">
        <f ca="1">IFERROR(__xludf.DUMMYFUNCTION("""COMPUTED_VALUE"""),49607)</f>
        <v>49607</v>
      </c>
      <c r="C2914" s="3">
        <f ca="1">IFERROR(__xludf.DUMMYFUNCTION("""COMPUTED_VALUE"""),5902557384570)</f>
        <v>5902557384570</v>
      </c>
      <c r="D2914" s="4" t="str">
        <f ca="1">IFERROR(__xludf.DUMMYFUNCTION("""COMPUTED_VALUE"""),"322217B DOZOWNIK DO MYDŁA ZŁOTY")</f>
        <v>322217B DOZOWNIK DO MYDŁA ZŁOTY</v>
      </c>
      <c r="E2914" s="31">
        <v>27.073170731707322</v>
      </c>
      <c r="F2914" s="31">
        <f t="shared" si="45"/>
        <v>33.300000000000004</v>
      </c>
    </row>
    <row r="2915" spans="1:6" ht="18.75" customHeight="1" x14ac:dyDescent="0.25">
      <c r="A2915" s="2" t="str">
        <f ca="1">IFERROR(__xludf.DUMMYFUNCTION("""COMPUTED_VALUE"""),"REA-K6933")</f>
        <v>REA-K6933</v>
      </c>
      <c r="B2915" s="3">
        <f ca="1">IFERROR(__xludf.DUMMYFUNCTION("""COMPUTED_VALUE"""),53011)</f>
        <v>53011</v>
      </c>
      <c r="C2915" s="3">
        <f ca="1">IFERROR(__xludf.DUMMYFUNCTION("""COMPUTED_VALUE"""),5906366003783)</f>
        <v>5906366003783</v>
      </c>
      <c r="D2915" s="4" t="str">
        <f ca="1">IFERROR(__xludf.DUMMYFUNCTION("""COMPUTED_VALUE"""),"322102D DOZOWNIK CHROM")</f>
        <v>322102D DOZOWNIK CHROM</v>
      </c>
      <c r="E2915" s="31">
        <v>13.536585365853661</v>
      </c>
      <c r="F2915" s="31">
        <f t="shared" si="45"/>
        <v>16.650000000000002</v>
      </c>
    </row>
    <row r="2916" spans="1:6" ht="18.75" customHeight="1" x14ac:dyDescent="0.25">
      <c r="A2916" s="2" t="str">
        <f ca="1">IFERROR(__xludf.DUMMYFUNCTION("""COMPUTED_VALUE"""),"REA-06932")</f>
        <v>REA-06932</v>
      </c>
      <c r="B2916" s="3">
        <f ca="1">IFERROR(__xludf.DUMMYFUNCTION("""COMPUTED_VALUE"""),7441)</f>
        <v>7441</v>
      </c>
      <c r="C2916" s="3">
        <f ca="1">IFERROR(__xludf.DUMMYFUNCTION("""COMPUTED_VALUE"""),5906366003776)</f>
        <v>5906366003776</v>
      </c>
      <c r="D2916" s="4" t="str">
        <f ca="1">IFERROR(__xludf.DUMMYFUNCTION("""COMPUTED_VALUE"""),"322102 DOZOWNIK CZARNY")</f>
        <v>322102 DOZOWNIK CZARNY</v>
      </c>
      <c r="E2916" s="31">
        <v>13.536585365853661</v>
      </c>
      <c r="F2916" s="31">
        <f t="shared" si="45"/>
        <v>16.650000000000002</v>
      </c>
    </row>
    <row r="2917" spans="1:6" ht="18.75" customHeight="1" x14ac:dyDescent="0.25">
      <c r="A2917" s="2" t="str">
        <f ca="1">IFERROR(__xludf.DUMMYFUNCTION("""COMPUTED_VALUE"""),"BAT-05010")</f>
        <v>BAT-05010</v>
      </c>
      <c r="B2917" s="3">
        <f ca="1">IFERROR(__xludf.DUMMYFUNCTION("""COMPUTED_VALUE"""),49405)</f>
        <v>49405</v>
      </c>
      <c r="C2917" s="3">
        <f ca="1">IFERROR(__xludf.DUMMYFUNCTION("""COMPUTED_VALUE"""),5902557383238)</f>
        <v>5902557383238</v>
      </c>
      <c r="D2917" s="4" t="str">
        <f ca="1">IFERROR(__xludf.DUMMYFUNCTION("""COMPUTED_VALUE"""),"DOZOWNIK DO MYDŁA KWADRAT BIAŁY 330 ML")</f>
        <v>DOZOWNIK DO MYDŁA KWADRAT BIAŁY 330 ML</v>
      </c>
      <c r="E2917" s="31">
        <v>9.0243902439024399</v>
      </c>
      <c r="F2917" s="31">
        <f t="shared" si="45"/>
        <v>11.100000000000001</v>
      </c>
    </row>
    <row r="2918" spans="1:6" ht="18.75" customHeight="1" x14ac:dyDescent="0.25">
      <c r="A2918" s="2" t="str">
        <f ca="1">IFERROR(__xludf.DUMMYFUNCTION("""COMPUTED_VALUE"""),"BAT-05011")</f>
        <v>BAT-05011</v>
      </c>
      <c r="B2918" s="3">
        <f ca="1">IFERROR(__xludf.DUMMYFUNCTION("""COMPUTED_VALUE"""),49406)</f>
        <v>49406</v>
      </c>
      <c r="C2918" s="3">
        <f ca="1">IFERROR(__xludf.DUMMYFUNCTION("""COMPUTED_VALUE"""),5902557383245)</f>
        <v>5902557383245</v>
      </c>
      <c r="D2918" s="4" t="str">
        <f ca="1">IFERROR(__xludf.DUMMYFUNCTION("""COMPUTED_VALUE"""),"DOZOWNIK DO MYDŁA KWADRAT CHROM 330 ML")</f>
        <v>DOZOWNIK DO MYDŁA KWADRAT CHROM 330 ML</v>
      </c>
      <c r="E2918" s="31">
        <v>9.0243902439024399</v>
      </c>
      <c r="F2918" s="31">
        <f t="shared" si="45"/>
        <v>11.100000000000001</v>
      </c>
    </row>
    <row r="2919" spans="1:6" ht="18.75" customHeight="1" x14ac:dyDescent="0.25">
      <c r="A2919" s="2" t="str">
        <f ca="1">IFERROR(__xludf.DUMMYFUNCTION("""COMPUTED_VALUE"""),"REA-06931")</f>
        <v>REA-06931</v>
      </c>
      <c r="B2919" s="3">
        <f ca="1">IFERROR(__xludf.DUMMYFUNCTION("""COMPUTED_VALUE"""),49402)</f>
        <v>49402</v>
      </c>
      <c r="C2919" s="3">
        <f ca="1">IFERROR(__xludf.DUMMYFUNCTION("""COMPUTED_VALUE"""),5906366003905)</f>
        <v>5906366003905</v>
      </c>
      <c r="D2919" s="4" t="str">
        <f ca="1">IFERROR(__xludf.DUMMYFUNCTION("""COMPUTED_VALUE"""),"322103 DOZOWNIK CZARNY")</f>
        <v>322103 DOZOWNIK CZARNY</v>
      </c>
      <c r="E2919" s="31">
        <v>13.536585365853661</v>
      </c>
      <c r="F2919" s="31">
        <f t="shared" si="45"/>
        <v>16.650000000000002</v>
      </c>
    </row>
    <row r="2920" spans="1:6" ht="18.75" customHeight="1" x14ac:dyDescent="0.25">
      <c r="A2920" s="2" t="str">
        <f ca="1">IFERROR(__xludf.DUMMYFUNCTION("""COMPUTED_VALUE"""),"BAT-05013")</f>
        <v>BAT-05013</v>
      </c>
      <c r="B2920" s="3">
        <f ca="1">IFERROR(__xludf.DUMMYFUNCTION("""COMPUTED_VALUE"""),49408)</f>
        <v>49408</v>
      </c>
      <c r="C2920" s="3">
        <f ca="1">IFERROR(__xludf.DUMMYFUNCTION("""COMPUTED_VALUE"""),5902557383269)</f>
        <v>5902557383269</v>
      </c>
      <c r="D2920" s="4" t="str">
        <f ca="1">IFERROR(__xludf.DUMMYFUNCTION("""COMPUTED_VALUE"""),"DOZOWNIK DO MYDŁA KWADRAT MIEDŹ 330 ML")</f>
        <v>DOZOWNIK DO MYDŁA KWADRAT MIEDŹ 330 ML</v>
      </c>
      <c r="E2920" s="31">
        <v>18.04878048780488</v>
      </c>
      <c r="F2920" s="31">
        <f t="shared" si="45"/>
        <v>22.200000000000003</v>
      </c>
    </row>
    <row r="2921" spans="1:6" ht="18.75" customHeight="1" x14ac:dyDescent="0.25">
      <c r="A2921" s="2" t="str">
        <f ca="1">IFERROR(__xludf.DUMMYFUNCTION("""COMPUTED_VALUE"""),"BAT-05012")</f>
        <v>BAT-05012</v>
      </c>
      <c r="B2921" s="3">
        <f ca="1">IFERROR(__xludf.DUMMYFUNCTION("""COMPUTED_VALUE"""),49407)</f>
        <v>49407</v>
      </c>
      <c r="C2921" s="3">
        <f ca="1">IFERROR(__xludf.DUMMYFUNCTION("""COMPUTED_VALUE"""),5902557383252)</f>
        <v>5902557383252</v>
      </c>
      <c r="D2921" s="4" t="str">
        <f ca="1">IFERROR(__xludf.DUMMYFUNCTION("""COMPUTED_VALUE"""),"DOZOWNIK DO MYDŁA KWADRAT SZCZOTKOWANY NIKIEL330ML")</f>
        <v>DOZOWNIK DO MYDŁA KWADRAT SZCZOTKOWANY NIKIEL330ML</v>
      </c>
      <c r="E2921" s="31">
        <v>9.0243902439024399</v>
      </c>
      <c r="F2921" s="31">
        <f t="shared" si="45"/>
        <v>11.100000000000001</v>
      </c>
    </row>
    <row r="2922" spans="1:6" ht="18.75" customHeight="1" x14ac:dyDescent="0.25">
      <c r="A2922" s="2" t="str">
        <f ca="1">IFERROR(__xludf.DUMMYFUNCTION("""COMPUTED_VALUE"""),"BAT-05008")</f>
        <v>BAT-05008</v>
      </c>
      <c r="B2922" s="3">
        <f ca="1">IFERROR(__xludf.DUMMYFUNCTION("""COMPUTED_VALUE"""),49403)</f>
        <v>49403</v>
      </c>
      <c r="C2922" s="3">
        <f ca="1">IFERROR(__xludf.DUMMYFUNCTION("""COMPUTED_VALUE"""),5902557383214)</f>
        <v>5902557383214</v>
      </c>
      <c r="D2922" s="4" t="str">
        <f ca="1">IFERROR(__xludf.DUMMYFUNCTION("""COMPUTED_VALUE"""),"DOZOWNIK DO MYDŁA KWADRAT ZŁOTY 330 ML")</f>
        <v>DOZOWNIK DO MYDŁA KWADRAT ZŁOTY 330 ML</v>
      </c>
      <c r="E2922" s="31">
        <v>18.04878048780488</v>
      </c>
      <c r="F2922" s="31">
        <f t="shared" si="45"/>
        <v>22.200000000000003</v>
      </c>
    </row>
    <row r="2923" spans="1:6" ht="18.75" customHeight="1" x14ac:dyDescent="0.25">
      <c r="A2923" s="2" t="str">
        <f ca="1">IFERROR(__xludf.DUMMYFUNCTION("""COMPUTED_VALUE"""),"BAT-05009")</f>
        <v>BAT-05009</v>
      </c>
      <c r="B2923" s="3">
        <f ca="1">IFERROR(__xludf.DUMMYFUNCTION("""COMPUTED_VALUE"""),49404)</f>
        <v>49404</v>
      </c>
      <c r="C2923" s="3">
        <f ca="1">IFERROR(__xludf.DUMMYFUNCTION("""COMPUTED_VALUE"""),5902557383221)</f>
        <v>5902557383221</v>
      </c>
      <c r="D2923" s="4" t="str">
        <f ca="1">IFERROR(__xludf.DUMMYFUNCTION("""COMPUTED_VALUE"""),"DOZOWNIK DO MYDŁA KWADRAT SZCZOTKOWANY ZŁOTY 330ML")</f>
        <v>DOZOWNIK DO MYDŁA KWADRAT SZCZOTKOWANY ZŁOTY 330ML</v>
      </c>
      <c r="E2923" s="31">
        <v>13.536585365853661</v>
      </c>
      <c r="F2923" s="31">
        <f t="shared" si="45"/>
        <v>16.650000000000002</v>
      </c>
    </row>
    <row r="2924" spans="1:6" ht="18.75" customHeight="1" x14ac:dyDescent="0.25">
      <c r="A2924" s="2" t="str">
        <f ca="1">IFERROR(__xludf.DUMMYFUNCTION("""COMPUTED_VALUE"""),"BAT-05003")</f>
        <v>BAT-05003</v>
      </c>
      <c r="B2924" s="3">
        <f ca="1">IFERROR(__xludf.DUMMYFUNCTION("""COMPUTED_VALUE"""),49410)</f>
        <v>49410</v>
      </c>
      <c r="C2924" s="3">
        <f ca="1">IFERROR(__xludf.DUMMYFUNCTION("""COMPUTED_VALUE"""),5902557383191)</f>
        <v>5902557383191</v>
      </c>
      <c r="D2924" s="4" t="str">
        <f ca="1">IFERROR(__xludf.DUMMYFUNCTION("""COMPUTED_VALUE"""),"DOZOWNIK DO MYDŁA OKRĄGŁY BIAŁY 330 ML")</f>
        <v>DOZOWNIK DO MYDŁA OKRĄGŁY BIAŁY 330 ML</v>
      </c>
      <c r="E2924" s="31">
        <v>4.51219512195122</v>
      </c>
      <c r="F2924" s="31">
        <f t="shared" si="45"/>
        <v>5.5500000000000007</v>
      </c>
    </row>
    <row r="2925" spans="1:6" ht="18.75" customHeight="1" x14ac:dyDescent="0.25">
      <c r="A2925" s="2" t="str">
        <f ca="1">IFERROR(__xludf.DUMMYFUNCTION("""COMPUTED_VALUE"""),"BAT-05004")</f>
        <v>BAT-05004</v>
      </c>
      <c r="B2925" s="3">
        <f ca="1">IFERROR(__xludf.DUMMYFUNCTION("""COMPUTED_VALUE"""),49453)</f>
        <v>49453</v>
      </c>
      <c r="C2925" s="3">
        <f ca="1">IFERROR(__xludf.DUMMYFUNCTION("""COMPUTED_VALUE"""),5902557383306)</f>
        <v>5902557383306</v>
      </c>
      <c r="D2925" s="4" t="str">
        <f ca="1">IFERROR(__xludf.DUMMYFUNCTION("""COMPUTED_VALUE"""),"DOZOWNIK DO MYDŁA OKRAGŁY CHROM 330 ML")</f>
        <v>DOZOWNIK DO MYDŁA OKRAGŁY CHROM 330 ML</v>
      </c>
      <c r="E2925" s="31">
        <v>4.51219512195122</v>
      </c>
      <c r="F2925" s="31">
        <f t="shared" si="45"/>
        <v>5.5500000000000007</v>
      </c>
    </row>
    <row r="2926" spans="1:6" ht="18.75" customHeight="1" x14ac:dyDescent="0.25">
      <c r="A2926" s="2" t="str">
        <f ca="1">IFERROR(__xludf.DUMMYFUNCTION("""COMPUTED_VALUE"""),"BAT-05000")</f>
        <v>BAT-05000</v>
      </c>
      <c r="B2926" s="3">
        <f ca="1">IFERROR(__xludf.DUMMYFUNCTION("""COMPUTED_VALUE"""),49450)</f>
        <v>49450</v>
      </c>
      <c r="C2926" s="3">
        <f ca="1">IFERROR(__xludf.DUMMYFUNCTION("""COMPUTED_VALUE"""),5902557383276)</f>
        <v>5902557383276</v>
      </c>
      <c r="D2926" s="4" t="str">
        <f ca="1">IFERROR(__xludf.DUMMYFUNCTION("""COMPUTED_VALUE"""),"DOZOWNIK DO MYDŁA OKRAGŁY CZARNY 330 ML")</f>
        <v>DOZOWNIK DO MYDŁA OKRAGŁY CZARNY 330 ML</v>
      </c>
      <c r="E2926" s="31">
        <v>9.0243902439024399</v>
      </c>
      <c r="F2926" s="31">
        <f t="shared" si="45"/>
        <v>11.100000000000001</v>
      </c>
    </row>
    <row r="2927" spans="1:6" ht="18.75" customHeight="1" x14ac:dyDescent="0.25">
      <c r="A2927" s="2" t="str">
        <f ca="1">IFERROR(__xludf.DUMMYFUNCTION("""COMPUTED_VALUE"""),"BAT-05006")</f>
        <v>BAT-05006</v>
      </c>
      <c r="B2927" s="3">
        <f ca="1">IFERROR(__xludf.DUMMYFUNCTION("""COMPUTED_VALUE"""),53701)</f>
        <v>53701</v>
      </c>
      <c r="C2927" s="3">
        <f ca="1">IFERROR(__xludf.DUMMYFUNCTION("""COMPUTED_VALUE"""),5902557383320)</f>
        <v>5902557383320</v>
      </c>
      <c r="D2927" s="4" t="str">
        <f ca="1">IFERROR(__xludf.DUMMYFUNCTION("""COMPUTED_VALUE"""),"DOZOWNIK DO MYDŁA OKRĄGŁY MIEDŹ 330 ML")</f>
        <v>DOZOWNIK DO MYDŁA OKRĄGŁY MIEDŹ 330 ML</v>
      </c>
      <c r="E2927" s="31">
        <v>18.04878048780488</v>
      </c>
      <c r="F2927" s="31">
        <f t="shared" si="45"/>
        <v>22.200000000000003</v>
      </c>
    </row>
    <row r="2928" spans="1:6" ht="18.75" customHeight="1" x14ac:dyDescent="0.25">
      <c r="A2928" s="2" t="str">
        <f ca="1">IFERROR(__xludf.DUMMYFUNCTION("""COMPUTED_VALUE"""),"BAT-05005")</f>
        <v>BAT-05005</v>
      </c>
      <c r="B2928" s="3">
        <f ca="1">IFERROR(__xludf.DUMMYFUNCTION("""COMPUTED_VALUE"""),49454)</f>
        <v>49454</v>
      </c>
      <c r="C2928" s="3">
        <f ca="1">IFERROR(__xludf.DUMMYFUNCTION("""COMPUTED_VALUE"""),5902557383313)</f>
        <v>5902557383313</v>
      </c>
      <c r="D2928" s="4" t="str">
        <f ca="1">IFERROR(__xludf.DUMMYFUNCTION("""COMPUTED_VALUE"""),"DOZOWNIK DO MYDŁA OKRĄGŁY SZCZOTKOWAN NIKIEL 330ML")</f>
        <v>DOZOWNIK DO MYDŁA OKRĄGŁY SZCZOTKOWAN NIKIEL 330ML</v>
      </c>
      <c r="E2928" s="31">
        <v>4.51219512195122</v>
      </c>
      <c r="F2928" s="31">
        <f t="shared" si="45"/>
        <v>5.5500000000000007</v>
      </c>
    </row>
    <row r="2929" spans="1:6" ht="18.75" customHeight="1" x14ac:dyDescent="0.25">
      <c r="A2929" s="2" t="str">
        <f ca="1">IFERROR(__xludf.DUMMYFUNCTION("""COMPUTED_VALUE"""),"BAT-05001")</f>
        <v>BAT-05001</v>
      </c>
      <c r="B2929" s="3">
        <f ca="1">IFERROR(__xludf.DUMMYFUNCTION("""COMPUTED_VALUE"""),49451)</f>
        <v>49451</v>
      </c>
      <c r="C2929" s="3">
        <f ca="1">IFERROR(__xludf.DUMMYFUNCTION("""COMPUTED_VALUE"""),5902557383283)</f>
        <v>5902557383283</v>
      </c>
      <c r="D2929" s="4" t="str">
        <f ca="1">IFERROR(__xludf.DUMMYFUNCTION("""COMPUTED_VALUE"""),"DOZOWNIK DO MYDŁA OKRĄGŁY ZŁOTY 330 ML")</f>
        <v>DOZOWNIK DO MYDŁA OKRĄGŁY ZŁOTY 330 ML</v>
      </c>
      <c r="E2929" s="31">
        <v>9.0243902439024399</v>
      </c>
      <c r="F2929" s="31">
        <f t="shared" si="45"/>
        <v>11.100000000000001</v>
      </c>
    </row>
    <row r="2930" spans="1:6" ht="18.75" customHeight="1" x14ac:dyDescent="0.25">
      <c r="A2930" s="2" t="str">
        <f ca="1">IFERROR(__xludf.DUMMYFUNCTION("""COMPUTED_VALUE"""),"BAT-05002")</f>
        <v>BAT-05002</v>
      </c>
      <c r="B2930" s="3">
        <f ca="1">IFERROR(__xludf.DUMMYFUNCTION("""COMPUTED_VALUE"""),49452)</f>
        <v>49452</v>
      </c>
      <c r="C2930" s="3">
        <f ca="1">IFERROR(__xludf.DUMMYFUNCTION("""COMPUTED_VALUE"""),5902557383290)</f>
        <v>5902557383290</v>
      </c>
      <c r="D2930" s="4" t="str">
        <f ca="1">IFERROR(__xludf.DUMMYFUNCTION("""COMPUTED_VALUE"""),"DOZOWNIK DO MYDŁA OKRĄGŁY SZCZOTKOWANY ZŁOTY 330ML")</f>
        <v>DOZOWNIK DO MYDŁA OKRĄGŁY SZCZOTKOWANY ZŁOTY 330ML</v>
      </c>
      <c r="E2930" s="31">
        <v>9.0243902439024399</v>
      </c>
      <c r="F2930" s="31">
        <f t="shared" si="45"/>
        <v>11.100000000000001</v>
      </c>
    </row>
    <row r="2931" spans="1:6" ht="18.75" customHeight="1" x14ac:dyDescent="0.25">
      <c r="A2931" s="2" t="str">
        <f ca="1">IFERROR(__xludf.DUMMYFUNCTION("""COMPUTED_VALUE"""),"REA-77091")</f>
        <v>REA-77091</v>
      </c>
      <c r="B2931" s="3">
        <f ca="1">IFERROR(__xludf.DUMMYFUNCTION("""COMPUTED_VALUE"""),49517)</f>
        <v>49517</v>
      </c>
      <c r="C2931" s="3">
        <f ca="1">IFERROR(__xludf.DUMMYFUNCTION("""COMPUTED_VALUE"""),5902557384068)</f>
        <v>5902557384068</v>
      </c>
      <c r="D2931" s="4" t="str">
        <f ca="1">IFERROR(__xludf.DUMMYFUNCTION("""COMPUTED_VALUE"""),"322233B KUBEK ŁAZIENKOWY WISZĄCY BIAŁY LEO")</f>
        <v>322233B KUBEK ŁAZIENKOWY WISZĄCY BIAŁY LEO</v>
      </c>
      <c r="E2931" s="31">
        <v>18.04878048780488</v>
      </c>
      <c r="F2931" s="31">
        <f t="shared" si="45"/>
        <v>22.200000000000003</v>
      </c>
    </row>
    <row r="2932" spans="1:6" ht="18.75" customHeight="1" x14ac:dyDescent="0.25">
      <c r="A2932" s="2" t="str">
        <f ca="1">IFERROR(__xludf.DUMMYFUNCTION("""COMPUTED_VALUE"""),"REA-77049")</f>
        <v>REA-77049</v>
      </c>
      <c r="B2932" s="3">
        <f ca="1">IFERROR(__xludf.DUMMYFUNCTION("""COMPUTED_VALUE"""),49444)</f>
        <v>49444</v>
      </c>
      <c r="C2932" s="3">
        <f ca="1">IFERROR(__xludf.DUMMYFUNCTION("""COMPUTED_VALUE"""),5902557383382)</f>
        <v>5902557383382</v>
      </c>
      <c r="D2932" s="4" t="str">
        <f ca="1">IFERROR(__xludf.DUMMYFUNCTION("""COMPUTED_VALUE"""),"322185 KUBEK ŁAZIENKOWY WISZĄCY CZARNY TIL")</f>
        <v>322185 KUBEK ŁAZIENKOWY WISZĄCY CZARNY TIL</v>
      </c>
      <c r="E2932" s="31">
        <v>9.0243902439024399</v>
      </c>
      <c r="F2932" s="31">
        <f t="shared" si="45"/>
        <v>11.100000000000001</v>
      </c>
    </row>
    <row r="2933" spans="1:6" ht="18.75" customHeight="1" x14ac:dyDescent="0.25">
      <c r="A2933" s="2" t="str">
        <f ca="1">IFERROR(__xludf.DUMMYFUNCTION("""COMPUTED_VALUE"""),"REA-77070")</f>
        <v>REA-77070</v>
      </c>
      <c r="B2933" s="3">
        <f ca="1">IFERROR(__xludf.DUMMYFUNCTION("""COMPUTED_VALUE"""),49507)</f>
        <v>49507</v>
      </c>
      <c r="C2933" s="3">
        <f ca="1">IFERROR(__xludf.DUMMYFUNCTION("""COMPUTED_VALUE"""),5902557383993)</f>
        <v>5902557383993</v>
      </c>
      <c r="D2933" s="4" t="str">
        <f ca="1">IFERROR(__xludf.DUMMYFUNCTION("""COMPUTED_VALUE"""),"322189A KUBEK ŁAZIENKOWY WISZĄCY CZARNY MOON")</f>
        <v>322189A KUBEK ŁAZIENKOWY WISZĄCY CZARNY MOON</v>
      </c>
      <c r="E2933" s="31">
        <v>9.0243902439024399</v>
      </c>
      <c r="F2933" s="31">
        <f t="shared" si="45"/>
        <v>11.100000000000001</v>
      </c>
    </row>
    <row r="2934" spans="1:6" ht="18.75" customHeight="1" x14ac:dyDescent="0.25">
      <c r="A2934" s="2" t="str">
        <f ca="1">IFERROR(__xludf.DUMMYFUNCTION("""COMPUTED_VALUE"""),"REA-77039")</f>
        <v>REA-77039</v>
      </c>
      <c r="B2934" s="3">
        <f ca="1">IFERROR(__xludf.DUMMYFUNCTION("""COMPUTED_VALUE"""),49524)</f>
        <v>49524</v>
      </c>
      <c r="C2934" s="3">
        <f ca="1">IFERROR(__xludf.DUMMYFUNCTION("""COMPUTED_VALUE"""),5902557384143)</f>
        <v>5902557384143</v>
      </c>
      <c r="D2934" s="4" t="str">
        <f ca="1">IFERROR(__xludf.DUMMYFUNCTION("""COMPUTED_VALUE"""),"322211 KUBEK ŁAZIENKOWY WISZĄCY CZARNY")</f>
        <v>322211 KUBEK ŁAZIENKOWY WISZĄCY CZARNY</v>
      </c>
      <c r="E2934" s="31">
        <v>9.0243902439024399</v>
      </c>
      <c r="F2934" s="31">
        <f t="shared" si="45"/>
        <v>11.100000000000001</v>
      </c>
    </row>
    <row r="2935" spans="1:6" ht="18.75" customHeight="1" x14ac:dyDescent="0.25">
      <c r="A2935" s="2" t="str">
        <f ca="1">IFERROR(__xludf.DUMMYFUNCTION("""COMPUTED_VALUE"""),"REA-77094")</f>
        <v>REA-77094</v>
      </c>
      <c r="B2935" s="3">
        <f ca="1">IFERROR(__xludf.DUMMYFUNCTION("""COMPUTED_VALUE"""),49516)</f>
        <v>49516</v>
      </c>
      <c r="C2935" s="3">
        <f ca="1">IFERROR(__xludf.DUMMYFUNCTION("""COMPUTED_VALUE"""),5902557384051)</f>
        <v>5902557384051</v>
      </c>
      <c r="D2935" s="4" t="str">
        <f ca="1">IFERROR(__xludf.DUMMYFUNCTION("""COMPUTED_VALUE"""),"322233C KUBEK ŁAZIENKOWY WISZĄCY CZARNY LEO")</f>
        <v>322233C KUBEK ŁAZIENKOWY WISZĄCY CZARNY LEO</v>
      </c>
      <c r="E2935" s="31">
        <v>18.04878048780488</v>
      </c>
      <c r="F2935" s="31">
        <f t="shared" si="45"/>
        <v>22.200000000000003</v>
      </c>
    </row>
    <row r="2936" spans="1:6" ht="18.75" customHeight="1" x14ac:dyDescent="0.25">
      <c r="A2936" s="2" t="str">
        <f ca="1">IFERROR(__xludf.DUMMYFUNCTION("""COMPUTED_VALUE"""),"REA-77089")</f>
        <v>REA-77089</v>
      </c>
      <c r="B2936" s="3">
        <f ca="1">IFERROR(__xludf.DUMMYFUNCTION("""COMPUTED_VALUE"""),49514)</f>
        <v>49514</v>
      </c>
      <c r="C2936" s="3">
        <f ca="1">IFERROR(__xludf.DUMMYFUNCTION("""COMPUTED_VALUE"""),5902557384037)</f>
        <v>5902557384037</v>
      </c>
      <c r="D2936" s="4" t="str">
        <f ca="1">IFERROR(__xludf.DUMMYFUNCTION("""COMPUTED_VALUE"""),"322233A KUBEK ŁAZIENKOWY WISZĄCY TYTAN  LEO")</f>
        <v>322233A KUBEK ŁAZIENKOWY WISZĄCY TYTAN  LEO</v>
      </c>
      <c r="E2936" s="31">
        <v>31.585365853658541</v>
      </c>
      <c r="F2936" s="31">
        <f t="shared" si="45"/>
        <v>38.85</v>
      </c>
    </row>
    <row r="2937" spans="1:6" ht="18.75" customHeight="1" x14ac:dyDescent="0.25">
      <c r="A2937" s="2" t="str">
        <f ca="1">IFERROR(__xludf.DUMMYFUNCTION("""COMPUTED_VALUE"""),"REA-77036")</f>
        <v>REA-77036</v>
      </c>
      <c r="B2937" s="3">
        <f ca="1">IFERROR(__xludf.DUMMYFUNCTION("""COMPUTED_VALUE"""),50007)</f>
        <v>50007</v>
      </c>
      <c r="C2937" s="3">
        <f ca="1">IFERROR(__xludf.DUMMYFUNCTION("""COMPUTED_VALUE"""),5902557386833)</f>
        <v>5902557386833</v>
      </c>
      <c r="D2937" s="4" t="str">
        <f ca="1">IFERROR(__xludf.DUMMYFUNCTION("""COMPUTED_VALUE"""),"322224 KUBEK ŁAZIENKOWY WISZĄCY CHROM CRIS")</f>
        <v>322224 KUBEK ŁAZIENKOWY WISZĄCY CHROM CRIS</v>
      </c>
      <c r="E2937" s="31">
        <v>22.560975609756099</v>
      </c>
      <c r="F2937" s="31">
        <f t="shared" si="45"/>
        <v>27.75</v>
      </c>
    </row>
    <row r="2938" spans="1:6" ht="18.75" customHeight="1" x14ac:dyDescent="0.25">
      <c r="A2938" s="2" t="str">
        <f ca="1">IFERROR(__xludf.DUMMYFUNCTION("""COMPUTED_VALUE"""),"REA-77092")</f>
        <v>REA-77092</v>
      </c>
      <c r="B2938" s="3">
        <f ca="1">IFERROR(__xludf.DUMMYFUNCTION("""COMPUTED_VALUE"""),49445)</f>
        <v>49445</v>
      </c>
      <c r="C2938" s="3">
        <f ca="1">IFERROR(__xludf.DUMMYFUNCTION("""COMPUTED_VALUE"""),5902557383504)</f>
        <v>5902557383504</v>
      </c>
      <c r="D2938" s="4" t="str">
        <f ca="1">IFERROR(__xludf.DUMMYFUNCTION("""COMPUTED_VALUE"""),"322185A KUBEK ŁAZIENKOWY WISZĄCY ZŁOTY TIL")</f>
        <v>322185A KUBEK ŁAZIENKOWY WISZĄCY ZŁOTY TIL</v>
      </c>
      <c r="E2938" s="31">
        <v>13.536585365853661</v>
      </c>
      <c r="F2938" s="31">
        <f t="shared" si="45"/>
        <v>16.650000000000002</v>
      </c>
    </row>
    <row r="2939" spans="1:6" ht="18.75" customHeight="1" x14ac:dyDescent="0.25">
      <c r="A2939" s="2" t="str">
        <f ca="1">IFERROR(__xludf.DUMMYFUNCTION("""COMPUTED_VALUE"""),"REA-77063")</f>
        <v>REA-77063</v>
      </c>
      <c r="B2939" s="3">
        <f ca="1">IFERROR(__xludf.DUMMYFUNCTION("""COMPUTED_VALUE"""),49678)</f>
        <v>49678</v>
      </c>
      <c r="C2939" s="3">
        <f ca="1">IFERROR(__xludf.DUMMYFUNCTION("""COMPUTED_VALUE"""),5902557384648)</f>
        <v>5902557384648</v>
      </c>
      <c r="D2939" s="4" t="str">
        <f ca="1">IFERROR(__xludf.DUMMYFUNCTION("""COMPUTED_VALUE"""),"322189 KUBEK ŁAZIENKOWY WISZĄCY ZŁOTY MOON")</f>
        <v>322189 KUBEK ŁAZIENKOWY WISZĄCY ZŁOTY MOON</v>
      </c>
      <c r="E2939" s="31">
        <v>13.536585365853661</v>
      </c>
      <c r="F2939" s="31">
        <f t="shared" si="45"/>
        <v>16.650000000000002</v>
      </c>
    </row>
    <row r="2940" spans="1:6" ht="18.75" customHeight="1" x14ac:dyDescent="0.25">
      <c r="A2940" s="2" t="str">
        <f ca="1">IFERROR(__xludf.DUMMYFUNCTION("""COMPUTED_VALUE"""),"REA-77085")</f>
        <v>REA-77085</v>
      </c>
      <c r="B2940" s="3">
        <f ca="1">IFERROR(__xludf.DUMMYFUNCTION("""COMPUTED_VALUE"""),49559)</f>
        <v>49559</v>
      </c>
      <c r="C2940" s="3">
        <f ca="1">IFERROR(__xludf.DUMMYFUNCTION("""COMPUTED_VALUE"""),5902557384426)</f>
        <v>5902557384426</v>
      </c>
      <c r="D2940" s="4" t="str">
        <f ca="1">IFERROR(__xludf.DUMMYFUNCTION("""COMPUTED_VALUE"""),"322211A KUBEK ŁAZIENKOWY WISZĄCY ZŁOTY")</f>
        <v>322211A KUBEK ŁAZIENKOWY WISZĄCY ZŁOTY</v>
      </c>
      <c r="E2940" s="31">
        <v>9.0243902439024399</v>
      </c>
      <c r="F2940" s="31">
        <f t="shared" si="45"/>
        <v>11.100000000000001</v>
      </c>
    </row>
    <row r="2941" spans="1:6" ht="18.75" customHeight="1" x14ac:dyDescent="0.25">
      <c r="A2941" s="2" t="str">
        <f ca="1">IFERROR(__xludf.DUMMYFUNCTION("""COMPUTED_VALUE"""),"REA-77040")</f>
        <v>REA-77040</v>
      </c>
      <c r="B2941" s="3">
        <f ca="1">IFERROR(__xludf.DUMMYFUNCTION("""COMPUTED_VALUE"""),50006)</f>
        <v>50006</v>
      </c>
      <c r="C2941" s="3">
        <f ca="1">IFERROR(__xludf.DUMMYFUNCTION("""COMPUTED_VALUE"""),5902557386819)</f>
        <v>5902557386819</v>
      </c>
      <c r="D2941" s="4" t="str">
        <f ca="1">IFERROR(__xludf.DUMMYFUNCTION("""COMPUTED_VALUE"""),"322224B KUBEK ŁAZIENKOWY WISZĄCY ZŁOTY CRIS")</f>
        <v>322224B KUBEK ŁAZIENKOWY WISZĄCY ZŁOTY CRIS</v>
      </c>
      <c r="E2941" s="31">
        <v>36.09756097560976</v>
      </c>
      <c r="F2941" s="31">
        <f t="shared" si="45"/>
        <v>44.400000000000006</v>
      </c>
    </row>
    <row r="2942" spans="1:6" ht="18.75" customHeight="1" x14ac:dyDescent="0.25">
      <c r="A2942" s="2" t="str">
        <f ca="1">IFERROR(__xludf.DUMMYFUNCTION("""COMPUTED_VALUE"""),"REA-77087")</f>
        <v>REA-77087</v>
      </c>
      <c r="B2942" s="3">
        <f ca="1">IFERROR(__xludf.DUMMYFUNCTION("""COMPUTED_VALUE"""),49521)</f>
        <v>49521</v>
      </c>
      <c r="C2942" s="3">
        <f ca="1">IFERROR(__xludf.DUMMYFUNCTION("""COMPUTED_VALUE"""),5902557384099)</f>
        <v>5902557384099</v>
      </c>
      <c r="D2942" s="4" t="str">
        <f ca="1">IFERROR(__xludf.DUMMYFUNCTION("""COMPUTED_VALUE"""),"322233 KUBEK ŁAZIENKOWY WISZĄCY ZŁOTY SZCZOTKOWANY")</f>
        <v>322233 KUBEK ŁAZIENKOWY WISZĄCY ZŁOTY SZCZOTKOWANY</v>
      </c>
      <c r="E2942" s="31">
        <v>27.073170731707322</v>
      </c>
      <c r="F2942" s="31">
        <f t="shared" si="45"/>
        <v>33.300000000000004</v>
      </c>
    </row>
    <row r="2943" spans="1:6" ht="18.75" customHeight="1" x14ac:dyDescent="0.25">
      <c r="A2943" s="2" t="str">
        <f ca="1">IFERROR(__xludf.DUMMYFUNCTION("""COMPUTED_VALUE"""),"REA-77053")</f>
        <v>REA-77053</v>
      </c>
      <c r="B2943" s="3">
        <f ca="1">IFERROR(__xludf.DUMMYFUNCTION("""COMPUTED_VALUE"""),49529)</f>
        <v>49529</v>
      </c>
      <c r="C2943" s="3">
        <f ca="1">IFERROR(__xludf.DUMMYFUNCTION("""COMPUTED_VALUE"""),5902557384136)</f>
        <v>5902557384136</v>
      </c>
      <c r="D2943" s="4" t="str">
        <f ca="1">IFERROR(__xludf.DUMMYFUNCTION("""COMPUTED_VALUE"""),"322218 MYDELNICZKA WISZĄCA NIKIEL SZCZOTK DUO")</f>
        <v>322218 MYDELNICZKA WISZĄCA NIKIEL SZCZOTK DUO</v>
      </c>
      <c r="E2943" s="31">
        <v>18.04878048780488</v>
      </c>
      <c r="F2943" s="31">
        <f t="shared" si="45"/>
        <v>22.200000000000003</v>
      </c>
    </row>
    <row r="2944" spans="1:6" ht="18.75" customHeight="1" x14ac:dyDescent="0.25">
      <c r="A2944" s="2" t="str">
        <f ca="1">IFERROR(__xludf.DUMMYFUNCTION("""COMPUTED_VALUE"""),"REA-77038")</f>
        <v>REA-77038</v>
      </c>
      <c r="B2944" s="3">
        <f ca="1">IFERROR(__xludf.DUMMYFUNCTION("""COMPUTED_VALUE"""),49612)</f>
        <v>49612</v>
      </c>
      <c r="C2944" s="3">
        <f ca="1">IFERROR(__xludf.DUMMYFUNCTION("""COMPUTED_VALUE"""),5902557384594)</f>
        <v>5902557384594</v>
      </c>
      <c r="D2944" s="4" t="str">
        <f ca="1">IFERROR(__xludf.DUMMYFUNCTION("""COMPUTED_VALUE"""),"322190A MYDELNICZKA WISZĄCA CZARNA")</f>
        <v>322190A MYDELNICZKA WISZĄCA CZARNA</v>
      </c>
      <c r="E2944" s="31">
        <v>13.536585365853661</v>
      </c>
      <c r="F2944" s="31">
        <f t="shared" si="45"/>
        <v>16.650000000000002</v>
      </c>
    </row>
    <row r="2945" spans="1:6" ht="18.75" customHeight="1" x14ac:dyDescent="0.25">
      <c r="A2945" s="2" t="str">
        <f ca="1">IFERROR(__xludf.DUMMYFUNCTION("""COMPUTED_VALUE"""),"REA-77078")</f>
        <v>REA-77078</v>
      </c>
      <c r="B2945" s="3">
        <f ca="1">IFERROR(__xludf.DUMMYFUNCTION("""COMPUTED_VALUE"""),49523)</f>
        <v>49523</v>
      </c>
      <c r="C2945" s="3">
        <f ca="1">IFERROR(__xludf.DUMMYFUNCTION("""COMPUTED_VALUE"""),5902557384129)</f>
        <v>5902557384129</v>
      </c>
      <c r="D2945" s="4" t="str">
        <f ca="1">IFERROR(__xludf.DUMMYFUNCTION("""COMPUTED_VALUE"""),"322218A MYDELNICZKA WISZĄCA CZARNA DUO")</f>
        <v>322218A MYDELNICZKA WISZĄCA CZARNA DUO</v>
      </c>
      <c r="E2945" s="31">
        <v>18.04878048780488</v>
      </c>
      <c r="F2945" s="31">
        <f t="shared" ref="F2945:F3008" si="46">E2945*1.23</f>
        <v>22.200000000000003</v>
      </c>
    </row>
    <row r="2946" spans="1:6" ht="18.75" customHeight="1" x14ac:dyDescent="0.25">
      <c r="A2946" s="2" t="str">
        <f ca="1">IFERROR(__xludf.DUMMYFUNCTION("""COMPUTED_VALUE"""),"REA-77042")</f>
        <v>REA-77042</v>
      </c>
      <c r="B2946" s="3">
        <f ca="1">IFERROR(__xludf.DUMMYFUNCTION("""COMPUTED_VALUE"""),50018)</f>
        <v>50018</v>
      </c>
      <c r="C2946" s="3">
        <f ca="1">IFERROR(__xludf.DUMMYFUNCTION("""COMPUTED_VALUE"""),5902557386864)</f>
        <v>5902557386864</v>
      </c>
      <c r="D2946" s="4" t="str">
        <f ca="1">IFERROR(__xludf.DUMMYFUNCTION("""COMPUTED_VALUE"""),"322225 MYDELNICZKA CHROM CRIST")</f>
        <v>322225 MYDELNICZKA CHROM CRIST</v>
      </c>
      <c r="E2946" s="31">
        <v>27.073170731707322</v>
      </c>
      <c r="F2946" s="31">
        <f t="shared" si="46"/>
        <v>33.300000000000004</v>
      </c>
    </row>
    <row r="2947" spans="1:6" ht="18.75" customHeight="1" x14ac:dyDescent="0.25">
      <c r="A2947" s="2" t="str">
        <f ca="1">IFERROR(__xludf.DUMMYFUNCTION("""COMPUTED_VALUE"""),"REA-77037")</f>
        <v>REA-77037</v>
      </c>
      <c r="B2947" s="3">
        <f ca="1">IFERROR(__xludf.DUMMYFUNCTION("""COMPUTED_VALUE"""),50019)</f>
        <v>50019</v>
      </c>
      <c r="C2947" s="3">
        <f ca="1">IFERROR(__xludf.DUMMYFUNCTION("""COMPUTED_VALUE"""),5902557386871)</f>
        <v>5902557386871</v>
      </c>
      <c r="D2947" s="4" t="str">
        <f ca="1">IFERROR(__xludf.DUMMYFUNCTION("""COMPUTED_VALUE"""),"322190 MYDELNICZKA WISZĄCA ZŁOTA")</f>
        <v>322190 MYDELNICZKA WISZĄCA ZŁOTA</v>
      </c>
      <c r="E2947" s="31">
        <v>13.536585365853661</v>
      </c>
      <c r="F2947" s="31">
        <f t="shared" si="46"/>
        <v>16.650000000000002</v>
      </c>
    </row>
    <row r="2948" spans="1:6" ht="18.75" customHeight="1" x14ac:dyDescent="0.25">
      <c r="A2948" s="2" t="str">
        <f ca="1">IFERROR(__xludf.DUMMYFUNCTION("""COMPUTED_VALUE"""),"REA-77054")</f>
        <v>REA-77054</v>
      </c>
      <c r="B2948" s="3">
        <f ca="1">IFERROR(__xludf.DUMMYFUNCTION("""COMPUTED_VALUE"""),49525)</f>
        <v>49525</v>
      </c>
      <c r="C2948" s="3">
        <f ca="1">IFERROR(__xludf.DUMMYFUNCTION("""COMPUTED_VALUE"""),5902557384112)</f>
        <v>5902557384112</v>
      </c>
      <c r="D2948" s="4" t="str">
        <f ca="1">IFERROR(__xludf.DUMMYFUNCTION("""COMPUTED_VALUE"""),"322218B MYDELNICZKA WISZĄCA ZŁOTY")</f>
        <v>322218B MYDELNICZKA WISZĄCA ZŁOTY</v>
      </c>
      <c r="E2948" s="31">
        <v>27.073170731707322</v>
      </c>
      <c r="F2948" s="31">
        <f t="shared" si="46"/>
        <v>33.300000000000004</v>
      </c>
    </row>
    <row r="2949" spans="1:6" ht="18.75" customHeight="1" x14ac:dyDescent="0.25">
      <c r="A2949" s="2" t="str">
        <f ca="1">IFERROR(__xludf.DUMMYFUNCTION("""COMPUTED_VALUE"""),"REA-77045")</f>
        <v>REA-77045</v>
      </c>
      <c r="B2949" s="3">
        <f ca="1">IFERROR(__xludf.DUMMYFUNCTION("""COMPUTED_VALUE"""),50017)</f>
        <v>50017</v>
      </c>
      <c r="C2949" s="3">
        <f ca="1">IFERROR(__xludf.DUMMYFUNCTION("""COMPUTED_VALUE"""),5902557386857)</f>
        <v>5902557386857</v>
      </c>
      <c r="D2949" s="4" t="str">
        <f ca="1">IFERROR(__xludf.DUMMYFUNCTION("""COMPUTED_VALUE"""),"322225B MYDELNICZKA ZŁOTA CRIS")</f>
        <v>322225B MYDELNICZKA ZŁOTA CRIS</v>
      </c>
      <c r="E2949" s="31">
        <v>36.09756097560976</v>
      </c>
      <c r="F2949" s="31">
        <f t="shared" si="46"/>
        <v>44.400000000000006</v>
      </c>
    </row>
    <row r="2950" spans="1:6" ht="18.75" customHeight="1" x14ac:dyDescent="0.25">
      <c r="A2950" s="2" t="str">
        <f ca="1">IFERROR(__xludf.DUMMYFUNCTION("""COMPUTED_VALUE"""),"HOM-07012")</f>
        <v>HOM-07012</v>
      </c>
      <c r="B2950" s="3">
        <f ca="1">IFERROR(__xludf.DUMMYFUNCTION("""COMPUTED_VALUE"""),49776)</f>
        <v>49776</v>
      </c>
      <c r="C2950" s="3">
        <f ca="1">IFERROR(__xludf.DUMMYFUNCTION("""COMPUTED_VALUE"""),5902557386635)</f>
        <v>5902557386635</v>
      </c>
      <c r="D2950" s="4" t="str">
        <f ca="1">IFERROR(__xludf.DUMMYFUNCTION("""COMPUTED_VALUE"""),"REA 322737 POJEMNIK BAMBUSOWY")</f>
        <v>REA 322737 POJEMNIK BAMBUSOWY</v>
      </c>
      <c r="E2950" s="31">
        <v>9.0243902439024399</v>
      </c>
      <c r="F2950" s="31">
        <f t="shared" si="46"/>
        <v>11.100000000000001</v>
      </c>
    </row>
    <row r="2951" spans="1:6" ht="18.75" customHeight="1" x14ac:dyDescent="0.25">
      <c r="A2951" s="2" t="str">
        <f ca="1">IFERROR(__xludf.DUMMYFUNCTION("""COMPUTED_VALUE"""),"REA-07016")</f>
        <v>REA-07016</v>
      </c>
      <c r="B2951" s="3">
        <f ca="1">IFERROR(__xludf.DUMMYFUNCTION("""COMPUTED_VALUE"""),49772)</f>
        <v>49772</v>
      </c>
      <c r="C2951" s="3">
        <f ca="1">IFERROR(__xludf.DUMMYFUNCTION("""COMPUTED_VALUE"""),5902557386604)</f>
        <v>5902557386604</v>
      </c>
      <c r="D2951" s="4" t="str">
        <f ca="1">IFERROR(__xludf.DUMMYFUNCTION("""COMPUTED_VALUE"""),"322743B POJEMNIK NA PAPIER CHROM")</f>
        <v>322743B POJEMNIK NA PAPIER CHROM</v>
      </c>
      <c r="E2951" s="31">
        <v>13.536585365853661</v>
      </c>
      <c r="F2951" s="31">
        <f t="shared" si="46"/>
        <v>16.650000000000002</v>
      </c>
    </row>
    <row r="2952" spans="1:6" ht="18.75" customHeight="1" x14ac:dyDescent="0.25">
      <c r="A2952" s="2" t="str">
        <f ca="1">IFERROR(__xludf.DUMMYFUNCTION("""COMPUTED_VALUE"""),"REA-07014")</f>
        <v>REA-07014</v>
      </c>
      <c r="B2952" s="3">
        <f ca="1">IFERROR(__xludf.DUMMYFUNCTION("""COMPUTED_VALUE"""),49774)</f>
        <v>49774</v>
      </c>
      <c r="C2952" s="3">
        <f ca="1">IFERROR(__xludf.DUMMYFUNCTION("""COMPUTED_VALUE"""),5902557386628)</f>
        <v>5902557386628</v>
      </c>
      <c r="D2952" s="4" t="str">
        <f ca="1">IFERROR(__xludf.DUMMYFUNCTION("""COMPUTED_VALUE"""),"322743A POJEMNIK NA PAPIER CZARNY")</f>
        <v>322743A POJEMNIK NA PAPIER CZARNY</v>
      </c>
      <c r="E2952" s="31">
        <v>9.0243902439024399</v>
      </c>
      <c r="F2952" s="31">
        <f t="shared" si="46"/>
        <v>11.100000000000001</v>
      </c>
    </row>
    <row r="2953" spans="1:6" ht="18.75" customHeight="1" x14ac:dyDescent="0.25">
      <c r="A2953" s="2" t="str">
        <f ca="1">IFERROR(__xludf.DUMMYFUNCTION("""COMPUTED_VALUE"""),"REA-07013")</f>
        <v>REA-07013</v>
      </c>
      <c r="B2953" s="3">
        <f ca="1">IFERROR(__xludf.DUMMYFUNCTION("""COMPUTED_VALUE"""),49773)</f>
        <v>49773</v>
      </c>
      <c r="C2953" s="3">
        <f ca="1">IFERROR(__xludf.DUMMYFUNCTION("""COMPUTED_VALUE"""),5902557386611)</f>
        <v>5902557386611</v>
      </c>
      <c r="D2953" s="4" t="str">
        <f ca="1">IFERROR(__xludf.DUMMYFUNCTION("""COMPUTED_VALUE"""),"322743 POJEMNIK NA PAPIER MIEDZIANY")</f>
        <v>322743 POJEMNIK NA PAPIER MIEDZIANY</v>
      </c>
      <c r="E2953" s="31">
        <v>9.0243902439024399</v>
      </c>
      <c r="F2953" s="31">
        <f t="shared" si="46"/>
        <v>11.100000000000001</v>
      </c>
    </row>
    <row r="2954" spans="1:6" ht="18.75" customHeight="1" x14ac:dyDescent="0.25">
      <c r="A2954" s="2" t="str">
        <f ca="1">IFERROR(__xludf.DUMMYFUNCTION("""COMPUTED_VALUE"""),"REA-07017")</f>
        <v>REA-07017</v>
      </c>
      <c r="B2954" s="3">
        <f ca="1">IFERROR(__xludf.DUMMYFUNCTION("""COMPUTED_VALUE"""),49771)</f>
        <v>49771</v>
      </c>
      <c r="C2954" s="3">
        <f ca="1">IFERROR(__xludf.DUMMYFUNCTION("""COMPUTED_VALUE"""),5902557386598)</f>
        <v>5902557386598</v>
      </c>
      <c r="D2954" s="4" t="str">
        <f ca="1">IFERROR(__xludf.DUMMYFUNCTION("""COMPUTED_VALUE"""),"322743C POJEMNIK NA PAPIER ZŁOTY")</f>
        <v>322743C POJEMNIK NA PAPIER ZŁOTY</v>
      </c>
      <c r="E2954" s="31">
        <v>13.536585365853661</v>
      </c>
      <c r="F2954" s="31">
        <f t="shared" si="46"/>
        <v>16.650000000000002</v>
      </c>
    </row>
    <row r="2955" spans="1:6" ht="18.75" customHeight="1" x14ac:dyDescent="0.25">
      <c r="A2955" s="2" t="str">
        <f ca="1">IFERROR(__xludf.DUMMYFUNCTION("""COMPUTED_VALUE"""),"REA-06014")</f>
        <v>REA-06014</v>
      </c>
      <c r="B2955" s="3">
        <f ca="1">IFERROR(__xludf.DUMMYFUNCTION("""COMPUTED_VALUE"""),52733)</f>
        <v>52733</v>
      </c>
      <c r="C2955" s="3">
        <f ca="1">IFERROR(__xludf.DUMMYFUNCTION("""COMPUTED_VALUE"""),5902557398508)</f>
        <v>5902557398508</v>
      </c>
      <c r="D2955" s="4" t="str">
        <f ca="1">IFERROR(__xludf.DUMMYFUNCTION("""COMPUTED_VALUE"""),"PÓŁKA ŁAZIENKOWA SF05-B BLACK")</f>
        <v>PÓŁKA ŁAZIENKOWA SF05-B BLACK</v>
      </c>
      <c r="E2955" s="31">
        <v>31.585365853658541</v>
      </c>
      <c r="F2955" s="31">
        <f t="shared" si="46"/>
        <v>38.85</v>
      </c>
    </row>
    <row r="2956" spans="1:6" ht="18.75" customHeight="1" x14ac:dyDescent="0.25">
      <c r="A2956" s="2" t="str">
        <f ca="1">IFERROR(__xludf.DUMMYFUNCTION("""COMPUTED_VALUE"""),"REA-06015")</f>
        <v>REA-06015</v>
      </c>
      <c r="B2956" s="3">
        <f ca="1">IFERROR(__xludf.DUMMYFUNCTION("""COMPUTED_VALUE"""),52734)</f>
        <v>52734</v>
      </c>
      <c r="C2956" s="3">
        <f ca="1">IFERROR(__xludf.DUMMYFUNCTION("""COMPUTED_VALUE"""),5902557398492)</f>
        <v>5902557398492</v>
      </c>
      <c r="D2956" s="4" t="str">
        <f ca="1">IFERROR(__xludf.DUMMYFUNCTION("""COMPUTED_VALUE"""),"PÓŁKA ŁAZIENKOWA SF05-BG BRUSH GOLD")</f>
        <v>PÓŁKA ŁAZIENKOWA SF05-BG BRUSH GOLD</v>
      </c>
      <c r="E2956" s="31">
        <v>40.609756097560982</v>
      </c>
      <c r="F2956" s="31">
        <f t="shared" si="46"/>
        <v>49.95000000000001</v>
      </c>
    </row>
    <row r="2957" spans="1:6" ht="18.75" customHeight="1" x14ac:dyDescent="0.25">
      <c r="A2957" s="2" t="str">
        <f ca="1">IFERROR(__xludf.DUMMYFUNCTION("""COMPUTED_VALUE"""),"REA-06002")</f>
        <v>REA-06002</v>
      </c>
      <c r="B2957" s="3">
        <f ca="1">IFERROR(__xludf.DUMMYFUNCTION("""COMPUTED_VALUE"""),52721)</f>
        <v>52721</v>
      </c>
      <c r="C2957" s="3">
        <f ca="1">IFERROR(__xludf.DUMMYFUNCTION("""COMPUTED_VALUE"""),5902557398379)</f>
        <v>5902557398379</v>
      </c>
      <c r="D2957" s="4" t="str">
        <f ca="1">IFERROR(__xludf.DUMMYFUNCTION("""COMPUTED_VALUE"""),"PÓŁKA ŁAZIENKOWA SF01-600-B BLACK")</f>
        <v>PÓŁKA ŁAZIENKOWA SF01-600-B BLACK</v>
      </c>
      <c r="E2957" s="31">
        <v>49.634146341463421</v>
      </c>
      <c r="F2957" s="31">
        <f t="shared" si="46"/>
        <v>61.050000000000004</v>
      </c>
    </row>
    <row r="2958" spans="1:6" ht="18.75" customHeight="1" x14ac:dyDescent="0.25">
      <c r="A2958" s="2" t="str">
        <f ca="1">IFERROR(__xludf.DUMMYFUNCTION("""COMPUTED_VALUE"""),"REA-06003")</f>
        <v>REA-06003</v>
      </c>
      <c r="B2958" s="3">
        <f ca="1">IFERROR(__xludf.DUMMYFUNCTION("""COMPUTED_VALUE"""),52723)</f>
        <v>52723</v>
      </c>
      <c r="C2958" s="3">
        <f ca="1">IFERROR(__xludf.DUMMYFUNCTION("""COMPUTED_VALUE"""),5902557398386)</f>
        <v>5902557398386</v>
      </c>
      <c r="D2958" s="4" t="str">
        <f ca="1">IFERROR(__xludf.DUMMYFUNCTION("""COMPUTED_VALUE"""),"PÓŁKA ŁAZIENKOWA SF01-600-BG BRUSH GOLD")</f>
        <v>PÓŁKA ŁAZIENKOWA SF01-600-BG BRUSH GOLD</v>
      </c>
      <c r="E2958" s="31">
        <v>54.146341463414643</v>
      </c>
      <c r="F2958" s="31">
        <f t="shared" si="46"/>
        <v>66.600000000000009</v>
      </c>
    </row>
    <row r="2959" spans="1:6" ht="18.75" customHeight="1" x14ac:dyDescent="0.25">
      <c r="A2959" s="2" t="str">
        <f ca="1">IFERROR(__xludf.DUMMYFUNCTION("""COMPUTED_VALUE"""),"REA-K7700")</f>
        <v>REA-K7700</v>
      </c>
      <c r="B2959" s="3">
        <f ca="1">IFERROR(__xludf.DUMMYFUNCTION("""COMPUTED_VALUE"""),49486)</f>
        <v>49486</v>
      </c>
      <c r="C2959" s="3">
        <f ca="1">IFERROR(__xludf.DUMMYFUNCTION("""COMPUTED_VALUE"""),5902557378043)</f>
        <v>5902557378043</v>
      </c>
      <c r="D2959" s="4" t="str">
        <f ca="1">IFERROR(__xludf.DUMMYFUNCTION("""COMPUTED_VALUE"""),"PRZEDŁUŻKA 30cm CHROM")</f>
        <v>PRZEDŁUŻKA 30cm CHROM</v>
      </c>
      <c r="E2959" s="31">
        <v>18.04878048780488</v>
      </c>
      <c r="F2959" s="31">
        <f t="shared" si="46"/>
        <v>22.200000000000003</v>
      </c>
    </row>
    <row r="2960" spans="1:6" ht="18.75" customHeight="1" x14ac:dyDescent="0.25">
      <c r="A2960" s="2" t="str">
        <f ca="1">IFERROR(__xludf.DUMMYFUNCTION("""COMPUTED_VALUE"""),"REA-K7701")</f>
        <v>REA-K7701</v>
      </c>
      <c r="B2960" s="3">
        <f ca="1">IFERROR(__xludf.DUMMYFUNCTION("""COMPUTED_VALUE"""),49492)</f>
        <v>49492</v>
      </c>
      <c r="C2960" s="3">
        <f ca="1">IFERROR(__xludf.DUMMYFUNCTION("""COMPUTED_VALUE"""),5902557378050)</f>
        <v>5902557378050</v>
      </c>
      <c r="D2960" s="4" t="str">
        <f ca="1">IFERROR(__xludf.DUMMYFUNCTION("""COMPUTED_VALUE"""),"PRZEDŁUŻKA 30cm CZARNY")</f>
        <v>PRZEDŁUŻKA 30cm CZARNY</v>
      </c>
      <c r="E2960" s="31">
        <v>18.04878048780488</v>
      </c>
      <c r="F2960" s="31">
        <f t="shared" si="46"/>
        <v>22.200000000000003</v>
      </c>
    </row>
    <row r="2961" spans="1:6" ht="18.75" customHeight="1" x14ac:dyDescent="0.25">
      <c r="A2961" s="2" t="str">
        <f ca="1">IFERROR(__xludf.DUMMYFUNCTION("""COMPUTED_VALUE"""),"REA-K7702")</f>
        <v>REA-K7702</v>
      </c>
      <c r="B2961" s="3">
        <f ca="1">IFERROR(__xludf.DUMMYFUNCTION("""COMPUTED_VALUE"""),49488)</f>
        <v>49488</v>
      </c>
      <c r="C2961" s="3">
        <f ca="1">IFERROR(__xludf.DUMMYFUNCTION("""COMPUTED_VALUE"""),5902557378067)</f>
        <v>5902557378067</v>
      </c>
      <c r="D2961" s="4" t="str">
        <f ca="1">IFERROR(__xludf.DUMMYFUNCTION("""COMPUTED_VALUE"""),"PRZEDŁUŻKA 30cm ZŁOTY")</f>
        <v>PRZEDŁUŻKA 30cm ZŁOTY</v>
      </c>
      <c r="E2961" s="31">
        <v>22.560975609756099</v>
      </c>
      <c r="F2961" s="31">
        <f t="shared" si="46"/>
        <v>27.75</v>
      </c>
    </row>
    <row r="2962" spans="1:6" ht="18.75" customHeight="1" x14ac:dyDescent="0.25">
      <c r="A2962" s="2" t="str">
        <f ca="1">IFERROR(__xludf.DUMMYFUNCTION("""COMPUTED_VALUE"""),"HOM-07500")</f>
        <v>HOM-07500</v>
      </c>
      <c r="B2962" s="3">
        <f ca="1">IFERROR(__xludf.DUMMYFUNCTION("""COMPUTED_VALUE"""),30282)</f>
        <v>30282</v>
      </c>
      <c r="C2962" s="3">
        <f ca="1">IFERROR(__xludf.DUMMYFUNCTION("""COMPUTED_VALUE"""),5902557348596)</f>
        <v>5902557348596</v>
      </c>
      <c r="D2962" s="4" t="str">
        <f ca="1">IFERROR(__xludf.DUMMYFUNCTION("""COMPUTED_VALUE"""),"REA STOJAK WC CHROM BAMBUSOWY 390228")</f>
        <v>REA STOJAK WC CHROM BAMBUSOWY 390228</v>
      </c>
      <c r="E2962" s="31">
        <v>36.09756097560976</v>
      </c>
      <c r="F2962" s="31">
        <f t="shared" si="46"/>
        <v>44.400000000000006</v>
      </c>
    </row>
    <row r="2963" spans="1:6" ht="18.75" customHeight="1" x14ac:dyDescent="0.25">
      <c r="A2963" s="2" t="str">
        <f ca="1">IFERROR(__xludf.DUMMYFUNCTION("""COMPUTED_VALUE"""),"HOM-04859")</f>
        <v>HOM-04859</v>
      </c>
      <c r="B2963" s="3">
        <f ca="1">IFERROR(__xludf.DUMMYFUNCTION("""COMPUTED_VALUE"""),53552)</f>
        <v>53552</v>
      </c>
      <c r="C2963" s="3">
        <f ca="1">IFERROR(__xludf.DUMMYFUNCTION("""COMPUTED_VALUE"""),5906366006708)</f>
        <v>5906366006708</v>
      </c>
      <c r="D2963" s="4" t="str">
        <f ca="1">IFERROR(__xludf.DUMMYFUNCTION("""COMPUTED_VALUE"""),"REA STOJAK WC 332871 ZŁOTY")</f>
        <v>REA STOJAK WC 332871 ZŁOTY</v>
      </c>
      <c r="E2963" s="31">
        <v>31.585365853658541</v>
      </c>
      <c r="F2963" s="31">
        <f t="shared" si="46"/>
        <v>38.85</v>
      </c>
    </row>
    <row r="2964" spans="1:6" ht="18.75" customHeight="1" x14ac:dyDescent="0.25">
      <c r="A2964" s="2" t="str">
        <f ca="1">IFERROR(__xludf.DUMMYFUNCTION("""COMPUTED_VALUE"""),"HOM-04860")</f>
        <v>HOM-04860</v>
      </c>
      <c r="B2964" s="3">
        <f ca="1">IFERROR(__xludf.DUMMYFUNCTION("""COMPUTED_VALUE"""),53560)</f>
        <v>53560</v>
      </c>
      <c r="C2964" s="3">
        <f ca="1">IFERROR(__xludf.DUMMYFUNCTION("""COMPUTED_VALUE"""),5906366006692)</f>
        <v>5906366006692</v>
      </c>
      <c r="D2964" s="4" t="str">
        <f ca="1">IFERROR(__xludf.DUMMYFUNCTION("""COMPUTED_VALUE"""),"REA STOJAK WC 332872 ZŁOTY")</f>
        <v>REA STOJAK WC 332872 ZŁOTY</v>
      </c>
      <c r="E2964" s="31">
        <v>36.09756097560976</v>
      </c>
      <c r="F2964" s="31">
        <f t="shared" si="46"/>
        <v>44.400000000000006</v>
      </c>
    </row>
    <row r="2965" spans="1:6" ht="18.75" customHeight="1" x14ac:dyDescent="0.25">
      <c r="A2965" s="2" t="str">
        <f ca="1">IFERROR(__xludf.DUMMYFUNCTION("""COMPUTED_VALUE"""),"HOM-00015")</f>
        <v>HOM-00015</v>
      </c>
      <c r="B2965" s="3">
        <f ca="1">IFERROR(__xludf.DUMMYFUNCTION("""COMPUTED_VALUE"""),26394)</f>
        <v>26394</v>
      </c>
      <c r="C2965" s="3">
        <f ca="1">IFERROR(__xludf.DUMMYFUNCTION("""COMPUTED_VALUE"""),5902557334698)</f>
        <v>5902557334698</v>
      </c>
      <c r="D2965" s="4" t="str">
        <f ca="1">IFERROR(__xludf.DUMMYFUNCTION("""COMPUTED_VALUE"""),"REA STOJAK BAMBUSOWY WC 381757")</f>
        <v>REA STOJAK BAMBUSOWY WC 381757</v>
      </c>
      <c r="E2965" s="31">
        <v>31.585365853658541</v>
      </c>
      <c r="F2965" s="31">
        <f t="shared" si="46"/>
        <v>38.85</v>
      </c>
    </row>
    <row r="2966" spans="1:6" ht="18.75" customHeight="1" x14ac:dyDescent="0.25">
      <c r="A2966" s="2" t="str">
        <f ca="1">IFERROR(__xludf.DUMMYFUNCTION("""COMPUTED_VALUE"""),"REA-77028")</f>
        <v>REA-77028</v>
      </c>
      <c r="B2966" s="3">
        <f ca="1">IFERROR(__xludf.DUMMYFUNCTION("""COMPUTED_VALUE"""),49519)</f>
        <v>49519</v>
      </c>
      <c r="C2966" s="3">
        <f ca="1">IFERROR(__xludf.DUMMYFUNCTION("""COMPUTED_VALUE"""),5902557384082)</f>
        <v>5902557384082</v>
      </c>
      <c r="D2966" s="4" t="str">
        <f ca="1">IFERROR(__xludf.DUMMYFUNCTION("""COMPUTED_VALUE"""),"322200 SZCZOTKA WC CZARNA HILL")</f>
        <v>322200 SZCZOTKA WC CZARNA HILL</v>
      </c>
      <c r="E2966" s="31">
        <v>18.04878048780488</v>
      </c>
      <c r="F2966" s="31">
        <f t="shared" si="46"/>
        <v>22.200000000000003</v>
      </c>
    </row>
    <row r="2967" spans="1:6" ht="18.75" customHeight="1" x14ac:dyDescent="0.25">
      <c r="A2967" s="2" t="str">
        <f ca="1">IFERROR(__xludf.DUMMYFUNCTION("""COMPUTED_VALUE"""),"REA-77097")</f>
        <v>REA-77097</v>
      </c>
      <c r="B2967" s="3">
        <f ca="1">IFERROR(__xludf.DUMMYFUNCTION("""COMPUTED_VALUE"""),49590)</f>
        <v>49590</v>
      </c>
      <c r="C2967" s="3">
        <f ca="1">IFERROR(__xludf.DUMMYFUNCTION("""COMPUTED_VALUE"""),5902557384549)</f>
        <v>5902557384549</v>
      </c>
      <c r="D2967" s="4" t="str">
        <f ca="1">IFERROR(__xludf.DUMMYFUNCTION("""COMPUTED_VALUE"""),"322265A SZCZOTKA WC ZŁOTA TIL")</f>
        <v>322265A SZCZOTKA WC ZŁOTA TIL</v>
      </c>
      <c r="E2967" s="31">
        <v>27.073170731707322</v>
      </c>
      <c r="F2967" s="31">
        <f t="shared" si="46"/>
        <v>33.300000000000004</v>
      </c>
    </row>
    <row r="2968" spans="1:6" ht="18.75" customHeight="1" x14ac:dyDescent="0.25">
      <c r="A2968" s="2" t="str">
        <f ca="1">IFERROR(__xludf.DUMMYFUNCTION("""COMPUTED_VALUE"""),"REA-77101")</f>
        <v>REA-77101</v>
      </c>
      <c r="B2968" s="3">
        <f ca="1">IFERROR(__xludf.DUMMYFUNCTION("""COMPUTED_VALUE"""),49544)</f>
        <v>49544</v>
      </c>
      <c r="C2968" s="3">
        <f ca="1">IFERROR(__xludf.DUMMYFUNCTION("""COMPUTED_VALUE"""),5902557384297)</f>
        <v>5902557384297</v>
      </c>
      <c r="D2968" s="4" t="str">
        <f ca="1">IFERROR(__xludf.DUMMYFUNCTION("""COMPUTED_VALUE"""),"322234B SZCZOTKA WC BIAŁA LEO")</f>
        <v>322234B SZCZOTKA WC BIAŁA LEO</v>
      </c>
      <c r="E2968" s="31">
        <v>31.585365853658541</v>
      </c>
      <c r="F2968" s="31">
        <f t="shared" si="46"/>
        <v>38.85</v>
      </c>
    </row>
    <row r="2969" spans="1:6" ht="18.75" customHeight="1" x14ac:dyDescent="0.25">
      <c r="A2969" s="2" t="str">
        <f ca="1">IFERROR(__xludf.DUMMYFUNCTION("""COMPUTED_VALUE"""),"REA-06916")</f>
        <v>REA-06916</v>
      </c>
      <c r="B2969" s="3">
        <f ca="1">IFERROR(__xludf.DUMMYFUNCTION("""COMPUTED_VALUE"""),52991)</f>
        <v>52991</v>
      </c>
      <c r="C2969" s="3">
        <f ca="1">IFERROR(__xludf.DUMMYFUNCTION("""COMPUTED_VALUE"""),5906366003769)</f>
        <v>5906366003769</v>
      </c>
      <c r="D2969" s="4" t="str">
        <f ca="1">IFERROR(__xludf.DUMMYFUNCTION("""COMPUTED_VALUE"""),"322265B SZCZOTKA WC CHROME")</f>
        <v>322265B SZCZOTKA WC CHROME</v>
      </c>
      <c r="E2969" s="31">
        <v>13.536585365853661</v>
      </c>
      <c r="F2969" s="31">
        <f t="shared" si="46"/>
        <v>16.650000000000002</v>
      </c>
    </row>
    <row r="2970" spans="1:6" ht="18.75" customHeight="1" x14ac:dyDescent="0.25">
      <c r="A2970" s="2" t="str">
        <f ca="1">IFERROR(__xludf.DUMMYFUNCTION("""COMPUTED_VALUE"""),"REA-80012")</f>
        <v>REA-80012</v>
      </c>
      <c r="B2970" s="3">
        <f ca="1">IFERROR(__xludf.DUMMYFUNCTION("""COMPUTED_VALUE"""),43937)</f>
        <v>43937</v>
      </c>
      <c r="C2970" s="3">
        <f ca="1">IFERROR(__xludf.DUMMYFUNCTION("""COMPUTED_VALUE"""),5902557367764)</f>
        <v>5902557367764</v>
      </c>
      <c r="D2970" s="4" t="str">
        <f ca="1">IFERROR(__xludf.DUMMYFUNCTION("""COMPUTED_VALUE"""),"ERLO 05 CHROME SZCZOTKA WC")</f>
        <v>ERLO 05 CHROME SZCZOTKA WC</v>
      </c>
      <c r="E2970" s="31">
        <v>18.04878048780488</v>
      </c>
      <c r="F2970" s="31">
        <f t="shared" si="46"/>
        <v>22.200000000000003</v>
      </c>
    </row>
    <row r="2971" spans="1:6" ht="18.75" customHeight="1" x14ac:dyDescent="0.25">
      <c r="A2971" s="2" t="str">
        <f ca="1">IFERROR(__xludf.DUMMYFUNCTION("""COMPUTED_VALUE"""),"REA-80030")</f>
        <v>REA-80030</v>
      </c>
      <c r="B2971" s="3">
        <f ca="1">IFERROR(__xludf.DUMMYFUNCTION("""COMPUTED_VALUE"""),43933)</f>
        <v>43933</v>
      </c>
      <c r="C2971" s="3">
        <f ca="1">IFERROR(__xludf.DUMMYFUNCTION("""COMPUTED_VALUE"""),5902557367948)</f>
        <v>5902557367948</v>
      </c>
      <c r="D2971" s="4" t="str">
        <f ca="1">IFERROR(__xludf.DUMMYFUNCTION("""COMPUTED_VALUE"""),"MIST 06 CHROME SZCZOTKA WC")</f>
        <v>MIST 06 CHROME SZCZOTKA WC</v>
      </c>
      <c r="E2971" s="31">
        <v>13.536585365853661</v>
      </c>
      <c r="F2971" s="31">
        <f t="shared" si="46"/>
        <v>16.650000000000002</v>
      </c>
    </row>
    <row r="2972" spans="1:6" ht="18.75" customHeight="1" x14ac:dyDescent="0.25">
      <c r="A2972" s="2" t="str">
        <f ca="1">IFERROR(__xludf.DUMMYFUNCTION("""COMPUTED_VALUE"""),"REA-80049")</f>
        <v>REA-80049</v>
      </c>
      <c r="B2972" s="3">
        <f ca="1">IFERROR(__xludf.DUMMYFUNCTION("""COMPUTED_VALUE"""),44676)</f>
        <v>44676</v>
      </c>
      <c r="C2972" s="3">
        <f ca="1">IFERROR(__xludf.DUMMYFUNCTION("""COMPUTED_VALUE"""),5902557368112)</f>
        <v>5902557368112</v>
      </c>
      <c r="D2972" s="4" t="str">
        <f ca="1">IFERROR(__xludf.DUMMYFUNCTION("""COMPUTED_VALUE"""),"OSTE 07 CHROME SZCZOTKA WC")</f>
        <v>OSTE 07 CHROME SZCZOTKA WC</v>
      </c>
      <c r="E2972" s="31">
        <v>18.04878048780488</v>
      </c>
      <c r="F2972" s="31">
        <f t="shared" si="46"/>
        <v>22.200000000000003</v>
      </c>
    </row>
    <row r="2973" spans="1:6" ht="18.75" customHeight="1" x14ac:dyDescent="0.25">
      <c r="A2973" s="2" t="str">
        <f ca="1">IFERROR(__xludf.DUMMYFUNCTION("""COMPUTED_VALUE"""),"REA-07200")</f>
        <v>REA-07200</v>
      </c>
      <c r="B2973" s="3">
        <f ca="1">IFERROR(__xludf.DUMMYFUNCTION("""COMPUTED_VALUE"""),49794)</f>
        <v>49794</v>
      </c>
      <c r="C2973" s="3">
        <f ca="1">IFERROR(__xludf.DUMMYFUNCTION("""COMPUTED_VALUE"""),5902557386697)</f>
        <v>5902557386697</v>
      </c>
      <c r="D2973" s="4" t="str">
        <f ca="1">IFERROR(__xludf.DUMMYFUNCTION("""COMPUTED_VALUE"""),"322120 SZCZOTKA WC BLACK/GOLD")</f>
        <v>322120 SZCZOTKA WC BLACK/GOLD</v>
      </c>
      <c r="E2973" s="31">
        <v>13.536585365853661</v>
      </c>
      <c r="F2973" s="31">
        <f t="shared" si="46"/>
        <v>16.650000000000002</v>
      </c>
    </row>
    <row r="2974" spans="1:6" ht="18.75" customHeight="1" x14ac:dyDescent="0.25">
      <c r="A2974" s="2" t="str">
        <f ca="1">IFERROR(__xludf.DUMMYFUNCTION("""COMPUTED_VALUE"""),"REA-77076")</f>
        <v>REA-77076</v>
      </c>
      <c r="B2974" s="3">
        <f ca="1">IFERROR(__xludf.DUMMYFUNCTION("""COMPUTED_VALUE"""),49515)</f>
        <v>49515</v>
      </c>
      <c r="C2974" s="3">
        <f ca="1">IFERROR(__xludf.DUMMYFUNCTION("""COMPUTED_VALUE"""),5902557384044)</f>
        <v>5902557384044</v>
      </c>
      <c r="D2974" s="4" t="str">
        <f ca="1">IFERROR(__xludf.DUMMYFUNCTION("""COMPUTED_VALUE"""),"322195A SZCZOTKA WC CZARNA MOON")</f>
        <v>322195A SZCZOTKA WC CZARNA MOON</v>
      </c>
      <c r="E2974" s="31">
        <v>18.04878048780488</v>
      </c>
      <c r="F2974" s="31">
        <f t="shared" si="46"/>
        <v>22.200000000000003</v>
      </c>
    </row>
    <row r="2975" spans="1:6" ht="18.75" customHeight="1" x14ac:dyDescent="0.25">
      <c r="A2975" s="2" t="str">
        <f ca="1">IFERROR(__xludf.DUMMYFUNCTION("""COMPUTED_VALUE"""),"REA-77044")</f>
        <v>REA-77044</v>
      </c>
      <c r="B2975" s="3">
        <f ca="1">IFERROR(__xludf.DUMMYFUNCTION("""COMPUTED_VALUE"""),49553)</f>
        <v>49553</v>
      </c>
      <c r="C2975" s="3">
        <f ca="1">IFERROR(__xludf.DUMMYFUNCTION("""COMPUTED_VALUE"""),5902557384372)</f>
        <v>5902557384372</v>
      </c>
      <c r="D2975" s="4" t="str">
        <f ca="1">IFERROR(__xludf.DUMMYFUNCTION("""COMPUTED_VALUE"""),"322214 SZCZOTKA WC CZARNA")</f>
        <v>322214 SZCZOTKA WC CZARNA</v>
      </c>
      <c r="E2975" s="31">
        <v>13.536585365853661</v>
      </c>
      <c r="F2975" s="31">
        <f t="shared" si="46"/>
        <v>16.650000000000002</v>
      </c>
    </row>
    <row r="2976" spans="1:6" ht="18.75" customHeight="1" x14ac:dyDescent="0.25">
      <c r="A2976" s="2" t="str">
        <f ca="1">IFERROR(__xludf.DUMMYFUNCTION("""COMPUTED_VALUE"""),"REA-77013")</f>
        <v>REA-77013</v>
      </c>
      <c r="B2976" s="3">
        <f ca="1">IFERROR(__xludf.DUMMYFUNCTION("""COMPUTED_VALUE"""),49549)</f>
        <v>49549</v>
      </c>
      <c r="C2976" s="3">
        <f ca="1">IFERROR(__xludf.DUMMYFUNCTION("""COMPUTED_VALUE"""),5902557384341)</f>
        <v>5902557384341</v>
      </c>
      <c r="D2976" s="4" t="str">
        <f ca="1">IFERROR(__xludf.DUMMYFUNCTION("""COMPUTED_VALUE"""),"322222A SZCZOTKA WC CZARNA DUO")</f>
        <v>322222A SZCZOTKA WC CZARNA DUO</v>
      </c>
      <c r="E2976" s="31">
        <v>27.073170731707322</v>
      </c>
      <c r="F2976" s="31">
        <f t="shared" si="46"/>
        <v>33.300000000000004</v>
      </c>
    </row>
    <row r="2977" spans="1:6" ht="18.75" customHeight="1" x14ac:dyDescent="0.25">
      <c r="A2977" s="2" t="str">
        <f ca="1">IFERROR(__xludf.DUMMYFUNCTION("""COMPUTED_VALUE"""),"REA-77103")</f>
        <v>REA-77103</v>
      </c>
      <c r="B2977" s="3">
        <f ca="1">IFERROR(__xludf.DUMMYFUNCTION("""COMPUTED_VALUE"""),49533)</f>
        <v>49533</v>
      </c>
      <c r="C2977" s="3">
        <f ca="1">IFERROR(__xludf.DUMMYFUNCTION("""COMPUTED_VALUE"""),5902557384198)</f>
        <v>5902557384198</v>
      </c>
      <c r="D2977" s="4" t="str">
        <f ca="1">IFERROR(__xludf.DUMMYFUNCTION("""COMPUTED_VALUE"""),"322234C SZCZOTKA WC CZARNA LEO")</f>
        <v>322234C SZCZOTKA WC CZARNA LEO</v>
      </c>
      <c r="E2977" s="31">
        <v>31.585365853658541</v>
      </c>
      <c r="F2977" s="31">
        <f t="shared" si="46"/>
        <v>38.85</v>
      </c>
    </row>
    <row r="2978" spans="1:6" ht="18.75" customHeight="1" x14ac:dyDescent="0.25">
      <c r="A2978" s="2" t="str">
        <f ca="1">IFERROR(__xludf.DUMMYFUNCTION("""COMPUTED_VALUE"""),"REA-77093")</f>
        <v>REA-77093</v>
      </c>
      <c r="B2978" s="3">
        <f ca="1">IFERROR(__xludf.DUMMYFUNCTION("""COMPUTED_VALUE"""),49548)</f>
        <v>49548</v>
      </c>
      <c r="C2978" s="3">
        <f ca="1">IFERROR(__xludf.DUMMYFUNCTION("""COMPUTED_VALUE"""),5902557384334)</f>
        <v>5902557384334</v>
      </c>
      <c r="D2978" s="4" t="str">
        <f ca="1">IFERROR(__xludf.DUMMYFUNCTION("""COMPUTED_VALUE"""),"322265 SZCZOTKA WC CZARNA")</f>
        <v>322265 SZCZOTKA WC CZARNA</v>
      </c>
      <c r="E2978" s="31">
        <v>18.04878048780488</v>
      </c>
      <c r="F2978" s="31">
        <f t="shared" si="46"/>
        <v>22.200000000000003</v>
      </c>
    </row>
    <row r="2979" spans="1:6" ht="18.75" customHeight="1" x14ac:dyDescent="0.25">
      <c r="A2979" s="2" t="str">
        <f ca="1">IFERROR(__xludf.DUMMYFUNCTION("""COMPUTED_VALUE"""),"REA-06910")</f>
        <v>REA-06910</v>
      </c>
      <c r="B2979" s="3">
        <f ca="1">IFERROR(__xludf.DUMMYFUNCTION("""COMPUTED_VALUE"""),52920)</f>
        <v>52920</v>
      </c>
      <c r="C2979" s="3">
        <f ca="1">IFERROR(__xludf.DUMMYFUNCTION("""COMPUTED_VALUE"""),5906366004186)</f>
        <v>5906366004186</v>
      </c>
      <c r="D2979" s="4" t="str">
        <f ca="1">IFERROR(__xludf.DUMMYFUNCTION("""COMPUTED_VALUE"""),"332918 ERLO 05 BLAaCK SZCZOTKA WC")</f>
        <v>332918 ERLO 05 BLAaCK SZCZOTKA WC</v>
      </c>
      <c r="E2979" s="31">
        <v>36.09756097560976</v>
      </c>
      <c r="F2979" s="31">
        <f t="shared" si="46"/>
        <v>44.400000000000006</v>
      </c>
    </row>
    <row r="2980" spans="1:6" ht="18.75" customHeight="1" x14ac:dyDescent="0.25">
      <c r="A2980" s="2" t="str">
        <f ca="1">IFERROR(__xludf.DUMMYFUNCTION("""COMPUTED_VALUE"""),"REA-80013")</f>
        <v>REA-80013</v>
      </c>
      <c r="B2980" s="3">
        <f ca="1">IFERROR(__xludf.DUMMYFUNCTION("""COMPUTED_VALUE"""),43938)</f>
        <v>43938</v>
      </c>
      <c r="C2980" s="3">
        <f ca="1">IFERROR(__xludf.DUMMYFUNCTION("""COMPUTED_VALUE"""),5902557367771)</f>
        <v>5902557367771</v>
      </c>
      <c r="D2980" s="4" t="str">
        <f ca="1">IFERROR(__xludf.DUMMYFUNCTION("""COMPUTED_VALUE"""),"ERLO 05 BLACK SZCZOTKA WC")</f>
        <v>ERLO 05 BLACK SZCZOTKA WC</v>
      </c>
      <c r="E2980" s="31">
        <v>18.04878048780488</v>
      </c>
      <c r="F2980" s="31">
        <f t="shared" si="46"/>
        <v>22.200000000000003</v>
      </c>
    </row>
    <row r="2981" spans="1:6" ht="18.75" customHeight="1" x14ac:dyDescent="0.25">
      <c r="A2981" s="2" t="str">
        <f ca="1">IFERROR(__xludf.DUMMYFUNCTION("""COMPUTED_VALUE"""),"REA-80031")</f>
        <v>REA-80031</v>
      </c>
      <c r="B2981" s="3">
        <f ca="1">IFERROR(__xludf.DUMMYFUNCTION("""COMPUTED_VALUE"""),43934)</f>
        <v>43934</v>
      </c>
      <c r="C2981" s="3">
        <f ca="1">IFERROR(__xludf.DUMMYFUNCTION("""COMPUTED_VALUE"""),5902557371716)</f>
        <v>5902557371716</v>
      </c>
      <c r="D2981" s="4" t="str">
        <f ca="1">IFERROR(__xludf.DUMMYFUNCTION("""COMPUTED_VALUE"""),"MIST 06 BLACK SZCZOTKA WC")</f>
        <v>MIST 06 BLACK SZCZOTKA WC</v>
      </c>
      <c r="E2981" s="31">
        <v>18.04878048780488</v>
      </c>
      <c r="F2981" s="31">
        <f t="shared" si="46"/>
        <v>22.200000000000003</v>
      </c>
    </row>
    <row r="2982" spans="1:6" ht="18.75" customHeight="1" x14ac:dyDescent="0.25">
      <c r="A2982" s="2" t="str">
        <f ca="1">IFERROR(__xludf.DUMMYFUNCTION("""COMPUTED_VALUE"""),"REA-80050")</f>
        <v>REA-80050</v>
      </c>
      <c r="B2982" s="3">
        <f ca="1">IFERROR(__xludf.DUMMYFUNCTION("""COMPUTED_VALUE"""),43939)</f>
        <v>43939</v>
      </c>
      <c r="C2982" s="3">
        <f ca="1">IFERROR(__xludf.DUMMYFUNCTION("""COMPUTED_VALUE"""),5902557368129)</f>
        <v>5902557368129</v>
      </c>
      <c r="D2982" s="4" t="str">
        <f ca="1">IFERROR(__xludf.DUMMYFUNCTION("""COMPUTED_VALUE"""),"OSTE 07 BLACK SZCZOTKA WC")</f>
        <v>OSTE 07 BLACK SZCZOTKA WC</v>
      </c>
      <c r="E2982" s="31">
        <v>18.04878048780488</v>
      </c>
      <c r="F2982" s="31">
        <f t="shared" si="46"/>
        <v>22.200000000000003</v>
      </c>
    </row>
    <row r="2983" spans="1:6" ht="18.75" customHeight="1" x14ac:dyDescent="0.25">
      <c r="A2983" s="2" t="str">
        <f ca="1">IFERROR(__xludf.DUMMYFUNCTION("""COMPUTED_VALUE"""),"REA-77099")</f>
        <v>REA-77099</v>
      </c>
      <c r="B2983" s="3">
        <f ca="1">IFERROR(__xludf.DUMMYFUNCTION("""COMPUTED_VALUE"""),49535)</f>
        <v>49535</v>
      </c>
      <c r="C2983" s="3">
        <f ca="1">IFERROR(__xludf.DUMMYFUNCTION("""COMPUTED_VALUE"""),5902557384228)</f>
        <v>5902557384228</v>
      </c>
      <c r="D2983" s="4" t="str">
        <f ca="1">IFERROR(__xludf.DUMMYFUNCTION("""COMPUTED_VALUE"""),"322234A SZCZOTKA WC LEO TYTAN")</f>
        <v>322234A SZCZOTKA WC LEO TYTAN</v>
      </c>
      <c r="E2983" s="31">
        <v>40.609756097560982</v>
      </c>
      <c r="F2983" s="31">
        <f t="shared" si="46"/>
        <v>49.95000000000001</v>
      </c>
    </row>
    <row r="2984" spans="1:6" ht="18.75" customHeight="1" x14ac:dyDescent="0.25">
      <c r="A2984" s="2" t="str">
        <f ca="1">IFERROR(__xludf.DUMMYFUNCTION("""COMPUTED_VALUE"""),"REA-77011")</f>
        <v>REA-77011</v>
      </c>
      <c r="B2984" s="3">
        <f ca="1">IFERROR(__xludf.DUMMYFUNCTION("""COMPUTED_VALUE"""),49585)</f>
        <v>49585</v>
      </c>
      <c r="C2984" s="3">
        <f ca="1">IFERROR(__xludf.DUMMYFUNCTION("""COMPUTED_VALUE"""),5902557384495)</f>
        <v>5902557384495</v>
      </c>
      <c r="D2984" s="4" t="str">
        <f ca="1">IFERROR(__xludf.DUMMYFUNCTION("""COMPUTED_VALUE"""),"322222 SZCZOTKA WC NIKIEL SZCZOTKOWANY DUO")</f>
        <v>322222 SZCZOTKA WC NIKIEL SZCZOTKOWANY DUO</v>
      </c>
      <c r="E2984" s="31">
        <v>18.04878048780488</v>
      </c>
      <c r="F2984" s="31">
        <f t="shared" si="46"/>
        <v>22.200000000000003</v>
      </c>
    </row>
    <row r="2985" spans="1:6" ht="18.75" customHeight="1" x14ac:dyDescent="0.25">
      <c r="A2985" s="2" t="str">
        <f ca="1">IFERROR(__xludf.DUMMYFUNCTION("""COMPUTED_VALUE"""),"REA-77061")</f>
        <v>REA-77061</v>
      </c>
      <c r="B2985" s="3">
        <f ca="1">IFERROR(__xludf.DUMMYFUNCTION("""COMPUTED_VALUE"""),50016)</f>
        <v>50016</v>
      </c>
      <c r="C2985" s="3">
        <f ca="1">IFERROR(__xludf.DUMMYFUNCTION("""COMPUTED_VALUE"""),5902557386840)</f>
        <v>5902557386840</v>
      </c>
      <c r="D2985" s="4" t="str">
        <f ca="1">IFERROR(__xludf.DUMMYFUNCTION("""COMPUTED_VALUE"""),"322229 SZCZOTKA WC CHROM CRIST")</f>
        <v>322229 SZCZOTKA WC CHROM CRIST</v>
      </c>
      <c r="E2985" s="31">
        <v>27.073170731707322</v>
      </c>
      <c r="F2985" s="31">
        <f t="shared" si="46"/>
        <v>33.300000000000004</v>
      </c>
    </row>
    <row r="2986" spans="1:6" ht="18.75" customHeight="1" x14ac:dyDescent="0.25">
      <c r="A2986" s="2" t="str">
        <f ca="1">IFERROR(__xludf.DUMMYFUNCTION("""COMPUTED_VALUE"""),"REA-07201")</f>
        <v>REA-07201</v>
      </c>
      <c r="B2986" s="3">
        <f ca="1">IFERROR(__xludf.DUMMYFUNCTION("""COMPUTED_VALUE"""),49793)</f>
        <v>49793</v>
      </c>
      <c r="C2986" s="3">
        <f ca="1">IFERROR(__xludf.DUMMYFUNCTION("""COMPUTED_VALUE"""),5902557386680)</f>
        <v>5902557386680</v>
      </c>
      <c r="D2986" s="4" t="str">
        <f ca="1">IFERROR(__xludf.DUMMYFUNCTION("""COMPUTED_VALUE"""),"322120A SZCZOTKA WC WHITE/GOLD")</f>
        <v>322120A SZCZOTKA WC WHITE/GOLD</v>
      </c>
      <c r="E2986" s="31">
        <v>9.0243902439024399</v>
      </c>
      <c r="F2986" s="31">
        <f t="shared" si="46"/>
        <v>11.100000000000001</v>
      </c>
    </row>
    <row r="2987" spans="1:6" ht="18.75" customHeight="1" x14ac:dyDescent="0.25">
      <c r="A2987" s="2" t="str">
        <f ca="1">IFERROR(__xludf.DUMMYFUNCTION("""COMPUTED_VALUE"""),"REA-77051")</f>
        <v>REA-77051</v>
      </c>
      <c r="B2987" s="3">
        <f ca="1">IFERROR(__xludf.DUMMYFUNCTION("""COMPUTED_VALUE"""),49552)</f>
        <v>49552</v>
      </c>
      <c r="C2987" s="3">
        <f ca="1">IFERROR(__xludf.DUMMYFUNCTION("""COMPUTED_VALUE"""),5902557384365)</f>
        <v>5902557384365</v>
      </c>
      <c r="D2987" s="4" t="str">
        <f ca="1">IFERROR(__xludf.DUMMYFUNCTION("""COMPUTED_VALUE"""),"322195 SZCZOTKA WC ZŁOTA")</f>
        <v>322195 SZCZOTKA WC ZŁOTA</v>
      </c>
      <c r="E2987" s="31">
        <v>22.560975609756099</v>
      </c>
      <c r="F2987" s="31">
        <f t="shared" si="46"/>
        <v>27.75</v>
      </c>
    </row>
    <row r="2988" spans="1:6" ht="18.75" customHeight="1" x14ac:dyDescent="0.25">
      <c r="A2988" s="2" t="str">
        <f ca="1">IFERROR(__xludf.DUMMYFUNCTION("""COMPUTED_VALUE"""),"REA-77083")</f>
        <v>REA-77083</v>
      </c>
      <c r="B2988" s="3">
        <f ca="1">IFERROR(__xludf.DUMMYFUNCTION("""COMPUTED_VALUE"""),49554)</f>
        <v>49554</v>
      </c>
      <c r="C2988" s="3">
        <f ca="1">IFERROR(__xludf.DUMMYFUNCTION("""COMPUTED_VALUE"""),5902557384389)</f>
        <v>5902557384389</v>
      </c>
      <c r="D2988" s="4" t="str">
        <f ca="1">IFERROR(__xludf.DUMMYFUNCTION("""COMPUTED_VALUE"""),"322200A SZCZOTKA WC ZŁOTY HILL")</f>
        <v>322200A SZCZOTKA WC ZŁOTY HILL</v>
      </c>
      <c r="E2988" s="31">
        <v>22.560975609756099</v>
      </c>
      <c r="F2988" s="31">
        <f t="shared" si="46"/>
        <v>27.75</v>
      </c>
    </row>
    <row r="2989" spans="1:6" ht="18.75" customHeight="1" x14ac:dyDescent="0.25">
      <c r="A2989" s="2" t="str">
        <f ca="1">IFERROR(__xludf.DUMMYFUNCTION("""COMPUTED_VALUE"""),"REA-77104")</f>
        <v>REA-77104</v>
      </c>
      <c r="B2989" s="3">
        <f ca="1">IFERROR(__xludf.DUMMYFUNCTION("""COMPUTED_VALUE"""),49579)</f>
        <v>49579</v>
      </c>
      <c r="C2989" s="3">
        <f ca="1">IFERROR(__xludf.DUMMYFUNCTION("""COMPUTED_VALUE"""),5902557384457)</f>
        <v>5902557384457</v>
      </c>
      <c r="D2989" s="4" t="str">
        <f ca="1">IFERROR(__xludf.DUMMYFUNCTION("""COMPUTED_VALUE"""),"322214A SZCZOTKA WC ZŁOTA")</f>
        <v>322214A SZCZOTKA WC ZŁOTA</v>
      </c>
      <c r="E2989" s="31">
        <v>22.560975609756099</v>
      </c>
      <c r="F2989" s="31">
        <f t="shared" si="46"/>
        <v>27.75</v>
      </c>
    </row>
    <row r="2990" spans="1:6" ht="18.75" customHeight="1" x14ac:dyDescent="0.25">
      <c r="A2990" s="2" t="str">
        <f ca="1">IFERROR(__xludf.DUMMYFUNCTION("""COMPUTED_VALUE"""),"REA-77032")</f>
        <v>REA-77032</v>
      </c>
      <c r="B2990" s="3">
        <f ca="1">IFERROR(__xludf.DUMMYFUNCTION("""COMPUTED_VALUE"""),49586)</f>
        <v>49586</v>
      </c>
      <c r="C2990" s="3">
        <f ca="1">IFERROR(__xludf.DUMMYFUNCTION("""COMPUTED_VALUE"""),5902557384501)</f>
        <v>5902557384501</v>
      </c>
      <c r="D2990" s="4" t="str">
        <f ca="1">IFERROR(__xludf.DUMMYFUNCTION("""COMPUTED_VALUE"""),"322222B SZCZOTKA WC ZŁOTY DUO")</f>
        <v>322222B SZCZOTKA WC ZŁOTY DUO</v>
      </c>
      <c r="E2990" s="31">
        <v>31.585365853658541</v>
      </c>
      <c r="F2990" s="31">
        <f t="shared" si="46"/>
        <v>38.85</v>
      </c>
    </row>
    <row r="2991" spans="1:6" ht="18.75" customHeight="1" x14ac:dyDescent="0.25">
      <c r="A2991" s="2" t="str">
        <f ca="1">IFERROR(__xludf.DUMMYFUNCTION("""COMPUTED_VALUE"""),"REA-77062")</f>
        <v>REA-77062</v>
      </c>
      <c r="B2991" s="3">
        <f ca="1">IFERROR(__xludf.DUMMYFUNCTION("""COMPUTED_VALUE"""),50008)</f>
        <v>50008</v>
      </c>
      <c r="C2991" s="3">
        <f ca="1">IFERROR(__xludf.DUMMYFUNCTION("""COMPUTED_VALUE"""),5902557386826)</f>
        <v>5902557386826</v>
      </c>
      <c r="D2991" s="4" t="str">
        <f ca="1">IFERROR(__xludf.DUMMYFUNCTION("""COMPUTED_VALUE"""),"322229B SZCZOTKA WC ZŁOTY CRIS")</f>
        <v>322229B SZCZOTKA WC ZŁOTY CRIS</v>
      </c>
      <c r="E2991" s="31">
        <v>40.609756097560982</v>
      </c>
      <c r="F2991" s="31">
        <f t="shared" si="46"/>
        <v>49.95000000000001</v>
      </c>
    </row>
    <row r="2992" spans="1:6" ht="18.75" customHeight="1" x14ac:dyDescent="0.25">
      <c r="A2992" s="2" t="str">
        <f ca="1">IFERROR(__xludf.DUMMYFUNCTION("""COMPUTED_VALUE"""),"REA-77096")</f>
        <v>REA-77096</v>
      </c>
      <c r="B2992" s="3">
        <f ca="1">IFERROR(__xludf.DUMMYFUNCTION("""COMPUTED_VALUE"""),49539)</f>
        <v>49539</v>
      </c>
      <c r="C2992" s="3">
        <f ca="1">IFERROR(__xludf.DUMMYFUNCTION("""COMPUTED_VALUE"""),5902557384266)</f>
        <v>5902557384266</v>
      </c>
      <c r="D2992" s="4" t="str">
        <f ca="1">IFERROR(__xludf.DUMMYFUNCTION("""COMPUTED_VALUE"""),"322234 SZCZOTKA WC ZŁOTA SZCZOTKOWANA")</f>
        <v>322234 SZCZOTKA WC ZŁOTA SZCZOTKOWANA</v>
      </c>
      <c r="E2992" s="31">
        <v>40.609756097560982</v>
      </c>
      <c r="F2992" s="31">
        <f t="shared" si="46"/>
        <v>49.95000000000001</v>
      </c>
    </row>
    <row r="2993" spans="1:6" ht="18.75" customHeight="1" x14ac:dyDescent="0.25">
      <c r="A2993" s="2" t="str">
        <f ca="1">IFERROR(__xludf.DUMMYFUNCTION("""COMPUTED_VALUE"""),"REA-06911")</f>
        <v>REA-06911</v>
      </c>
      <c r="B2993" s="3">
        <f ca="1">IFERROR(__xludf.DUMMYFUNCTION("""COMPUTED_VALUE"""),52918)</f>
        <v>52918</v>
      </c>
      <c r="C2993" s="3">
        <f ca="1">IFERROR(__xludf.DUMMYFUNCTION("""COMPUTED_VALUE"""),5906366004193)</f>
        <v>5906366004193</v>
      </c>
      <c r="D2993" s="4" t="str">
        <f ca="1">IFERROR(__xludf.DUMMYFUNCTION("""COMPUTED_VALUE"""),"332918A ERLO 05 BRUSH GOLD SZCZOTKA WC")</f>
        <v>332918A ERLO 05 BRUSH GOLD SZCZOTKA WC</v>
      </c>
      <c r="E2993" s="31">
        <v>40.609756097560982</v>
      </c>
      <c r="F2993" s="31">
        <f t="shared" si="46"/>
        <v>49.95000000000001</v>
      </c>
    </row>
    <row r="2994" spans="1:6" ht="18.75" customHeight="1" x14ac:dyDescent="0.25">
      <c r="A2994" s="2" t="str">
        <f ca="1">IFERROR(__xludf.DUMMYFUNCTION("""COMPUTED_VALUE"""),"REA-80014")</f>
        <v>REA-80014</v>
      </c>
      <c r="B2994" s="3">
        <f ca="1">IFERROR(__xludf.DUMMYFUNCTION("""COMPUTED_VALUE"""),43936)</f>
        <v>43936</v>
      </c>
      <c r="C2994" s="3">
        <f ca="1">IFERROR(__xludf.DUMMYFUNCTION("""COMPUTED_VALUE"""),5902557367788)</f>
        <v>5902557367788</v>
      </c>
      <c r="D2994" s="4" t="str">
        <f ca="1">IFERROR(__xludf.DUMMYFUNCTION("""COMPUTED_VALUE"""),"ERLO 05 L.GOLD SZCZOTKA WC")</f>
        <v>ERLO 05 L.GOLD SZCZOTKA WC</v>
      </c>
      <c r="E2994" s="31">
        <v>22.560975609756099</v>
      </c>
      <c r="F2994" s="31">
        <f t="shared" si="46"/>
        <v>27.75</v>
      </c>
    </row>
    <row r="2995" spans="1:6" ht="18.75" customHeight="1" x14ac:dyDescent="0.25">
      <c r="A2995" s="2" t="str">
        <f ca="1">IFERROR(__xludf.DUMMYFUNCTION("""COMPUTED_VALUE"""),"REA-80032")</f>
        <v>REA-80032</v>
      </c>
      <c r="B2995" s="3">
        <f ca="1">IFERROR(__xludf.DUMMYFUNCTION("""COMPUTED_VALUE"""),43935)</f>
        <v>43935</v>
      </c>
      <c r="C2995" s="3">
        <f ca="1">IFERROR(__xludf.DUMMYFUNCTION("""COMPUTED_VALUE"""),5902557371709)</f>
        <v>5902557371709</v>
      </c>
      <c r="D2995" s="4" t="str">
        <f ca="1">IFERROR(__xludf.DUMMYFUNCTION("""COMPUTED_VALUE"""),"MIST 06 L.GOLD SZCZOTKA WC")</f>
        <v>MIST 06 L.GOLD SZCZOTKA WC</v>
      </c>
      <c r="E2995" s="31">
        <v>18.04878048780488</v>
      </c>
      <c r="F2995" s="31">
        <f t="shared" si="46"/>
        <v>22.200000000000003</v>
      </c>
    </row>
    <row r="2996" spans="1:6" ht="18.75" customHeight="1" x14ac:dyDescent="0.25">
      <c r="A2996" s="2" t="str">
        <f ca="1">IFERROR(__xludf.DUMMYFUNCTION("""COMPUTED_VALUE"""),"REA-70000")</f>
        <v>REA-70000</v>
      </c>
      <c r="B2996" s="3">
        <f ca="1">IFERROR(__xludf.DUMMYFUNCTION("""COMPUTED_VALUE"""),42911)</f>
        <v>42911</v>
      </c>
      <c r="C2996" s="3">
        <f ca="1">IFERROR(__xludf.DUMMYFUNCTION("""COMPUTED_VALUE"""),5902557359011)</f>
        <v>5902557359011</v>
      </c>
      <c r="D2996" s="4" t="str">
        <f ca="1">IFERROR(__xludf.DUMMYFUNCTION("""COMPUTED_VALUE"""),"ŚCIĄGACZKA YZ-G04 CHROM")</f>
        <v>ŚCIĄGACZKA YZ-G04 CHROM</v>
      </c>
      <c r="E2996" s="31">
        <v>18.04878048780488</v>
      </c>
      <c r="F2996" s="31">
        <f t="shared" si="46"/>
        <v>22.200000000000003</v>
      </c>
    </row>
    <row r="2997" spans="1:6" ht="18.75" customHeight="1" x14ac:dyDescent="0.25">
      <c r="A2997" s="2" t="str">
        <f ca="1">IFERROR(__xludf.DUMMYFUNCTION("""COMPUTED_VALUE"""),"REA-70001")</f>
        <v>REA-70001</v>
      </c>
      <c r="B2997" s="3">
        <f ca="1">IFERROR(__xludf.DUMMYFUNCTION("""COMPUTED_VALUE"""),42912)</f>
        <v>42912</v>
      </c>
      <c r="C2997" s="3">
        <f ca="1">IFERROR(__xludf.DUMMYFUNCTION("""COMPUTED_VALUE"""),5902557359028)</f>
        <v>5902557359028</v>
      </c>
      <c r="D2997" s="4" t="str">
        <f ca="1">IFERROR(__xludf.DUMMYFUNCTION("""COMPUTED_VALUE"""),"ŚCIĄGACZKA YZ-G04 BLACK")</f>
        <v>ŚCIĄGACZKA YZ-G04 BLACK</v>
      </c>
      <c r="E2997" s="31">
        <v>18.04878048780488</v>
      </c>
      <c r="F2997" s="31">
        <f t="shared" si="46"/>
        <v>22.200000000000003</v>
      </c>
    </row>
    <row r="2998" spans="1:6" ht="18.75" customHeight="1" x14ac:dyDescent="0.25">
      <c r="A2998" s="2" t="str">
        <f ca="1">IFERROR(__xludf.DUMMYFUNCTION("""COMPUTED_VALUE"""),"REA-72000")</f>
        <v>REA-72000</v>
      </c>
      <c r="B2998" s="3">
        <f ca="1">IFERROR(__xludf.DUMMYFUNCTION("""COMPUTED_VALUE"""),43588)</f>
        <v>43588</v>
      </c>
      <c r="C2998" s="3">
        <f ca="1">IFERROR(__xludf.DUMMYFUNCTION("""COMPUTED_VALUE"""),5902557367610)</f>
        <v>5902557367610</v>
      </c>
      <c r="D2998" s="4" t="str">
        <f ca="1">IFERROR(__xludf.DUMMYFUNCTION("""COMPUTED_VALUE"""),"ŚCIĄGACZKA YZ-G04 GOLD")</f>
        <v>ŚCIĄGACZKA YZ-G04 GOLD</v>
      </c>
      <c r="E2998" s="31">
        <v>27.073170731707322</v>
      </c>
      <c r="F2998" s="31">
        <f t="shared" si="46"/>
        <v>33.300000000000004</v>
      </c>
    </row>
    <row r="2999" spans="1:6" ht="18.75" customHeight="1" x14ac:dyDescent="0.25">
      <c r="A2999" s="2" t="str">
        <f ca="1">IFERROR(__xludf.DUMMYFUNCTION("""COMPUTED_VALUE"""),"REA-80026")</f>
        <v>REA-80026</v>
      </c>
      <c r="B2999" s="3">
        <f ca="1">IFERROR(__xludf.DUMMYFUNCTION("""COMPUTED_VALUE"""),43830)</f>
        <v>43830</v>
      </c>
      <c r="C2999" s="3">
        <f ca="1">IFERROR(__xludf.DUMMYFUNCTION("""COMPUTED_VALUE"""),5902557367900)</f>
        <v>5902557367900</v>
      </c>
      <c r="D2999" s="4" t="str">
        <f ca="1">IFERROR(__xludf.DUMMYFUNCTION("""COMPUTED_VALUE"""),"MIST 04 L.GOLD WIESZAK NA PAPIER")</f>
        <v>MIST 04 L.GOLD WIESZAK NA PAPIER</v>
      </c>
      <c r="E2999" s="31">
        <v>13.536585365853661</v>
      </c>
      <c r="F2999" s="31">
        <f t="shared" si="46"/>
        <v>16.650000000000002</v>
      </c>
    </row>
    <row r="3000" spans="1:6" ht="18.75" customHeight="1" x14ac:dyDescent="0.25">
      <c r="A3000" s="2" t="str">
        <f ca="1">IFERROR(__xludf.DUMMYFUNCTION("""COMPUTED_VALUE"""),"REA-77105")</f>
        <v>REA-77105</v>
      </c>
      <c r="B3000" s="3">
        <f ca="1">IFERROR(__xludf.DUMMYFUNCTION("""COMPUTED_VALUE"""),49446)</f>
        <v>49446</v>
      </c>
      <c r="C3000" s="3">
        <f ca="1">IFERROR(__xludf.DUMMYFUNCTION("""COMPUTED_VALUE"""),5902557383511)</f>
        <v>5902557383511</v>
      </c>
      <c r="D3000" s="4" t="str">
        <f ca="1">IFERROR(__xludf.DUMMYFUNCTION("""COMPUTED_VALUE"""),"322191A UCHWYT NA PAPIER CZARNY MOON")</f>
        <v>322191A UCHWYT NA PAPIER CZARNY MOON</v>
      </c>
      <c r="E3000" s="31">
        <v>9.0243902439024399</v>
      </c>
      <c r="F3000" s="31">
        <f t="shared" si="46"/>
        <v>11.100000000000001</v>
      </c>
    </row>
    <row r="3001" spans="1:6" ht="18.75" customHeight="1" x14ac:dyDescent="0.25">
      <c r="A3001" s="2" t="str">
        <f ca="1">IFERROR(__xludf.DUMMYFUNCTION("""COMPUTED_VALUE"""),"REA-77000")</f>
        <v>REA-77000</v>
      </c>
      <c r="B3001" s="3">
        <f ca="1">IFERROR(__xludf.DUMMYFUNCTION("""COMPUTED_VALUE"""),49520)</f>
        <v>49520</v>
      </c>
      <c r="C3001" s="3">
        <f ca="1">IFERROR(__xludf.DUMMYFUNCTION("""COMPUTED_VALUE"""),5902557384105)</f>
        <v>5902557384105</v>
      </c>
      <c r="D3001" s="4" t="str">
        <f ca="1">IFERROR(__xludf.DUMMYFUNCTION("""COMPUTED_VALUE"""),"322199 UCHWYT NA PAPIER CZARNY HILL")</f>
        <v>322199 UCHWYT NA PAPIER CZARNY HILL</v>
      </c>
      <c r="E3001" s="31">
        <v>9.0243902439024399</v>
      </c>
      <c r="F3001" s="31">
        <f t="shared" si="46"/>
        <v>11.100000000000001</v>
      </c>
    </row>
    <row r="3002" spans="1:6" ht="18.75" customHeight="1" x14ac:dyDescent="0.25">
      <c r="A3002" s="2" t="str">
        <f ca="1">IFERROR(__xludf.DUMMYFUNCTION("""COMPUTED_VALUE"""),"REA-77001")</f>
        <v>REA-77001</v>
      </c>
      <c r="B3002" s="3">
        <f ca="1">IFERROR(__xludf.DUMMYFUNCTION("""COMPUTED_VALUE"""),49534)</f>
        <v>49534</v>
      </c>
      <c r="C3002" s="3">
        <f ca="1">IFERROR(__xludf.DUMMYFUNCTION("""COMPUTED_VALUE"""),5902557384211)</f>
        <v>5902557384211</v>
      </c>
      <c r="D3002" s="4" t="str">
        <f ca="1">IFERROR(__xludf.DUMMYFUNCTION("""COMPUTED_VALUE"""),"322199A UCHWYT NA PAPIER ZŁOTY HILL")</f>
        <v>322199A UCHWYT NA PAPIER ZŁOTY HILL</v>
      </c>
      <c r="E3002" s="31">
        <v>13.536585365853661</v>
      </c>
      <c r="F3002" s="31">
        <f t="shared" si="46"/>
        <v>16.650000000000002</v>
      </c>
    </row>
    <row r="3003" spans="1:6" ht="18.75" customHeight="1" x14ac:dyDescent="0.25">
      <c r="A3003" s="2" t="str">
        <f ca="1">IFERROR(__xludf.DUMMYFUNCTION("""COMPUTED_VALUE"""),"REA-06917")</f>
        <v>REA-06917</v>
      </c>
      <c r="B3003" s="3">
        <f ca="1">IFERROR(__xludf.DUMMYFUNCTION("""COMPUTED_VALUE"""),53027)</f>
        <v>53027</v>
      </c>
      <c r="C3003" s="3">
        <f ca="1">IFERROR(__xludf.DUMMYFUNCTION("""COMPUTED_VALUE"""),5906366003981)</f>
        <v>5906366003981</v>
      </c>
      <c r="D3003" s="4" t="str">
        <f ca="1">IFERROR(__xludf.DUMMYFUNCTION("""COMPUTED_VALUE"""),"322199B UCHWYT NA PAPIER ZŁOTY")</f>
        <v>322199B UCHWYT NA PAPIER ZŁOTY</v>
      </c>
      <c r="E3003" s="31">
        <v>13.536585365853661</v>
      </c>
      <c r="F3003" s="31">
        <f t="shared" si="46"/>
        <v>16.650000000000002</v>
      </c>
    </row>
    <row r="3004" spans="1:6" ht="18.75" customHeight="1" x14ac:dyDescent="0.25">
      <c r="A3004" s="2" t="str">
        <f ca="1">IFERROR(__xludf.DUMMYFUNCTION("""COMPUTED_VALUE"""),"REA-77014")</f>
        <v>REA-77014</v>
      </c>
      <c r="B3004" s="3">
        <f ca="1">IFERROR(__xludf.DUMMYFUNCTION("""COMPUTED_VALUE"""),49512)</f>
        <v>49512</v>
      </c>
      <c r="C3004" s="3">
        <f ca="1">IFERROR(__xludf.DUMMYFUNCTION("""COMPUTED_VALUE"""),5902557384006)</f>
        <v>5902557384006</v>
      </c>
      <c r="D3004" s="4" t="str">
        <f ca="1">IFERROR(__xludf.DUMMYFUNCTION("""COMPUTED_VALUE"""),"322203 UCHWYT NA PAPIER CZARNY NER")</f>
        <v>322203 UCHWYT NA PAPIER CZARNY NER</v>
      </c>
      <c r="E3004" s="31">
        <v>9.0243902439024399</v>
      </c>
      <c r="F3004" s="31">
        <f t="shared" si="46"/>
        <v>11.100000000000001</v>
      </c>
    </row>
    <row r="3005" spans="1:6" ht="18.75" customHeight="1" x14ac:dyDescent="0.25">
      <c r="A3005" s="2" t="str">
        <f ca="1">IFERROR(__xludf.DUMMYFUNCTION("""COMPUTED_VALUE"""),"REA-77066")</f>
        <v>REA-77066</v>
      </c>
      <c r="B3005" s="3">
        <f ca="1">IFERROR(__xludf.DUMMYFUNCTION("""COMPUTED_VALUE"""),49547)</f>
        <v>49547</v>
      </c>
      <c r="C3005" s="3">
        <f ca="1">IFERROR(__xludf.DUMMYFUNCTION("""COMPUTED_VALUE"""),5902557384327)</f>
        <v>5902557384327</v>
      </c>
      <c r="D3005" s="4" t="str">
        <f ca="1">IFERROR(__xludf.DUMMYFUNCTION("""COMPUTED_VALUE"""),"322203A UCHWYT NA PAPIER ZŁOTY")</f>
        <v>322203A UCHWYT NA PAPIER ZŁOTY</v>
      </c>
      <c r="E3005" s="31">
        <v>18.04878048780488</v>
      </c>
      <c r="F3005" s="31">
        <f t="shared" si="46"/>
        <v>22.200000000000003</v>
      </c>
    </row>
    <row r="3006" spans="1:6" ht="18.75" customHeight="1" x14ac:dyDescent="0.25">
      <c r="A3006" s="2" t="str">
        <f ca="1">IFERROR(__xludf.DUMMYFUNCTION("""COMPUTED_VALUE"""),"REA-77033")</f>
        <v>REA-77033</v>
      </c>
      <c r="B3006" s="3">
        <f ca="1">IFERROR(__xludf.DUMMYFUNCTION("""COMPUTED_VALUE"""),49495)</f>
        <v>49495</v>
      </c>
      <c r="C3006" s="3">
        <f ca="1">IFERROR(__xludf.DUMMYFUNCTION("""COMPUTED_VALUE"""),5902557383870)</f>
        <v>5902557383870</v>
      </c>
      <c r="D3006" s="4" t="str">
        <f ca="1">IFERROR(__xludf.DUMMYFUNCTION("""COMPUTED_VALUE"""),"322204 UCHWYT NA PAPIER CZARNY NER")</f>
        <v>322204 UCHWYT NA PAPIER CZARNY NER</v>
      </c>
      <c r="E3006" s="31">
        <v>13.536585365853661</v>
      </c>
      <c r="F3006" s="31">
        <f t="shared" si="46"/>
        <v>16.650000000000002</v>
      </c>
    </row>
    <row r="3007" spans="1:6" ht="18.75" customHeight="1" x14ac:dyDescent="0.25">
      <c r="A3007" s="2" t="str">
        <f ca="1">IFERROR(__xludf.DUMMYFUNCTION("""COMPUTED_VALUE"""),"REA-77090")</f>
        <v>REA-77090</v>
      </c>
      <c r="B3007" s="3">
        <f ca="1">IFERROR(__xludf.DUMMYFUNCTION("""COMPUTED_VALUE"""),49503)</f>
        <v>49503</v>
      </c>
      <c r="C3007" s="3">
        <f ca="1">IFERROR(__xludf.DUMMYFUNCTION("""COMPUTED_VALUE"""),5902557383931)</f>
        <v>5902557383931</v>
      </c>
      <c r="D3007" s="4" t="str">
        <f ca="1">IFERROR(__xludf.DUMMYFUNCTION("""COMPUTED_VALUE"""),"322219 UCHWYT NA PAPIER NIKIEL SZCZOTKOWANY DUZO")</f>
        <v>322219 UCHWYT NA PAPIER NIKIEL SZCZOTKOWANY DUZO</v>
      </c>
      <c r="E3007" s="31">
        <v>18.04878048780488</v>
      </c>
      <c r="F3007" s="31">
        <f t="shared" si="46"/>
        <v>22.200000000000003</v>
      </c>
    </row>
    <row r="3008" spans="1:6" ht="18.75" customHeight="1" x14ac:dyDescent="0.25">
      <c r="A3008" s="2" t="str">
        <f ca="1">IFERROR(__xludf.DUMMYFUNCTION("""COMPUTED_VALUE"""),"REA-77058")</f>
        <v>REA-77058</v>
      </c>
      <c r="B3008" s="3">
        <f ca="1">IFERROR(__xludf.DUMMYFUNCTION("""COMPUTED_VALUE"""),49489)</f>
        <v>49489</v>
      </c>
      <c r="C3008" s="3">
        <f ca="1">IFERROR(__xludf.DUMMYFUNCTION("""COMPUTED_VALUE"""),5902557383849)</f>
        <v>5902557383849</v>
      </c>
      <c r="D3008" s="4" t="str">
        <f ca="1">IFERROR(__xludf.DUMMYFUNCTION("""COMPUTED_VALUE"""),"322220 UCHWYT NA PAPIER CHROM DUO")</f>
        <v>322220 UCHWYT NA PAPIER CHROM DUO</v>
      </c>
      <c r="E3008" s="31">
        <v>18.04878048780488</v>
      </c>
      <c r="F3008" s="31">
        <f t="shared" si="46"/>
        <v>22.200000000000003</v>
      </c>
    </row>
    <row r="3009" spans="1:6" ht="18.75" customHeight="1" x14ac:dyDescent="0.25">
      <c r="A3009" s="2" t="str">
        <f ca="1">IFERROR(__xludf.DUMMYFUNCTION("""COMPUTED_VALUE"""),"REA-07010")</f>
        <v>REA-07010</v>
      </c>
      <c r="B3009" s="3">
        <f ca="1">IFERROR(__xludf.DUMMYFUNCTION("""COMPUTED_VALUE"""),49792)</f>
        <v>49792</v>
      </c>
      <c r="C3009" s="3">
        <f ca="1">IFERROR(__xludf.DUMMYFUNCTION("""COMPUTED_VALUE"""),5902557386000)</f>
        <v>5902557386000</v>
      </c>
      <c r="D3009" s="4" t="str">
        <f ca="1">IFERROR(__xludf.DUMMYFUNCTION("""COMPUTED_VALUE"""),"322747 UCHWYT NA PAPIER")</f>
        <v>322747 UCHWYT NA PAPIER</v>
      </c>
      <c r="E3009" s="31">
        <v>13.536585365853661</v>
      </c>
      <c r="F3009" s="31">
        <f t="shared" ref="F3009:F3072" si="47">E3009*1.23</f>
        <v>16.650000000000002</v>
      </c>
    </row>
    <row r="3010" spans="1:6" ht="18.75" customHeight="1" x14ac:dyDescent="0.25">
      <c r="A3010" s="2" t="str">
        <f ca="1">IFERROR(__xludf.DUMMYFUNCTION("""COMPUTED_VALUE"""),"REA-07011")</f>
        <v>REA-07011</v>
      </c>
      <c r="B3010" s="3">
        <f ca="1">IFERROR(__xludf.DUMMYFUNCTION("""COMPUTED_VALUE"""),49791)</f>
        <v>49791</v>
      </c>
      <c r="C3010" s="3">
        <f ca="1">IFERROR(__xludf.DUMMYFUNCTION("""COMPUTED_VALUE"""),5902557386017)</f>
        <v>5902557386017</v>
      </c>
      <c r="D3010" s="4" t="str">
        <f ca="1">IFERROR(__xludf.DUMMYFUNCTION("""COMPUTED_VALUE"""),"322747A UCHWYT NA PAPIER")</f>
        <v>322747A UCHWYT NA PAPIER</v>
      </c>
      <c r="E3010" s="31">
        <v>9.0243902439024399</v>
      </c>
      <c r="F3010" s="31">
        <f t="shared" si="47"/>
        <v>11.100000000000001</v>
      </c>
    </row>
    <row r="3011" spans="1:6" ht="18.75" customHeight="1" x14ac:dyDescent="0.25">
      <c r="A3011" s="2" t="str">
        <f ca="1">IFERROR(__xludf.DUMMYFUNCTION("""COMPUTED_VALUE"""),"REA-07015")</f>
        <v>REA-07015</v>
      </c>
      <c r="B3011" s="3">
        <f ca="1">IFERROR(__xludf.DUMMYFUNCTION("""COMPUTED_VALUE"""),49788)</f>
        <v>49788</v>
      </c>
      <c r="C3011" s="3">
        <f ca="1">IFERROR(__xludf.DUMMYFUNCTION("""COMPUTED_VALUE"""),5902557386673)</f>
        <v>5902557386673</v>
      </c>
      <c r="D3011" s="4" t="str">
        <f ca="1">IFERROR(__xludf.DUMMYFUNCTION("""COMPUTED_VALUE"""),"322750 UCHWYT NA PAPIER")</f>
        <v>322750 UCHWYT NA PAPIER</v>
      </c>
      <c r="E3011" s="31">
        <v>9.0243902439024399</v>
      </c>
      <c r="F3011" s="31">
        <f t="shared" si="47"/>
        <v>11.100000000000001</v>
      </c>
    </row>
    <row r="3012" spans="1:6" ht="18.75" customHeight="1" x14ac:dyDescent="0.25">
      <c r="A3012" s="2" t="str">
        <f ca="1">IFERROR(__xludf.DUMMYFUNCTION("""COMPUTED_VALUE"""),"REA-07020")</f>
        <v>REA-07020</v>
      </c>
      <c r="B3012" s="3">
        <f ca="1">IFERROR(__xludf.DUMMYFUNCTION("""COMPUTED_VALUE"""),49780)</f>
        <v>49780</v>
      </c>
      <c r="C3012" s="3">
        <f ca="1">IFERROR(__xludf.DUMMYFUNCTION("""COMPUTED_VALUE"""),5902557386642)</f>
        <v>5902557386642</v>
      </c>
      <c r="D3012" s="4" t="str">
        <f ca="1">IFERROR(__xludf.DUMMYFUNCTION("""COMPUTED_VALUE"""),"322752 UCHWYT NA PAPIER")</f>
        <v>322752 UCHWYT NA PAPIER</v>
      </c>
      <c r="E3012" s="31">
        <v>9.0243902439024399</v>
      </c>
      <c r="F3012" s="31">
        <f t="shared" si="47"/>
        <v>11.100000000000001</v>
      </c>
    </row>
    <row r="3013" spans="1:6" ht="18.75" customHeight="1" x14ac:dyDescent="0.25">
      <c r="A3013" s="2" t="str">
        <f ca="1">IFERROR(__xludf.DUMMYFUNCTION("""COMPUTED_VALUE"""),"REA-07006")</f>
        <v>REA-07006</v>
      </c>
      <c r="B3013" s="3">
        <f ca="1">IFERROR(__xludf.DUMMYFUNCTION("""COMPUTED_VALUE"""),53531)</f>
        <v>53531</v>
      </c>
      <c r="C3013" s="3">
        <f ca="1">IFERROR(__xludf.DUMMYFUNCTION("""COMPUTED_VALUE"""),5902557390687)</f>
        <v>5902557390687</v>
      </c>
      <c r="D3013" s="4" t="str">
        <f ca="1">IFERROR(__xludf.DUMMYFUNCTION("""COMPUTED_VALUE"""),"322753 UCHWYT NA PAPIER")</f>
        <v>322753 UCHWYT NA PAPIER</v>
      </c>
      <c r="E3013" s="31">
        <v>4.51219512195122</v>
      </c>
      <c r="F3013" s="31">
        <f t="shared" si="47"/>
        <v>5.5500000000000007</v>
      </c>
    </row>
    <row r="3014" spans="1:6" ht="18.75" customHeight="1" x14ac:dyDescent="0.25">
      <c r="A3014" s="2" t="str">
        <f ca="1">IFERROR(__xludf.DUMMYFUNCTION("""COMPUTED_VALUE"""),"REA-06920")</f>
        <v>REA-06920</v>
      </c>
      <c r="B3014" s="3">
        <f ca="1">IFERROR(__xludf.DUMMYFUNCTION("""COMPUTED_VALUE"""),53036)</f>
        <v>53036</v>
      </c>
      <c r="C3014" s="3">
        <f ca="1">IFERROR(__xludf.DUMMYFUNCTION("""COMPUTED_VALUE"""),5906366004131)</f>
        <v>5906366004131</v>
      </c>
      <c r="D3014" s="4" t="str">
        <f ca="1">IFERROR(__xludf.DUMMYFUNCTION("""COMPUTED_VALUE"""),"332869 UCHWYT NA PAPIER ZŁOTY RETRO")</f>
        <v>332869 UCHWYT NA PAPIER ZŁOTY RETRO</v>
      </c>
      <c r="E3014" s="31">
        <v>9.0243902439024399</v>
      </c>
      <c r="F3014" s="31">
        <f t="shared" si="47"/>
        <v>11.100000000000001</v>
      </c>
    </row>
    <row r="3015" spans="1:6" ht="18.75" customHeight="1" x14ac:dyDescent="0.25">
      <c r="A3015" s="2" t="str">
        <f ca="1">IFERROR(__xludf.DUMMYFUNCTION("""COMPUTED_VALUE"""),"REA-06925")</f>
        <v>REA-06925</v>
      </c>
      <c r="B3015" s="3">
        <f ca="1">IFERROR(__xludf.DUMMYFUNCTION("""COMPUTED_VALUE"""),53009)</f>
        <v>53009</v>
      </c>
      <c r="C3015" s="3">
        <f ca="1">IFERROR(__xludf.DUMMYFUNCTION("""COMPUTED_VALUE"""),5906366004094)</f>
        <v>5906366004094</v>
      </c>
      <c r="D3015" s="4" t="str">
        <f ca="1">IFERROR(__xludf.DUMMYFUNCTION("""COMPUTED_VALUE"""),"332869A UCHWYT NA PAPIER CZARNY RETRO")</f>
        <v>332869A UCHWYT NA PAPIER CZARNY RETRO</v>
      </c>
      <c r="E3015" s="31">
        <v>9.0243902439024399</v>
      </c>
      <c r="F3015" s="31">
        <f t="shared" si="47"/>
        <v>11.100000000000001</v>
      </c>
    </row>
    <row r="3016" spans="1:6" ht="18.75" customHeight="1" x14ac:dyDescent="0.25">
      <c r="A3016" s="2" t="str">
        <f ca="1">IFERROR(__xludf.DUMMYFUNCTION("""COMPUTED_VALUE"""),"REA-06928")</f>
        <v>REA-06928</v>
      </c>
      <c r="B3016" s="3">
        <f ca="1">IFERROR(__xludf.DUMMYFUNCTION("""COMPUTED_VALUE"""),53045)</f>
        <v>53045</v>
      </c>
      <c r="C3016" s="3">
        <f ca="1">IFERROR(__xludf.DUMMYFUNCTION("""COMPUTED_VALUE"""),5906366004179)</f>
        <v>5906366004179</v>
      </c>
      <c r="D3016" s="4" t="str">
        <f ca="1">IFERROR(__xludf.DUMMYFUNCTION("""COMPUTED_VALUE"""),"332869B UCHWYT NA PAPIER ANTYCZNY BRĄZ RETRO")</f>
        <v>332869B UCHWYT NA PAPIER ANTYCZNY BRĄZ RETRO</v>
      </c>
      <c r="E3016" s="31">
        <v>9.0243902439024399</v>
      </c>
      <c r="F3016" s="31">
        <f t="shared" si="47"/>
        <v>11.100000000000001</v>
      </c>
    </row>
    <row r="3017" spans="1:6" ht="18.75" customHeight="1" x14ac:dyDescent="0.25">
      <c r="A3017" s="2" t="str">
        <f ca="1">IFERROR(__xludf.DUMMYFUNCTION("""COMPUTED_VALUE"""),"REA-06912")</f>
        <v>REA-06912</v>
      </c>
      <c r="B3017" s="3">
        <f ca="1">IFERROR(__xludf.DUMMYFUNCTION("""COMPUTED_VALUE"""),52913)</f>
        <v>52913</v>
      </c>
      <c r="C3017" s="3">
        <f ca="1">IFERROR(__xludf.DUMMYFUNCTION("""COMPUTED_VALUE"""),5906366004230)</f>
        <v>5906366004230</v>
      </c>
      <c r="D3017" s="4" t="str">
        <f ca="1">IFERROR(__xludf.DUMMYFUNCTION("""COMPUTED_VALUE"""),"332921 OSTE 04 BLACK WIESZAK NA PAPIER")</f>
        <v>332921 OSTE 04 BLACK WIESZAK NA PAPIER</v>
      </c>
      <c r="E3017" s="31">
        <v>18.04878048780488</v>
      </c>
      <c r="F3017" s="31">
        <f t="shared" si="47"/>
        <v>22.200000000000003</v>
      </c>
    </row>
    <row r="3018" spans="1:6" ht="18.75" customHeight="1" x14ac:dyDescent="0.25">
      <c r="A3018" s="2" t="str">
        <f ca="1">IFERROR(__xludf.DUMMYFUNCTION("""COMPUTED_VALUE"""),"REA-06913")</f>
        <v>REA-06913</v>
      </c>
      <c r="B3018" s="3">
        <f ca="1">IFERROR(__xludf.DUMMYFUNCTION("""COMPUTED_VALUE"""),52912)</f>
        <v>52912</v>
      </c>
      <c r="C3018" s="3">
        <f ca="1">IFERROR(__xludf.DUMMYFUNCTION("""COMPUTED_VALUE"""),5906366004223)</f>
        <v>5906366004223</v>
      </c>
      <c r="D3018" s="4" t="str">
        <f ca="1">IFERROR(__xludf.DUMMYFUNCTION("""COMPUTED_VALUE"""),"332921A OSTE 04 GOLD WIESZAK NA PAPIER")</f>
        <v>332921A OSTE 04 GOLD WIESZAK NA PAPIER</v>
      </c>
      <c r="E3018" s="31">
        <v>18.04878048780488</v>
      </c>
      <c r="F3018" s="31">
        <f t="shared" si="47"/>
        <v>22.200000000000003</v>
      </c>
    </row>
    <row r="3019" spans="1:6" ht="18.75" customHeight="1" x14ac:dyDescent="0.25">
      <c r="A3019" s="2" t="str">
        <f ca="1">IFERROR(__xludf.DUMMYFUNCTION("""COMPUTED_VALUE"""),"HOM-00013")</f>
        <v>HOM-00013</v>
      </c>
      <c r="B3019" s="3">
        <f ca="1">IFERROR(__xludf.DUMMYFUNCTION("""COMPUTED_VALUE"""),26412)</f>
        <v>26412</v>
      </c>
      <c r="C3019" s="3">
        <f ca="1">IFERROR(__xludf.DUMMYFUNCTION("""COMPUTED_VALUE"""),5902557334711)</f>
        <v>5902557334711</v>
      </c>
      <c r="D3019" s="4" t="str">
        <f ca="1">IFERROR(__xludf.DUMMYFUNCTION("""COMPUTED_VALUE"""),"REA UCHWYT NA PAPIER 381698 CHROM")</f>
        <v>REA UCHWYT NA PAPIER 381698 CHROM</v>
      </c>
      <c r="E3019" s="31">
        <v>9.0243902439024399</v>
      </c>
      <c r="F3019" s="31">
        <f t="shared" si="47"/>
        <v>11.100000000000001</v>
      </c>
    </row>
    <row r="3020" spans="1:6" ht="18.75" customHeight="1" x14ac:dyDescent="0.25">
      <c r="A3020" s="2" t="str">
        <f ca="1">IFERROR(__xludf.DUMMYFUNCTION("""COMPUTED_VALUE"""),"HOM-00554")</f>
        <v>HOM-00554</v>
      </c>
      <c r="B3020" s="3">
        <f ca="1">IFERROR(__xludf.DUMMYFUNCTION("""COMPUTED_VALUE"""),29748)</f>
        <v>29748</v>
      </c>
      <c r="C3020" s="3">
        <f ca="1">IFERROR(__xludf.DUMMYFUNCTION("""COMPUTED_VALUE"""),5902557337934)</f>
        <v>5902557337934</v>
      </c>
      <c r="D3020" s="4" t="str">
        <f ca="1">IFERROR(__xludf.DUMMYFUNCTION("""COMPUTED_VALUE"""),"REA UCHWYT NA PAPIER 381698 BLACK")</f>
        <v>REA UCHWYT NA PAPIER 381698 BLACK</v>
      </c>
      <c r="E3020" s="31">
        <v>9.0243902439024399</v>
      </c>
      <c r="F3020" s="31">
        <f t="shared" si="47"/>
        <v>11.100000000000001</v>
      </c>
    </row>
    <row r="3021" spans="1:6" ht="18.75" customHeight="1" x14ac:dyDescent="0.25">
      <c r="A3021" s="2" t="str">
        <f ca="1">IFERROR(__xludf.DUMMYFUNCTION("""COMPUTED_VALUE"""),"REA-77077")</f>
        <v>REA-77077</v>
      </c>
      <c r="B3021" s="3">
        <f ca="1">IFERROR(__xludf.DUMMYFUNCTION("""COMPUTED_VALUE"""),49588)</f>
        <v>49588</v>
      </c>
      <c r="C3021" s="3">
        <f ca="1">IFERROR(__xludf.DUMMYFUNCTION("""COMPUTED_VALUE"""),5902557384525)</f>
        <v>5902557384525</v>
      </c>
      <c r="D3021" s="4" t="str">
        <f ca="1">IFERROR(__xludf.DUMMYFUNCTION("""COMPUTED_VALUE"""),"322231B UCHWYT NA PAPIER BIAŁY")</f>
        <v>322231B UCHWYT NA PAPIER BIAŁY</v>
      </c>
      <c r="E3021" s="31">
        <v>13.536585365853661</v>
      </c>
      <c r="F3021" s="31">
        <f t="shared" si="47"/>
        <v>16.650000000000002</v>
      </c>
    </row>
    <row r="3022" spans="1:6" ht="18.75" customHeight="1" x14ac:dyDescent="0.25">
      <c r="A3022" s="2" t="str">
        <f ca="1">IFERROR(__xludf.DUMMYFUNCTION("""COMPUTED_VALUE"""),"REA-07007")</f>
        <v>REA-07007</v>
      </c>
      <c r="B3022" s="3">
        <f ca="1">IFERROR(__xludf.DUMMYFUNCTION("""COMPUTED_VALUE"""),49770)</f>
        <v>49770</v>
      </c>
      <c r="C3022" s="3">
        <f ca="1">IFERROR(__xludf.DUMMYFUNCTION("""COMPUTED_VALUE"""),5902557386581)</f>
        <v>5902557386581</v>
      </c>
      <c r="D3022" s="4" t="str">
        <f ca="1">IFERROR(__xludf.DUMMYFUNCTION("""COMPUTED_VALUE"""),"322736 UCHWYT NA PAPIER")</f>
        <v>322736 UCHWYT NA PAPIER</v>
      </c>
      <c r="E3022" s="31">
        <v>4.51219512195122</v>
      </c>
      <c r="F3022" s="31">
        <f t="shared" si="47"/>
        <v>5.5500000000000007</v>
      </c>
    </row>
    <row r="3023" spans="1:6" ht="18.75" customHeight="1" x14ac:dyDescent="0.25">
      <c r="A3023" s="2" t="str">
        <f ca="1">IFERROR(__xludf.DUMMYFUNCTION("""COMPUTED_VALUE"""),"REA-80009")</f>
        <v>REA-80009</v>
      </c>
      <c r="B3023" s="3">
        <f ca="1">IFERROR(__xludf.DUMMYFUNCTION("""COMPUTED_VALUE"""),44358)</f>
        <v>44358</v>
      </c>
      <c r="C3023" s="3">
        <f ca="1">IFERROR(__xludf.DUMMYFUNCTION("""COMPUTED_VALUE"""),5902557367733)</f>
        <v>5902557367733</v>
      </c>
      <c r="D3023" s="4" t="str">
        <f ca="1">IFERROR(__xludf.DUMMYFUNCTION("""COMPUTED_VALUE"""),"ERLO 04 CHROME WIESZAK NA PAPIER")</f>
        <v>ERLO 04 CHROME WIESZAK NA PAPIER</v>
      </c>
      <c r="E3023" s="31">
        <v>13.536585365853661</v>
      </c>
      <c r="F3023" s="31">
        <f t="shared" si="47"/>
        <v>16.650000000000002</v>
      </c>
    </row>
    <row r="3024" spans="1:6" ht="18.75" customHeight="1" x14ac:dyDescent="0.25">
      <c r="A3024" s="2" t="str">
        <f ca="1">IFERROR(__xludf.DUMMYFUNCTION("""COMPUTED_VALUE"""),"REA-80024")</f>
        <v>REA-80024</v>
      </c>
      <c r="B3024" s="3">
        <f ca="1">IFERROR(__xludf.DUMMYFUNCTION("""COMPUTED_VALUE"""),43820)</f>
        <v>43820</v>
      </c>
      <c r="C3024" s="3">
        <f ca="1">IFERROR(__xludf.DUMMYFUNCTION("""COMPUTED_VALUE"""),5902557367887)</f>
        <v>5902557367887</v>
      </c>
      <c r="D3024" s="4" t="str">
        <f ca="1">IFERROR(__xludf.DUMMYFUNCTION("""COMPUTED_VALUE"""),"MIST 04 CHROME WIESZAK NA PAPIER")</f>
        <v>MIST 04 CHROME WIESZAK NA PAPIER</v>
      </c>
      <c r="E3024" s="31">
        <v>9.0243902439024399</v>
      </c>
      <c r="F3024" s="31">
        <f t="shared" si="47"/>
        <v>11.100000000000001</v>
      </c>
    </row>
    <row r="3025" spans="1:6" ht="18.75" customHeight="1" x14ac:dyDescent="0.25">
      <c r="A3025" s="2" t="str">
        <f ca="1">IFERROR(__xludf.DUMMYFUNCTION("""COMPUTED_VALUE"""),"REA-80041")</f>
        <v>REA-80041</v>
      </c>
      <c r="B3025" s="3">
        <f ca="1">IFERROR(__xludf.DUMMYFUNCTION("""COMPUTED_VALUE"""),44361)</f>
        <v>44361</v>
      </c>
      <c r="C3025" s="3">
        <f ca="1">IFERROR(__xludf.DUMMYFUNCTION("""COMPUTED_VALUE"""),5902557368044)</f>
        <v>5902557368044</v>
      </c>
      <c r="D3025" s="4" t="str">
        <f ca="1">IFERROR(__xludf.DUMMYFUNCTION("""COMPUTED_VALUE"""),"OSTE 04 CHROME WIESZAK NA PAPIER")</f>
        <v>OSTE 04 CHROME WIESZAK NA PAPIER</v>
      </c>
      <c r="E3025" s="31">
        <v>9.0243902439024399</v>
      </c>
      <c r="F3025" s="31">
        <f t="shared" si="47"/>
        <v>11.100000000000001</v>
      </c>
    </row>
    <row r="3026" spans="1:6" ht="18.75" customHeight="1" x14ac:dyDescent="0.25">
      <c r="A3026" s="2" t="str">
        <f ca="1">IFERROR(__xludf.DUMMYFUNCTION("""COMPUTED_VALUE"""),"REA-80044")</f>
        <v>REA-80044</v>
      </c>
      <c r="B3026" s="3">
        <f ca="1">IFERROR(__xludf.DUMMYFUNCTION("""COMPUTED_VALUE"""),43929)</f>
        <v>43929</v>
      </c>
      <c r="C3026" s="3">
        <f ca="1">IFERROR(__xludf.DUMMYFUNCTION("""COMPUTED_VALUE"""),5902557368075)</f>
        <v>5902557368075</v>
      </c>
      <c r="D3026" s="4" t="str">
        <f ca="1">IFERROR(__xludf.DUMMYFUNCTION("""COMPUTED_VALUE"""),"OSTE 05 CHROME WIESZAK NA PAPIER")</f>
        <v>OSTE 05 CHROME WIESZAK NA PAPIER</v>
      </c>
      <c r="E3026" s="31">
        <v>9.0243902439024399</v>
      </c>
      <c r="F3026" s="31">
        <f t="shared" si="47"/>
        <v>11.100000000000001</v>
      </c>
    </row>
    <row r="3027" spans="1:6" ht="18.75" customHeight="1" x14ac:dyDescent="0.25">
      <c r="A3027" s="2" t="str">
        <f ca="1">IFERROR(__xludf.DUMMYFUNCTION("""COMPUTED_VALUE"""),"REA-77047")</f>
        <v>REA-77047</v>
      </c>
      <c r="B3027" s="3">
        <f ca="1">IFERROR(__xludf.DUMMYFUNCTION("""COMPUTED_VALUE"""),49436)</f>
        <v>49436</v>
      </c>
      <c r="C3027" s="3">
        <f ca="1">IFERROR(__xludf.DUMMYFUNCTION("""COMPUTED_VALUE"""),5902557383399)</f>
        <v>5902557383399</v>
      </c>
      <c r="D3027" s="4" t="str">
        <f ca="1">IFERROR(__xludf.DUMMYFUNCTION("""COMPUTED_VALUE"""),"322186 UCHWYT NA PAPIER CZARNY TIL")</f>
        <v>322186 UCHWYT NA PAPIER CZARNY TIL</v>
      </c>
      <c r="E3027" s="31">
        <v>9.0243902439024399</v>
      </c>
      <c r="F3027" s="31">
        <f t="shared" si="47"/>
        <v>11.100000000000001</v>
      </c>
    </row>
    <row r="3028" spans="1:6" ht="18.75" customHeight="1" x14ac:dyDescent="0.25">
      <c r="A3028" s="2" t="str">
        <f ca="1">IFERROR(__xludf.DUMMYFUNCTION("""COMPUTED_VALUE"""),"REA-77004")</f>
        <v>REA-77004</v>
      </c>
      <c r="B3028" s="3">
        <f ca="1">IFERROR(__xludf.DUMMYFUNCTION("""COMPUTED_VALUE"""),49510)</f>
        <v>49510</v>
      </c>
      <c r="C3028" s="3">
        <f ca="1">IFERROR(__xludf.DUMMYFUNCTION("""COMPUTED_VALUE"""),5902557383986)</f>
        <v>5902557383986</v>
      </c>
      <c r="D3028" s="4" t="str">
        <f ca="1">IFERROR(__xludf.DUMMYFUNCTION("""COMPUTED_VALUE"""),"322213 UCHWYT NA PAPIER CZARNY")</f>
        <v>322213 UCHWYT NA PAPIER CZARNY</v>
      </c>
      <c r="E3028" s="31">
        <v>9.0243902439024399</v>
      </c>
      <c r="F3028" s="31">
        <f t="shared" si="47"/>
        <v>11.100000000000001</v>
      </c>
    </row>
    <row r="3029" spans="1:6" ht="18.75" customHeight="1" x14ac:dyDescent="0.25">
      <c r="A3029" s="2" t="str">
        <f ca="1">IFERROR(__xludf.DUMMYFUNCTION("""COMPUTED_VALUE"""),"REA-77002")</f>
        <v>REA-77002</v>
      </c>
      <c r="B3029" s="3">
        <f ca="1">IFERROR(__xludf.DUMMYFUNCTION("""COMPUTED_VALUE"""),49509)</f>
        <v>49509</v>
      </c>
      <c r="C3029" s="3">
        <f ca="1">IFERROR(__xludf.DUMMYFUNCTION("""COMPUTED_VALUE"""),5902557383979)</f>
        <v>5902557383979</v>
      </c>
      <c r="D3029" s="4" t="str">
        <f ca="1">IFERROR(__xludf.DUMMYFUNCTION("""COMPUTED_VALUE"""),"322213B UCHWYT NA PAPIER CZARNY")</f>
        <v>322213B UCHWYT NA PAPIER CZARNY</v>
      </c>
      <c r="E3029" s="31">
        <v>9.0243902439024399</v>
      </c>
      <c r="F3029" s="31">
        <f t="shared" si="47"/>
        <v>11.100000000000001</v>
      </c>
    </row>
    <row r="3030" spans="1:6" ht="18.75" customHeight="1" x14ac:dyDescent="0.25">
      <c r="A3030" s="2" t="str">
        <f ca="1">IFERROR(__xludf.DUMMYFUNCTION("""COMPUTED_VALUE"""),"REA-77057")</f>
        <v>REA-77057</v>
      </c>
      <c r="B3030" s="3">
        <f ca="1">IFERROR(__xludf.DUMMYFUNCTION("""COMPUTED_VALUE"""),49506)</f>
        <v>49506</v>
      </c>
      <c r="C3030" s="3">
        <f ca="1">IFERROR(__xludf.DUMMYFUNCTION("""COMPUTED_VALUE"""),5902557383948)</f>
        <v>5902557383948</v>
      </c>
      <c r="D3030" s="4" t="str">
        <f ca="1">IFERROR(__xludf.DUMMYFUNCTION("""COMPUTED_VALUE"""),"322219A UCHWYT NA PAPIER CZARNY DUO")</f>
        <v>322219A UCHWYT NA PAPIER CZARNY DUO</v>
      </c>
      <c r="E3030" s="31">
        <v>18.04878048780488</v>
      </c>
      <c r="F3030" s="31">
        <f t="shared" si="47"/>
        <v>22.200000000000003</v>
      </c>
    </row>
    <row r="3031" spans="1:6" ht="18.75" customHeight="1" x14ac:dyDescent="0.25">
      <c r="A3031" s="2" t="str">
        <f ca="1">IFERROR(__xludf.DUMMYFUNCTION("""COMPUTED_VALUE"""),"REA-77102")</f>
        <v>REA-77102</v>
      </c>
      <c r="B3031" s="3">
        <f ca="1">IFERROR(__xludf.DUMMYFUNCTION("""COMPUTED_VALUE"""),49602)</f>
        <v>49602</v>
      </c>
      <c r="C3031" s="3">
        <f ca="1">IFERROR(__xludf.DUMMYFUNCTION("""COMPUTED_VALUE"""),5902557384563)</f>
        <v>5902557384563</v>
      </c>
      <c r="D3031" s="4" t="str">
        <f ca="1">IFERROR(__xludf.DUMMYFUNCTION("""COMPUTED_VALUE"""),"322220A UCHWYT NA PAPIER CZARNY DUO")</f>
        <v>322220A UCHWYT NA PAPIER CZARNY DUO</v>
      </c>
      <c r="E3031" s="31">
        <v>18.04878048780488</v>
      </c>
      <c r="F3031" s="31">
        <f t="shared" si="47"/>
        <v>22.200000000000003</v>
      </c>
    </row>
    <row r="3032" spans="1:6" ht="18.75" customHeight="1" x14ac:dyDescent="0.25">
      <c r="A3032" s="2" t="str">
        <f ca="1">IFERROR(__xludf.DUMMYFUNCTION("""COMPUTED_VALUE"""),"REA-77079")</f>
        <v>REA-77079</v>
      </c>
      <c r="B3032" s="3">
        <f ca="1">IFERROR(__xludf.DUMMYFUNCTION("""COMPUTED_VALUE"""),49528)</f>
        <v>49528</v>
      </c>
      <c r="C3032" s="3">
        <f ca="1">IFERROR(__xludf.DUMMYFUNCTION("""COMPUTED_VALUE"""),5902557384167)</f>
        <v>5902557384167</v>
      </c>
      <c r="D3032" s="4" t="str">
        <f ca="1">IFERROR(__xludf.DUMMYFUNCTION("""COMPUTED_VALUE"""),"322231C UCHWYT NA PAPIER CZARNY")</f>
        <v>322231C UCHWYT NA PAPIER CZARNY</v>
      </c>
      <c r="E3032" s="31">
        <v>13.536585365853661</v>
      </c>
      <c r="F3032" s="31">
        <f t="shared" si="47"/>
        <v>16.650000000000002</v>
      </c>
    </row>
    <row r="3033" spans="1:6" ht="18.75" customHeight="1" x14ac:dyDescent="0.25">
      <c r="A3033" s="2" t="str">
        <f ca="1">IFERROR(__xludf.DUMMYFUNCTION("""COMPUTED_VALUE"""),"HOM-02001")</f>
        <v>HOM-02001</v>
      </c>
      <c r="B3033" s="3">
        <f ca="1">IFERROR(__xludf.DUMMYFUNCTION("""COMPUTED_VALUE"""),39434)</f>
        <v>39434</v>
      </c>
      <c r="C3033" s="3">
        <f ca="1">IFERROR(__xludf.DUMMYFUNCTION("""COMPUTED_VALUE"""),5902557378135)</f>
        <v>5902557378135</v>
      </c>
      <c r="D3033" s="4" t="str">
        <f ca="1">IFERROR(__xludf.DUMMYFUNCTION("""COMPUTED_VALUE"""),"REA UCHWYT NA PAPIER 392599")</f>
        <v>REA UCHWYT NA PAPIER 392599</v>
      </c>
      <c r="E3033" s="31">
        <v>18.04878048780488</v>
      </c>
      <c r="F3033" s="31">
        <f t="shared" si="47"/>
        <v>22.200000000000003</v>
      </c>
    </row>
    <row r="3034" spans="1:6" ht="18.75" customHeight="1" x14ac:dyDescent="0.25">
      <c r="A3034" s="2" t="str">
        <f ca="1">IFERROR(__xludf.DUMMYFUNCTION("""COMPUTED_VALUE"""),"HOM-02000")</f>
        <v>HOM-02000</v>
      </c>
      <c r="B3034" s="3">
        <f ca="1">IFERROR(__xludf.DUMMYFUNCTION("""COMPUTED_VALUE"""),39435)</f>
        <v>39435</v>
      </c>
      <c r="C3034" s="3">
        <f ca="1">IFERROR(__xludf.DUMMYFUNCTION("""COMPUTED_VALUE"""),5902557383184)</f>
        <v>5902557383184</v>
      </c>
      <c r="D3034" s="4" t="str">
        <f ca="1">IFERROR(__xludf.DUMMYFUNCTION("""COMPUTED_VALUE"""),"REA UCHWYT NA PAPIER 392602")</f>
        <v>REA UCHWYT NA PAPIER 392602</v>
      </c>
      <c r="E3034" s="31">
        <v>9.0243902439024399</v>
      </c>
      <c r="F3034" s="31">
        <f t="shared" si="47"/>
        <v>11.100000000000001</v>
      </c>
    </row>
    <row r="3035" spans="1:6" ht="18.75" customHeight="1" x14ac:dyDescent="0.25">
      <c r="A3035" s="2" t="str">
        <f ca="1">IFERROR(__xludf.DUMMYFUNCTION("""COMPUTED_VALUE"""),"REA-80010")</f>
        <v>REA-80010</v>
      </c>
      <c r="B3035" s="3">
        <f ca="1">IFERROR(__xludf.DUMMYFUNCTION("""COMPUTED_VALUE"""),44357)</f>
        <v>44357</v>
      </c>
      <c r="C3035" s="3">
        <f ca="1">IFERROR(__xludf.DUMMYFUNCTION("""COMPUTED_VALUE"""),5902557367740)</f>
        <v>5902557367740</v>
      </c>
      <c r="D3035" s="4" t="str">
        <f ca="1">IFERROR(__xludf.DUMMYFUNCTION("""COMPUTED_VALUE"""),"ERLO 04 BLACK WIESZAK NA PAPIER")</f>
        <v>ERLO 04 BLACK WIESZAK NA PAPIER</v>
      </c>
      <c r="E3035" s="31">
        <v>18.04878048780488</v>
      </c>
      <c r="F3035" s="31">
        <f t="shared" si="47"/>
        <v>22.200000000000003</v>
      </c>
    </row>
    <row r="3036" spans="1:6" ht="18.75" customHeight="1" x14ac:dyDescent="0.25">
      <c r="A3036" s="2" t="str">
        <f ca="1">IFERROR(__xludf.DUMMYFUNCTION("""COMPUTED_VALUE"""),"REA-80025")</f>
        <v>REA-80025</v>
      </c>
      <c r="B3036" s="3">
        <f ca="1">IFERROR(__xludf.DUMMYFUNCTION("""COMPUTED_VALUE"""),43932)</f>
        <v>43932</v>
      </c>
      <c r="C3036" s="3">
        <f ca="1">IFERROR(__xludf.DUMMYFUNCTION("""COMPUTED_VALUE"""),5902557367894)</f>
        <v>5902557367894</v>
      </c>
      <c r="D3036" s="4" t="str">
        <f ca="1">IFERROR(__xludf.DUMMYFUNCTION("""COMPUTED_VALUE"""),"MIST 04 BLACK WIESZAK NA PAPIER")</f>
        <v>MIST 04 BLACK WIESZAK NA PAPIER</v>
      </c>
      <c r="E3036" s="31">
        <v>9.0243902439024399</v>
      </c>
      <c r="F3036" s="31">
        <f t="shared" si="47"/>
        <v>11.100000000000001</v>
      </c>
    </row>
    <row r="3037" spans="1:6" ht="18.75" customHeight="1" x14ac:dyDescent="0.25">
      <c r="A3037" s="2" t="str">
        <f ca="1">IFERROR(__xludf.DUMMYFUNCTION("""COMPUTED_VALUE"""),"REA-80042")</f>
        <v>REA-80042</v>
      </c>
      <c r="B3037" s="3">
        <f ca="1">IFERROR(__xludf.DUMMYFUNCTION("""COMPUTED_VALUE"""),44360)</f>
        <v>44360</v>
      </c>
      <c r="C3037" s="3">
        <f ca="1">IFERROR(__xludf.DUMMYFUNCTION("""COMPUTED_VALUE"""),5902557368051)</f>
        <v>5902557368051</v>
      </c>
      <c r="D3037" s="4" t="str">
        <f ca="1">IFERROR(__xludf.DUMMYFUNCTION("""COMPUTED_VALUE"""),"OSTE 04 BLACK WIESZAK NA PAPIER")</f>
        <v>OSTE 04 BLACK WIESZAK NA PAPIER</v>
      </c>
      <c r="E3037" s="31">
        <v>9.0243902439024399</v>
      </c>
      <c r="F3037" s="31">
        <f t="shared" si="47"/>
        <v>11.100000000000001</v>
      </c>
    </row>
    <row r="3038" spans="1:6" ht="18.75" customHeight="1" x14ac:dyDescent="0.25">
      <c r="A3038" s="2" t="str">
        <f ca="1">IFERROR(__xludf.DUMMYFUNCTION("""COMPUTED_VALUE"""),"REA-80045")</f>
        <v>REA-80045</v>
      </c>
      <c r="B3038" s="3">
        <f ca="1">IFERROR(__xludf.DUMMYFUNCTION("""COMPUTED_VALUE"""),43835)</f>
        <v>43835</v>
      </c>
      <c r="C3038" s="3">
        <f ca="1">IFERROR(__xludf.DUMMYFUNCTION("""COMPUTED_VALUE"""),5902557368082)</f>
        <v>5902557368082</v>
      </c>
      <c r="D3038" s="4" t="str">
        <f ca="1">IFERROR(__xludf.DUMMYFUNCTION("""COMPUTED_VALUE"""),"OSTE 05 BLACK WIESZAK NA PAPIER")</f>
        <v>OSTE 05 BLACK WIESZAK NA PAPIER</v>
      </c>
      <c r="E3038" s="31">
        <v>13.536585365853661</v>
      </c>
      <c r="F3038" s="31">
        <f t="shared" si="47"/>
        <v>16.650000000000002</v>
      </c>
    </row>
    <row r="3039" spans="1:6" ht="18.75" customHeight="1" x14ac:dyDescent="0.25">
      <c r="A3039" s="2" t="str">
        <f ca="1">IFERROR(__xludf.DUMMYFUNCTION("""COMPUTED_VALUE"""),"REA-77074")</f>
        <v>REA-77074</v>
      </c>
      <c r="B3039" s="3">
        <f ca="1">IFERROR(__xludf.DUMMYFUNCTION("""COMPUTED_VALUE"""),49532)</f>
        <v>49532</v>
      </c>
      <c r="C3039" s="3">
        <f ca="1">IFERROR(__xludf.DUMMYFUNCTION("""COMPUTED_VALUE"""),5902557384204)</f>
        <v>5902557384204</v>
      </c>
      <c r="D3039" s="4" t="str">
        <f ca="1">IFERROR(__xludf.DUMMYFUNCTION("""COMPUTED_VALUE"""),"322231A UCHWYT NA PAPIER TYTAN LEO")</f>
        <v>322231A UCHWYT NA PAPIER TYTAN LEO</v>
      </c>
      <c r="E3039" s="31">
        <v>18.04878048780488</v>
      </c>
      <c r="F3039" s="31">
        <f t="shared" si="47"/>
        <v>22.200000000000003</v>
      </c>
    </row>
    <row r="3040" spans="1:6" ht="18.75" customHeight="1" x14ac:dyDescent="0.25">
      <c r="A3040" s="2" t="str">
        <f ca="1">IFERROR(__xludf.DUMMYFUNCTION("""COMPUTED_VALUE"""),"REA-77046")</f>
        <v>REA-77046</v>
      </c>
      <c r="B3040" s="3">
        <f ca="1">IFERROR(__xludf.DUMMYFUNCTION("""COMPUTED_VALUE"""),49897)</f>
        <v>49897</v>
      </c>
      <c r="C3040" s="3">
        <f ca="1">IFERROR(__xludf.DUMMYFUNCTION("""COMPUTED_VALUE"""),5902557386451)</f>
        <v>5902557386451</v>
      </c>
      <c r="D3040" s="4" t="str">
        <f ca="1">IFERROR(__xludf.DUMMYFUNCTION("""COMPUTED_VALUE"""),"322226 UCHWYT NA PAPIER NIKIEL SZCZOTKOWANY FAR")</f>
        <v>322226 UCHWYT NA PAPIER NIKIEL SZCZOTKOWANY FAR</v>
      </c>
      <c r="E3040" s="31">
        <v>18.04878048780488</v>
      </c>
      <c r="F3040" s="31">
        <f t="shared" si="47"/>
        <v>22.200000000000003</v>
      </c>
    </row>
    <row r="3041" spans="1:6" ht="18.75" customHeight="1" x14ac:dyDescent="0.25">
      <c r="A3041" s="2" t="str">
        <f ca="1">IFERROR(__xludf.DUMMYFUNCTION("""COMPUTED_VALUE"""),"HOM-00552")</f>
        <v>HOM-00552</v>
      </c>
      <c r="B3041" s="3">
        <f ca="1">IFERROR(__xludf.DUMMYFUNCTION("""COMPUTED_VALUE"""),29750)</f>
        <v>29750</v>
      </c>
      <c r="C3041" s="3">
        <f ca="1">IFERROR(__xludf.DUMMYFUNCTION("""COMPUTED_VALUE"""),5902557337927)</f>
        <v>5902557337927</v>
      </c>
      <c r="D3041" s="4" t="str">
        <f ca="1">IFERROR(__xludf.DUMMYFUNCTION("""COMPUTED_VALUE"""),"REA UCHWYT NA PAPIER BLACK 390226")</f>
        <v>REA UCHWYT NA PAPIER BLACK 390226</v>
      </c>
      <c r="E3041" s="31">
        <v>9.0243902439024399</v>
      </c>
      <c r="F3041" s="31">
        <f t="shared" si="47"/>
        <v>11.100000000000001</v>
      </c>
    </row>
    <row r="3042" spans="1:6" ht="18.75" customHeight="1" x14ac:dyDescent="0.25">
      <c r="A3042" s="2" t="str">
        <f ca="1">IFERROR(__xludf.DUMMYFUNCTION("""COMPUTED_VALUE"""),"HOM-00551")</f>
        <v>HOM-00551</v>
      </c>
      <c r="B3042" s="3">
        <f ca="1">IFERROR(__xludf.DUMMYFUNCTION("""COMPUTED_VALUE"""),29752)</f>
        <v>29752</v>
      </c>
      <c r="C3042" s="3">
        <f ca="1">IFERROR(__xludf.DUMMYFUNCTION("""COMPUTED_VALUE"""),5902557337903)</f>
        <v>5902557337903</v>
      </c>
      <c r="D3042" s="4" t="str">
        <f ca="1">IFERROR(__xludf.DUMMYFUNCTION("""COMPUTED_VALUE"""),"REA UCHWYT NA PAPIER CHROM 390175A")</f>
        <v>REA UCHWYT NA PAPIER CHROM 390175A</v>
      </c>
      <c r="E3042" s="31">
        <v>9.0243902439024399</v>
      </c>
      <c r="F3042" s="31">
        <f t="shared" si="47"/>
        <v>11.100000000000001</v>
      </c>
    </row>
    <row r="3043" spans="1:6" ht="18.75" customHeight="1" x14ac:dyDescent="0.25">
      <c r="A3043" s="2" t="str">
        <f ca="1">IFERROR(__xludf.DUMMYFUNCTION("""COMPUTED_VALUE"""),"REA-77012")</f>
        <v>REA-77012</v>
      </c>
      <c r="B3043" s="3">
        <f ca="1">IFERROR(__xludf.DUMMYFUNCTION("""COMPUTED_VALUE"""),49556)</f>
        <v>49556</v>
      </c>
      <c r="C3043" s="3">
        <f ca="1">IFERROR(__xludf.DUMMYFUNCTION("""COMPUTED_VALUE"""),5902557384402)</f>
        <v>5902557384402</v>
      </c>
      <c r="D3043" s="4" t="str">
        <f ca="1">IFERROR(__xludf.DUMMYFUNCTION("""COMPUTED_VALUE"""),"322186A UCHWYT NA PAPIER ZŁOTY TIL")</f>
        <v>322186A UCHWYT NA PAPIER ZŁOTY TIL</v>
      </c>
      <c r="E3043" s="31">
        <v>13.536585365853661</v>
      </c>
      <c r="F3043" s="31">
        <f t="shared" si="47"/>
        <v>16.650000000000002</v>
      </c>
    </row>
    <row r="3044" spans="1:6" ht="18.75" customHeight="1" x14ac:dyDescent="0.25">
      <c r="A3044" s="2" t="str">
        <f ca="1">IFERROR(__xludf.DUMMYFUNCTION("""COMPUTED_VALUE"""),"REA-77034")</f>
        <v>REA-77034</v>
      </c>
      <c r="B3044" s="3">
        <f ca="1">IFERROR(__xludf.DUMMYFUNCTION("""COMPUTED_VALUE"""),49449)</f>
        <v>49449</v>
      </c>
      <c r="C3044" s="3">
        <f ca="1">IFERROR(__xludf.DUMMYFUNCTION("""COMPUTED_VALUE"""),5902557383528)</f>
        <v>5902557383528</v>
      </c>
      <c r="D3044" s="4" t="str">
        <f ca="1">IFERROR(__xludf.DUMMYFUNCTION("""COMPUTED_VALUE"""),"322191 UCHWYT NA PAPIER ZŁOTY MOON")</f>
        <v>322191 UCHWYT NA PAPIER ZŁOTY MOON</v>
      </c>
      <c r="E3044" s="31">
        <v>13.536585365853661</v>
      </c>
      <c r="F3044" s="31">
        <f t="shared" si="47"/>
        <v>16.650000000000002</v>
      </c>
    </row>
    <row r="3045" spans="1:6" ht="18.75" customHeight="1" x14ac:dyDescent="0.25">
      <c r="A3045" s="2" t="str">
        <f ca="1">IFERROR(__xludf.DUMMYFUNCTION("""COMPUTED_VALUE"""),"REA-77088")</f>
        <v>REA-77088</v>
      </c>
      <c r="B3045" s="3">
        <f ca="1">IFERROR(__xludf.DUMMYFUNCTION("""COMPUTED_VALUE"""),49502)</f>
        <v>49502</v>
      </c>
      <c r="C3045" s="3">
        <f ca="1">IFERROR(__xludf.DUMMYFUNCTION("""COMPUTED_VALUE"""),5902557383962)</f>
        <v>5902557383962</v>
      </c>
      <c r="D3045" s="4" t="str">
        <f ca="1">IFERROR(__xludf.DUMMYFUNCTION("""COMPUTED_VALUE"""),"322204A UCHWYT NA PAPIER ZŁOTY")</f>
        <v>322204A UCHWYT NA PAPIER ZŁOTY</v>
      </c>
      <c r="E3045" s="31">
        <v>22.560975609756099</v>
      </c>
      <c r="F3045" s="31">
        <f t="shared" si="47"/>
        <v>27.75</v>
      </c>
    </row>
    <row r="3046" spans="1:6" ht="18.75" customHeight="1" x14ac:dyDescent="0.25">
      <c r="A3046" s="2" t="str">
        <f ca="1">IFERROR(__xludf.DUMMYFUNCTION("""COMPUTED_VALUE"""),"REA-77005")</f>
        <v>REA-77005</v>
      </c>
      <c r="B3046" s="3">
        <f ca="1">IFERROR(__xludf.DUMMYFUNCTION("""COMPUTED_VALUE"""),49558)</f>
        <v>49558</v>
      </c>
      <c r="C3046" s="3">
        <f ca="1">IFERROR(__xludf.DUMMYFUNCTION("""COMPUTED_VALUE"""),5902557384419)</f>
        <v>5902557384419</v>
      </c>
      <c r="D3046" s="4" t="str">
        <f ca="1">IFERROR(__xludf.DUMMYFUNCTION("""COMPUTED_VALUE"""),"322213A UCHWYT NA PAPIER ZŁOTY")</f>
        <v>322213A UCHWYT NA PAPIER ZŁOTY</v>
      </c>
      <c r="E3046" s="31">
        <v>9.0243902439024399</v>
      </c>
      <c r="F3046" s="31">
        <f t="shared" si="47"/>
        <v>11.100000000000001</v>
      </c>
    </row>
    <row r="3047" spans="1:6" ht="18.75" customHeight="1" x14ac:dyDescent="0.25">
      <c r="A3047" s="2" t="str">
        <f ca="1">IFERROR(__xludf.DUMMYFUNCTION("""COMPUTED_VALUE"""),"REA-77003")</f>
        <v>REA-77003</v>
      </c>
      <c r="B3047" s="3">
        <f ca="1">IFERROR(__xludf.DUMMYFUNCTION("""COMPUTED_VALUE"""),49577)</f>
        <v>49577</v>
      </c>
      <c r="C3047" s="3">
        <f ca="1">IFERROR(__xludf.DUMMYFUNCTION("""COMPUTED_VALUE"""),5902557384440)</f>
        <v>5902557384440</v>
      </c>
      <c r="D3047" s="4" t="str">
        <f ca="1">IFERROR(__xludf.DUMMYFUNCTION("""COMPUTED_VALUE"""),"322213C UCHWYT NA PAPIER ZŁOTY")</f>
        <v>322213C UCHWYT NA PAPIER ZŁOTY</v>
      </c>
      <c r="E3047" s="31">
        <v>13.536585365853661</v>
      </c>
      <c r="F3047" s="31">
        <f t="shared" si="47"/>
        <v>16.650000000000002</v>
      </c>
    </row>
    <row r="3048" spans="1:6" ht="18.75" customHeight="1" x14ac:dyDescent="0.25">
      <c r="A3048" s="2" t="str">
        <f ca="1">IFERROR(__xludf.DUMMYFUNCTION("""COMPUTED_VALUE"""),"REA-77060")</f>
        <v>REA-77060</v>
      </c>
      <c r="B3048" s="3">
        <f ca="1">IFERROR(__xludf.DUMMYFUNCTION("""COMPUTED_VALUE"""),49493)</f>
        <v>49493</v>
      </c>
      <c r="C3048" s="3">
        <f ca="1">IFERROR(__xludf.DUMMYFUNCTION("""COMPUTED_VALUE"""),5902557383863)</f>
        <v>5902557383863</v>
      </c>
      <c r="D3048" s="4" t="str">
        <f ca="1">IFERROR(__xludf.DUMMYFUNCTION("""COMPUTED_VALUE"""),"322220B UCHWYT NA PAPIER ZŁOTY DUO")</f>
        <v>322220B UCHWYT NA PAPIER ZŁOTY DUO</v>
      </c>
      <c r="E3048" s="31">
        <v>27.073170731707322</v>
      </c>
      <c r="F3048" s="31">
        <f t="shared" si="47"/>
        <v>33.300000000000004</v>
      </c>
    </row>
    <row r="3049" spans="1:6" ht="18.75" customHeight="1" x14ac:dyDescent="0.25">
      <c r="A3049" s="2" t="str">
        <f ca="1">IFERROR(__xludf.DUMMYFUNCTION("""COMPUTED_VALUE"""),"REA-80011")</f>
        <v>REA-80011</v>
      </c>
      <c r="B3049" s="3">
        <f ca="1">IFERROR(__xludf.DUMMYFUNCTION("""COMPUTED_VALUE"""),44359)</f>
        <v>44359</v>
      </c>
      <c r="C3049" s="3">
        <f ca="1">IFERROR(__xludf.DUMMYFUNCTION("""COMPUTED_VALUE"""),5902557367757)</f>
        <v>5902557367757</v>
      </c>
      <c r="D3049" s="4" t="str">
        <f ca="1">IFERROR(__xludf.DUMMYFUNCTION("""COMPUTED_VALUE"""),"ERLO 04 L.GOLD WIESZAK NA PAPIER")</f>
        <v>ERLO 04 L.GOLD WIESZAK NA PAPIER</v>
      </c>
      <c r="E3049" s="31">
        <v>18.04878048780488</v>
      </c>
      <c r="F3049" s="31">
        <f t="shared" si="47"/>
        <v>22.200000000000003</v>
      </c>
    </row>
    <row r="3050" spans="1:6" ht="18.75" customHeight="1" x14ac:dyDescent="0.25">
      <c r="A3050" s="2" t="str">
        <f ca="1">IFERROR(__xludf.DUMMYFUNCTION("""COMPUTED_VALUE"""),"REA-80043")</f>
        <v>REA-80043</v>
      </c>
      <c r="B3050" s="3">
        <f ca="1">IFERROR(__xludf.DUMMYFUNCTION("""COMPUTED_VALUE"""),44362)</f>
        <v>44362</v>
      </c>
      <c r="C3050" s="3">
        <f ca="1">IFERROR(__xludf.DUMMYFUNCTION("""COMPUTED_VALUE"""),5902557368068)</f>
        <v>5902557368068</v>
      </c>
      <c r="D3050" s="4" t="str">
        <f ca="1">IFERROR(__xludf.DUMMYFUNCTION("""COMPUTED_VALUE"""),"OSTE 04 L.GOLD WIESZAK NA PAPIER")</f>
        <v>OSTE 04 L.GOLD WIESZAK NA PAPIER</v>
      </c>
      <c r="E3050" s="31">
        <v>13.536585365853661</v>
      </c>
      <c r="F3050" s="31">
        <f t="shared" si="47"/>
        <v>16.650000000000002</v>
      </c>
    </row>
    <row r="3051" spans="1:6" ht="18.75" customHeight="1" x14ac:dyDescent="0.25">
      <c r="A3051" s="2" t="str">
        <f ca="1">IFERROR(__xludf.DUMMYFUNCTION("""COMPUTED_VALUE"""),"REA-80080")</f>
        <v>REA-80080</v>
      </c>
      <c r="B3051" s="3">
        <f ca="1">IFERROR(__xludf.DUMMYFUNCTION("""COMPUTED_VALUE"""),47621)</f>
        <v>47621</v>
      </c>
      <c r="C3051" s="3">
        <f ca="1">IFERROR(__xludf.DUMMYFUNCTION("""COMPUTED_VALUE"""),5902557375561)</f>
        <v>5902557375561</v>
      </c>
      <c r="D3051" s="4" t="str">
        <f ca="1">IFERROR(__xludf.DUMMYFUNCTION("""COMPUTED_VALUE"""),"OSTE 05 L.GOLD WIESZAK NA PAPIER")</f>
        <v>OSTE 05 L.GOLD WIESZAK NA PAPIER</v>
      </c>
      <c r="E3051" s="31">
        <v>13.536585365853661</v>
      </c>
      <c r="F3051" s="31">
        <f t="shared" si="47"/>
        <v>16.650000000000002</v>
      </c>
    </row>
    <row r="3052" spans="1:6" ht="18.75" customHeight="1" x14ac:dyDescent="0.25">
      <c r="A3052" s="2" t="str">
        <f ca="1">IFERROR(__xludf.DUMMYFUNCTION("""COMPUTED_VALUE"""),"REA-77080")</f>
        <v>REA-77080</v>
      </c>
      <c r="B3052" s="3">
        <f ca="1">IFERROR(__xludf.DUMMYFUNCTION("""COMPUTED_VALUE"""),49501)</f>
        <v>49501</v>
      </c>
      <c r="C3052" s="3">
        <f ca="1">IFERROR(__xludf.DUMMYFUNCTION("""COMPUTED_VALUE"""),5902557383924)</f>
        <v>5902557383924</v>
      </c>
      <c r="D3052" s="4" t="str">
        <f ca="1">IFERROR(__xludf.DUMMYFUNCTION("""COMPUTED_VALUE"""),"322219B UCHWYT NA PAPIER ZŁOTY")</f>
        <v>322219B UCHWYT NA PAPIER ZŁOTY</v>
      </c>
      <c r="E3052" s="31">
        <v>27.073170731707322</v>
      </c>
      <c r="F3052" s="31">
        <f t="shared" si="47"/>
        <v>33.300000000000004</v>
      </c>
    </row>
    <row r="3053" spans="1:6" ht="18.75" customHeight="1" x14ac:dyDescent="0.25">
      <c r="A3053" s="2" t="str">
        <f ca="1">IFERROR(__xludf.DUMMYFUNCTION("""COMPUTED_VALUE"""),"REA-77050")</f>
        <v>REA-77050</v>
      </c>
      <c r="B3053" s="3">
        <f ca="1">IFERROR(__xludf.DUMMYFUNCTION("""COMPUTED_VALUE"""),49896)</f>
        <v>49896</v>
      </c>
      <c r="C3053" s="3">
        <f ca="1">IFERROR(__xludf.DUMMYFUNCTION("""COMPUTED_VALUE"""),5902557386444)</f>
        <v>5902557386444</v>
      </c>
      <c r="D3053" s="4" t="str">
        <f ca="1">IFERROR(__xludf.DUMMYFUNCTION("""COMPUTED_VALUE"""),"322226B UCHWYT NA PAPIER ZŁOTY SZCZOTKOWANY FAR")</f>
        <v>322226B UCHWYT NA PAPIER ZŁOTY SZCZOTKOWANY FAR</v>
      </c>
      <c r="E3053" s="31">
        <v>27.073170731707322</v>
      </c>
      <c r="F3053" s="31">
        <f t="shared" si="47"/>
        <v>33.300000000000004</v>
      </c>
    </row>
    <row r="3054" spans="1:6" ht="18.75" customHeight="1" x14ac:dyDescent="0.25">
      <c r="A3054" s="2" t="str">
        <f ca="1">IFERROR(__xludf.DUMMYFUNCTION("""COMPUTED_VALUE"""),"REA-77071")</f>
        <v>REA-77071</v>
      </c>
      <c r="B3054" s="3">
        <f ca="1">IFERROR(__xludf.DUMMYFUNCTION("""COMPUTED_VALUE"""),49587)</f>
        <v>49587</v>
      </c>
      <c r="C3054" s="3">
        <f ca="1">IFERROR(__xludf.DUMMYFUNCTION("""COMPUTED_VALUE"""),5902557384518)</f>
        <v>5902557384518</v>
      </c>
      <c r="D3054" s="4" t="str">
        <f ca="1">IFERROR(__xludf.DUMMYFUNCTION("""COMPUTED_VALUE"""),"322231 UCHWYT NA PAPIER ZŁOTY SZCZOTKOWANY")</f>
        <v>322231 UCHWYT NA PAPIER ZŁOTY SZCZOTKOWANY</v>
      </c>
      <c r="E3054" s="31">
        <v>18.04878048780488</v>
      </c>
      <c r="F3054" s="31">
        <f t="shared" si="47"/>
        <v>22.200000000000003</v>
      </c>
    </row>
    <row r="3055" spans="1:6" ht="18.75" customHeight="1" x14ac:dyDescent="0.25">
      <c r="A3055" s="2" t="str">
        <f ca="1">IFERROR(__xludf.DUMMYFUNCTION("""COMPUTED_VALUE"""),"REA-77072")</f>
        <v>REA-77072</v>
      </c>
      <c r="B3055" s="3">
        <f ca="1">IFERROR(__xludf.DUMMYFUNCTION("""COMPUTED_VALUE"""),49475)</f>
        <v>49475</v>
      </c>
      <c r="C3055" s="3">
        <f ca="1">IFERROR(__xludf.DUMMYFUNCTION("""COMPUTED_VALUE"""),5902557383740)</f>
        <v>5902557383740</v>
      </c>
      <c r="D3055" s="4" t="str">
        <f ca="1">IFERROR(__xludf.DUMMYFUNCTION("""COMPUTED_VALUE"""),"322188A WIESZAK ŁAZIENKOWY CZARNY MOON")</f>
        <v>322188A WIESZAK ŁAZIENKOWY CZARNY MOON</v>
      </c>
      <c r="E3055" s="31">
        <v>4.51219512195122</v>
      </c>
      <c r="F3055" s="31">
        <f t="shared" si="47"/>
        <v>5.5500000000000007</v>
      </c>
    </row>
    <row r="3056" spans="1:6" ht="18.75" customHeight="1" x14ac:dyDescent="0.25">
      <c r="A3056" s="2" t="str">
        <f ca="1">IFERROR(__xludf.DUMMYFUNCTION("""COMPUTED_VALUE"""),"REA-77023")</f>
        <v>REA-77023</v>
      </c>
      <c r="B3056" s="3">
        <f ca="1">IFERROR(__xludf.DUMMYFUNCTION("""COMPUTED_VALUE"""),49511)</f>
        <v>49511</v>
      </c>
      <c r="C3056" s="3">
        <f ca="1">IFERROR(__xludf.DUMMYFUNCTION("""COMPUTED_VALUE"""),5902557384013)</f>
        <v>5902557384013</v>
      </c>
      <c r="D3056" s="4" t="str">
        <f ca="1">IFERROR(__xludf.DUMMYFUNCTION("""COMPUTED_VALUE"""),"322210 WIESZAK ŁAZIENKOWY CZARNY")</f>
        <v>322210 WIESZAK ŁAZIENKOWY CZARNY</v>
      </c>
      <c r="E3056" s="31">
        <v>9.0243902439024399</v>
      </c>
      <c r="F3056" s="31">
        <f t="shared" si="47"/>
        <v>11.100000000000001</v>
      </c>
    </row>
    <row r="3057" spans="1:6" ht="18.75" customHeight="1" x14ac:dyDescent="0.25">
      <c r="A3057" s="2" t="str">
        <f ca="1">IFERROR(__xludf.DUMMYFUNCTION("""COMPUTED_VALUE"""),"REA-A0909")</f>
        <v>REA-A0909</v>
      </c>
      <c r="B3057" s="3">
        <f ca="1">IFERROR(__xludf.DUMMYFUNCTION("""COMPUTED_VALUE"""),26225)</f>
        <v>26225</v>
      </c>
      <c r="C3057" s="3">
        <f ca="1">IFERROR(__xludf.DUMMYFUNCTION("""COMPUTED_VALUE"""),5902557335138)</f>
        <v>5902557335138</v>
      </c>
      <c r="D3057" s="4" t="str">
        <f ca="1">IFERROR(__xludf.DUMMYFUNCTION("""COMPUTED_VALUE"""),"WIESZAK NA RĘCZNIK 4-RAMIENNY BLACK")</f>
        <v>WIESZAK NA RĘCZNIK 4-RAMIENNY BLACK</v>
      </c>
      <c r="E3057" s="31">
        <v>22.560975609756099</v>
      </c>
      <c r="F3057" s="31">
        <f t="shared" si="47"/>
        <v>27.75</v>
      </c>
    </row>
    <row r="3058" spans="1:6" ht="18.75" customHeight="1" x14ac:dyDescent="0.25">
      <c r="A3058" s="2" t="str">
        <f ca="1">IFERROR(__xludf.DUMMYFUNCTION("""COMPUTED_VALUE"""),"REA-77020")</f>
        <v>REA-77020</v>
      </c>
      <c r="B3058" s="3">
        <f ca="1">IFERROR(__xludf.DUMMYFUNCTION("""COMPUTED_VALUE"""),49560)</f>
        <v>49560</v>
      </c>
      <c r="C3058" s="3">
        <f ca="1">IFERROR(__xludf.DUMMYFUNCTION("""COMPUTED_VALUE"""),5902557384433)</f>
        <v>5902557384433</v>
      </c>
      <c r="D3058" s="4" t="str">
        <f ca="1">IFERROR(__xludf.DUMMYFUNCTION("""COMPUTED_VALUE"""),"322230B WIESZAK ŁAZIENKOWY BIAŁY")</f>
        <v>322230B WIESZAK ŁAZIENKOWY BIAŁY</v>
      </c>
      <c r="E3058" s="31">
        <v>9.0243902439024399</v>
      </c>
      <c r="F3058" s="31">
        <f t="shared" si="47"/>
        <v>11.100000000000001</v>
      </c>
    </row>
    <row r="3059" spans="1:6" ht="18.75" customHeight="1" x14ac:dyDescent="0.25">
      <c r="A3059" s="2" t="str">
        <f ca="1">IFERROR(__xludf.DUMMYFUNCTION("""COMPUTED_VALUE"""),"REA-77024")</f>
        <v>REA-77024</v>
      </c>
      <c r="B3059" s="3">
        <f ca="1">IFERROR(__xludf.DUMMYFUNCTION("""COMPUTED_VALUE"""),49487)</f>
        <v>49487</v>
      </c>
      <c r="C3059" s="3">
        <f ca="1">IFERROR(__xludf.DUMMYFUNCTION("""COMPUTED_VALUE"""),5902557383832)</f>
        <v>5902557383832</v>
      </c>
      <c r="D3059" s="4" t="str">
        <f ca="1">IFERROR(__xludf.DUMMYFUNCTION("""COMPUTED_VALUE"""),"322196 WIESZAK ŁAZIENKOWY CZARNY")</f>
        <v>322196 WIESZAK ŁAZIENKOWY CZARNY</v>
      </c>
      <c r="E3059" s="31">
        <v>9.0243902439024399</v>
      </c>
      <c r="F3059" s="31">
        <f t="shared" si="47"/>
        <v>11.100000000000001</v>
      </c>
    </row>
    <row r="3060" spans="1:6" ht="18.75" customHeight="1" x14ac:dyDescent="0.25">
      <c r="A3060" s="2" t="str">
        <f ca="1">IFERROR(__xludf.DUMMYFUNCTION("""COMPUTED_VALUE"""),"REA-77017")</f>
        <v>REA-77017</v>
      </c>
      <c r="B3060" s="3">
        <f ca="1">IFERROR(__xludf.DUMMYFUNCTION("""COMPUTED_VALUE"""),49530)</f>
        <v>49530</v>
      </c>
      <c r="C3060" s="3">
        <f ca="1">IFERROR(__xludf.DUMMYFUNCTION("""COMPUTED_VALUE"""),5902557384174)</f>
        <v>5902557384174</v>
      </c>
      <c r="D3060" s="4" t="str">
        <f ca="1">IFERROR(__xludf.DUMMYFUNCTION("""COMPUTED_VALUE"""),"322230C WIESZAK ŁAZIENKOWY CZARNY")</f>
        <v>322230C WIESZAK ŁAZIENKOWY CZARNY</v>
      </c>
      <c r="E3060" s="31">
        <v>9.0243902439024399</v>
      </c>
      <c r="F3060" s="31">
        <f t="shared" si="47"/>
        <v>11.100000000000001</v>
      </c>
    </row>
    <row r="3061" spans="1:6" ht="18.75" customHeight="1" x14ac:dyDescent="0.25">
      <c r="A3061" s="2" t="str">
        <f ca="1">IFERROR(__xludf.DUMMYFUNCTION("""COMPUTED_VALUE"""),"REA-77021")</f>
        <v>REA-77021</v>
      </c>
      <c r="B3061" s="3">
        <f ca="1">IFERROR(__xludf.DUMMYFUNCTION("""COMPUTED_VALUE"""),49423)</f>
        <v>49423</v>
      </c>
      <c r="C3061" s="3">
        <f ca="1">IFERROR(__xludf.DUMMYFUNCTION("""COMPUTED_VALUE"""),5902557383375)</f>
        <v>5902557383375</v>
      </c>
      <c r="D3061" s="4" t="str">
        <f ca="1">IFERROR(__xludf.DUMMYFUNCTION("""COMPUTED_VALUE"""),"322184 WIESZAK ŁAZIENKOWY CZARNY TIL")</f>
        <v>322184 WIESZAK ŁAZIENKOWY CZARNY TIL</v>
      </c>
      <c r="E3061" s="31">
        <v>9.0243902439024399</v>
      </c>
      <c r="F3061" s="31">
        <f t="shared" si="47"/>
        <v>11.100000000000001</v>
      </c>
    </row>
    <row r="3062" spans="1:6" ht="18.75" customHeight="1" x14ac:dyDescent="0.25">
      <c r="A3062" s="2" t="str">
        <f ca="1">IFERROR(__xludf.DUMMYFUNCTION("""COMPUTED_VALUE"""),"REA-77022")</f>
        <v>REA-77022</v>
      </c>
      <c r="B3062" s="3">
        <f ca="1">IFERROR(__xludf.DUMMYFUNCTION("""COMPUTED_VALUE"""),49443)</f>
        <v>49443</v>
      </c>
      <c r="C3062" s="3">
        <f ca="1">IFERROR(__xludf.DUMMYFUNCTION("""COMPUTED_VALUE"""),5902557383481)</f>
        <v>5902557383481</v>
      </c>
      <c r="D3062" s="4" t="str">
        <f ca="1">IFERROR(__xludf.DUMMYFUNCTION("""COMPUTED_VALUE"""),"322184A WIESZAK ŁAZIENKOWY ZŁOTY TIL")</f>
        <v>322184A WIESZAK ŁAZIENKOWY ZŁOTY TIL</v>
      </c>
      <c r="E3062" s="31">
        <v>9.0243902439024399</v>
      </c>
      <c r="F3062" s="31">
        <f t="shared" si="47"/>
        <v>11.100000000000001</v>
      </c>
    </row>
    <row r="3063" spans="1:6" ht="18.75" customHeight="1" x14ac:dyDescent="0.25">
      <c r="A3063" s="2" t="str">
        <f ca="1">IFERROR(__xludf.DUMMYFUNCTION("""COMPUTED_VALUE"""),"REA-77008")</f>
        <v>REA-77008</v>
      </c>
      <c r="B3063" s="3">
        <f ca="1">IFERROR(__xludf.DUMMYFUNCTION("""COMPUTED_VALUE"""),49484)</f>
        <v>49484</v>
      </c>
      <c r="C3063" s="3">
        <f ca="1">IFERROR(__xludf.DUMMYFUNCTION("""COMPUTED_VALUE"""),5902557383818)</f>
        <v>5902557383818</v>
      </c>
      <c r="D3063" s="4" t="str">
        <f ca="1">IFERROR(__xludf.DUMMYFUNCTION("""COMPUTED_VALUE"""),"322216 WIESZAK ŁAZIENKOWY CHROM")</f>
        <v>322216 WIESZAK ŁAZIENKOWY CHROM</v>
      </c>
      <c r="E3063" s="31">
        <v>9.0243902439024399</v>
      </c>
      <c r="F3063" s="31">
        <f t="shared" si="47"/>
        <v>11.100000000000001</v>
      </c>
    </row>
    <row r="3064" spans="1:6" ht="18.75" customHeight="1" x14ac:dyDescent="0.25">
      <c r="A3064" s="2" t="str">
        <f ca="1">IFERROR(__xludf.DUMMYFUNCTION("""COMPUTED_VALUE"""),"REA-06919")</f>
        <v>REA-06919</v>
      </c>
      <c r="B3064" s="3">
        <f ca="1">IFERROR(__xludf.DUMMYFUNCTION("""COMPUTED_VALUE"""),53033)</f>
        <v>53033</v>
      </c>
      <c r="C3064" s="3">
        <f ca="1">IFERROR(__xludf.DUMMYFUNCTION("""COMPUTED_VALUE"""),5906366004100)</f>
        <v>5906366004100</v>
      </c>
      <c r="D3064" s="4" t="str">
        <f ca="1">IFERROR(__xludf.DUMMYFUNCTION("""COMPUTED_VALUE"""),"332868 WIESZAK ŁAZIENKOWY ZŁOTY")</f>
        <v>332868 WIESZAK ŁAZIENKOWY ZŁOTY</v>
      </c>
      <c r="E3064" s="31">
        <v>9.0243902439024399</v>
      </c>
      <c r="F3064" s="31">
        <f t="shared" si="47"/>
        <v>11.100000000000001</v>
      </c>
    </row>
    <row r="3065" spans="1:6" ht="18.75" customHeight="1" x14ac:dyDescent="0.25">
      <c r="A3065" s="2" t="str">
        <f ca="1">IFERROR(__xludf.DUMMYFUNCTION("""COMPUTED_VALUE"""),"REA-06924")</f>
        <v>REA-06924</v>
      </c>
      <c r="B3065" s="3">
        <f ca="1">IFERROR(__xludf.DUMMYFUNCTION("""COMPUTED_VALUE"""),52990)</f>
        <v>52990</v>
      </c>
      <c r="C3065" s="3">
        <f ca="1">IFERROR(__xludf.DUMMYFUNCTION("""COMPUTED_VALUE"""),5906366004063)</f>
        <v>5906366004063</v>
      </c>
      <c r="D3065" s="4" t="str">
        <f ca="1">IFERROR(__xludf.DUMMYFUNCTION("""COMPUTED_VALUE"""),"332868A WIESZAK ŁAZIENKOWY CZARNY RETRO")</f>
        <v>332868A WIESZAK ŁAZIENKOWY CZARNY RETRO</v>
      </c>
      <c r="E3065" s="31">
        <v>9.0243902439024399</v>
      </c>
      <c r="F3065" s="31">
        <f t="shared" si="47"/>
        <v>11.100000000000001</v>
      </c>
    </row>
    <row r="3066" spans="1:6" ht="18.75" customHeight="1" x14ac:dyDescent="0.25">
      <c r="A3066" s="2" t="str">
        <f ca="1">IFERROR(__xludf.DUMMYFUNCTION("""COMPUTED_VALUE"""),"REA-06929")</f>
        <v>REA-06929</v>
      </c>
      <c r="B3066" s="3">
        <f ca="1">IFERROR(__xludf.DUMMYFUNCTION("""COMPUTED_VALUE"""),53038)</f>
        <v>53038</v>
      </c>
      <c r="C3066" s="3">
        <f ca="1">IFERROR(__xludf.DUMMYFUNCTION("""COMPUTED_VALUE"""),5906366004148)</f>
        <v>5906366004148</v>
      </c>
      <c r="D3066" s="4" t="str">
        <f ca="1">IFERROR(__xludf.DUMMYFUNCTION("""COMPUTED_VALUE"""),"332868B WIESZAK ŁAZIENKOWY ANTYCZNY BRĄZ RETRO")</f>
        <v>332868B WIESZAK ŁAZIENKOWY ANTYCZNY BRĄZ RETRO</v>
      </c>
      <c r="E3066" s="31">
        <v>9.0243902439024399</v>
      </c>
      <c r="F3066" s="31">
        <f t="shared" si="47"/>
        <v>11.100000000000001</v>
      </c>
    </row>
    <row r="3067" spans="1:6" ht="18.75" customHeight="1" x14ac:dyDescent="0.25">
      <c r="A3067" s="2" t="str">
        <f ca="1">IFERROR(__xludf.DUMMYFUNCTION("""COMPUTED_VALUE"""),"REA-06900")</f>
        <v>REA-06900</v>
      </c>
      <c r="B3067" s="3">
        <f ca="1">IFERROR(__xludf.DUMMYFUNCTION("""COMPUTED_VALUE"""),52987)</f>
        <v>52987</v>
      </c>
      <c r="C3067" s="3">
        <f ca="1">IFERROR(__xludf.DUMMYFUNCTION("""COMPUTED_VALUE"""),5906366004322)</f>
        <v>5906366004322</v>
      </c>
      <c r="D3067" s="4" t="str">
        <f ca="1">IFERROR(__xludf.DUMMYFUNCTION("""COMPUTED_VALUE"""),"332914 MIST 02 BRUSH NICKIEL WIESZAK PODWÓJNY")</f>
        <v>332914 MIST 02 BRUSH NICKIEL WIESZAK PODWÓJNY</v>
      </c>
      <c r="E3067" s="31">
        <v>13.536585365853661</v>
      </c>
      <c r="F3067" s="31">
        <f t="shared" si="47"/>
        <v>16.650000000000002</v>
      </c>
    </row>
    <row r="3068" spans="1:6" ht="18.75" customHeight="1" x14ac:dyDescent="0.25">
      <c r="A3068" s="2" t="str">
        <f ca="1">IFERROR(__xludf.DUMMYFUNCTION("""COMPUTED_VALUE"""),"REA-06901")</f>
        <v>REA-06901</v>
      </c>
      <c r="B3068" s="3">
        <f ca="1">IFERROR(__xludf.DUMMYFUNCTION("""COMPUTED_VALUE"""),52891)</f>
        <v>52891</v>
      </c>
      <c r="C3068" s="3">
        <f ca="1">IFERROR(__xludf.DUMMYFUNCTION("""COMPUTED_VALUE"""),5906366004209)</f>
        <v>5906366004209</v>
      </c>
      <c r="D3068" s="4" t="str">
        <f ca="1">IFERROR(__xludf.DUMMYFUNCTION("""COMPUTED_VALUE"""),"332914A MIST 02 BLACK WIESZAK PODWÓJNY")</f>
        <v>332914A MIST 02 BLACK WIESZAK PODWÓJNY</v>
      </c>
      <c r="E3068" s="31">
        <v>18.04878048780488</v>
      </c>
      <c r="F3068" s="31">
        <f t="shared" si="47"/>
        <v>22.200000000000003</v>
      </c>
    </row>
    <row r="3069" spans="1:6" ht="18.75" customHeight="1" x14ac:dyDescent="0.25">
      <c r="A3069" s="2" t="str">
        <f ca="1">IFERROR(__xludf.DUMMYFUNCTION("""COMPUTED_VALUE"""),"REA-06902")</f>
        <v>REA-06902</v>
      </c>
      <c r="B3069" s="3">
        <f ca="1">IFERROR(__xludf.DUMMYFUNCTION("""COMPUTED_VALUE"""),52892)</f>
        <v>52892</v>
      </c>
      <c r="C3069" s="3">
        <f ca="1">IFERROR(__xludf.DUMMYFUNCTION("""COMPUTED_VALUE"""),5906366004216)</f>
        <v>5906366004216</v>
      </c>
      <c r="D3069" s="4" t="str">
        <f ca="1">IFERROR(__xludf.DUMMYFUNCTION("""COMPUTED_VALUE"""),"332914B MIST 02 BRUSH GOLD WIESZAK PODWÓJNY")</f>
        <v>332914B MIST 02 BRUSH GOLD WIESZAK PODWÓJNY</v>
      </c>
      <c r="E3069" s="31">
        <v>18.04878048780488</v>
      </c>
      <c r="F3069" s="31">
        <f t="shared" si="47"/>
        <v>22.200000000000003</v>
      </c>
    </row>
    <row r="3070" spans="1:6" ht="18.75" customHeight="1" x14ac:dyDescent="0.25">
      <c r="A3070" s="2" t="str">
        <f ca="1">IFERROR(__xludf.DUMMYFUNCTION("""COMPUTED_VALUE"""),"REA-77015")</f>
        <v>REA-77015</v>
      </c>
      <c r="B3070" s="3">
        <f ca="1">IFERROR(__xludf.DUMMYFUNCTION("""COMPUTED_VALUE"""),49434)</f>
        <v>49434</v>
      </c>
      <c r="C3070" s="3">
        <f ca="1">IFERROR(__xludf.DUMMYFUNCTION("""COMPUTED_VALUE"""),5902557383122)</f>
        <v>5902557383122</v>
      </c>
      <c r="D3070" s="4" t="str">
        <f ca="1">IFERROR(__xludf.DUMMYFUNCTION("""COMPUTED_VALUE"""),"322202 WIESZAK ŁAZIENKOWY CZARNY")</f>
        <v>322202 WIESZAK ŁAZIENKOWY CZARNY</v>
      </c>
      <c r="E3070" s="31">
        <v>9.0243902439024399</v>
      </c>
      <c r="F3070" s="31">
        <f t="shared" si="47"/>
        <v>11.100000000000001</v>
      </c>
    </row>
    <row r="3071" spans="1:6" ht="18.75" customHeight="1" x14ac:dyDescent="0.25">
      <c r="A3071" s="2" t="str">
        <f ca="1">IFERROR(__xludf.DUMMYFUNCTION("""COMPUTED_VALUE"""),"REA-77006")</f>
        <v>REA-77006</v>
      </c>
      <c r="B3071" s="3">
        <f ca="1">IFERROR(__xludf.DUMMYFUNCTION("""COMPUTED_VALUE"""),49480)</f>
        <v>49480</v>
      </c>
      <c r="C3071" s="3">
        <f ca="1">IFERROR(__xludf.DUMMYFUNCTION("""COMPUTED_VALUE"""),5902557383801)</f>
        <v>5902557383801</v>
      </c>
      <c r="D3071" s="4" t="str">
        <f ca="1">IFERROR(__xludf.DUMMYFUNCTION("""COMPUTED_VALUE"""),"322216A WIESZAK ŁAZIENKOWY CZARNY")</f>
        <v>322216A WIESZAK ŁAZIENKOWY CZARNY</v>
      </c>
      <c r="E3071" s="31">
        <v>13.536585365853661</v>
      </c>
      <c r="F3071" s="31">
        <f t="shared" si="47"/>
        <v>16.650000000000002</v>
      </c>
    </row>
    <row r="3072" spans="1:6" ht="18.75" customHeight="1" x14ac:dyDescent="0.25">
      <c r="A3072" s="2" t="str">
        <f ca="1">IFERROR(__xludf.DUMMYFUNCTION("""COMPUTED_VALUE"""),"REA-77016")</f>
        <v>REA-77016</v>
      </c>
      <c r="B3072" s="3">
        <f ca="1">IFERROR(__xludf.DUMMYFUNCTION("""COMPUTED_VALUE"""),49435)</f>
        <v>49435</v>
      </c>
      <c r="C3072" s="3">
        <f ca="1">IFERROR(__xludf.DUMMYFUNCTION("""COMPUTED_VALUE"""),5902557383139)</f>
        <v>5902557383139</v>
      </c>
      <c r="D3072" s="4" t="str">
        <f ca="1">IFERROR(__xludf.DUMMYFUNCTION("""COMPUTED_VALUE"""),"322202A WIESZAK ŁAZIENKOWY ZŁOTY")</f>
        <v>322202A WIESZAK ŁAZIENKOWY ZŁOTY</v>
      </c>
      <c r="E3072" s="31">
        <v>13.536585365853661</v>
      </c>
      <c r="F3072" s="31">
        <f t="shared" si="47"/>
        <v>16.650000000000002</v>
      </c>
    </row>
    <row r="3073" spans="1:6" ht="18.75" customHeight="1" x14ac:dyDescent="0.25">
      <c r="A3073" s="2" t="str">
        <f ca="1">IFERROR(__xludf.DUMMYFUNCTION("""COMPUTED_VALUE"""),"REA-77007")</f>
        <v>REA-77007</v>
      </c>
      <c r="B3073" s="3">
        <f ca="1">IFERROR(__xludf.DUMMYFUNCTION("""COMPUTED_VALUE"""),49485)</f>
        <v>49485</v>
      </c>
      <c r="C3073" s="3">
        <f ca="1">IFERROR(__xludf.DUMMYFUNCTION("""COMPUTED_VALUE"""),5902557383825)</f>
        <v>5902557383825</v>
      </c>
      <c r="D3073" s="4" t="str">
        <f ca="1">IFERROR(__xludf.DUMMYFUNCTION("""COMPUTED_VALUE"""),"322216B WIESZAK ŁAZIENKOWY ZŁOTY")</f>
        <v>322216B WIESZAK ŁAZIENKOWY ZŁOTY</v>
      </c>
      <c r="E3073" s="31">
        <v>18.04878048780488</v>
      </c>
      <c r="F3073" s="31">
        <f t="shared" ref="F3073:F3136" si="48">E3073*1.23</f>
        <v>22.200000000000003</v>
      </c>
    </row>
    <row r="3074" spans="1:6" ht="18.75" customHeight="1" x14ac:dyDescent="0.25">
      <c r="A3074" s="2" t="str">
        <f ca="1">IFERROR(__xludf.DUMMYFUNCTION("""COMPUTED_VALUE"""),"REA-77019")</f>
        <v>REA-77019</v>
      </c>
      <c r="B3074" s="3">
        <f ca="1">IFERROR(__xludf.DUMMYFUNCTION("""COMPUTED_VALUE"""),49531)</f>
        <v>49531</v>
      </c>
      <c r="C3074" s="3">
        <f ca="1">IFERROR(__xludf.DUMMYFUNCTION("""COMPUTED_VALUE"""),5902557384181)</f>
        <v>5902557384181</v>
      </c>
      <c r="D3074" s="4" t="str">
        <f ca="1">IFERROR(__xludf.DUMMYFUNCTION("""COMPUTED_VALUE"""),"322230A WIESZAK ŁAZIENKOWY TYTAN LEO")</f>
        <v>322230A WIESZAK ŁAZIENKOWY TYTAN LEO</v>
      </c>
      <c r="E3074" s="31">
        <v>13.536585365853661</v>
      </c>
      <c r="F3074" s="31">
        <f t="shared" si="48"/>
        <v>16.650000000000002</v>
      </c>
    </row>
    <row r="3075" spans="1:6" ht="18.75" customHeight="1" x14ac:dyDescent="0.25">
      <c r="A3075" s="2" t="str">
        <f ca="1">IFERROR(__xludf.DUMMYFUNCTION("""COMPUTED_VALUE"""),"REA-77098")</f>
        <v>REA-77098</v>
      </c>
      <c r="B3075" s="3">
        <f ca="1">IFERROR(__xludf.DUMMYFUNCTION("""COMPUTED_VALUE"""),49472)</f>
        <v>49472</v>
      </c>
      <c r="C3075" s="3">
        <f ca="1">IFERROR(__xludf.DUMMYFUNCTION("""COMPUTED_VALUE"""),5902557383719)</f>
        <v>5902557383719</v>
      </c>
      <c r="D3075" s="4" t="str">
        <f ca="1">IFERROR(__xludf.DUMMYFUNCTION("""COMPUTED_VALUE"""),"322187 WIESZAK ŁAZIENKOWY CZARNY TIL")</f>
        <v>322187 WIESZAK ŁAZIENKOWY CZARNY TIL</v>
      </c>
      <c r="E3075" s="31">
        <v>18.04878048780488</v>
      </c>
      <c r="F3075" s="31">
        <f t="shared" si="48"/>
        <v>22.200000000000003</v>
      </c>
    </row>
    <row r="3076" spans="1:6" ht="18.75" customHeight="1" x14ac:dyDescent="0.25">
      <c r="A3076" s="2" t="str">
        <f ca="1">IFERROR(__xludf.DUMMYFUNCTION("""COMPUTED_VALUE"""),"REA-77035")</f>
        <v>REA-77035</v>
      </c>
      <c r="B3076" s="3">
        <f ca="1">IFERROR(__xludf.DUMMYFUNCTION("""COMPUTED_VALUE"""),49474)</f>
        <v>49474</v>
      </c>
      <c r="C3076" s="3">
        <f ca="1">IFERROR(__xludf.DUMMYFUNCTION("""COMPUTED_VALUE"""),5902557383726)</f>
        <v>5902557383726</v>
      </c>
      <c r="D3076" s="4" t="str">
        <f ca="1">IFERROR(__xludf.DUMMYFUNCTION("""COMPUTED_VALUE"""),"322187A WIESZAK ŁAZIENKOWY ZŁOTY TIL")</f>
        <v>322187A WIESZAK ŁAZIENKOWY ZŁOTY TIL</v>
      </c>
      <c r="E3076" s="31">
        <v>27.073170731707322</v>
      </c>
      <c r="F3076" s="31">
        <f t="shared" si="48"/>
        <v>33.300000000000004</v>
      </c>
    </row>
    <row r="3077" spans="1:6" ht="18.75" customHeight="1" x14ac:dyDescent="0.25">
      <c r="A3077" s="2" t="str">
        <f ca="1">IFERROR(__xludf.DUMMYFUNCTION("""COMPUTED_VALUE"""),"REA-77095")</f>
        <v>REA-77095</v>
      </c>
      <c r="B3077" s="3">
        <f ca="1">IFERROR(__xludf.DUMMYFUNCTION("""COMPUTED_VALUE"""),49479)</f>
        <v>49479</v>
      </c>
      <c r="C3077" s="3">
        <f ca="1">IFERROR(__xludf.DUMMYFUNCTION("""COMPUTED_VALUE"""),5902557383764)</f>
        <v>5902557383764</v>
      </c>
      <c r="D3077" s="4" t="str">
        <f ca="1">IFERROR(__xludf.DUMMYFUNCTION("""COMPUTED_VALUE"""),"322194A WIESZAK ŁAZIENKOWY CZARNY MOON")</f>
        <v>322194A WIESZAK ŁAZIENKOWY CZARNY MOON</v>
      </c>
      <c r="E3077" s="31">
        <v>18.04878048780488</v>
      </c>
      <c r="F3077" s="31">
        <f t="shared" si="48"/>
        <v>22.200000000000003</v>
      </c>
    </row>
    <row r="3078" spans="1:6" ht="18.75" customHeight="1" x14ac:dyDescent="0.25">
      <c r="A3078" s="2" t="str">
        <f ca="1">IFERROR(__xludf.DUMMYFUNCTION("""COMPUTED_VALUE"""),"REA-77031")</f>
        <v>REA-77031</v>
      </c>
      <c r="B3078" s="3">
        <f ca="1">IFERROR(__xludf.DUMMYFUNCTION("""COMPUTED_VALUE"""),49508)</f>
        <v>49508</v>
      </c>
      <c r="C3078" s="3">
        <f ca="1">IFERROR(__xludf.DUMMYFUNCTION("""COMPUTED_VALUE"""),5902557383955)</f>
        <v>5902557383955</v>
      </c>
      <c r="D3078" s="4" t="str">
        <f ca="1">IFERROR(__xludf.DUMMYFUNCTION("""COMPUTED_VALUE"""),"322201 WIESZAK ŁAZIENKOWY CZARNY HILL")</f>
        <v>322201 WIESZAK ŁAZIENKOWY CZARNY HILL</v>
      </c>
      <c r="E3078" s="31">
        <v>13.536585365853661</v>
      </c>
      <c r="F3078" s="31">
        <f t="shared" si="48"/>
        <v>16.650000000000002</v>
      </c>
    </row>
    <row r="3079" spans="1:6" ht="18.75" customHeight="1" x14ac:dyDescent="0.25">
      <c r="A3079" s="2" t="str">
        <f ca="1">IFERROR(__xludf.DUMMYFUNCTION("""COMPUTED_VALUE"""),"REA-77064")</f>
        <v>REA-77064</v>
      </c>
      <c r="B3079" s="3">
        <f ca="1">IFERROR(__xludf.DUMMYFUNCTION("""COMPUTED_VALUE"""),49546)</f>
        <v>49546</v>
      </c>
      <c r="C3079" s="3">
        <f ca="1">IFERROR(__xludf.DUMMYFUNCTION("""COMPUTED_VALUE"""),5902557384303)</f>
        <v>5902557384303</v>
      </c>
      <c r="D3079" s="4" t="str">
        <f ca="1">IFERROR(__xludf.DUMMYFUNCTION("""COMPUTED_VALUE"""),"322201A WIESZAK ŁAZIENKOWY ZŁOTY HILL")</f>
        <v>322201A WIESZAK ŁAZIENKOWY ZŁOTY HILL</v>
      </c>
      <c r="E3079" s="31">
        <v>18.04878048780488</v>
      </c>
      <c r="F3079" s="31">
        <f t="shared" si="48"/>
        <v>22.200000000000003</v>
      </c>
    </row>
    <row r="3080" spans="1:6" ht="18.75" customHeight="1" x14ac:dyDescent="0.25">
      <c r="A3080" s="2" t="str">
        <f ca="1">IFERROR(__xludf.DUMMYFUNCTION("""COMPUTED_VALUE"""),"REA-77048")</f>
        <v>REA-77048</v>
      </c>
      <c r="B3080" s="3">
        <f ca="1">IFERROR(__xludf.DUMMYFUNCTION("""COMPUTED_VALUE"""),49537)</f>
        <v>49537</v>
      </c>
      <c r="C3080" s="3">
        <f ca="1">IFERROR(__xludf.DUMMYFUNCTION("""COMPUTED_VALUE"""),5902557384242)</f>
        <v>5902557384242</v>
      </c>
      <c r="D3080" s="4" t="str">
        <f ca="1">IFERROR(__xludf.DUMMYFUNCTION("""COMPUTED_VALUE"""),"322215 WIESZAK ŁAZIENKOWY CZARNY TOM")</f>
        <v>322215 WIESZAK ŁAZIENKOWY CZARNY TOM</v>
      </c>
      <c r="E3080" s="31">
        <v>9.0243902439024399</v>
      </c>
      <c r="F3080" s="31">
        <f t="shared" si="48"/>
        <v>11.100000000000001</v>
      </c>
    </row>
    <row r="3081" spans="1:6" ht="18.75" customHeight="1" x14ac:dyDescent="0.25">
      <c r="A3081" s="2" t="str">
        <f ca="1">IFERROR(__xludf.DUMMYFUNCTION("""COMPUTED_VALUE"""),"REA-77073")</f>
        <v>REA-77073</v>
      </c>
      <c r="B3081" s="3">
        <f ca="1">IFERROR(__xludf.DUMMYFUNCTION("""COMPUTED_VALUE"""),49581)</f>
        <v>49581</v>
      </c>
      <c r="C3081" s="3">
        <f ca="1">IFERROR(__xludf.DUMMYFUNCTION("""COMPUTED_VALUE"""),5902557384464)</f>
        <v>5902557384464</v>
      </c>
      <c r="D3081" s="4" t="str">
        <f ca="1">IFERROR(__xludf.DUMMYFUNCTION("""COMPUTED_VALUE"""),"322215A WIESZAK ŁAZIENKOWY ZŁOTY TOM")</f>
        <v>322215A WIESZAK ŁAZIENKOWY ZŁOTY TOM</v>
      </c>
      <c r="E3081" s="31">
        <v>18.04878048780488</v>
      </c>
      <c r="F3081" s="31">
        <f t="shared" si="48"/>
        <v>22.200000000000003</v>
      </c>
    </row>
    <row r="3082" spans="1:6" ht="18.75" customHeight="1" x14ac:dyDescent="0.25">
      <c r="A3082" s="2" t="str">
        <f ca="1">IFERROR(__xludf.DUMMYFUNCTION("""COMPUTED_VALUE"""),"REA-77027")</f>
        <v>REA-77027</v>
      </c>
      <c r="B3082" s="3">
        <f ca="1">IFERROR(__xludf.DUMMYFUNCTION("""COMPUTED_VALUE"""),49582)</f>
        <v>49582</v>
      </c>
      <c r="C3082" s="3">
        <f ca="1">IFERROR(__xludf.DUMMYFUNCTION("""COMPUTED_VALUE"""),5902557384471)</f>
        <v>5902557384471</v>
      </c>
      <c r="D3082" s="4" t="str">
        <f ca="1">IFERROR(__xludf.DUMMYFUNCTION("""COMPUTED_VALUE"""),"322221 WIESZAK ŁAZIENKOWY 60cm NIKIEL SZCZOT DUO")</f>
        <v>322221 WIESZAK ŁAZIENKOWY 60cm NIKIEL SZCZOT DUO</v>
      </c>
      <c r="E3082" s="31">
        <v>18.04878048780488</v>
      </c>
      <c r="F3082" s="31">
        <f t="shared" si="48"/>
        <v>22.200000000000003</v>
      </c>
    </row>
    <row r="3083" spans="1:6" ht="18.75" customHeight="1" x14ac:dyDescent="0.25">
      <c r="A3083" s="2" t="str">
        <f ca="1">IFERROR(__xludf.DUMMYFUNCTION("""COMPUTED_VALUE"""),"REA-06921")</f>
        <v>REA-06921</v>
      </c>
      <c r="B3083" s="3">
        <f ca="1">IFERROR(__xludf.DUMMYFUNCTION("""COMPUTED_VALUE"""),53035)</f>
        <v>53035</v>
      </c>
      <c r="C3083" s="3">
        <f ca="1">IFERROR(__xludf.DUMMYFUNCTION("""COMPUTED_VALUE"""),5906366004124)</f>
        <v>5906366004124</v>
      </c>
      <c r="D3083" s="4" t="str">
        <f ca="1">IFERROR(__xludf.DUMMYFUNCTION("""COMPUTED_VALUE"""),"332870 WIESZAK NA RĘCZNIK ZŁOTY RETRO")</f>
        <v>332870 WIESZAK NA RĘCZNIK ZŁOTY RETRO</v>
      </c>
      <c r="E3083" s="31">
        <v>22.560975609756099</v>
      </c>
      <c r="F3083" s="31">
        <f t="shared" si="48"/>
        <v>27.75</v>
      </c>
    </row>
    <row r="3084" spans="1:6" ht="18.75" customHeight="1" x14ac:dyDescent="0.25">
      <c r="A3084" s="2" t="str">
        <f ca="1">IFERROR(__xludf.DUMMYFUNCTION("""COMPUTED_VALUE"""),"REA-06926")</f>
        <v>REA-06926</v>
      </c>
      <c r="B3084" s="3">
        <f ca="1">IFERROR(__xludf.DUMMYFUNCTION("""COMPUTED_VALUE"""),52992)</f>
        <v>52992</v>
      </c>
      <c r="C3084" s="3">
        <f ca="1">IFERROR(__xludf.DUMMYFUNCTION("""COMPUTED_VALUE"""),5906366004087)</f>
        <v>5906366004087</v>
      </c>
      <c r="D3084" s="4" t="str">
        <f ca="1">IFERROR(__xludf.DUMMYFUNCTION("""COMPUTED_VALUE"""),"332870A WIESZAK NA RĘCZNIK CZARNY RETRO")</f>
        <v>332870A WIESZAK NA RĘCZNIK CZARNY RETRO</v>
      </c>
      <c r="E3084" s="31">
        <v>22.560975609756099</v>
      </c>
      <c r="F3084" s="31">
        <f t="shared" si="48"/>
        <v>27.75</v>
      </c>
    </row>
    <row r="3085" spans="1:6" ht="18.75" customHeight="1" x14ac:dyDescent="0.25">
      <c r="A3085" s="2" t="str">
        <f ca="1">IFERROR(__xludf.DUMMYFUNCTION("""COMPUTED_VALUE"""),"REA-06927")</f>
        <v>REA-06927</v>
      </c>
      <c r="B3085" s="3">
        <f ca="1">IFERROR(__xludf.DUMMYFUNCTION("""COMPUTED_VALUE"""),53042)</f>
        <v>53042</v>
      </c>
      <c r="C3085" s="3">
        <f ca="1">IFERROR(__xludf.DUMMYFUNCTION("""COMPUTED_VALUE"""),5906366004162)</f>
        <v>5906366004162</v>
      </c>
      <c r="D3085" s="4" t="str">
        <f ca="1">IFERROR(__xludf.DUMMYFUNCTION("""COMPUTED_VALUE"""),"332870B WIESZAK NA RĘCZNIK ANTYCZNY BRĄZ RETRO")</f>
        <v>332870B WIESZAK NA RĘCZNIK ANTYCZNY BRĄZ RETRO</v>
      </c>
      <c r="E3085" s="31">
        <v>22.560975609756099</v>
      </c>
      <c r="F3085" s="31">
        <f t="shared" si="48"/>
        <v>27.75</v>
      </c>
    </row>
    <row r="3086" spans="1:6" ht="18.75" customHeight="1" x14ac:dyDescent="0.25">
      <c r="A3086" s="2" t="str">
        <f ca="1">IFERROR(__xludf.DUMMYFUNCTION("""COMPUTED_VALUE"""),"REA-77084")</f>
        <v>REA-77084</v>
      </c>
      <c r="B3086" s="3">
        <f ca="1">IFERROR(__xludf.DUMMYFUNCTION("""COMPUTED_VALUE"""),49589)</f>
        <v>49589</v>
      </c>
      <c r="C3086" s="3">
        <f ca="1">IFERROR(__xludf.DUMMYFUNCTION("""COMPUTED_VALUE"""),5902557384532)</f>
        <v>5902557384532</v>
      </c>
      <c r="D3086" s="4" t="str">
        <f ca="1">IFERROR(__xludf.DUMMYFUNCTION("""COMPUTED_VALUE"""),"322232B WIESZAK ŁAZIENKOWY BIAŁY LEO")</f>
        <v>322232B WIESZAK ŁAZIENKOWY BIAŁY LEO</v>
      </c>
      <c r="E3086" s="31">
        <v>27.073170731707322</v>
      </c>
      <c r="F3086" s="31">
        <f t="shared" si="48"/>
        <v>33.300000000000004</v>
      </c>
    </row>
    <row r="3087" spans="1:6" ht="18.75" customHeight="1" x14ac:dyDescent="0.25">
      <c r="A3087" s="2" t="str">
        <f ca="1">IFERROR(__xludf.DUMMYFUNCTION("""COMPUTED_VALUE"""),"REA-77029")</f>
        <v>REA-77029</v>
      </c>
      <c r="B3087" s="3">
        <f ca="1">IFERROR(__xludf.DUMMYFUNCTION("""COMPUTED_VALUE"""),49538)</f>
        <v>49538</v>
      </c>
      <c r="C3087" s="3">
        <f ca="1">IFERROR(__xludf.DUMMYFUNCTION("""COMPUTED_VALUE"""),5902557384259)</f>
        <v>5902557384259</v>
      </c>
      <c r="D3087" s="4" t="str">
        <f ca="1">IFERROR(__xludf.DUMMYFUNCTION("""COMPUTED_VALUE"""),"322221A WIESZAK ŁAZIENKOWY 60cm CZARNY DUO")</f>
        <v>322221A WIESZAK ŁAZIENKOWY 60cm CZARNY DUO</v>
      </c>
      <c r="E3087" s="31">
        <v>22.560975609756099</v>
      </c>
      <c r="F3087" s="31">
        <f t="shared" si="48"/>
        <v>27.75</v>
      </c>
    </row>
    <row r="3088" spans="1:6" ht="18.75" customHeight="1" x14ac:dyDescent="0.25">
      <c r="A3088" s="2" t="str">
        <f ca="1">IFERROR(__xludf.DUMMYFUNCTION("""COMPUTED_VALUE"""),"REA-77086")</f>
        <v>REA-77086</v>
      </c>
      <c r="B3088" s="3">
        <f ca="1">IFERROR(__xludf.DUMMYFUNCTION("""COMPUTED_VALUE"""),49536)</f>
        <v>49536</v>
      </c>
      <c r="C3088" s="3">
        <f ca="1">IFERROR(__xludf.DUMMYFUNCTION("""COMPUTED_VALUE"""),5902557384235)</f>
        <v>5902557384235</v>
      </c>
      <c r="D3088" s="4" t="str">
        <f ca="1">IFERROR(__xludf.DUMMYFUNCTION("""COMPUTED_VALUE"""),"322232C WIESZAK ŁAZIENKOWY CZARNY LEO")</f>
        <v>322232C WIESZAK ŁAZIENKOWY CZARNY LEO</v>
      </c>
      <c r="E3088" s="31">
        <v>27.073170731707322</v>
      </c>
      <c r="F3088" s="31">
        <f t="shared" si="48"/>
        <v>33.300000000000004</v>
      </c>
    </row>
    <row r="3089" spans="1:6" ht="18.75" customHeight="1" x14ac:dyDescent="0.25">
      <c r="A3089" s="2" t="str">
        <f ca="1">IFERROR(__xludf.DUMMYFUNCTION("""COMPUTED_VALUE"""),"REA-77082")</f>
        <v>REA-77082</v>
      </c>
      <c r="B3089" s="3">
        <f ca="1">IFERROR(__xludf.DUMMYFUNCTION("""COMPUTED_VALUE"""),49545)</f>
        <v>49545</v>
      </c>
      <c r="C3089" s="3">
        <f ca="1">IFERROR(__xludf.DUMMYFUNCTION("""COMPUTED_VALUE"""),5902557384310)</f>
        <v>5902557384310</v>
      </c>
      <c r="D3089" s="4" t="str">
        <f ca="1">IFERROR(__xludf.DUMMYFUNCTION("""COMPUTED_VALUE"""),"322232A WIESZAK ŁAZIENKOWY TYTAN LEO")</f>
        <v>322232A WIESZAK ŁAZIENKOWY TYTAN LEO</v>
      </c>
      <c r="E3089" s="31">
        <v>27.073170731707322</v>
      </c>
      <c r="F3089" s="31">
        <f t="shared" si="48"/>
        <v>33.300000000000004</v>
      </c>
    </row>
    <row r="3090" spans="1:6" ht="18.75" customHeight="1" x14ac:dyDescent="0.25">
      <c r="A3090" s="2" t="str">
        <f ca="1">IFERROR(__xludf.DUMMYFUNCTION("""COMPUTED_VALUE"""),"REA-77056")</f>
        <v>REA-77056</v>
      </c>
      <c r="B3090" s="3">
        <f ca="1">IFERROR(__xludf.DUMMYFUNCTION("""COMPUTED_VALUE"""),49901)</f>
        <v>49901</v>
      </c>
      <c r="C3090" s="3">
        <f ca="1">IFERROR(__xludf.DUMMYFUNCTION("""COMPUTED_VALUE"""),5902557386499)</f>
        <v>5902557386499</v>
      </c>
      <c r="D3090" s="4" t="str">
        <f ca="1">IFERROR(__xludf.DUMMYFUNCTION("""COMPUTED_VALUE"""),"322228 WIESZAK ŁAZIENKOWY CHROM  FAR")</f>
        <v>322228 WIESZAK ŁAZIENKOWY CHROM  FAR</v>
      </c>
      <c r="E3090" s="31">
        <v>18.04878048780488</v>
      </c>
      <c r="F3090" s="31">
        <f t="shared" si="48"/>
        <v>22.200000000000003</v>
      </c>
    </row>
    <row r="3091" spans="1:6" ht="18.75" customHeight="1" x14ac:dyDescent="0.25">
      <c r="A3091" s="2" t="str">
        <f ca="1">IFERROR(__xludf.DUMMYFUNCTION("""COMPUTED_VALUE"""),"REA-77055")</f>
        <v>REA-77055</v>
      </c>
      <c r="B3091" s="3">
        <f ca="1">IFERROR(__xludf.DUMMYFUNCTION("""COMPUTED_VALUE"""),49478)</f>
        <v>49478</v>
      </c>
      <c r="C3091" s="3">
        <f ca="1">IFERROR(__xludf.DUMMYFUNCTION("""COMPUTED_VALUE"""),5902557383757)</f>
        <v>5902557383757</v>
      </c>
      <c r="D3091" s="4" t="str">
        <f ca="1">IFERROR(__xludf.DUMMYFUNCTION("""COMPUTED_VALUE"""),"322194 WIESZAK ŁAZIENKOWY ZŁOTY MOON")</f>
        <v>322194 WIESZAK ŁAZIENKOWY ZŁOTY MOON</v>
      </c>
      <c r="E3091" s="31">
        <v>22.560975609756099</v>
      </c>
      <c r="F3091" s="31">
        <f t="shared" si="48"/>
        <v>27.75</v>
      </c>
    </row>
    <row r="3092" spans="1:6" ht="18.75" customHeight="1" x14ac:dyDescent="0.25">
      <c r="A3092" s="2" t="str">
        <f ca="1">IFERROR(__xludf.DUMMYFUNCTION("""COMPUTED_VALUE"""),"REA-77030")</f>
        <v>REA-77030</v>
      </c>
      <c r="B3092" s="3">
        <f ca="1">IFERROR(__xludf.DUMMYFUNCTION("""COMPUTED_VALUE"""),49584)</f>
        <v>49584</v>
      </c>
      <c r="C3092" s="3">
        <f ca="1">IFERROR(__xludf.DUMMYFUNCTION("""COMPUTED_VALUE"""),5902557384488)</f>
        <v>5902557384488</v>
      </c>
      <c r="D3092" s="4" t="str">
        <f ca="1">IFERROR(__xludf.DUMMYFUNCTION("""COMPUTED_VALUE"""),"322221B WIESZAK ŁAZIENKOWY 60cm ZŁOTY DUO")</f>
        <v>322221B WIESZAK ŁAZIENKOWY 60cm ZŁOTY DUO</v>
      </c>
      <c r="E3092" s="31">
        <v>31.585365853658541</v>
      </c>
      <c r="F3092" s="31">
        <f t="shared" si="48"/>
        <v>38.85</v>
      </c>
    </row>
    <row r="3093" spans="1:6" ht="18.75" customHeight="1" x14ac:dyDescent="0.25">
      <c r="A3093" s="2" t="str">
        <f ca="1">IFERROR(__xludf.DUMMYFUNCTION("""COMPUTED_VALUE"""),"REA-77059")</f>
        <v>REA-77059</v>
      </c>
      <c r="B3093" s="3">
        <f ca="1">IFERROR(__xludf.DUMMYFUNCTION("""COMPUTED_VALUE"""),49900)</f>
        <v>49900</v>
      </c>
      <c r="C3093" s="3">
        <f ca="1">IFERROR(__xludf.DUMMYFUNCTION("""COMPUTED_VALUE"""),5902557386482)</f>
        <v>5902557386482</v>
      </c>
      <c r="D3093" s="4" t="str">
        <f ca="1">IFERROR(__xludf.DUMMYFUNCTION("""COMPUTED_VALUE"""),"322228B WIESZAK ŁAZIENKOWY FAR")</f>
        <v>322228B WIESZAK ŁAZIENKOWY FAR</v>
      </c>
      <c r="E3093" s="31">
        <v>27.073170731707322</v>
      </c>
      <c r="F3093" s="31">
        <f t="shared" si="48"/>
        <v>33.300000000000004</v>
      </c>
    </row>
    <row r="3094" spans="1:6" ht="18.75" customHeight="1" x14ac:dyDescent="0.25">
      <c r="A3094" s="2" t="str">
        <f ca="1">IFERROR(__xludf.DUMMYFUNCTION("""COMPUTED_VALUE"""),"REA-77081")</f>
        <v>REA-77081</v>
      </c>
      <c r="B3094" s="3">
        <f ca="1">IFERROR(__xludf.DUMMYFUNCTION("""COMPUTED_VALUE"""),49689)</f>
        <v>49689</v>
      </c>
      <c r="C3094" s="3">
        <f ca="1">IFERROR(__xludf.DUMMYFUNCTION("""COMPUTED_VALUE"""),5902557385102)</f>
        <v>5902557385102</v>
      </c>
      <c r="D3094" s="4" t="str">
        <f ca="1">IFERROR(__xludf.DUMMYFUNCTION("""COMPUTED_VALUE"""),"322232 WIESZAK ŁAZIENKOWY ZŁOTY SZCZOTKOWANY LEO")</f>
        <v>322232 WIESZAK ŁAZIENKOWY ZŁOTY SZCZOTKOWANY LEO</v>
      </c>
      <c r="E3094" s="31">
        <v>27.073170731707322</v>
      </c>
      <c r="F3094" s="31">
        <f t="shared" si="48"/>
        <v>33.300000000000004</v>
      </c>
    </row>
    <row r="3095" spans="1:6" ht="18.75" customHeight="1" x14ac:dyDescent="0.25">
      <c r="A3095" s="2" t="str">
        <f ca="1">IFERROR(__xludf.DUMMYFUNCTION("""COMPUTED_VALUE"""),"REA-06914")</f>
        <v>REA-06914</v>
      </c>
      <c r="B3095" s="3">
        <f ca="1">IFERROR(__xludf.DUMMYFUNCTION("""COMPUTED_VALUE"""),52923)</f>
        <v>52923</v>
      </c>
      <c r="C3095" s="3">
        <f ca="1">IFERROR(__xludf.DUMMYFUNCTION("""COMPUTED_VALUE"""),5906366004247)</f>
        <v>5906366004247</v>
      </c>
      <c r="D3095" s="4" t="str">
        <f ca="1">IFERROR(__xludf.DUMMYFUNCTION("""COMPUTED_VALUE"""),"332916A BRUSH GOLD WIESZAK")</f>
        <v>332916A BRUSH GOLD WIESZAK</v>
      </c>
      <c r="E3095" s="31">
        <v>13.536585365853661</v>
      </c>
      <c r="F3095" s="31">
        <f t="shared" si="48"/>
        <v>16.650000000000002</v>
      </c>
    </row>
    <row r="3096" spans="1:6" ht="18.75" customHeight="1" x14ac:dyDescent="0.25">
      <c r="A3096" s="2" t="str">
        <f ca="1">IFERROR(__xludf.DUMMYFUNCTION("""COMPUTED_VALUE"""),"REA-06930")</f>
        <v>REA-06930</v>
      </c>
      <c r="B3096" s="3">
        <f ca="1">IFERROR(__xludf.DUMMYFUNCTION("""COMPUTED_VALUE"""),52922)</f>
        <v>52922</v>
      </c>
      <c r="C3096" s="3">
        <f ca="1">IFERROR(__xludf.DUMMYFUNCTION("""COMPUTED_VALUE"""),5906366004261)</f>
        <v>5906366004261</v>
      </c>
      <c r="D3096" s="4" t="str">
        <f ca="1">IFERROR(__xludf.DUMMYFUNCTION("""COMPUTED_VALUE"""),"332920 WIESZAK ŁAZIENKOWY CZARNY")</f>
        <v>332920 WIESZAK ŁAZIENKOWY CZARNY</v>
      </c>
      <c r="E3096" s="31">
        <v>9.0243902439024399</v>
      </c>
      <c r="F3096" s="31">
        <f t="shared" si="48"/>
        <v>11.100000000000001</v>
      </c>
    </row>
    <row r="3097" spans="1:6" ht="18.75" customHeight="1" x14ac:dyDescent="0.25">
      <c r="A3097" s="2" t="str">
        <f ca="1">IFERROR(__xludf.DUMMYFUNCTION("""COMPUTED_VALUE"""),"REA-06915")</f>
        <v>REA-06915</v>
      </c>
      <c r="B3097" s="3">
        <f ca="1">IFERROR(__xludf.DUMMYFUNCTION("""COMPUTED_VALUE"""),52914)</f>
        <v>52914</v>
      </c>
      <c r="C3097" s="3">
        <f ca="1">IFERROR(__xludf.DUMMYFUNCTION("""COMPUTED_VALUE"""),5906366004254)</f>
        <v>5906366004254</v>
      </c>
      <c r="D3097" s="4" t="str">
        <f ca="1">IFERROR(__xludf.DUMMYFUNCTION("""COMPUTED_VALUE"""),"332920A OSTE 03 GOLD WIESZAK PODWÓJNY")</f>
        <v>332920A OSTE 03 GOLD WIESZAK PODWÓJNY</v>
      </c>
      <c r="E3097" s="31">
        <v>13.536585365853661</v>
      </c>
      <c r="F3097" s="31">
        <f t="shared" si="48"/>
        <v>16.650000000000002</v>
      </c>
    </row>
    <row r="3098" spans="1:6" ht="18.75" customHeight="1" x14ac:dyDescent="0.25">
      <c r="A3098" s="2" t="str">
        <f ca="1">IFERROR(__xludf.DUMMYFUNCTION("""COMPUTED_VALUE"""),"REA-80019")</f>
        <v>REA-80019</v>
      </c>
      <c r="B3098" s="3">
        <f ca="1">IFERROR(__xludf.DUMMYFUNCTION("""COMPUTED_VALUE"""),43665)</f>
        <v>43665</v>
      </c>
      <c r="C3098" s="3">
        <f ca="1">IFERROR(__xludf.DUMMYFUNCTION("""COMPUTED_VALUE"""),5902557371594)</f>
        <v>5902557371594</v>
      </c>
      <c r="D3098" s="4" t="str">
        <f ca="1">IFERROR(__xludf.DUMMYFUNCTION("""COMPUTED_VALUE"""),"MIST 02 BLACK WIESZAK NA RĘCZNIK PODWÓJNY")</f>
        <v>MIST 02 BLACK WIESZAK NA RĘCZNIK PODWÓJNY</v>
      </c>
      <c r="E3098" s="31">
        <v>9.0243902439024399</v>
      </c>
      <c r="F3098" s="31">
        <f t="shared" si="48"/>
        <v>11.100000000000001</v>
      </c>
    </row>
    <row r="3099" spans="1:6" ht="18.75" customHeight="1" x14ac:dyDescent="0.25">
      <c r="A3099" s="2" t="str">
        <f ca="1">IFERROR(__xludf.DUMMYFUNCTION("""COMPUTED_VALUE"""),"REA-80036")</f>
        <v>REA-80036</v>
      </c>
      <c r="B3099" s="3">
        <f ca="1">IFERROR(__xludf.DUMMYFUNCTION("""COMPUTED_VALUE"""),43987)</f>
        <v>43987</v>
      </c>
      <c r="C3099" s="3">
        <f ca="1">IFERROR(__xludf.DUMMYFUNCTION("""COMPUTED_VALUE"""),5902557368006)</f>
        <v>5902557368006</v>
      </c>
      <c r="D3099" s="4" t="str">
        <f ca="1">IFERROR(__xludf.DUMMYFUNCTION("""COMPUTED_VALUE"""),"OSTE 02 BLACK WIESZAK NA RĘCZNIK PODWÓJNY")</f>
        <v>OSTE 02 BLACK WIESZAK NA RĘCZNIK PODWÓJNY</v>
      </c>
      <c r="E3099" s="31">
        <v>27.073170731707322</v>
      </c>
      <c r="F3099" s="31">
        <f t="shared" si="48"/>
        <v>33.300000000000004</v>
      </c>
    </row>
    <row r="3100" spans="1:6" ht="18.75" customHeight="1" x14ac:dyDescent="0.25">
      <c r="A3100" s="2" t="str">
        <f ca="1">IFERROR(__xludf.DUMMYFUNCTION("""COMPUTED_VALUE"""),"REA-80039")</f>
        <v>REA-80039</v>
      </c>
      <c r="B3100" s="3">
        <f ca="1">IFERROR(__xludf.DUMMYFUNCTION("""COMPUTED_VALUE"""),43673)</f>
        <v>43673</v>
      </c>
      <c r="C3100" s="3">
        <f ca="1">IFERROR(__xludf.DUMMYFUNCTION("""COMPUTED_VALUE"""),5902557371662)</f>
        <v>5902557371662</v>
      </c>
      <c r="D3100" s="4" t="str">
        <f ca="1">IFERROR(__xludf.DUMMYFUNCTION("""COMPUTED_VALUE"""),"OSTE 03 BLACK WIESZAK ŁAZIENKOWY PODWÓJNY")</f>
        <v>OSTE 03 BLACK WIESZAK ŁAZIENKOWY PODWÓJNY</v>
      </c>
      <c r="E3100" s="31">
        <v>9.0243902439024399</v>
      </c>
      <c r="F3100" s="31">
        <f t="shared" si="48"/>
        <v>11.100000000000001</v>
      </c>
    </row>
    <row r="3101" spans="1:6" ht="18.75" customHeight="1" x14ac:dyDescent="0.25">
      <c r="A3101" s="2" t="str">
        <f ca="1">IFERROR(__xludf.DUMMYFUNCTION("""COMPUTED_VALUE"""),"REA-80003")</f>
        <v>REA-80003</v>
      </c>
      <c r="B3101" s="3">
        <f ca="1">IFERROR(__xludf.DUMMYFUNCTION("""COMPUTED_VALUE"""),44003)</f>
        <v>44003</v>
      </c>
      <c r="C3101" s="3">
        <f ca="1">IFERROR(__xludf.DUMMYFUNCTION("""COMPUTED_VALUE"""),5902557367672)</f>
        <v>5902557367672</v>
      </c>
      <c r="D3101" s="4" t="str">
        <f ca="1">IFERROR(__xludf.DUMMYFUNCTION("""COMPUTED_VALUE"""),"ERLO 02 CHROME WIESZAK NA RĘCZNIK PODWÓJNY")</f>
        <v>ERLO 02 CHROME WIESZAK NA RĘCZNIK PODWÓJNY</v>
      </c>
      <c r="E3101" s="31">
        <v>22.560975609756099</v>
      </c>
      <c r="F3101" s="31">
        <f t="shared" si="48"/>
        <v>27.75</v>
      </c>
    </row>
    <row r="3102" spans="1:6" ht="18.75" customHeight="1" x14ac:dyDescent="0.25">
      <c r="A3102" s="2" t="str">
        <f ca="1">IFERROR(__xludf.DUMMYFUNCTION("""COMPUTED_VALUE"""),"REA-80018")</f>
        <v>REA-80018</v>
      </c>
      <c r="B3102" s="3">
        <f ca="1">IFERROR(__xludf.DUMMYFUNCTION("""COMPUTED_VALUE"""),43664)</f>
        <v>43664</v>
      </c>
      <c r="C3102" s="3">
        <f ca="1">IFERROR(__xludf.DUMMYFUNCTION("""COMPUTED_VALUE"""),5902557371617)</f>
        <v>5902557371617</v>
      </c>
      <c r="D3102" s="4" t="str">
        <f ca="1">IFERROR(__xludf.DUMMYFUNCTION("""COMPUTED_VALUE"""),"MIST 02 CHROME WIESZAK NA RĘCZNIK PODWÓJNY")</f>
        <v>MIST 02 CHROME WIESZAK NA RĘCZNIK PODWÓJNY</v>
      </c>
      <c r="E3102" s="31">
        <v>9.0243902439024399</v>
      </c>
      <c r="F3102" s="31">
        <f t="shared" si="48"/>
        <v>11.100000000000001</v>
      </c>
    </row>
    <row r="3103" spans="1:6" ht="18.75" customHeight="1" x14ac:dyDescent="0.25">
      <c r="A3103" s="2" t="str">
        <f ca="1">IFERROR(__xludf.DUMMYFUNCTION("""COMPUTED_VALUE"""),"REA-80035")</f>
        <v>REA-80035</v>
      </c>
      <c r="B3103" s="3">
        <f ca="1">IFERROR(__xludf.DUMMYFUNCTION("""COMPUTED_VALUE"""),43990)</f>
        <v>43990</v>
      </c>
      <c r="C3103" s="3">
        <f ca="1">IFERROR(__xludf.DUMMYFUNCTION("""COMPUTED_VALUE"""),5902557367993)</f>
        <v>5902557367993</v>
      </c>
      <c r="D3103" s="4" t="str">
        <f ca="1">IFERROR(__xludf.DUMMYFUNCTION("""COMPUTED_VALUE"""),"OSTE 02 CHROME WIESZAK NA RĘCZNIK PODWÓJNY")</f>
        <v>OSTE 02 CHROME WIESZAK NA RĘCZNIK PODWÓJNY</v>
      </c>
      <c r="E3103" s="31">
        <v>22.560975609756099</v>
      </c>
      <c r="F3103" s="31">
        <f t="shared" si="48"/>
        <v>27.75</v>
      </c>
    </row>
    <row r="3104" spans="1:6" ht="18.75" customHeight="1" x14ac:dyDescent="0.25">
      <c r="A3104" s="2" t="str">
        <f ca="1">IFERROR(__xludf.DUMMYFUNCTION("""COMPUTED_VALUE"""),"REA-80038")</f>
        <v>REA-80038</v>
      </c>
      <c r="B3104" s="3">
        <f ca="1">IFERROR(__xludf.DUMMYFUNCTION("""COMPUTED_VALUE"""),43674)</f>
        <v>43674</v>
      </c>
      <c r="C3104" s="3">
        <f ca="1">IFERROR(__xludf.DUMMYFUNCTION("""COMPUTED_VALUE"""),5902557371648)</f>
        <v>5902557371648</v>
      </c>
      <c r="D3104" s="4" t="str">
        <f ca="1">IFERROR(__xludf.DUMMYFUNCTION("""COMPUTED_VALUE"""),"OSTE 03 CHROME WIESZAK ŁAZIENKOWY PODWÓJNY")</f>
        <v>OSTE 03 CHROME WIESZAK ŁAZIENKOWY PODWÓJNY</v>
      </c>
      <c r="E3104" s="31">
        <v>9.0243902439024399</v>
      </c>
      <c r="F3104" s="31">
        <f t="shared" si="48"/>
        <v>11.100000000000001</v>
      </c>
    </row>
    <row r="3105" spans="1:6" ht="18.75" customHeight="1" x14ac:dyDescent="0.25">
      <c r="A3105" s="2" t="str">
        <f ca="1">IFERROR(__xludf.DUMMYFUNCTION("""COMPUTED_VALUE"""),"REA-06908")</f>
        <v>REA-06908</v>
      </c>
      <c r="B3105" s="3">
        <f ca="1">IFERROR(__xludf.DUMMYFUNCTION("""COMPUTED_VALUE"""),52985)</f>
        <v>52985</v>
      </c>
      <c r="C3105" s="3">
        <f ca="1">IFERROR(__xludf.DUMMYFUNCTION("""COMPUTED_VALUE"""),5906366003547)</f>
        <v>5906366003547</v>
      </c>
      <c r="D3105" s="4" t="str">
        <f ca="1">IFERROR(__xludf.DUMMYFUNCTION("""COMPUTED_VALUE"""),"332919 ERLO 02 BLACK WIESZAK PODWÓJNY")</f>
        <v>332919 ERLO 02 BLACK WIESZAK PODWÓJNY</v>
      </c>
      <c r="E3105" s="31">
        <v>36.09756097560976</v>
      </c>
      <c r="F3105" s="31">
        <f t="shared" si="48"/>
        <v>44.400000000000006</v>
      </c>
    </row>
    <row r="3106" spans="1:6" ht="18.75" customHeight="1" x14ac:dyDescent="0.25">
      <c r="A3106" s="2" t="str">
        <f ca="1">IFERROR(__xludf.DUMMYFUNCTION("""COMPUTED_VALUE"""),"REA-80004")</f>
        <v>REA-80004</v>
      </c>
      <c r="B3106" s="3">
        <f ca="1">IFERROR(__xludf.DUMMYFUNCTION("""COMPUTED_VALUE"""),44347)</f>
        <v>44347</v>
      </c>
      <c r="C3106" s="3">
        <f ca="1">IFERROR(__xludf.DUMMYFUNCTION("""COMPUTED_VALUE"""),5902557367689)</f>
        <v>5902557367689</v>
      </c>
      <c r="D3106" s="4" t="str">
        <f ca="1">IFERROR(__xludf.DUMMYFUNCTION("""COMPUTED_VALUE"""),"ERLO 02 BLACK WIESZAK NA RĘCZNIK PODWÓJNY")</f>
        <v>ERLO 02 BLACK WIESZAK NA RĘCZNIK PODWÓJNY</v>
      </c>
      <c r="E3106" s="31">
        <v>27.073170731707322</v>
      </c>
      <c r="F3106" s="31">
        <f t="shared" si="48"/>
        <v>33.300000000000004</v>
      </c>
    </row>
    <row r="3107" spans="1:6" ht="18.75" customHeight="1" x14ac:dyDescent="0.25">
      <c r="A3107" s="2" t="str">
        <f ca="1">IFERROR(__xludf.DUMMYFUNCTION("""COMPUTED_VALUE"""),"REA-80020")</f>
        <v>REA-80020</v>
      </c>
      <c r="B3107" s="3">
        <f ca="1">IFERROR(__xludf.DUMMYFUNCTION("""COMPUTED_VALUE"""),43663)</f>
        <v>43663</v>
      </c>
      <c r="C3107" s="3">
        <f ca="1">IFERROR(__xludf.DUMMYFUNCTION("""COMPUTED_VALUE"""),5902557371587)</f>
        <v>5902557371587</v>
      </c>
      <c r="D3107" s="4" t="str">
        <f ca="1">IFERROR(__xludf.DUMMYFUNCTION("""COMPUTED_VALUE"""),"MIST 02 L.GOLD WIESZAK NA RĘCZNIK PODWÓJNY")</f>
        <v>MIST 02 L.GOLD WIESZAK NA RĘCZNIK PODWÓJNY</v>
      </c>
      <c r="E3107" s="31">
        <v>13.536585365853661</v>
      </c>
      <c r="F3107" s="31">
        <f t="shared" si="48"/>
        <v>16.650000000000002</v>
      </c>
    </row>
    <row r="3108" spans="1:6" ht="18.75" customHeight="1" x14ac:dyDescent="0.25">
      <c r="A3108" s="2" t="str">
        <f ca="1">IFERROR(__xludf.DUMMYFUNCTION("""COMPUTED_VALUE"""),"REA-80040")</f>
        <v>REA-80040</v>
      </c>
      <c r="B3108" s="3">
        <f ca="1">IFERROR(__xludf.DUMMYFUNCTION("""COMPUTED_VALUE"""),43671)</f>
        <v>43671</v>
      </c>
      <c r="C3108" s="3">
        <f ca="1">IFERROR(__xludf.DUMMYFUNCTION("""COMPUTED_VALUE"""),5902557371655)</f>
        <v>5902557371655</v>
      </c>
      <c r="D3108" s="4" t="str">
        <f ca="1">IFERROR(__xludf.DUMMYFUNCTION("""COMPUTED_VALUE"""),"OSTE 03 L.GOLD WIESZAK ŁAZIENKOWY PODWÓJNY")</f>
        <v>OSTE 03 L.GOLD WIESZAK ŁAZIENKOWY PODWÓJNY</v>
      </c>
      <c r="E3108" s="31">
        <v>13.536585365853661</v>
      </c>
      <c r="F3108" s="31">
        <f t="shared" si="48"/>
        <v>16.650000000000002</v>
      </c>
    </row>
    <row r="3109" spans="1:6" ht="18.75" customHeight="1" x14ac:dyDescent="0.25">
      <c r="A3109" s="2" t="str">
        <f ca="1">IFERROR(__xludf.DUMMYFUNCTION("""COMPUTED_VALUE"""),"REA-80005")</f>
        <v>REA-80005</v>
      </c>
      <c r="B3109" s="3">
        <f ca="1">IFERROR(__xludf.DUMMYFUNCTION("""COMPUTED_VALUE"""),44002)</f>
        <v>44002</v>
      </c>
      <c r="C3109" s="3">
        <f ca="1">IFERROR(__xludf.DUMMYFUNCTION("""COMPUTED_VALUE"""),5902557367696)</f>
        <v>5902557367696</v>
      </c>
      <c r="D3109" s="4" t="str">
        <f ca="1">IFERROR(__xludf.DUMMYFUNCTION("""COMPUTED_VALUE"""),"ERLO 02 L.GOLD WIESZAK NA RĘCZNIK PODWÓJNY")</f>
        <v>ERLO 02 L.GOLD WIESZAK NA RĘCZNIK PODWÓJNY</v>
      </c>
      <c r="E3109" s="31">
        <v>31.585365853658541</v>
      </c>
      <c r="F3109" s="31">
        <f t="shared" si="48"/>
        <v>38.85</v>
      </c>
    </row>
    <row r="3110" spans="1:6" ht="18.75" customHeight="1" x14ac:dyDescent="0.25">
      <c r="A3110" s="2" t="str">
        <f ca="1">IFERROR(__xludf.DUMMYFUNCTION("""COMPUTED_VALUE"""),"REA-06909")</f>
        <v>REA-06909</v>
      </c>
      <c r="B3110" s="3">
        <f ca="1">IFERROR(__xludf.DUMMYFUNCTION("""COMPUTED_VALUE"""),52964)</f>
        <v>52964</v>
      </c>
      <c r="C3110" s="3">
        <f ca="1">IFERROR(__xludf.DUMMYFUNCTION("""COMPUTED_VALUE"""),5906366003523)</f>
        <v>5906366003523</v>
      </c>
      <c r="D3110" s="4" t="str">
        <f ca="1">IFERROR(__xludf.DUMMYFUNCTION("""COMPUTED_VALUE"""),"332919A ERLO 02 BRUSH GOLD WIESZAK PODWÓJNY")</f>
        <v>332919A ERLO 02 BRUSH GOLD WIESZAK PODWÓJNY</v>
      </c>
      <c r="E3110" s="31">
        <v>40.609756097560982</v>
      </c>
      <c r="F3110" s="31">
        <f t="shared" si="48"/>
        <v>49.95000000000001</v>
      </c>
    </row>
    <row r="3111" spans="1:6" ht="18.75" customHeight="1" x14ac:dyDescent="0.25">
      <c r="A3111" s="2" t="str">
        <f ca="1">IFERROR(__xludf.DUMMYFUNCTION("""COMPUTED_VALUE"""),"REA-80007")</f>
        <v>REA-80007</v>
      </c>
      <c r="B3111" s="3">
        <f ca="1">IFERROR(__xludf.DUMMYFUNCTION("""COMPUTED_VALUE"""),43660)</f>
        <v>43660</v>
      </c>
      <c r="C3111" s="3">
        <f ca="1">IFERROR(__xludf.DUMMYFUNCTION("""COMPUTED_VALUE"""),5902557371679)</f>
        <v>5902557371679</v>
      </c>
      <c r="D3111" s="4" t="str">
        <f ca="1">IFERROR(__xludf.DUMMYFUNCTION("""COMPUTED_VALUE"""),"ERLO 03 BLACK WIESZAK ŁAZIENKOWY")</f>
        <v>ERLO 03 BLACK WIESZAK ŁAZIENKOWY</v>
      </c>
      <c r="E3111" s="31">
        <v>9.0243902439024399</v>
      </c>
      <c r="F3111" s="31">
        <f t="shared" si="48"/>
        <v>11.100000000000001</v>
      </c>
    </row>
    <row r="3112" spans="1:6" ht="18.75" customHeight="1" x14ac:dyDescent="0.25">
      <c r="A3112" s="2" t="str">
        <f ca="1">IFERROR(__xludf.DUMMYFUNCTION("""COMPUTED_VALUE"""),"REA-80022")</f>
        <v>REA-80022</v>
      </c>
      <c r="B3112" s="3">
        <f ca="1">IFERROR(__xludf.DUMMYFUNCTION("""COMPUTED_VALUE"""),43668)</f>
        <v>43668</v>
      </c>
      <c r="C3112" s="3">
        <f ca="1">IFERROR(__xludf.DUMMYFUNCTION("""COMPUTED_VALUE"""),5902557371624)</f>
        <v>5902557371624</v>
      </c>
      <c r="D3112" s="4" t="str">
        <f ca="1">IFERROR(__xludf.DUMMYFUNCTION("""COMPUTED_VALUE"""),"MIST 03 BLACK WIESZAK ŁAZIENKOWY POJEDYŃCZY")</f>
        <v>MIST 03 BLACK WIESZAK ŁAZIENKOWY POJEDYŃCZY</v>
      </c>
      <c r="E3112" s="31">
        <v>9.0243902439024399</v>
      </c>
      <c r="F3112" s="31">
        <f t="shared" si="48"/>
        <v>11.100000000000001</v>
      </c>
    </row>
    <row r="3113" spans="1:6" ht="18.75" customHeight="1" x14ac:dyDescent="0.25">
      <c r="A3113" s="2" t="str">
        <f ca="1">IFERROR(__xludf.DUMMYFUNCTION("""COMPUTED_VALUE"""),"REA-80000")</f>
        <v>REA-80000</v>
      </c>
      <c r="B3113" s="3">
        <f ca="1">IFERROR(__xludf.DUMMYFUNCTION("""COMPUTED_VALUE"""),44009)</f>
        <v>44009</v>
      </c>
      <c r="C3113" s="3">
        <f ca="1">IFERROR(__xludf.DUMMYFUNCTION("""COMPUTED_VALUE"""),5902557367641)</f>
        <v>5902557367641</v>
      </c>
      <c r="D3113" s="4" t="str">
        <f ca="1">IFERROR(__xludf.DUMMYFUNCTION("""COMPUTED_VALUE"""),"ERLO 01 CHROME WIESZAK NA RĘCZNIK POJEDYŃCZY")</f>
        <v>ERLO 01 CHROME WIESZAK NA RĘCZNIK POJEDYŃCZY</v>
      </c>
      <c r="E3113" s="31">
        <v>18.04878048780488</v>
      </c>
      <c r="F3113" s="31">
        <f t="shared" si="48"/>
        <v>22.200000000000003</v>
      </c>
    </row>
    <row r="3114" spans="1:6" ht="18.75" customHeight="1" x14ac:dyDescent="0.25">
      <c r="A3114" s="2" t="str">
        <f ca="1">IFERROR(__xludf.DUMMYFUNCTION("""COMPUTED_VALUE"""),"REA-80006")</f>
        <v>REA-80006</v>
      </c>
      <c r="B3114" s="3">
        <f ca="1">IFERROR(__xludf.DUMMYFUNCTION("""COMPUTED_VALUE"""),43661)</f>
        <v>43661</v>
      </c>
      <c r="C3114" s="3">
        <f ca="1">IFERROR(__xludf.DUMMYFUNCTION("""COMPUTED_VALUE"""),5902557371693)</f>
        <v>5902557371693</v>
      </c>
      <c r="D3114" s="4" t="str">
        <f ca="1">IFERROR(__xludf.DUMMYFUNCTION("""COMPUTED_VALUE"""),"ERLO 03 CHROME WIESZAK ŁAZIENKOWY")</f>
        <v>ERLO 03 CHROME WIESZAK ŁAZIENKOWY</v>
      </c>
      <c r="E3114" s="31">
        <v>9.0243902439024399</v>
      </c>
      <c r="F3114" s="31">
        <f t="shared" si="48"/>
        <v>11.100000000000001</v>
      </c>
    </row>
    <row r="3115" spans="1:6" ht="18.75" customHeight="1" x14ac:dyDescent="0.25">
      <c r="A3115" s="2" t="str">
        <f ca="1">IFERROR(__xludf.DUMMYFUNCTION("""COMPUTED_VALUE"""),"REA-80015")</f>
        <v>REA-80015</v>
      </c>
      <c r="B3115" s="3">
        <f ca="1">IFERROR(__xludf.DUMMYFUNCTION("""COMPUTED_VALUE"""),43999)</f>
        <v>43999</v>
      </c>
      <c r="C3115" s="3">
        <f ca="1">IFERROR(__xludf.DUMMYFUNCTION("""COMPUTED_VALUE"""),5902557367795)</f>
        <v>5902557367795</v>
      </c>
      <c r="D3115" s="4" t="str">
        <f ca="1">IFERROR(__xludf.DUMMYFUNCTION("""COMPUTED_VALUE"""),"MIST 01 CHROME WIESZAK NA RĘCZNIK POJEDYŃCZY")</f>
        <v>MIST 01 CHROME WIESZAK NA RĘCZNIK POJEDYŃCZY</v>
      </c>
      <c r="E3115" s="31">
        <v>13.536585365853661</v>
      </c>
      <c r="F3115" s="31">
        <f t="shared" si="48"/>
        <v>16.650000000000002</v>
      </c>
    </row>
    <row r="3116" spans="1:6" ht="18.75" customHeight="1" x14ac:dyDescent="0.25">
      <c r="A3116" s="2" t="str">
        <f ca="1">IFERROR(__xludf.DUMMYFUNCTION("""COMPUTED_VALUE"""),"REA-80021")</f>
        <v>REA-80021</v>
      </c>
      <c r="B3116" s="3">
        <f ca="1">IFERROR(__xludf.DUMMYFUNCTION("""COMPUTED_VALUE"""),43669)</f>
        <v>43669</v>
      </c>
      <c r="C3116" s="3">
        <f ca="1">IFERROR(__xludf.DUMMYFUNCTION("""COMPUTED_VALUE"""),5902557371631)</f>
        <v>5902557371631</v>
      </c>
      <c r="D3116" s="4" t="str">
        <f ca="1">IFERROR(__xludf.DUMMYFUNCTION("""COMPUTED_VALUE"""),"MIST 03 CHROME WIESZAK ŁAZIENKOWY POJEDYŃCZY")</f>
        <v>MIST 03 CHROME WIESZAK ŁAZIENKOWY POJEDYŃCZY</v>
      </c>
      <c r="E3116" s="31">
        <v>9.0243902439024399</v>
      </c>
      <c r="F3116" s="31">
        <f t="shared" si="48"/>
        <v>11.100000000000001</v>
      </c>
    </row>
    <row r="3117" spans="1:6" ht="18.75" customHeight="1" x14ac:dyDescent="0.25">
      <c r="A3117" s="2" t="str">
        <f ca="1">IFERROR(__xludf.DUMMYFUNCTION("""COMPUTED_VALUE"""),"REA-80033")</f>
        <v>REA-80033</v>
      </c>
      <c r="B3117" s="3">
        <f ca="1">IFERROR(__xludf.DUMMYFUNCTION("""COMPUTED_VALUE"""),43993)</f>
        <v>43993</v>
      </c>
      <c r="C3117" s="3">
        <f ca="1">IFERROR(__xludf.DUMMYFUNCTION("""COMPUTED_VALUE"""),5902557367979)</f>
        <v>5902557367979</v>
      </c>
      <c r="D3117" s="4" t="str">
        <f ca="1">IFERROR(__xludf.DUMMYFUNCTION("""COMPUTED_VALUE"""),"OSTE 01 CHROME WIESZAK NA RĘCZNIK POJEDYŃCZY")</f>
        <v>OSTE 01 CHROME WIESZAK NA RĘCZNIK POJEDYŃCZY</v>
      </c>
      <c r="E3117" s="31">
        <v>18.04878048780488</v>
      </c>
      <c r="F3117" s="31">
        <f t="shared" si="48"/>
        <v>22.200000000000003</v>
      </c>
    </row>
    <row r="3118" spans="1:6" ht="18.75" customHeight="1" x14ac:dyDescent="0.25">
      <c r="A3118" s="2" t="str">
        <f ca="1">IFERROR(__xludf.DUMMYFUNCTION("""COMPUTED_VALUE"""),"REA-06906")</f>
        <v>REA-06906</v>
      </c>
      <c r="B3118" s="3">
        <f ca="1">IFERROR(__xludf.DUMMYFUNCTION("""COMPUTED_VALUE"""),52897)</f>
        <v>52897</v>
      </c>
      <c r="C3118" s="3">
        <f ca="1">IFERROR(__xludf.DUMMYFUNCTION("""COMPUTED_VALUE"""),5906366003745)</f>
        <v>5906366003745</v>
      </c>
      <c r="D3118" s="4" t="str">
        <f ca="1">IFERROR(__xludf.DUMMYFUNCTION("""COMPUTED_VALUE"""),"332917 ERLO 01 BLACK WIESZAK POJEDYNCZY")</f>
        <v>332917 ERLO 01 BLACK WIESZAK POJEDYNCZY</v>
      </c>
      <c r="E3118" s="31">
        <v>31.585365853658541</v>
      </c>
      <c r="F3118" s="31">
        <f t="shared" si="48"/>
        <v>38.85</v>
      </c>
    </row>
    <row r="3119" spans="1:6" ht="18.75" customHeight="1" x14ac:dyDescent="0.25">
      <c r="A3119" s="2" t="str">
        <f ca="1">IFERROR(__xludf.DUMMYFUNCTION("""COMPUTED_VALUE"""),"REA-80001")</f>
        <v>REA-80001</v>
      </c>
      <c r="B3119" s="3">
        <f ca="1">IFERROR(__xludf.DUMMYFUNCTION("""COMPUTED_VALUE"""),44010)</f>
        <v>44010</v>
      </c>
      <c r="C3119" s="3">
        <f ca="1">IFERROR(__xludf.DUMMYFUNCTION("""COMPUTED_VALUE"""),5902557367658)</f>
        <v>5902557367658</v>
      </c>
      <c r="D3119" s="4" t="str">
        <f ca="1">IFERROR(__xludf.DUMMYFUNCTION("""COMPUTED_VALUE"""),"ERLO 01 BLACK WIESZAK NA RĘCZNIK POJEDYŃCZY")</f>
        <v>ERLO 01 BLACK WIESZAK NA RĘCZNIK POJEDYŃCZY</v>
      </c>
      <c r="E3119" s="31">
        <v>22.560975609756099</v>
      </c>
      <c r="F3119" s="31">
        <f t="shared" si="48"/>
        <v>27.75</v>
      </c>
    </row>
    <row r="3120" spans="1:6" ht="18.75" customHeight="1" x14ac:dyDescent="0.25">
      <c r="A3120" s="2" t="str">
        <f ca="1">IFERROR(__xludf.DUMMYFUNCTION("""COMPUTED_VALUE"""),"REA-80016")</f>
        <v>REA-80016</v>
      </c>
      <c r="B3120" s="3">
        <f ca="1">IFERROR(__xludf.DUMMYFUNCTION("""COMPUTED_VALUE"""),43998)</f>
        <v>43998</v>
      </c>
      <c r="C3120" s="3">
        <f ca="1">IFERROR(__xludf.DUMMYFUNCTION("""COMPUTED_VALUE"""),5902557367801)</f>
        <v>5902557367801</v>
      </c>
      <c r="D3120" s="4" t="str">
        <f ca="1">IFERROR(__xludf.DUMMYFUNCTION("""COMPUTED_VALUE"""),"MIST 01 BLACK WIESZAK NA RĘCZNIK POJEDYŃCZY")</f>
        <v>MIST 01 BLACK WIESZAK NA RĘCZNIK POJEDYŃCZY</v>
      </c>
      <c r="E3120" s="31">
        <v>18.04878048780488</v>
      </c>
      <c r="F3120" s="31">
        <f t="shared" si="48"/>
        <v>22.200000000000003</v>
      </c>
    </row>
    <row r="3121" spans="1:6" ht="18.75" customHeight="1" x14ac:dyDescent="0.25">
      <c r="A3121" s="2" t="str">
        <f ca="1">IFERROR(__xludf.DUMMYFUNCTION("""COMPUTED_VALUE"""),"REA-80034")</f>
        <v>REA-80034</v>
      </c>
      <c r="B3121" s="3">
        <f ca="1">IFERROR(__xludf.DUMMYFUNCTION("""COMPUTED_VALUE"""),43992)</f>
        <v>43992</v>
      </c>
      <c r="C3121" s="3">
        <f ca="1">IFERROR(__xludf.DUMMYFUNCTION("""COMPUTED_VALUE"""),5902557367986)</f>
        <v>5902557367986</v>
      </c>
      <c r="D3121" s="4" t="str">
        <f ca="1">IFERROR(__xludf.DUMMYFUNCTION("""COMPUTED_VALUE"""),"OSTE 01 BLACK WIESZAK NA RĘCZNIK POJEDYŃCZY")</f>
        <v>OSTE 01 BLACK WIESZAK NA RĘCZNIK POJEDYŃCZY</v>
      </c>
      <c r="E3121" s="31">
        <v>18.04878048780488</v>
      </c>
      <c r="F3121" s="31">
        <f t="shared" si="48"/>
        <v>22.200000000000003</v>
      </c>
    </row>
    <row r="3122" spans="1:6" ht="18.75" customHeight="1" x14ac:dyDescent="0.25">
      <c r="A3122" s="2" t="str">
        <f ca="1">IFERROR(__xludf.DUMMYFUNCTION("""COMPUTED_VALUE"""),"REA-80008")</f>
        <v>REA-80008</v>
      </c>
      <c r="B3122" s="3">
        <f ca="1">IFERROR(__xludf.DUMMYFUNCTION("""COMPUTED_VALUE"""),43662)</f>
        <v>43662</v>
      </c>
      <c r="C3122" s="3">
        <f ca="1">IFERROR(__xludf.DUMMYFUNCTION("""COMPUTED_VALUE"""),5902557371686)</f>
        <v>5902557371686</v>
      </c>
      <c r="D3122" s="4" t="str">
        <f ca="1">IFERROR(__xludf.DUMMYFUNCTION("""COMPUTED_VALUE"""),"ERLO 03 L.GOLD WIESZAK ŁAZIENKOWY")</f>
        <v>ERLO 03 L.GOLD WIESZAK ŁAZIENKOWY</v>
      </c>
      <c r="E3122" s="31">
        <v>13.536585365853661</v>
      </c>
      <c r="F3122" s="31">
        <f t="shared" si="48"/>
        <v>16.650000000000002</v>
      </c>
    </row>
    <row r="3123" spans="1:6" ht="18.75" customHeight="1" x14ac:dyDescent="0.25">
      <c r="A3123" s="2" t="str">
        <f ca="1">IFERROR(__xludf.DUMMYFUNCTION("""COMPUTED_VALUE"""),"REA-80023")</f>
        <v>REA-80023</v>
      </c>
      <c r="B3123" s="3">
        <f ca="1">IFERROR(__xludf.DUMMYFUNCTION("""COMPUTED_VALUE"""),43666)</f>
        <v>43666</v>
      </c>
      <c r="C3123" s="3">
        <f ca="1">IFERROR(__xludf.DUMMYFUNCTION("""COMPUTED_VALUE"""),5902557371600)</f>
        <v>5902557371600</v>
      </c>
      <c r="D3123" s="4" t="str">
        <f ca="1">IFERROR(__xludf.DUMMYFUNCTION("""COMPUTED_VALUE"""),"MIST 03 L.GOLD WIESZAK ŁAZIENKOWY POJEDYŃCZY")</f>
        <v>MIST 03 L.GOLD WIESZAK ŁAZIENKOWY POJEDYŃCZY</v>
      </c>
      <c r="E3123" s="31">
        <v>9.0243902439024399</v>
      </c>
      <c r="F3123" s="31">
        <f t="shared" si="48"/>
        <v>11.100000000000001</v>
      </c>
    </row>
    <row r="3124" spans="1:6" ht="18.75" customHeight="1" x14ac:dyDescent="0.25">
      <c r="A3124" s="2" t="str">
        <f ca="1">IFERROR(__xludf.DUMMYFUNCTION("""COMPUTED_VALUE"""),"REA-06907")</f>
        <v>REA-06907</v>
      </c>
      <c r="B3124" s="3">
        <f ca="1">IFERROR(__xludf.DUMMYFUNCTION("""COMPUTED_VALUE"""),52911)</f>
        <v>52911</v>
      </c>
      <c r="C3124" s="3">
        <f ca="1">IFERROR(__xludf.DUMMYFUNCTION("""COMPUTED_VALUE"""),5906366003752)</f>
        <v>5906366003752</v>
      </c>
      <c r="D3124" s="4" t="str">
        <f ca="1">IFERROR(__xludf.DUMMYFUNCTION("""COMPUTED_VALUE"""),"332917A ERLO 01 BRUSH GOLD WIESZAK POJEDYNCZY")</f>
        <v>332917A ERLO 01 BRUSH GOLD WIESZAK POJEDYNCZY</v>
      </c>
      <c r="E3124" s="31">
        <v>36.09756097560976</v>
      </c>
      <c r="F3124" s="31">
        <f t="shared" si="48"/>
        <v>44.400000000000006</v>
      </c>
    </row>
    <row r="3125" spans="1:6" ht="18.75" customHeight="1" x14ac:dyDescent="0.25">
      <c r="A3125" s="2" t="str">
        <f ca="1">IFERROR(__xludf.DUMMYFUNCTION("""COMPUTED_VALUE"""),"REA-80002")</f>
        <v>REA-80002</v>
      </c>
      <c r="B3125" s="3">
        <f ca="1">IFERROR(__xludf.DUMMYFUNCTION("""COMPUTED_VALUE"""),44008)</f>
        <v>44008</v>
      </c>
      <c r="C3125" s="3">
        <f ca="1">IFERROR(__xludf.DUMMYFUNCTION("""COMPUTED_VALUE"""),5902557367665)</f>
        <v>5902557367665</v>
      </c>
      <c r="D3125" s="4" t="str">
        <f ca="1">IFERROR(__xludf.DUMMYFUNCTION("""COMPUTED_VALUE"""),"ERLO 01 L.GOLD WIESZAK NA RĘCZNIK POJEDYŃCZY")</f>
        <v>ERLO 01 L.GOLD WIESZAK NA RĘCZNIK POJEDYŃCZY</v>
      </c>
      <c r="E3125" s="31">
        <v>22.560975609756099</v>
      </c>
      <c r="F3125" s="31">
        <f t="shared" si="48"/>
        <v>27.75</v>
      </c>
    </row>
    <row r="3126" spans="1:6" ht="18.75" customHeight="1" x14ac:dyDescent="0.25">
      <c r="A3126" s="2" t="str">
        <f ca="1">IFERROR(__xludf.DUMMYFUNCTION("""COMPUTED_VALUE"""),"REA-80017")</f>
        <v>REA-80017</v>
      </c>
      <c r="B3126" s="3">
        <f ca="1">IFERROR(__xludf.DUMMYFUNCTION("""COMPUTED_VALUE"""),43997)</f>
        <v>43997</v>
      </c>
      <c r="C3126" s="3">
        <f ca="1">IFERROR(__xludf.DUMMYFUNCTION("""COMPUTED_VALUE"""),5902557367818)</f>
        <v>5902557367818</v>
      </c>
      <c r="D3126" s="4" t="str">
        <f ca="1">IFERROR(__xludf.DUMMYFUNCTION("""COMPUTED_VALUE"""),"MIST 01 L.GOLD WIESZAK NA RĘCZNIK POJEDYŃCZY")</f>
        <v>MIST 01 L.GOLD WIESZAK NA RĘCZNIK POJEDYŃCZY</v>
      </c>
      <c r="E3126" s="31">
        <v>22.560975609756099</v>
      </c>
      <c r="F3126" s="31">
        <f t="shared" si="48"/>
        <v>27.75</v>
      </c>
    </row>
    <row r="3127" spans="1:6" ht="18.75" customHeight="1" x14ac:dyDescent="0.25">
      <c r="A3127" s="2" t="str">
        <f ca="1">IFERROR(__xludf.DUMMYFUNCTION("""COMPUTED_VALUE"""),"REA-80029")</f>
        <v>REA-80029</v>
      </c>
      <c r="B3127" s="3">
        <f ca="1">IFERROR(__xludf.DUMMYFUNCTION("""COMPUTED_VALUE"""),43836)</f>
        <v>43836</v>
      </c>
      <c r="C3127" s="3">
        <f ca="1">IFERROR(__xludf.DUMMYFUNCTION("""COMPUTED_VALUE"""),5902557367931)</f>
        <v>5902557367931</v>
      </c>
      <c r="D3127" s="4" t="str">
        <f ca="1">IFERROR(__xludf.DUMMYFUNCTION("""COMPUTED_VALUE"""),"MIST 05 L.GOLD WIESZAK NA RĘCZNIK")</f>
        <v>MIST 05 L.GOLD WIESZAK NA RĘCZNIK</v>
      </c>
      <c r="E3127" s="31">
        <v>13.536585365853661</v>
      </c>
      <c r="F3127" s="31">
        <f t="shared" si="48"/>
        <v>16.650000000000002</v>
      </c>
    </row>
    <row r="3128" spans="1:6" ht="18.75" customHeight="1" x14ac:dyDescent="0.25">
      <c r="A3128" s="2" t="str">
        <f ca="1">IFERROR(__xludf.DUMMYFUNCTION("""COMPUTED_VALUE"""),"REA-80028")</f>
        <v>REA-80028</v>
      </c>
      <c r="B3128" s="3">
        <f ca="1">IFERROR(__xludf.DUMMYFUNCTION("""COMPUTED_VALUE"""),43837)</f>
        <v>43837</v>
      </c>
      <c r="C3128" s="3">
        <f ca="1">IFERROR(__xludf.DUMMYFUNCTION("""COMPUTED_VALUE"""),5902557367924)</f>
        <v>5902557367924</v>
      </c>
      <c r="D3128" s="4" t="str">
        <f ca="1">IFERROR(__xludf.DUMMYFUNCTION("""COMPUTED_VALUE"""),"MIST 05 BLACK WIESZAK NA RĘCZNIK")</f>
        <v>MIST 05 BLACK WIESZAK NA RĘCZNIK</v>
      </c>
      <c r="E3128" s="31">
        <v>9.0243902439024399</v>
      </c>
      <c r="F3128" s="31">
        <f t="shared" si="48"/>
        <v>11.100000000000001</v>
      </c>
    </row>
    <row r="3129" spans="1:6" ht="18.75" customHeight="1" x14ac:dyDescent="0.25">
      <c r="A3129" s="2" t="str">
        <f ca="1">IFERROR(__xludf.DUMMYFUNCTION("""COMPUTED_VALUE"""),"REA-80027")</f>
        <v>REA-80027</v>
      </c>
      <c r="B3129" s="3">
        <f ca="1">IFERROR(__xludf.DUMMYFUNCTION("""COMPUTED_VALUE"""),43931)</f>
        <v>43931</v>
      </c>
      <c r="C3129" s="3">
        <f ca="1">IFERROR(__xludf.DUMMYFUNCTION("""COMPUTED_VALUE"""),5902557367917)</f>
        <v>5902557367917</v>
      </c>
      <c r="D3129" s="4" t="str">
        <f ca="1">IFERROR(__xludf.DUMMYFUNCTION("""COMPUTED_VALUE"""),"MIST 05 CHROME WIESZAK NA RĘCZNIK")</f>
        <v>MIST 05 CHROME WIESZAK NA RĘCZNIK</v>
      </c>
      <c r="E3129" s="31">
        <v>9.0243902439024399</v>
      </c>
      <c r="F3129" s="31">
        <f t="shared" si="48"/>
        <v>11.100000000000001</v>
      </c>
    </row>
    <row r="3130" spans="1:6" ht="18.75" customHeight="1" x14ac:dyDescent="0.25">
      <c r="A3130" s="2" t="str">
        <f ca="1">IFERROR(__xludf.DUMMYFUNCTION("""COMPUTED_VALUE"""),"REA-77010")</f>
        <v>REA-77010</v>
      </c>
      <c r="B3130" s="3">
        <f ca="1">IFERROR(__xludf.DUMMYFUNCTION("""COMPUTED_VALUE"""),49898)</f>
        <v>49898</v>
      </c>
      <c r="C3130" s="3">
        <f ca="1">IFERROR(__xludf.DUMMYFUNCTION("""COMPUTED_VALUE"""),5902557386468)</f>
        <v>5902557386468</v>
      </c>
      <c r="D3130" s="4" t="str">
        <f ca="1">IFERROR(__xludf.DUMMYFUNCTION("""COMPUTED_VALUE"""),"322223 WIESZAK ŁAZIENKOWY NIKIEL SZCZOTKOWANY FAR")</f>
        <v>322223 WIESZAK ŁAZIENKOWY NIKIEL SZCZOTKOWANY FAR</v>
      </c>
      <c r="E3130" s="31">
        <v>9.0243902439024399</v>
      </c>
      <c r="F3130" s="31">
        <f t="shared" si="48"/>
        <v>11.100000000000001</v>
      </c>
    </row>
    <row r="3131" spans="1:6" ht="18.75" customHeight="1" x14ac:dyDescent="0.25">
      <c r="A3131" s="2" t="str">
        <f ca="1">IFERROR(__xludf.DUMMYFUNCTION("""COMPUTED_VALUE"""),"REA-06918")</f>
        <v>REA-06918</v>
      </c>
      <c r="B3131" s="3">
        <f ca="1">IFERROR(__xludf.DUMMYFUNCTION("""COMPUTED_VALUE"""),53034)</f>
        <v>53034</v>
      </c>
      <c r="C3131" s="3">
        <f ca="1">IFERROR(__xludf.DUMMYFUNCTION("""COMPUTED_VALUE"""),5906366004117)</f>
        <v>5906366004117</v>
      </c>
      <c r="D3131" s="4" t="str">
        <f ca="1">IFERROR(__xludf.DUMMYFUNCTION("""COMPUTED_VALUE"""),"332867 WIESZAK NA RĘCZNIK ZŁOTY RETRO")</f>
        <v>332867 WIESZAK NA RĘCZNIK ZŁOTY RETRO</v>
      </c>
      <c r="E3131" s="31">
        <v>18.04878048780488</v>
      </c>
      <c r="F3131" s="31">
        <f t="shared" si="48"/>
        <v>22.200000000000003</v>
      </c>
    </row>
    <row r="3132" spans="1:6" ht="18.75" customHeight="1" x14ac:dyDescent="0.25">
      <c r="A3132" s="2" t="str">
        <f ca="1">IFERROR(__xludf.DUMMYFUNCTION("""COMPUTED_VALUE"""),"REA-06922")</f>
        <v>REA-06922</v>
      </c>
      <c r="B3132" s="3">
        <f ca="1">IFERROR(__xludf.DUMMYFUNCTION("""COMPUTED_VALUE"""),53005)</f>
        <v>53005</v>
      </c>
      <c r="C3132" s="3">
        <f ca="1">IFERROR(__xludf.DUMMYFUNCTION("""COMPUTED_VALUE"""),5906366004070)</f>
        <v>5906366004070</v>
      </c>
      <c r="D3132" s="4" t="str">
        <f ca="1">IFERROR(__xludf.DUMMYFUNCTION("""COMPUTED_VALUE"""),"332867A WIESZAK NA RĘCZNIK CZARNY RETRO")</f>
        <v>332867A WIESZAK NA RĘCZNIK CZARNY RETRO</v>
      </c>
      <c r="E3132" s="31">
        <v>13.536585365853661</v>
      </c>
      <c r="F3132" s="31">
        <f t="shared" si="48"/>
        <v>16.650000000000002</v>
      </c>
    </row>
    <row r="3133" spans="1:6" ht="18.75" customHeight="1" x14ac:dyDescent="0.25">
      <c r="A3133" s="2" t="str">
        <f ca="1">IFERROR(__xludf.DUMMYFUNCTION("""COMPUTED_VALUE"""),"REA-06923")</f>
        <v>REA-06923</v>
      </c>
      <c r="B3133" s="3">
        <f ca="1">IFERROR(__xludf.DUMMYFUNCTION("""COMPUTED_VALUE"""),53040)</f>
        <v>53040</v>
      </c>
      <c r="C3133" s="3">
        <f ca="1">IFERROR(__xludf.DUMMYFUNCTION("""COMPUTED_VALUE"""),5906366004155)</f>
        <v>5906366004155</v>
      </c>
      <c r="D3133" s="4" t="str">
        <f ca="1">IFERROR(__xludf.DUMMYFUNCTION("""COMPUTED_VALUE"""),"332867B WIESZAK NA RĘCZNIK ANTYCZNY BRĄZ RETRO")</f>
        <v>332867B WIESZAK NA RĘCZNIK ANTYCZNY BRĄZ RETRO</v>
      </c>
      <c r="E3133" s="31">
        <v>18.04878048780488</v>
      </c>
      <c r="F3133" s="31">
        <f t="shared" si="48"/>
        <v>22.200000000000003</v>
      </c>
    </row>
    <row r="3134" spans="1:6" ht="18.75" customHeight="1" x14ac:dyDescent="0.25">
      <c r="A3134" s="2" t="str">
        <f ca="1">IFERROR(__xludf.DUMMYFUNCTION("""COMPUTED_VALUE"""),"REA-06903")</f>
        <v>REA-06903</v>
      </c>
      <c r="B3134" s="3">
        <f ca="1">IFERROR(__xludf.DUMMYFUNCTION("""COMPUTED_VALUE"""),52894)</f>
        <v>52894</v>
      </c>
      <c r="C3134" s="3">
        <f ca="1">IFERROR(__xludf.DUMMYFUNCTION("""COMPUTED_VALUE"""),5906366004292)</f>
        <v>5906366004292</v>
      </c>
      <c r="D3134" s="4" t="str">
        <f ca="1">IFERROR(__xludf.DUMMYFUNCTION("""COMPUTED_VALUE"""),"332915 MIST 05 BRUSH NICKIEL WIESZAK NA RĘCZNIK")</f>
        <v>332915 MIST 05 BRUSH NICKIEL WIESZAK NA RĘCZNIK</v>
      </c>
      <c r="E3134" s="31">
        <v>22.560975609756099</v>
      </c>
      <c r="F3134" s="31">
        <f t="shared" si="48"/>
        <v>27.75</v>
      </c>
    </row>
    <row r="3135" spans="1:6" ht="18.75" customHeight="1" x14ac:dyDescent="0.25">
      <c r="A3135" s="2" t="str">
        <f ca="1">IFERROR(__xludf.DUMMYFUNCTION("""COMPUTED_VALUE"""),"REA-06904")</f>
        <v>REA-06904</v>
      </c>
      <c r="B3135" s="3">
        <f ca="1">IFERROR(__xludf.DUMMYFUNCTION("""COMPUTED_VALUE"""),52895)</f>
        <v>52895</v>
      </c>
      <c r="C3135" s="3">
        <f ca="1">IFERROR(__xludf.DUMMYFUNCTION("""COMPUTED_VALUE"""),5906366004278)</f>
        <v>5906366004278</v>
      </c>
      <c r="D3135" s="4" t="str">
        <f ca="1">IFERROR(__xludf.DUMMYFUNCTION("""COMPUTED_VALUE"""),"332915A MIST 05 BLACK WIESZAK NA RĘCZNIK")</f>
        <v>332915A MIST 05 BLACK WIESZAK NA RĘCZNIK</v>
      </c>
      <c r="E3135" s="31">
        <v>22.560975609756099</v>
      </c>
      <c r="F3135" s="31">
        <f t="shared" si="48"/>
        <v>27.75</v>
      </c>
    </row>
    <row r="3136" spans="1:6" ht="18.75" customHeight="1" x14ac:dyDescent="0.25">
      <c r="A3136" s="2" t="str">
        <f ca="1">IFERROR(__xludf.DUMMYFUNCTION("""COMPUTED_VALUE"""),"REA-06905")</f>
        <v>REA-06905</v>
      </c>
      <c r="B3136" s="3">
        <f ca="1">IFERROR(__xludf.DUMMYFUNCTION("""COMPUTED_VALUE"""),52896)</f>
        <v>52896</v>
      </c>
      <c r="C3136" s="3">
        <f ca="1">IFERROR(__xludf.DUMMYFUNCTION("""COMPUTED_VALUE"""),5906366004315)</f>
        <v>5906366004315</v>
      </c>
      <c r="D3136" s="4" t="str">
        <f ca="1">IFERROR(__xludf.DUMMYFUNCTION("""COMPUTED_VALUE"""),"332915B MIST 05 BRUSH GOLD WIESZAK NA RĘCZNIK")</f>
        <v>332915B MIST 05 BRUSH GOLD WIESZAK NA RĘCZNIK</v>
      </c>
      <c r="E3136" s="31">
        <v>27.073170731707322</v>
      </c>
      <c r="F3136" s="31">
        <f t="shared" si="48"/>
        <v>33.300000000000004</v>
      </c>
    </row>
    <row r="3137" spans="1:6" ht="18.75" customHeight="1" x14ac:dyDescent="0.25">
      <c r="A3137" s="2" t="str">
        <f ca="1">IFERROR(__xludf.DUMMYFUNCTION("""COMPUTED_VALUE"""),"REA-77068")</f>
        <v>REA-77068</v>
      </c>
      <c r="B3137" s="3">
        <f ca="1">IFERROR(__xludf.DUMMYFUNCTION("""COMPUTED_VALUE"""),49682)</f>
        <v>49682</v>
      </c>
      <c r="C3137" s="3">
        <f ca="1">IFERROR(__xludf.DUMMYFUNCTION("""COMPUTED_VALUE"""),5902557384655)</f>
        <v>5902557384655</v>
      </c>
      <c r="D3137" s="4" t="str">
        <f ca="1">IFERROR(__xludf.DUMMYFUNCTION("""COMPUTED_VALUE"""),"322188 WIESZAK ŁAZIENKOWY ZŁOTY MOON")</f>
        <v>322188 WIESZAK ŁAZIENKOWY ZŁOTY MOON</v>
      </c>
      <c r="E3137" s="31">
        <v>9.0243902439024399</v>
      </c>
      <c r="F3137" s="31">
        <f t="shared" ref="F3137:F3200" si="49">E3137*1.23</f>
        <v>11.100000000000001</v>
      </c>
    </row>
    <row r="3138" spans="1:6" ht="18.75" customHeight="1" x14ac:dyDescent="0.25">
      <c r="A3138" s="2" t="str">
        <f ca="1">IFERROR(__xludf.DUMMYFUNCTION("""COMPUTED_VALUE"""),"REA-77025")</f>
        <v>REA-77025</v>
      </c>
      <c r="B3138" s="3">
        <f ca="1">IFERROR(__xludf.DUMMYFUNCTION("""COMPUTED_VALUE"""),49491)</f>
        <v>49491</v>
      </c>
      <c r="C3138" s="3">
        <f ca="1">IFERROR(__xludf.DUMMYFUNCTION("""COMPUTED_VALUE"""),5902557383856)</f>
        <v>5902557383856</v>
      </c>
      <c r="D3138" s="4" t="str">
        <f ca="1">IFERROR(__xludf.DUMMYFUNCTION("""COMPUTED_VALUE"""),"322196A WIESZAK ŁAZIENKOWY ZŁOTY HILL")</f>
        <v>322196A WIESZAK ŁAZIENKOWY ZŁOTY HILL</v>
      </c>
      <c r="E3138" s="31">
        <v>9.0243902439024399</v>
      </c>
      <c r="F3138" s="31">
        <f t="shared" si="49"/>
        <v>11.100000000000001</v>
      </c>
    </row>
    <row r="3139" spans="1:6" ht="18.75" customHeight="1" x14ac:dyDescent="0.25">
      <c r="A3139" s="2" t="str">
        <f ca="1">IFERROR(__xludf.DUMMYFUNCTION("""COMPUTED_VALUE"""),"REA-77065")</f>
        <v>REA-77065</v>
      </c>
      <c r="B3139" s="3">
        <f ca="1">IFERROR(__xludf.DUMMYFUNCTION("""COMPUTED_VALUE"""),49513)</f>
        <v>49513</v>
      </c>
      <c r="C3139" s="3">
        <f ca="1">IFERROR(__xludf.DUMMYFUNCTION("""COMPUTED_VALUE"""),5902557384020)</f>
        <v>5902557384020</v>
      </c>
      <c r="D3139" s="4" t="str">
        <f ca="1">IFERROR(__xludf.DUMMYFUNCTION("""COMPUTED_VALUE"""),"322210A WIESZAK ŁAZIENKOWY ZŁOTY")</f>
        <v>322210A WIESZAK ŁAZIENKOWY ZŁOTY</v>
      </c>
      <c r="E3139" s="31">
        <v>9.0243902439024399</v>
      </c>
      <c r="F3139" s="31">
        <f t="shared" si="49"/>
        <v>11.100000000000001</v>
      </c>
    </row>
    <row r="3140" spans="1:6" ht="18.75" customHeight="1" x14ac:dyDescent="0.25">
      <c r="A3140" s="2" t="str">
        <f ca="1">IFERROR(__xludf.DUMMYFUNCTION("""COMPUTED_VALUE"""),"REA-77009")</f>
        <v>REA-77009</v>
      </c>
      <c r="B3140" s="3">
        <f ca="1">IFERROR(__xludf.DUMMYFUNCTION("""COMPUTED_VALUE"""),49899)</f>
        <v>49899</v>
      </c>
      <c r="C3140" s="3">
        <f ca="1">IFERROR(__xludf.DUMMYFUNCTION("""COMPUTED_VALUE"""),5902557386475)</f>
        <v>5902557386475</v>
      </c>
      <c r="D3140" s="4" t="str">
        <f ca="1">IFERROR(__xludf.DUMMYFUNCTION("""COMPUTED_VALUE"""),"322223B WIESZAK ŁAZIENKOWY ZŁOTY SZCZOTKOWANY FAR")</f>
        <v>322223B WIESZAK ŁAZIENKOWY ZŁOTY SZCZOTKOWANY FAR</v>
      </c>
      <c r="E3140" s="31">
        <v>13.536585365853661</v>
      </c>
      <c r="F3140" s="31">
        <f t="shared" si="49"/>
        <v>16.650000000000002</v>
      </c>
    </row>
    <row r="3141" spans="1:6" ht="18.75" customHeight="1" x14ac:dyDescent="0.25">
      <c r="A3141" s="2" t="str">
        <f ca="1">IFERROR(__xludf.DUMMYFUNCTION("""COMPUTED_VALUE"""),"REA-77018")</f>
        <v>REA-77018</v>
      </c>
      <c r="B3141" s="3">
        <f ca="1">IFERROR(__xludf.DUMMYFUNCTION("""COMPUTED_VALUE"""),49557)</f>
        <v>49557</v>
      </c>
      <c r="C3141" s="3">
        <f ca="1">IFERROR(__xludf.DUMMYFUNCTION("""COMPUTED_VALUE"""),5902557384396)</f>
        <v>5902557384396</v>
      </c>
      <c r="D3141" s="4" t="str">
        <f ca="1">IFERROR(__xludf.DUMMYFUNCTION("""COMPUTED_VALUE"""),"322230 WIESZAK ŁAZIENKOWY ZŁOTY SZCZOTKOWANY")</f>
        <v>322230 WIESZAK ŁAZIENKOWY ZŁOTY SZCZOTKOWANY</v>
      </c>
      <c r="E3141" s="31">
        <v>13.536585365853661</v>
      </c>
      <c r="F3141" s="31">
        <f t="shared" si="49"/>
        <v>16.650000000000002</v>
      </c>
    </row>
    <row r="3142" spans="1:6" ht="18.75" customHeight="1" x14ac:dyDescent="0.25">
      <c r="A3142" s="2" t="str">
        <f ca="1">IFERROR(__xludf.DUMMYFUNCTION("""COMPUTED_VALUE"""),"HOM-07501")</f>
        <v>HOM-07501</v>
      </c>
      <c r="B3142" s="3">
        <f ca="1">IFERROR(__xludf.DUMMYFUNCTION("""COMPUTED_VALUE"""),30280)</f>
        <v>30280</v>
      </c>
      <c r="C3142" s="3">
        <f ca="1">IFERROR(__xludf.DUMMYFUNCTION("""COMPUTED_VALUE"""),5902557348602)</f>
        <v>5902557348602</v>
      </c>
      <c r="D3142" s="4" t="str">
        <f ca="1">IFERROR(__xludf.DUMMYFUNCTION("""COMPUTED_VALUE"""),"REA WIESZAK NA PAPIER BAMBUSOWY 390227")</f>
        <v>REA WIESZAK NA PAPIER BAMBUSOWY 390227</v>
      </c>
      <c r="E3142" s="31">
        <v>9.0243902439024399</v>
      </c>
      <c r="F3142" s="31">
        <f t="shared" si="49"/>
        <v>11.100000000000001</v>
      </c>
    </row>
    <row r="3143" spans="1:6" ht="18.75" customHeight="1" x14ac:dyDescent="0.25">
      <c r="A3143" s="2" t="str">
        <f ca="1">IFERROR(__xludf.DUMMYFUNCTION("""COMPUTED_VALUE"""),"HOM-01107")</f>
        <v>HOM-01107</v>
      </c>
      <c r="B3143" s="3">
        <f ca="1">IFERROR(__xludf.DUMMYFUNCTION("""COMPUTED_VALUE"""),49790)</f>
        <v>49790</v>
      </c>
      <c r="C3143" s="3">
        <f ca="1">IFERROR(__xludf.DUMMYFUNCTION("""COMPUTED_VALUE"""),5902557386666)</f>
        <v>5902557386666</v>
      </c>
      <c r="D3143" s="4" t="str">
        <f ca="1">IFERROR(__xludf.DUMMYFUNCTION("""COMPUTED_VALUE"""),"REA 322125 ZESTAW ŁAZIENKOWY CERAMICZNY CZARNY")</f>
        <v>REA 322125 ZESTAW ŁAZIENKOWY CERAMICZNY CZARNY</v>
      </c>
      <c r="E3143" s="31">
        <v>9.0243902439024399</v>
      </c>
      <c r="F3143" s="31">
        <f t="shared" si="49"/>
        <v>11.100000000000001</v>
      </c>
    </row>
    <row r="3144" spans="1:6" ht="18.75" customHeight="1" x14ac:dyDescent="0.25">
      <c r="A3144" s="2" t="str">
        <f ca="1">IFERROR(__xludf.DUMMYFUNCTION("""COMPUTED_VALUE"""),"HOM-01108")</f>
        <v>HOM-01108</v>
      </c>
      <c r="B3144" s="3">
        <f ca="1">IFERROR(__xludf.DUMMYFUNCTION("""COMPUTED_VALUE"""),49786)</f>
        <v>49786</v>
      </c>
      <c r="C3144" s="3">
        <f ca="1">IFERROR(__xludf.DUMMYFUNCTION("""COMPUTED_VALUE"""),5906366003486)</f>
        <v>5906366003486</v>
      </c>
      <c r="D3144" s="4" t="str">
        <f ca="1">IFERROR(__xludf.DUMMYFUNCTION("""COMPUTED_VALUE"""),"REA 322127 ZESTAW ŁAZIENKOWY CERAMICZNY ZŁOTY")</f>
        <v>REA 322127 ZESTAW ŁAZIENKOWY CERAMICZNY ZŁOTY</v>
      </c>
      <c r="E3144" s="31">
        <v>18.04878048780488</v>
      </c>
      <c r="F3144" s="31">
        <f t="shared" si="49"/>
        <v>22.200000000000003</v>
      </c>
    </row>
    <row r="3145" spans="1:6" ht="18.75" customHeight="1" x14ac:dyDescent="0.25">
      <c r="A3145" s="2" t="str">
        <f ca="1">IFERROR(__xludf.DUMMYFUNCTION("""COMPUTED_VALUE"""),"HOM-05502")</f>
        <v>HOM-05502</v>
      </c>
      <c r="B3145" s="3">
        <f ca="1">IFERROR(__xludf.DUMMYFUNCTION("""COMPUTED_VALUE"""),53375)</f>
        <v>53375</v>
      </c>
      <c r="C3145" s="3">
        <f ca="1">IFERROR(__xludf.DUMMYFUNCTION("""COMPUTED_VALUE"""),5902557396986)</f>
        <v>5902557396986</v>
      </c>
      <c r="D3145" s="4" t="str">
        <f ca="1">IFERROR(__xludf.DUMMYFUNCTION("""COMPUTED_VALUE"""),"LUSTRO P11229 LED CLOUD B 100x70cm")</f>
        <v>LUSTRO P11229 LED CLOUD B 100x70cm</v>
      </c>
      <c r="E3145" s="31">
        <v>94.756097560975633</v>
      </c>
      <c r="F3145" s="31">
        <f t="shared" si="49"/>
        <v>116.55000000000003</v>
      </c>
    </row>
    <row r="3146" spans="1:6" ht="18.75" customHeight="1" x14ac:dyDescent="0.25">
      <c r="A3146" s="2" t="str">
        <f ca="1">IFERROR(__xludf.DUMMYFUNCTION("""COMPUTED_VALUE"""),"HOM-05500")</f>
        <v>HOM-05500</v>
      </c>
      <c r="B3146" s="3">
        <f ca="1">IFERROR(__xludf.DUMMYFUNCTION("""COMPUTED_VALUE"""),53376)</f>
        <v>53376</v>
      </c>
      <c r="C3146" s="3">
        <f ca="1">IFERROR(__xludf.DUMMYFUNCTION("""COMPUTED_VALUE"""),5902557396979)</f>
        <v>5902557396979</v>
      </c>
      <c r="D3146" s="4" t="str">
        <f ca="1">IFERROR(__xludf.DUMMYFUNCTION("""COMPUTED_VALUE"""),"LUSTRO P11386  LED CLOUD A 100x60cm")</f>
        <v>LUSTRO P11386  LED CLOUD A 100x60cm</v>
      </c>
      <c r="E3146" s="31">
        <v>139.87804878048783</v>
      </c>
      <c r="F3146" s="31">
        <f t="shared" si="49"/>
        <v>172.05000000000004</v>
      </c>
    </row>
    <row r="3147" spans="1:6" ht="18.75" customHeight="1" x14ac:dyDescent="0.25">
      <c r="A3147" s="2" t="str">
        <f ca="1">IFERROR(__xludf.DUMMYFUNCTION("""COMPUTED_VALUE"""),"HOM-05517")</f>
        <v>HOM-05517</v>
      </c>
      <c r="B3147" s="3">
        <f ca="1">IFERROR(__xludf.DUMMYFUNCTION("""COMPUTED_VALUE"""),52615)</f>
        <v>52615</v>
      </c>
      <c r="C3147" s="3">
        <f ca="1">IFERROR(__xludf.DUMMYFUNCTION("""COMPUTED_VALUE"""),5902557397112)</f>
        <v>5902557397112</v>
      </c>
      <c r="D3147" s="4" t="str">
        <f ca="1">IFERROR(__xludf.DUMMYFUNCTION("""COMPUTED_VALUE"""),"LUSTRO P11239 LED BAS 50cm")</f>
        <v>LUSTRO P11239 LED BAS 50cm</v>
      </c>
      <c r="E3147" s="31">
        <v>76.707317073170742</v>
      </c>
      <c r="F3147" s="31">
        <f t="shared" si="49"/>
        <v>94.350000000000009</v>
      </c>
    </row>
    <row r="3148" spans="1:6" ht="18.75" customHeight="1" x14ac:dyDescent="0.25">
      <c r="A3148" s="2" t="str">
        <f ca="1">IFERROR(__xludf.DUMMYFUNCTION("""COMPUTED_VALUE"""),"HOM-02836")</f>
        <v>HOM-02836</v>
      </c>
      <c r="B3148" s="3">
        <f ca="1">IFERROR(__xludf.DUMMYFUNCTION("""COMPUTED_VALUE"""),50079)</f>
        <v>50079</v>
      </c>
      <c r="C3148" s="3">
        <f ca="1">IFERROR(__xludf.DUMMYFUNCTION("""COMPUTED_VALUE"""),5902557385911)</f>
        <v>5902557385911</v>
      </c>
      <c r="D3148" s="4" t="str">
        <f ca="1">IFERROR(__xludf.DUMMYFUNCTION("""COMPUTED_VALUE"""),"LUSTRO LED FFJ 50CM")</f>
        <v>LUSTRO LED FFJ 50CM</v>
      </c>
      <c r="E3148" s="31">
        <v>63.170731707317081</v>
      </c>
      <c r="F3148" s="31">
        <f t="shared" si="49"/>
        <v>77.7</v>
      </c>
    </row>
    <row r="3149" spans="1:6" ht="18.75" customHeight="1" x14ac:dyDescent="0.25">
      <c r="A3149" s="2" t="str">
        <f ca="1">IFERROR(__xludf.DUMMYFUNCTION("""COMPUTED_VALUE"""),"HOM-02820")</f>
        <v>HOM-02820</v>
      </c>
      <c r="B3149" s="3">
        <f ca="1">IFERROR(__xludf.DUMMYFUNCTION("""COMPUTED_VALUE"""),49120)</f>
        <v>49120</v>
      </c>
      <c r="C3149" s="3">
        <f ca="1">IFERROR(__xludf.DUMMYFUNCTION("""COMPUTED_VALUE"""),5902557381692)</f>
        <v>5902557381692</v>
      </c>
      <c r="D3149" s="4" t="str">
        <f ca="1">IFERROR(__xludf.DUMMYFUNCTION("""COMPUTED_VALUE"""),"LUSTRO LED HZJ 50CM")</f>
        <v>LUSTRO LED HZJ 50CM</v>
      </c>
      <c r="E3149" s="31">
        <v>67.682926829268297</v>
      </c>
      <c r="F3149" s="31">
        <f t="shared" si="49"/>
        <v>83.25</v>
      </c>
    </row>
    <row r="3150" spans="1:6" ht="18.75" customHeight="1" x14ac:dyDescent="0.25">
      <c r="A3150" s="2" t="str">
        <f ca="1">IFERROR(__xludf.DUMMYFUNCTION("""COMPUTED_VALUE"""),"HOM-02500")</f>
        <v>HOM-02500</v>
      </c>
      <c r="B3150" s="3">
        <f ca="1">IFERROR(__xludf.DUMMYFUNCTION("""COMPUTED_VALUE"""),52594)</f>
        <v>52594</v>
      </c>
      <c r="C3150" s="3">
        <f ca="1">IFERROR(__xludf.DUMMYFUNCTION("""COMPUTED_VALUE"""),5902557396924)</f>
        <v>5902557396924</v>
      </c>
      <c r="D3150" s="4" t="str">
        <f ca="1">IFERROR(__xludf.DUMMYFUNCTION("""COMPUTED_VALUE"""),"LUSTRO LED MMJ GOLD 50CM")</f>
        <v>LUSTRO LED MMJ GOLD 50CM</v>
      </c>
      <c r="E3150" s="31">
        <v>112.80487804878049</v>
      </c>
      <c r="F3150" s="31">
        <f t="shared" si="49"/>
        <v>138.75</v>
      </c>
    </row>
    <row r="3151" spans="1:6" ht="18.75" customHeight="1" x14ac:dyDescent="0.25">
      <c r="A3151" s="2" t="str">
        <f ca="1">IFERROR(__xludf.DUMMYFUNCTION("""COMPUTED_VALUE"""),"HOM-05505")</f>
        <v>HOM-05505</v>
      </c>
      <c r="B3151" s="3">
        <f ca="1">IFERROR(__xludf.DUMMYFUNCTION("""COMPUTED_VALUE"""),52649)</f>
        <v>52649</v>
      </c>
      <c r="C3151" s="3">
        <f ca="1">IFERROR(__xludf.DUMMYFUNCTION("""COMPUTED_VALUE"""),5902557397006)</f>
        <v>5902557397006</v>
      </c>
      <c r="D3151" s="4" t="str">
        <f ca="1">IFERROR(__xludf.DUMMYFUNCTION("""COMPUTED_VALUE"""),"LUSTRO LED MMJ BRUSH GOLD 50cm")</f>
        <v>LUSTRO LED MMJ BRUSH GOLD 50cm</v>
      </c>
      <c r="E3151" s="31">
        <v>63.170731707317081</v>
      </c>
      <c r="F3151" s="31">
        <f t="shared" si="49"/>
        <v>77.7</v>
      </c>
    </row>
    <row r="3152" spans="1:6" ht="18.75" customHeight="1" x14ac:dyDescent="0.25">
      <c r="A3152" s="2" t="str">
        <f ca="1">IFERROR(__xludf.DUMMYFUNCTION("""COMPUTED_VALUE"""),"HOM-05511")</f>
        <v>HOM-05511</v>
      </c>
      <c r="B3152" s="3">
        <f ca="1">IFERROR(__xludf.DUMMYFUNCTION("""COMPUTED_VALUE"""),52641)</f>
        <v>52641</v>
      </c>
      <c r="C3152" s="3">
        <f ca="1">IFERROR(__xludf.DUMMYFUNCTION("""COMPUTED_VALUE"""),5902557397099)</f>
        <v>5902557397099</v>
      </c>
      <c r="D3152" s="4" t="str">
        <f ca="1">IFERROR(__xludf.DUMMYFUNCTION("""COMPUTED_VALUE"""),"LUSTRO P11394 LED MMJ BLACK 50cm")</f>
        <v>LUSTRO P11394 LED MMJ BLACK 50cm</v>
      </c>
      <c r="E3152" s="31">
        <v>108.29268292682929</v>
      </c>
      <c r="F3152" s="31">
        <f t="shared" si="49"/>
        <v>133.20000000000002</v>
      </c>
    </row>
    <row r="3153" spans="1:6" ht="18.75" customHeight="1" x14ac:dyDescent="0.25">
      <c r="A3153" s="2" t="str">
        <f ca="1">IFERROR(__xludf.DUMMYFUNCTION("""COMPUTED_VALUE"""),"HOM-05490")</f>
        <v>HOM-05490</v>
      </c>
      <c r="B3153" s="3">
        <f ca="1">IFERROR(__xludf.DUMMYFUNCTION("""COMPUTED_VALUE"""),53680)</f>
        <v>53680</v>
      </c>
      <c r="C3153" s="3">
        <f ca="1">IFERROR(__xludf.DUMMYFUNCTION("""COMPUTED_VALUE"""),5906366006791)</f>
        <v>5906366006791</v>
      </c>
      <c r="D3153" s="4" t="str">
        <f ca="1">IFERROR(__xludf.DUMMYFUNCTION("""COMPUTED_VALUE"""),"LUSTRO P11394 LED MMJ MIEDŹ SZCZOTKOWANA 50cm")</f>
        <v>LUSTRO P11394 LED MMJ MIEDŹ SZCZOTKOWANA 50cm</v>
      </c>
      <c r="E3153" s="31">
        <v>63.170731707317081</v>
      </c>
      <c r="F3153" s="31">
        <f t="shared" si="49"/>
        <v>77.7</v>
      </c>
    </row>
    <row r="3154" spans="1:6" ht="18.75" customHeight="1" x14ac:dyDescent="0.25">
      <c r="A3154" s="2" t="str">
        <f ca="1">IFERROR(__xludf.DUMMYFUNCTION("""COMPUTED_VALUE"""),"HOM-06502")</f>
        <v>HOM-06502</v>
      </c>
      <c r="B3154" s="3">
        <f ca="1">IFERROR(__xludf.DUMMYFUNCTION("""COMPUTED_VALUE"""),54073)</f>
        <v>54073</v>
      </c>
      <c r="C3154" s="3">
        <f ca="1">IFERROR(__xludf.DUMMYFUNCTION("""COMPUTED_VALUE"""),5906366004582)</f>
        <v>5906366004582</v>
      </c>
      <c r="D3154" s="4" t="str">
        <f ca="1">IFERROR(__xludf.DUMMYFUNCTION("""COMPUTED_VALUE"""),"LUSTRO LED WWA 50X120CM")</f>
        <v>LUSTRO LED WWA 50X120CM</v>
      </c>
      <c r="E3154" s="31">
        <v>90.243902439024396</v>
      </c>
      <c r="F3154" s="31">
        <f t="shared" si="49"/>
        <v>111</v>
      </c>
    </row>
    <row r="3155" spans="1:6" ht="18.75" customHeight="1" x14ac:dyDescent="0.25">
      <c r="A3155" s="2" t="str">
        <f ca="1">IFERROR(__xludf.DUMMYFUNCTION("""COMPUTED_VALUE"""),"HOM-05518")</f>
        <v>HOM-05518</v>
      </c>
      <c r="B3155" s="3">
        <f ca="1">IFERROR(__xludf.DUMMYFUNCTION("""COMPUTED_VALUE"""),52616)</f>
        <v>52616</v>
      </c>
      <c r="C3155" s="3">
        <f ca="1">IFERROR(__xludf.DUMMYFUNCTION("""COMPUTED_VALUE"""),5902557397129)</f>
        <v>5902557397129</v>
      </c>
      <c r="D3155" s="4" t="str">
        <f ca="1">IFERROR(__xludf.DUMMYFUNCTION("""COMPUTED_VALUE"""),"LUSTRO P11240 LED BAS 60cm")</f>
        <v>LUSTRO P11240 LED BAS 60cm</v>
      </c>
      <c r="E3155" s="31">
        <v>85.731707317073173</v>
      </c>
      <c r="F3155" s="31">
        <f t="shared" si="49"/>
        <v>105.45</v>
      </c>
    </row>
    <row r="3156" spans="1:6" ht="18.75" customHeight="1" x14ac:dyDescent="0.25">
      <c r="A3156" s="2" t="str">
        <f ca="1">IFERROR(__xludf.DUMMYFUNCTION("""COMPUTED_VALUE"""),"HOM-02837")</f>
        <v>HOM-02837</v>
      </c>
      <c r="B3156" s="3">
        <f ca="1">IFERROR(__xludf.DUMMYFUNCTION("""COMPUTED_VALUE"""),50078)</f>
        <v>50078</v>
      </c>
      <c r="C3156" s="3">
        <f ca="1">IFERROR(__xludf.DUMMYFUNCTION("""COMPUTED_VALUE"""),5902557385928)</f>
        <v>5902557385928</v>
      </c>
      <c r="D3156" s="4" t="str">
        <f ca="1">IFERROR(__xludf.DUMMYFUNCTION("""COMPUTED_VALUE"""),"LUSTRO LED FFJ 60CM")</f>
        <v>LUSTRO LED FFJ 60CM</v>
      </c>
      <c r="E3156" s="31">
        <v>76.707317073170742</v>
      </c>
      <c r="F3156" s="31">
        <f t="shared" si="49"/>
        <v>94.350000000000009</v>
      </c>
    </row>
    <row r="3157" spans="1:6" ht="18.75" customHeight="1" x14ac:dyDescent="0.25">
      <c r="A3157" s="2" t="str">
        <f ca="1">IFERROR(__xludf.DUMMYFUNCTION("""COMPUTED_VALUE"""),"HOM-02826")</f>
        <v>HOM-02826</v>
      </c>
      <c r="B3157" s="3">
        <f ca="1">IFERROR(__xludf.DUMMYFUNCTION("""COMPUTED_VALUE"""),49122)</f>
        <v>49122</v>
      </c>
      <c r="C3157" s="3">
        <f ca="1">IFERROR(__xludf.DUMMYFUNCTION("""COMPUTED_VALUE"""),5902557381708)</f>
        <v>5902557381708</v>
      </c>
      <c r="D3157" s="4" t="str">
        <f ca="1">IFERROR(__xludf.DUMMYFUNCTION("""COMPUTED_VALUE"""),"LUSTRO LED HZJ 60CM")</f>
        <v>LUSTRO LED HZJ 60CM</v>
      </c>
      <c r="E3157" s="31">
        <v>76.707317073170742</v>
      </c>
      <c r="F3157" s="31">
        <f t="shared" si="49"/>
        <v>94.350000000000009</v>
      </c>
    </row>
    <row r="3158" spans="1:6" ht="18.75" customHeight="1" x14ac:dyDescent="0.25">
      <c r="A3158" s="2" t="str">
        <f ca="1">IFERROR(__xludf.DUMMYFUNCTION("""COMPUTED_VALUE"""),"HOM-02501")</f>
        <v>HOM-02501</v>
      </c>
      <c r="B3158" s="3">
        <f ca="1">IFERROR(__xludf.DUMMYFUNCTION("""COMPUTED_VALUE"""),52593)</f>
        <v>52593</v>
      </c>
      <c r="C3158" s="3">
        <f ca="1">IFERROR(__xludf.DUMMYFUNCTION("""COMPUTED_VALUE"""),5902557396931)</f>
        <v>5902557396931</v>
      </c>
      <c r="D3158" s="4" t="str">
        <f ca="1">IFERROR(__xludf.DUMMYFUNCTION("""COMPUTED_VALUE"""),"LUSTRO LED MMJ GOLD 60CM")</f>
        <v>LUSTRO LED MMJ GOLD 60CM</v>
      </c>
      <c r="E3158" s="31">
        <v>121.82926829268295</v>
      </c>
      <c r="F3158" s="31">
        <f t="shared" si="49"/>
        <v>149.85000000000002</v>
      </c>
    </row>
    <row r="3159" spans="1:6" ht="18.75" customHeight="1" x14ac:dyDescent="0.25">
      <c r="A3159" s="2" t="str">
        <f ca="1">IFERROR(__xludf.DUMMYFUNCTION("""COMPUTED_VALUE"""),"HOM-05512")</f>
        <v>HOM-05512</v>
      </c>
      <c r="B3159" s="3">
        <f ca="1">IFERROR(__xludf.DUMMYFUNCTION("""COMPUTED_VALUE"""),52643)</f>
        <v>52643</v>
      </c>
      <c r="C3159" s="3">
        <f ca="1">IFERROR(__xludf.DUMMYFUNCTION("""COMPUTED_VALUE"""),5902557397082)</f>
        <v>5902557397082</v>
      </c>
      <c r="D3159" s="4" t="str">
        <f ca="1">IFERROR(__xludf.DUMMYFUNCTION("""COMPUTED_VALUE"""),"LUSTRO P11395 LED MMJ BLACK 60cm")</f>
        <v>LUSTRO P11395 LED MMJ BLACK 60cm</v>
      </c>
      <c r="E3159" s="31">
        <v>121.82926829268295</v>
      </c>
      <c r="F3159" s="31">
        <f t="shared" si="49"/>
        <v>149.85000000000002</v>
      </c>
    </row>
    <row r="3160" spans="1:6" ht="18.75" customHeight="1" x14ac:dyDescent="0.25">
      <c r="A3160" s="2" t="str">
        <f ca="1">IFERROR(__xludf.DUMMYFUNCTION("""COMPUTED_VALUE"""),"HOM-05506")</f>
        <v>HOM-05506</v>
      </c>
      <c r="B3160" s="3">
        <f ca="1">IFERROR(__xludf.DUMMYFUNCTION("""COMPUTED_VALUE"""),52650)</f>
        <v>52650</v>
      </c>
      <c r="C3160" s="3">
        <f ca="1">IFERROR(__xludf.DUMMYFUNCTION("""COMPUTED_VALUE"""),5902557397013)</f>
        <v>5902557397013</v>
      </c>
      <c r="D3160" s="4" t="str">
        <f ca="1">IFERROR(__xludf.DUMMYFUNCTION("""COMPUTED_VALUE"""),"LUSTRO LED MMJ BRUSH GOLD 60cm")</f>
        <v>LUSTRO LED MMJ BRUSH GOLD 60cm</v>
      </c>
      <c r="E3160" s="31">
        <v>72.195121951219519</v>
      </c>
      <c r="F3160" s="31">
        <f t="shared" si="49"/>
        <v>88.800000000000011</v>
      </c>
    </row>
    <row r="3161" spans="1:6" ht="18.75" customHeight="1" x14ac:dyDescent="0.25">
      <c r="A3161" s="2" t="str">
        <f ca="1">IFERROR(__xludf.DUMMYFUNCTION("""COMPUTED_VALUE"""),"HOM-05491")</f>
        <v>HOM-05491</v>
      </c>
      <c r="B3161" s="3">
        <f ca="1">IFERROR(__xludf.DUMMYFUNCTION("""COMPUTED_VALUE"""),53681)</f>
        <v>53681</v>
      </c>
      <c r="C3161" s="3">
        <f ca="1">IFERROR(__xludf.DUMMYFUNCTION("""COMPUTED_VALUE"""),5906366006807)</f>
        <v>5906366006807</v>
      </c>
      <c r="D3161" s="4" t="str">
        <f ca="1">IFERROR(__xludf.DUMMYFUNCTION("""COMPUTED_VALUE"""),"LUSTRO P11395 LED MMJ MIEDŹ SZCZOTKOWANA 60cm")</f>
        <v>LUSTRO P11395 LED MMJ MIEDŹ SZCZOTKOWANA 60cm</v>
      </c>
      <c r="E3161" s="31">
        <v>72.195121951219519</v>
      </c>
      <c r="F3161" s="31">
        <f t="shared" si="49"/>
        <v>88.800000000000011</v>
      </c>
    </row>
    <row r="3162" spans="1:6" ht="18.75" customHeight="1" x14ac:dyDescent="0.25">
      <c r="A3162" s="2" t="str">
        <f ca="1">IFERROR(__xludf.DUMMYFUNCTION("""COMPUTED_VALUE"""),"HOM-06505")</f>
        <v>HOM-06505</v>
      </c>
      <c r="B3162" s="3">
        <f ca="1">IFERROR(__xludf.DUMMYFUNCTION("""COMPUTED_VALUE"""),54009)</f>
        <v>54009</v>
      </c>
      <c r="C3162" s="3">
        <f ca="1">IFERROR(__xludf.DUMMYFUNCTION("""COMPUTED_VALUE"""),5906366004612)</f>
        <v>5906366004612</v>
      </c>
      <c r="D3162" s="4" t="str">
        <f ca="1">IFERROR(__xludf.DUMMYFUNCTION("""COMPUTED_VALUE"""),"LUSTRO LED MMJ BRUSH SS 60CM")</f>
        <v>LUSTRO LED MMJ BRUSH SS 60CM</v>
      </c>
      <c r="E3162" s="31">
        <v>94.756097560975633</v>
      </c>
      <c r="F3162" s="31">
        <f t="shared" si="49"/>
        <v>116.55000000000003</v>
      </c>
    </row>
    <row r="3163" spans="1:6" ht="18.75" customHeight="1" x14ac:dyDescent="0.25">
      <c r="A3163" s="2" t="str">
        <f ca="1">IFERROR(__xludf.DUMMYFUNCTION("""COMPUTED_VALUE"""),"HOM-06504")</f>
        <v>HOM-06504</v>
      </c>
      <c r="B3163" s="3">
        <f ca="1">IFERROR(__xludf.DUMMYFUNCTION("""COMPUTED_VALUE"""),54057)</f>
        <v>54057</v>
      </c>
      <c r="C3163" s="3">
        <f ca="1">IFERROR(__xludf.DUMMYFUNCTION("""COMPUTED_VALUE"""),5906366004605)</f>
        <v>5906366004605</v>
      </c>
      <c r="D3163" s="4" t="str">
        <f ca="1">IFERROR(__xludf.DUMMYFUNCTION("""COMPUTED_VALUE"""),"LUSTRO LED DASH BLACK 60X100CM")</f>
        <v>LUSTRO LED DASH BLACK 60X100CM</v>
      </c>
      <c r="E3163" s="31">
        <v>112.80487804878049</v>
      </c>
      <c r="F3163" s="31">
        <f t="shared" si="49"/>
        <v>138.75</v>
      </c>
    </row>
    <row r="3164" spans="1:6" ht="18.75" customHeight="1" x14ac:dyDescent="0.25">
      <c r="A3164" s="2" t="str">
        <f ca="1">IFERROR(__xludf.DUMMYFUNCTION("""COMPUTED_VALUE"""),"HOM-06503")</f>
        <v>HOM-06503</v>
      </c>
      <c r="B3164" s="3">
        <f ca="1">IFERROR(__xludf.DUMMYFUNCTION("""COMPUTED_VALUE"""),54052)</f>
        <v>54052</v>
      </c>
      <c r="C3164" s="3">
        <f ca="1">IFERROR(__xludf.DUMMYFUNCTION("""COMPUTED_VALUE"""),5906366004599)</f>
        <v>5906366004599</v>
      </c>
      <c r="D3164" s="4" t="str">
        <f ca="1">IFERROR(__xludf.DUMMYFUNCTION("""COMPUTED_VALUE"""),"LUSTRO LED WWA 60X80CM")</f>
        <v>LUSTRO LED WWA 60X80CM</v>
      </c>
      <c r="E3164" s="31">
        <v>94.756097560975633</v>
      </c>
      <c r="F3164" s="31">
        <f t="shared" si="49"/>
        <v>116.55000000000003</v>
      </c>
    </row>
    <row r="3165" spans="1:6" ht="18.75" customHeight="1" x14ac:dyDescent="0.25">
      <c r="A3165" s="2" t="str">
        <f ca="1">IFERROR(__xludf.DUMMYFUNCTION("""COMPUTED_VALUE"""),"HOM-05519")</f>
        <v>HOM-05519</v>
      </c>
      <c r="B3165" s="3">
        <f ca="1">IFERROR(__xludf.DUMMYFUNCTION("""COMPUTED_VALUE"""),52617)</f>
        <v>52617</v>
      </c>
      <c r="C3165" s="3">
        <f ca="1">IFERROR(__xludf.DUMMYFUNCTION("""COMPUTED_VALUE"""),5902557397136)</f>
        <v>5902557397136</v>
      </c>
      <c r="D3165" s="4" t="str">
        <f ca="1">IFERROR(__xludf.DUMMYFUNCTION("""COMPUTED_VALUE"""),"LUSTRO P11241 LED BAS 70cm")</f>
        <v>LUSTRO P11241 LED BAS 70cm</v>
      </c>
      <c r="E3165" s="31">
        <v>99.268292682926841</v>
      </c>
      <c r="F3165" s="31">
        <f t="shared" si="49"/>
        <v>122.10000000000001</v>
      </c>
    </row>
    <row r="3166" spans="1:6" ht="18.75" customHeight="1" x14ac:dyDescent="0.25">
      <c r="A3166" s="2" t="str">
        <f ca="1">IFERROR(__xludf.DUMMYFUNCTION("""COMPUTED_VALUE"""),"HOM-02823")</f>
        <v>HOM-02823</v>
      </c>
      <c r="B3166" s="3">
        <f ca="1">IFERROR(__xludf.DUMMYFUNCTION("""COMPUTED_VALUE"""),50052)</f>
        <v>50052</v>
      </c>
      <c r="C3166" s="3">
        <f ca="1">IFERROR(__xludf.DUMMYFUNCTION("""COMPUTED_VALUE"""),5902557385935)</f>
        <v>5902557385935</v>
      </c>
      <c r="D3166" s="4" t="str">
        <f ca="1">IFERROR(__xludf.DUMMYFUNCTION("""COMPUTED_VALUE"""),"LUSTRO LED FFJ 70CM")</f>
        <v>LUSTRO LED FFJ 70CM</v>
      </c>
      <c r="E3166" s="31">
        <v>81.219512195121965</v>
      </c>
      <c r="F3166" s="31">
        <f t="shared" si="49"/>
        <v>99.90000000000002</v>
      </c>
    </row>
    <row r="3167" spans="1:6" ht="18.75" customHeight="1" x14ac:dyDescent="0.25">
      <c r="A3167" s="2" t="str">
        <f ca="1">IFERROR(__xludf.DUMMYFUNCTION("""COMPUTED_VALUE"""),"HOM-02827")</f>
        <v>HOM-02827</v>
      </c>
      <c r="B3167" s="3">
        <f ca="1">IFERROR(__xludf.DUMMYFUNCTION("""COMPUTED_VALUE"""),51662)</f>
        <v>51662</v>
      </c>
      <c r="C3167" s="3">
        <f ca="1">IFERROR(__xludf.DUMMYFUNCTION("""COMPUTED_VALUE"""),5902557381678)</f>
        <v>5902557381678</v>
      </c>
      <c r="D3167" s="4" t="str">
        <f ca="1">IFERROR(__xludf.DUMMYFUNCTION("""COMPUTED_VALUE"""),"LUSTRO LED HZJ 70CM")</f>
        <v>LUSTRO LED HZJ 70CM</v>
      </c>
      <c r="E3167" s="31">
        <v>85.731707317073173</v>
      </c>
      <c r="F3167" s="31">
        <f t="shared" si="49"/>
        <v>105.45</v>
      </c>
    </row>
    <row r="3168" spans="1:6" ht="18.75" customHeight="1" x14ac:dyDescent="0.25">
      <c r="A3168" s="2" t="str">
        <f ca="1">IFERROR(__xludf.DUMMYFUNCTION("""COMPUTED_VALUE"""),"HOM-02502")</f>
        <v>HOM-02502</v>
      </c>
      <c r="B3168" s="3">
        <f ca="1">IFERROR(__xludf.DUMMYFUNCTION("""COMPUTED_VALUE"""),52592)</f>
        <v>52592</v>
      </c>
      <c r="C3168" s="3">
        <f ca="1">IFERROR(__xludf.DUMMYFUNCTION("""COMPUTED_VALUE"""),5902557396948)</f>
        <v>5902557396948</v>
      </c>
      <c r="D3168" s="4" t="str">
        <f ca="1">IFERROR(__xludf.DUMMYFUNCTION("""COMPUTED_VALUE"""),"LUSTRO LED MMJ GOLD 70CM")</f>
        <v>LUSTRO LED MMJ GOLD 70CM</v>
      </c>
      <c r="E3168" s="31">
        <v>135.36585365853659</v>
      </c>
      <c r="F3168" s="31">
        <f t="shared" si="49"/>
        <v>166.5</v>
      </c>
    </row>
    <row r="3169" spans="1:6" ht="18.75" customHeight="1" x14ac:dyDescent="0.25">
      <c r="A3169" s="2" t="str">
        <f ca="1">IFERROR(__xludf.DUMMYFUNCTION("""COMPUTED_VALUE"""),"HOM-05513")</f>
        <v>HOM-05513</v>
      </c>
      <c r="B3169" s="3">
        <f ca="1">IFERROR(__xludf.DUMMYFUNCTION("""COMPUTED_VALUE"""),52644)</f>
        <v>52644</v>
      </c>
      <c r="C3169" s="3">
        <f ca="1">IFERROR(__xludf.DUMMYFUNCTION("""COMPUTED_VALUE"""),5902557397075)</f>
        <v>5902557397075</v>
      </c>
      <c r="D3169" s="4" t="str">
        <f ca="1">IFERROR(__xludf.DUMMYFUNCTION("""COMPUTED_VALUE"""),"LUSTRO P11396 LED MMJ BLACK 70cm")</f>
        <v>LUSTRO P11396 LED MMJ BLACK 70cm</v>
      </c>
      <c r="E3169" s="31">
        <v>99.268292682926841</v>
      </c>
      <c r="F3169" s="31">
        <f t="shared" si="49"/>
        <v>122.10000000000001</v>
      </c>
    </row>
    <row r="3170" spans="1:6" ht="18.75" customHeight="1" x14ac:dyDescent="0.25">
      <c r="A3170" s="2" t="str">
        <f ca="1">IFERROR(__xludf.DUMMYFUNCTION("""COMPUTED_VALUE"""),"HOM-05507")</f>
        <v>HOM-05507</v>
      </c>
      <c r="B3170" s="3">
        <f ca="1">IFERROR(__xludf.DUMMYFUNCTION("""COMPUTED_VALUE"""),52651)</f>
        <v>52651</v>
      </c>
      <c r="C3170" s="3">
        <f ca="1">IFERROR(__xludf.DUMMYFUNCTION("""COMPUTED_VALUE"""),5902557397020)</f>
        <v>5902557397020</v>
      </c>
      <c r="D3170" s="4" t="str">
        <f ca="1">IFERROR(__xludf.DUMMYFUNCTION("""COMPUTED_VALUE"""),"LUSTRO P11396 LED MMJ BRUSH ROSE GOLD 70cm")</f>
        <v>LUSTRO P11396 LED MMJ BRUSH ROSE GOLD 70cm</v>
      </c>
      <c r="E3170" s="31">
        <v>81.219512195121965</v>
      </c>
      <c r="F3170" s="31">
        <f t="shared" si="49"/>
        <v>99.90000000000002</v>
      </c>
    </row>
    <row r="3171" spans="1:6" ht="18.75" customHeight="1" x14ac:dyDescent="0.25">
      <c r="A3171" s="2" t="str">
        <f ca="1">IFERROR(__xludf.DUMMYFUNCTION("""COMPUTED_VALUE"""),"HOM-05492")</f>
        <v>HOM-05492</v>
      </c>
      <c r="B3171" s="3">
        <f ca="1">IFERROR(__xludf.DUMMYFUNCTION("""COMPUTED_VALUE"""),53682)</f>
        <v>53682</v>
      </c>
      <c r="C3171" s="3">
        <f ca="1">IFERROR(__xludf.DUMMYFUNCTION("""COMPUTED_VALUE"""),5906366006814)</f>
        <v>5906366006814</v>
      </c>
      <c r="D3171" s="4" t="str">
        <f ca="1">IFERROR(__xludf.DUMMYFUNCTION("""COMPUTED_VALUE"""),"LUSTRO P11396 LED MMJ MIEDŹ SZCZOTKOWANA 70cm")</f>
        <v>LUSTRO P11396 LED MMJ MIEDŹ SZCZOTKOWANA 70cm</v>
      </c>
      <c r="E3171" s="31">
        <v>103.78048780487806</v>
      </c>
      <c r="F3171" s="31">
        <f t="shared" si="49"/>
        <v>127.65000000000002</v>
      </c>
    </row>
    <row r="3172" spans="1:6" ht="18.75" customHeight="1" x14ac:dyDescent="0.25">
      <c r="A3172" s="2" t="str">
        <f ca="1">IFERROR(__xludf.DUMMYFUNCTION("""COMPUTED_VALUE"""),"HOM-06506")</f>
        <v>HOM-06506</v>
      </c>
      <c r="B3172" s="3">
        <f ca="1">IFERROR(__xludf.DUMMYFUNCTION("""COMPUTED_VALUE"""),54047)</f>
        <v>54047</v>
      </c>
      <c r="C3172" s="3">
        <f ca="1">IFERROR(__xludf.DUMMYFUNCTION("""COMPUTED_VALUE"""),5906366004629)</f>
        <v>5906366004629</v>
      </c>
      <c r="D3172" s="4" t="str">
        <f ca="1">IFERROR(__xludf.DUMMYFUNCTION("""COMPUTED_VALUE"""),"LUSTRO LED MMJ BRUSH SS 70CM")</f>
        <v>LUSTRO LED MMJ BRUSH SS 70CM</v>
      </c>
      <c r="E3172" s="31">
        <v>108.29268292682929</v>
      </c>
      <c r="F3172" s="31">
        <f t="shared" si="49"/>
        <v>133.20000000000002</v>
      </c>
    </row>
    <row r="3173" spans="1:6" ht="18.75" customHeight="1" x14ac:dyDescent="0.25">
      <c r="A3173" s="2" t="str">
        <f ca="1">IFERROR(__xludf.DUMMYFUNCTION("""COMPUTED_VALUE"""),"HOM-05520")</f>
        <v>HOM-05520</v>
      </c>
      <c r="B3173" s="3">
        <f ca="1">IFERROR(__xludf.DUMMYFUNCTION("""COMPUTED_VALUE"""),52618)</f>
        <v>52618</v>
      </c>
      <c r="C3173" s="3">
        <f ca="1">IFERROR(__xludf.DUMMYFUNCTION("""COMPUTED_VALUE"""),5902557397143)</f>
        <v>5902557397143</v>
      </c>
      <c r="D3173" s="4" t="str">
        <f ca="1">IFERROR(__xludf.DUMMYFUNCTION("""COMPUTED_VALUE"""),"LUSTRO P11242 LED BAS 80cm")</f>
        <v>LUSTRO P11242 LED BAS 80cm</v>
      </c>
      <c r="E3173" s="31">
        <v>130.85365853658539</v>
      </c>
      <c r="F3173" s="31">
        <f t="shared" si="49"/>
        <v>160.95000000000002</v>
      </c>
    </row>
    <row r="3174" spans="1:6" ht="18.75" customHeight="1" x14ac:dyDescent="0.25">
      <c r="A3174" s="2" t="str">
        <f ca="1">IFERROR(__xludf.DUMMYFUNCTION("""COMPUTED_VALUE"""),"HOM-02824")</f>
        <v>HOM-02824</v>
      </c>
      <c r="B3174" s="3">
        <f ca="1">IFERROR(__xludf.DUMMYFUNCTION("""COMPUTED_VALUE"""),50053)</f>
        <v>50053</v>
      </c>
      <c r="C3174" s="3">
        <f ca="1">IFERROR(__xludf.DUMMYFUNCTION("""COMPUTED_VALUE"""),5902557385942)</f>
        <v>5902557385942</v>
      </c>
      <c r="D3174" s="4" t="str">
        <f ca="1">IFERROR(__xludf.DUMMYFUNCTION("""COMPUTED_VALUE"""),"LUSTRO LED FFJ 80CM")</f>
        <v>LUSTRO LED FFJ 80CM</v>
      </c>
      <c r="E3174" s="31">
        <v>108.29268292682929</v>
      </c>
      <c r="F3174" s="31">
        <f t="shared" si="49"/>
        <v>133.20000000000002</v>
      </c>
    </row>
    <row r="3175" spans="1:6" ht="18.75" customHeight="1" x14ac:dyDescent="0.25">
      <c r="A3175" s="2" t="str">
        <f ca="1">IFERROR(__xludf.DUMMYFUNCTION("""COMPUTED_VALUE"""),"HOM-02801")</f>
        <v>HOM-02801</v>
      </c>
      <c r="B3175" s="3">
        <f ca="1">IFERROR(__xludf.DUMMYFUNCTION("""COMPUTED_VALUE"""),49124)</f>
        <v>49124</v>
      </c>
      <c r="C3175" s="3">
        <f ca="1">IFERROR(__xludf.DUMMYFUNCTION("""COMPUTED_VALUE"""),5902557381685)</f>
        <v>5902557381685</v>
      </c>
      <c r="D3175" s="4" t="str">
        <f ca="1">IFERROR(__xludf.DUMMYFUNCTION("""COMPUTED_VALUE"""),"LUSTRO LED HZJ 80CM")</f>
        <v>LUSTRO LED HZJ 80CM</v>
      </c>
      <c r="E3175" s="31">
        <v>90.243902439024396</v>
      </c>
      <c r="F3175" s="31">
        <f t="shared" si="49"/>
        <v>111</v>
      </c>
    </row>
    <row r="3176" spans="1:6" ht="18.75" customHeight="1" x14ac:dyDescent="0.25">
      <c r="A3176" s="2" t="str">
        <f ca="1">IFERROR(__xludf.DUMMYFUNCTION("""COMPUTED_VALUE"""),"HOM-02503")</f>
        <v>HOM-02503</v>
      </c>
      <c r="B3176" s="3">
        <f ca="1">IFERROR(__xludf.DUMMYFUNCTION("""COMPUTED_VALUE"""),52591)</f>
        <v>52591</v>
      </c>
      <c r="C3176" s="3">
        <f ca="1">IFERROR(__xludf.DUMMYFUNCTION("""COMPUTED_VALUE"""),5902557396955)</f>
        <v>5902557396955</v>
      </c>
      <c r="D3176" s="4" t="str">
        <f ca="1">IFERROR(__xludf.DUMMYFUNCTION("""COMPUTED_VALUE"""),"LUSTRO LED MMJ GOLD 80CM")</f>
        <v>LUSTRO LED MMJ GOLD 80CM</v>
      </c>
      <c r="E3176" s="31">
        <v>139.87804878048783</v>
      </c>
      <c r="F3176" s="31">
        <f t="shared" si="49"/>
        <v>172.05000000000004</v>
      </c>
    </row>
    <row r="3177" spans="1:6" ht="18.75" customHeight="1" x14ac:dyDescent="0.25">
      <c r="A3177" s="2" t="str">
        <f ca="1">IFERROR(__xludf.DUMMYFUNCTION("""COMPUTED_VALUE"""),"HOM-05514")</f>
        <v>HOM-05514</v>
      </c>
      <c r="B3177" s="3">
        <f ca="1">IFERROR(__xludf.DUMMYFUNCTION("""COMPUTED_VALUE"""),52645)</f>
        <v>52645</v>
      </c>
      <c r="C3177" s="3">
        <f ca="1">IFERROR(__xludf.DUMMYFUNCTION("""COMPUTED_VALUE"""),5902557397068)</f>
        <v>5902557397068</v>
      </c>
      <c r="D3177" s="4" t="str">
        <f ca="1">IFERROR(__xludf.DUMMYFUNCTION("""COMPUTED_VALUE"""),"LUSTRO LED MMJ BLACK 80cm")</f>
        <v>LUSTRO LED MMJ BLACK 80cm</v>
      </c>
      <c r="E3177" s="31">
        <v>108.29268292682929</v>
      </c>
      <c r="F3177" s="31">
        <f t="shared" si="49"/>
        <v>133.20000000000002</v>
      </c>
    </row>
    <row r="3178" spans="1:6" ht="18.75" customHeight="1" x14ac:dyDescent="0.25">
      <c r="A3178" s="2" t="str">
        <f ca="1">IFERROR(__xludf.DUMMYFUNCTION("""COMPUTED_VALUE"""),"HOM-05509")</f>
        <v>HOM-05509</v>
      </c>
      <c r="B3178" s="3">
        <f ca="1">IFERROR(__xludf.DUMMYFUNCTION("""COMPUTED_VALUE"""),52652)</f>
        <v>52652</v>
      </c>
      <c r="C3178" s="3">
        <f ca="1">IFERROR(__xludf.DUMMYFUNCTION("""COMPUTED_VALUE"""),5902557397037)</f>
        <v>5902557397037</v>
      </c>
      <c r="D3178" s="4" t="str">
        <f ca="1">IFERROR(__xludf.DUMMYFUNCTION("""COMPUTED_VALUE"""),"LUSTRO LED MMJ BRUSH GOLD 80cm")</f>
        <v>LUSTRO LED MMJ BRUSH GOLD 80cm</v>
      </c>
      <c r="E3178" s="31">
        <v>85.731707317073173</v>
      </c>
      <c r="F3178" s="31">
        <f t="shared" si="49"/>
        <v>105.45</v>
      </c>
    </row>
    <row r="3179" spans="1:6" ht="18.75" customHeight="1" x14ac:dyDescent="0.25">
      <c r="A3179" s="2" t="str">
        <f ca="1">IFERROR(__xludf.DUMMYFUNCTION("""COMPUTED_VALUE"""),"HOM-05493")</f>
        <v>HOM-05493</v>
      </c>
      <c r="B3179" s="3">
        <f ca="1">IFERROR(__xludf.DUMMYFUNCTION("""COMPUTED_VALUE"""),53684)</f>
        <v>53684</v>
      </c>
      <c r="C3179" s="3">
        <f ca="1">IFERROR(__xludf.DUMMYFUNCTION("""COMPUTED_VALUE"""),5906366006821)</f>
        <v>5906366006821</v>
      </c>
      <c r="D3179" s="4" t="str">
        <f ca="1">IFERROR(__xludf.DUMMYFUNCTION("""COMPUTED_VALUE"""),"LUSTRO P11397 LED MMJ MIEDŹ SZCZOTKOWANA 80cm")</f>
        <v>LUSTRO P11397 LED MMJ MIEDŹ SZCZOTKOWANA 80cm</v>
      </c>
      <c r="E3179" s="31">
        <v>112.80487804878049</v>
      </c>
      <c r="F3179" s="31">
        <f t="shared" si="49"/>
        <v>138.75</v>
      </c>
    </row>
    <row r="3180" spans="1:6" ht="18.75" customHeight="1" x14ac:dyDescent="0.25">
      <c r="A3180" s="2" t="str">
        <f ca="1">IFERROR(__xludf.DUMMYFUNCTION("""COMPUTED_VALUE"""),"HOM-06507")</f>
        <v>HOM-06507</v>
      </c>
      <c r="B3180" s="3">
        <f ca="1">IFERROR(__xludf.DUMMYFUNCTION("""COMPUTED_VALUE"""),54048)</f>
        <v>54048</v>
      </c>
      <c r="C3180" s="3">
        <f ca="1">IFERROR(__xludf.DUMMYFUNCTION("""COMPUTED_VALUE"""),5906366004636)</f>
        <v>5906366004636</v>
      </c>
      <c r="D3180" s="4" t="str">
        <f ca="1">IFERROR(__xludf.DUMMYFUNCTION("""COMPUTED_VALUE"""),"LUSTRO LED MMJ BRUSH SS 80CM")</f>
        <v>LUSTRO LED MMJ BRUSH SS 80CM</v>
      </c>
      <c r="E3180" s="31">
        <v>112.80487804878049</v>
      </c>
      <c r="F3180" s="31">
        <f t="shared" si="49"/>
        <v>138.75</v>
      </c>
    </row>
    <row r="3181" spans="1:6" ht="18.75" customHeight="1" x14ac:dyDescent="0.25">
      <c r="A3181" s="2" t="str">
        <f ca="1">IFERROR(__xludf.DUMMYFUNCTION("""COMPUTED_VALUE"""),"HOM-05504")</f>
        <v>HOM-05504</v>
      </c>
      <c r="B3181" s="3">
        <f ca="1">IFERROR(__xludf.DUMMYFUNCTION("""COMPUTED_VALUE"""),52647)</f>
        <v>52647</v>
      </c>
      <c r="C3181" s="3">
        <f ca="1">IFERROR(__xludf.DUMMYFUNCTION("""COMPUTED_VALUE"""),5902557396993)</f>
        <v>5902557396993</v>
      </c>
      <c r="D3181" s="4" t="str">
        <f ca="1">IFERROR(__xludf.DUMMYFUNCTION("""COMPUTED_VALUE"""),"LUSTRO P11230 LED CLOUD C 80x60cm")</f>
        <v>LUSTRO P11230 LED CLOUD C 80x60cm</v>
      </c>
      <c r="E3181" s="31">
        <v>112.80487804878049</v>
      </c>
      <c r="F3181" s="31">
        <f t="shared" si="49"/>
        <v>138.75</v>
      </c>
    </row>
    <row r="3182" spans="1:6" ht="18.75" customHeight="1" x14ac:dyDescent="0.25">
      <c r="A3182" s="2" t="str">
        <f ca="1">IFERROR(__xludf.DUMMYFUNCTION("""COMPUTED_VALUE"""),"HOM-02829")</f>
        <v>HOM-02829</v>
      </c>
      <c r="B3182" s="3">
        <f ca="1">IFERROR(__xludf.DUMMYFUNCTION("""COMPUTED_VALUE"""),50119)</f>
        <v>50119</v>
      </c>
      <c r="C3182" s="3">
        <f ca="1">IFERROR(__xludf.DUMMYFUNCTION("""COMPUTED_VALUE"""),5902557387427)</f>
        <v>5902557387427</v>
      </c>
      <c r="D3182" s="4" t="str">
        <f ca="1">IFERROR(__xludf.DUMMYFUNCTION("""COMPUTED_VALUE"""),"LUSTRO LED SQUARE 80X60CM")</f>
        <v>LUSTRO LED SQUARE 80X60CM</v>
      </c>
      <c r="E3182" s="31">
        <v>94.756097560975633</v>
      </c>
      <c r="F3182" s="31">
        <f t="shared" si="49"/>
        <v>116.55000000000003</v>
      </c>
    </row>
    <row r="3183" spans="1:6" ht="18.75" customHeight="1" x14ac:dyDescent="0.25">
      <c r="A3183" s="2" t="str">
        <f ca="1">IFERROR(__xludf.DUMMYFUNCTION("""COMPUTED_VALUE"""),"HOM-05521")</f>
        <v>HOM-05521</v>
      </c>
      <c r="B3183" s="3">
        <f ca="1">IFERROR(__xludf.DUMMYFUNCTION("""COMPUTED_VALUE"""),52619)</f>
        <v>52619</v>
      </c>
      <c r="C3183" s="3">
        <f ca="1">IFERROR(__xludf.DUMMYFUNCTION("""COMPUTED_VALUE"""),5902557397150)</f>
        <v>5902557397150</v>
      </c>
      <c r="D3183" s="4" t="str">
        <f ca="1">IFERROR(__xludf.DUMMYFUNCTION("""COMPUTED_VALUE"""),"LUSTRO P11416 LED BAS 90cm")</f>
        <v>LUSTRO P11416 LED BAS 90cm</v>
      </c>
      <c r="E3183" s="31">
        <v>126.34146341463416</v>
      </c>
      <c r="F3183" s="31">
        <f t="shared" si="49"/>
        <v>155.4</v>
      </c>
    </row>
    <row r="3184" spans="1:6" ht="18.75" customHeight="1" x14ac:dyDescent="0.25">
      <c r="A3184" s="2" t="str">
        <f ca="1">IFERROR(__xludf.DUMMYFUNCTION("""COMPUTED_VALUE"""),"HOM-04400")</f>
        <v>HOM-04400</v>
      </c>
      <c r="B3184" s="3">
        <f ca="1">IFERROR(__xludf.DUMMYFUNCTION("""COMPUTED_VALUE"""),52339)</f>
        <v>52339</v>
      </c>
      <c r="C3184" s="3">
        <f ca="1">IFERROR(__xludf.DUMMYFUNCTION("""COMPUTED_VALUE"""),5902557396436)</f>
        <v>5902557396436</v>
      </c>
      <c r="D3184" s="4" t="str">
        <f ca="1">IFERROR(__xludf.DUMMYFUNCTION("""COMPUTED_VALUE"""),"LUSTRO LED FFJ 90CM")</f>
        <v>LUSTRO LED FFJ 90CM</v>
      </c>
      <c r="E3184" s="31">
        <v>108.29268292682929</v>
      </c>
      <c r="F3184" s="31">
        <f t="shared" si="49"/>
        <v>133.20000000000002</v>
      </c>
    </row>
    <row r="3185" spans="1:6" ht="18.75" customHeight="1" x14ac:dyDescent="0.25">
      <c r="A3185" s="2" t="str">
        <f ca="1">IFERROR(__xludf.DUMMYFUNCTION("""COMPUTED_VALUE"""),"HOM-02822")</f>
        <v>HOM-02822</v>
      </c>
      <c r="B3185" s="3">
        <f ca="1">IFERROR(__xludf.DUMMYFUNCTION("""COMPUTED_VALUE"""),50051)</f>
        <v>50051</v>
      </c>
      <c r="C3185" s="3">
        <f ca="1">IFERROR(__xludf.DUMMYFUNCTION("""COMPUTED_VALUE"""),5902557385904)</f>
        <v>5902557385904</v>
      </c>
      <c r="D3185" s="4" t="str">
        <f ca="1">IFERROR(__xludf.DUMMYFUNCTION("""COMPUTED_VALUE"""),"LUSTRO LED HZJ 90CM")</f>
        <v>LUSTRO LED HZJ 90CM</v>
      </c>
      <c r="E3185" s="31">
        <v>99.268292682926841</v>
      </c>
      <c r="F3185" s="31">
        <f t="shared" si="49"/>
        <v>122.10000000000001</v>
      </c>
    </row>
    <row r="3186" spans="1:6" ht="18.75" customHeight="1" x14ac:dyDescent="0.25">
      <c r="A3186" s="2" t="str">
        <f ca="1">IFERROR(__xludf.DUMMYFUNCTION("""COMPUTED_VALUE"""),"HOM-02504")</f>
        <v>HOM-02504</v>
      </c>
      <c r="B3186" s="3">
        <f ca="1">IFERROR(__xludf.DUMMYFUNCTION("""COMPUTED_VALUE"""),52590)</f>
        <v>52590</v>
      </c>
      <c r="C3186" s="3">
        <f ca="1">IFERROR(__xludf.DUMMYFUNCTION("""COMPUTED_VALUE"""),5902557396962)</f>
        <v>5902557396962</v>
      </c>
      <c r="D3186" s="4" t="str">
        <f ca="1">IFERROR(__xludf.DUMMYFUNCTION("""COMPUTED_VALUE"""),"LUSTRO LED MMJ GOLD 90CM")</f>
        <v>LUSTRO LED MMJ GOLD 90CM</v>
      </c>
      <c r="E3186" s="31">
        <v>148.90243902439028</v>
      </c>
      <c r="F3186" s="31">
        <f t="shared" si="49"/>
        <v>183.15000000000003</v>
      </c>
    </row>
    <row r="3187" spans="1:6" ht="18.75" customHeight="1" x14ac:dyDescent="0.25">
      <c r="A3187" s="2" t="str">
        <f ca="1">IFERROR(__xludf.DUMMYFUNCTION("""COMPUTED_VALUE"""),"HOM-05515")</f>
        <v>HOM-05515</v>
      </c>
      <c r="B3187" s="3">
        <f ca="1">IFERROR(__xludf.DUMMYFUNCTION("""COMPUTED_VALUE"""),52646)</f>
        <v>52646</v>
      </c>
      <c r="C3187" s="3">
        <f ca="1">IFERROR(__xludf.DUMMYFUNCTION("""COMPUTED_VALUE"""),5902557397051)</f>
        <v>5902557397051</v>
      </c>
      <c r="D3187" s="4" t="str">
        <f ca="1">IFERROR(__xludf.DUMMYFUNCTION("""COMPUTED_VALUE"""),"LUSTRO P11398 LED MMJ BLACK 90cm")</f>
        <v>LUSTRO P11398 LED MMJ BLACK 90cm</v>
      </c>
      <c r="E3187" s="31">
        <v>121.82926829268295</v>
      </c>
      <c r="F3187" s="31">
        <f t="shared" si="49"/>
        <v>149.85000000000002</v>
      </c>
    </row>
    <row r="3188" spans="1:6" ht="18.75" customHeight="1" x14ac:dyDescent="0.25">
      <c r="A3188" s="2" t="str">
        <f ca="1">IFERROR(__xludf.DUMMYFUNCTION("""COMPUTED_VALUE"""),"HOM-05510")</f>
        <v>HOM-05510</v>
      </c>
      <c r="B3188" s="3">
        <f ca="1">IFERROR(__xludf.DUMMYFUNCTION("""COMPUTED_VALUE"""),52653)</f>
        <v>52653</v>
      </c>
      <c r="C3188" s="3">
        <f ca="1">IFERROR(__xludf.DUMMYFUNCTION("""COMPUTED_VALUE"""),5902557397044)</f>
        <v>5902557397044</v>
      </c>
      <c r="D3188" s="4" t="str">
        <f ca="1">IFERROR(__xludf.DUMMYFUNCTION("""COMPUTED_VALUE"""),"LUSTRO LED MMJ BRUSH GOLD 90cm")</f>
        <v>LUSTRO LED MMJ BRUSH GOLD 90cm</v>
      </c>
      <c r="E3188" s="31">
        <v>94.756097560975633</v>
      </c>
      <c r="F3188" s="31">
        <f t="shared" si="49"/>
        <v>116.55000000000003</v>
      </c>
    </row>
    <row r="3189" spans="1:6" ht="18.75" customHeight="1" x14ac:dyDescent="0.25">
      <c r="A3189" s="2" t="str">
        <f ca="1">IFERROR(__xludf.DUMMYFUNCTION("""COMPUTED_VALUE"""),"HOM-05494")</f>
        <v>HOM-05494</v>
      </c>
      <c r="B3189" s="3">
        <f ca="1">IFERROR(__xludf.DUMMYFUNCTION("""COMPUTED_VALUE"""),53685)</f>
        <v>53685</v>
      </c>
      <c r="C3189" s="3">
        <f ca="1">IFERROR(__xludf.DUMMYFUNCTION("""COMPUTED_VALUE"""),5906366006838)</f>
        <v>5906366006838</v>
      </c>
      <c r="D3189" s="4" t="str">
        <f ca="1">IFERROR(__xludf.DUMMYFUNCTION("""COMPUTED_VALUE"""),"LUSTRO P11398 LED MMJ MIEDŹ SZCZOTKOWANA 90cm")</f>
        <v>LUSTRO P11398 LED MMJ MIEDŹ SZCZOTKOWANA 90cm</v>
      </c>
      <c r="E3189" s="31">
        <v>94.756097560975633</v>
      </c>
      <c r="F3189" s="31">
        <f t="shared" si="49"/>
        <v>116.55000000000003</v>
      </c>
    </row>
    <row r="3190" spans="1:6" ht="18.75" customHeight="1" x14ac:dyDescent="0.25">
      <c r="A3190" s="2" t="str">
        <f ca="1">IFERROR(__xludf.DUMMYFUNCTION("""COMPUTED_VALUE"""),"HOM-06501")</f>
        <v>HOM-06501</v>
      </c>
      <c r="B3190" s="3">
        <f ca="1">IFERROR(__xludf.DUMMYFUNCTION("""COMPUTED_VALUE"""),53970)</f>
        <v>53970</v>
      </c>
      <c r="C3190" s="3">
        <f ca="1">IFERROR(__xludf.DUMMYFUNCTION("""COMPUTED_VALUE"""),5906366004575)</f>
        <v>5906366004575</v>
      </c>
      <c r="D3190" s="4" t="str">
        <f ca="1">IFERROR(__xludf.DUMMYFUNCTION("""COMPUTED_VALUE"""),"LUSTRO LED BLUETOOTH FFJ 60CM")</f>
        <v>LUSTRO LED BLUETOOTH FFJ 60CM</v>
      </c>
      <c r="E3190" s="31">
        <v>121.82926829268295</v>
      </c>
      <c r="F3190" s="31">
        <f t="shared" si="49"/>
        <v>149.85000000000002</v>
      </c>
    </row>
    <row r="3191" spans="1:6" ht="18.75" customHeight="1" x14ac:dyDescent="0.25">
      <c r="A3191" s="2" t="str">
        <f ca="1">IFERROR(__xludf.DUMMYFUNCTION("""COMPUTED_VALUE"""),"HOM-06500")</f>
        <v>HOM-06500</v>
      </c>
      <c r="B3191" s="3">
        <f ca="1">IFERROR(__xludf.DUMMYFUNCTION("""COMPUTED_VALUE"""),53972)</f>
        <v>53972</v>
      </c>
      <c r="C3191" s="3">
        <f ca="1">IFERROR(__xludf.DUMMYFUNCTION("""COMPUTED_VALUE"""),5906366004568)</f>
        <v>5906366004568</v>
      </c>
      <c r="D3191" s="4" t="str">
        <f ca="1">IFERROR(__xludf.DUMMYFUNCTION("""COMPUTED_VALUE"""),"LUSTRO LED BLUETOOTH FFJ 80CM")</f>
        <v>LUSTRO LED BLUETOOTH FFJ 80CM</v>
      </c>
      <c r="E3191" s="31">
        <v>166.95121951219514</v>
      </c>
      <c r="F3191" s="31">
        <f t="shared" si="49"/>
        <v>205.35000000000002</v>
      </c>
    </row>
    <row r="3192" spans="1:6" ht="18.75" customHeight="1" x14ac:dyDescent="0.25">
      <c r="A3192" s="2" t="str">
        <f ca="1">IFERROR(__xludf.DUMMYFUNCTION("""COMPUTED_VALUE"""),"HOM-02835")</f>
        <v>HOM-02835</v>
      </c>
      <c r="B3192" s="3">
        <f ca="1">IFERROR(__xludf.DUMMYFUNCTION("""COMPUTED_VALUE"""),50118)</f>
        <v>50118</v>
      </c>
      <c r="C3192" s="3">
        <f ca="1">IFERROR(__xludf.DUMMYFUNCTION("""COMPUTED_VALUE"""),5902557387410)</f>
        <v>5902557387410</v>
      </c>
      <c r="D3192" s="4" t="str">
        <f ca="1">IFERROR(__xludf.DUMMYFUNCTION("""COMPUTED_VALUE"""),"LUSTRO LED OVAL 80X60CM")</f>
        <v>LUSTRO LED OVAL 80X60CM</v>
      </c>
      <c r="E3192" s="31">
        <v>139.87804878048783</v>
      </c>
      <c r="F3192" s="31">
        <f t="shared" si="49"/>
        <v>172.05000000000004</v>
      </c>
    </row>
    <row r="3193" spans="1:6" ht="18.75" customHeight="1" x14ac:dyDescent="0.25">
      <c r="A3193" s="2" t="str">
        <f ca="1">IFERROR(__xludf.DUMMYFUNCTION("""COMPUTED_VALUE"""),"HOM-05522")</f>
        <v>HOM-05522</v>
      </c>
      <c r="B3193" s="3">
        <f ca="1">IFERROR(__xludf.DUMMYFUNCTION("""COMPUTED_VALUE"""),52625)</f>
        <v>52625</v>
      </c>
      <c r="C3193" s="3">
        <f ca="1">IFERROR(__xludf.DUMMYFUNCTION("""COMPUTED_VALUE"""),5902557397167)</f>
        <v>5902557397167</v>
      </c>
      <c r="D3193" s="4" t="str">
        <f ca="1">IFERROR(__xludf.DUMMYFUNCTION("""COMPUTED_VALUE"""),"LUSTRO P11427 LED EGG 50x90cm")</f>
        <v>LUSTRO P11427 LED EGG 50x90cm</v>
      </c>
      <c r="E3193" s="31">
        <v>130.85365853658539</v>
      </c>
      <c r="F3193" s="31">
        <f t="shared" si="49"/>
        <v>160.95000000000002</v>
      </c>
    </row>
    <row r="3194" spans="1:6" ht="18.75" customHeight="1" x14ac:dyDescent="0.25">
      <c r="A3194" s="2" t="str">
        <f ca="1">IFERROR(__xludf.DUMMYFUNCTION("""COMPUTED_VALUE"""),"HOM-05523")</f>
        <v>HOM-05523</v>
      </c>
      <c r="B3194" s="3">
        <f ca="1">IFERROR(__xludf.DUMMYFUNCTION("""COMPUTED_VALUE"""),52629)</f>
        <v>52629</v>
      </c>
      <c r="C3194" s="3">
        <f ca="1">IFERROR(__xludf.DUMMYFUNCTION("""COMPUTED_VALUE"""),5902557397174)</f>
        <v>5902557397174</v>
      </c>
      <c r="D3194" s="4" t="str">
        <f ca="1">IFERROR(__xludf.DUMMYFUNCTION("""COMPUTED_VALUE"""),"LUSTRO P11428 LED EGG 60x80cm")</f>
        <v>LUSTRO P11428 LED EGG 60x80cm</v>
      </c>
      <c r="E3194" s="31">
        <v>72.195121951219519</v>
      </c>
      <c r="F3194" s="31">
        <f t="shared" si="49"/>
        <v>88.800000000000011</v>
      </c>
    </row>
    <row r="3195" spans="1:6" ht="18.75" customHeight="1" x14ac:dyDescent="0.25">
      <c r="A3195" s="2" t="str">
        <f ca="1">IFERROR(__xludf.DUMMYFUNCTION("""COMPUTED_VALUE"""),"HOM-05524")</f>
        <v>HOM-05524</v>
      </c>
      <c r="B3195" s="3">
        <f ca="1">IFERROR(__xludf.DUMMYFUNCTION("""COMPUTED_VALUE"""),52628)</f>
        <v>52628</v>
      </c>
      <c r="C3195" s="3">
        <f ca="1">IFERROR(__xludf.DUMMYFUNCTION("""COMPUTED_VALUE"""),5902557397198)</f>
        <v>5902557397198</v>
      </c>
      <c r="D3195" s="4" t="str">
        <f ca="1">IFERROR(__xludf.DUMMYFUNCTION("""COMPUTED_VALUE"""),"LUSTRO P11429 LED EGJ 50x90cm")</f>
        <v>LUSTRO P11429 LED EGJ 50x90cm</v>
      </c>
      <c r="E3195" s="31">
        <v>94.756097560975633</v>
      </c>
      <c r="F3195" s="31">
        <f t="shared" si="49"/>
        <v>116.55000000000003</v>
      </c>
    </row>
    <row r="3196" spans="1:6" ht="18.75" customHeight="1" x14ac:dyDescent="0.25">
      <c r="A3196" s="2" t="str">
        <f ca="1">IFERROR(__xludf.DUMMYFUNCTION("""COMPUTED_VALUE"""),"HOM-05525")</f>
        <v>HOM-05525</v>
      </c>
      <c r="B3196" s="3">
        <f ca="1">IFERROR(__xludf.DUMMYFUNCTION("""COMPUTED_VALUE"""),53378)</f>
        <v>53378</v>
      </c>
      <c r="C3196" s="3">
        <f ca="1">IFERROR(__xludf.DUMMYFUNCTION("""COMPUTED_VALUE"""),5902557397181)</f>
        <v>5902557397181</v>
      </c>
      <c r="D3196" s="4" t="str">
        <f ca="1">IFERROR(__xludf.DUMMYFUNCTION("""COMPUTED_VALUE"""),"LUSTRO P11430 LED EGJ 60x80cm")</f>
        <v>LUSTRO P11430 LED EGJ 60x80cm</v>
      </c>
      <c r="E3196" s="31">
        <v>108.29268292682929</v>
      </c>
      <c r="F3196" s="31">
        <f t="shared" si="49"/>
        <v>133.20000000000002</v>
      </c>
    </row>
    <row r="3197" spans="1:6" ht="18.75" customHeight="1" x14ac:dyDescent="0.25">
      <c r="A3197" s="2" t="str">
        <f ca="1">IFERROR(__xludf.DUMMYFUNCTION("""COMPUTED_VALUE"""),"HOM-02509")</f>
        <v>HOM-02509</v>
      </c>
      <c r="B3197" s="3">
        <f ca="1">IFERROR(__xludf.DUMMYFUNCTION("""COMPUTED_VALUE"""),52595)</f>
        <v>52595</v>
      </c>
      <c r="C3197" s="3">
        <f ca="1">IFERROR(__xludf.DUMMYFUNCTION("""COMPUTED_VALUE"""),5902557396917)</f>
        <v>5902557396917</v>
      </c>
      <c r="D3197" s="4" t="str">
        <f ca="1">IFERROR(__xludf.DUMMYFUNCTION("""COMPUTED_VALUE"""),"LUSTRO LED OLL BRUSH GOLD 60X90CM")</f>
        <v>LUSTRO LED OLL BRUSH GOLD 60X90CM</v>
      </c>
      <c r="E3197" s="31">
        <v>139.87804878048783</v>
      </c>
      <c r="F3197" s="31">
        <f t="shared" si="49"/>
        <v>172.05000000000004</v>
      </c>
    </row>
    <row r="3198" spans="1:6" ht="18.75" customHeight="1" x14ac:dyDescent="0.25">
      <c r="A3198" s="2" t="str">
        <f ca="1">IFERROR(__xludf.DUMMYFUNCTION("""COMPUTED_VALUE"""),"HOM-02505")</f>
        <v>HOM-02505</v>
      </c>
      <c r="B3198" s="3">
        <f ca="1">IFERROR(__xludf.DUMMYFUNCTION("""COMPUTED_VALUE"""),52588)</f>
        <v>52588</v>
      </c>
      <c r="C3198" s="3">
        <f ca="1">IFERROR(__xludf.DUMMYFUNCTION("""COMPUTED_VALUE"""),5902557396887)</f>
        <v>5902557396887</v>
      </c>
      <c r="D3198" s="4" t="str">
        <f ca="1">IFERROR(__xludf.DUMMYFUNCTION("""COMPUTED_VALUE"""),"LUSTRO LED OVL BLACK 50X100CM")</f>
        <v>LUSTRO LED OVL BLACK 50X100CM</v>
      </c>
      <c r="E3198" s="31">
        <v>139.87804878048783</v>
      </c>
      <c r="F3198" s="31">
        <f t="shared" si="49"/>
        <v>172.05000000000004</v>
      </c>
    </row>
    <row r="3199" spans="1:6" ht="18.75" customHeight="1" x14ac:dyDescent="0.25">
      <c r="A3199" s="2" t="str">
        <f ca="1">IFERROR(__xludf.DUMMYFUNCTION("""COMPUTED_VALUE"""),"HOM-02606")</f>
        <v>HOM-02606</v>
      </c>
      <c r="B3199" s="3">
        <f ca="1">IFERROR(__xludf.DUMMYFUNCTION("""COMPUTED_VALUE"""),53784)</f>
        <v>53784</v>
      </c>
      <c r="C3199" s="3">
        <f ca="1">IFERROR(__xludf.DUMMYFUNCTION("""COMPUTED_VALUE"""),5906366003790)</f>
        <v>5906366003790</v>
      </c>
      <c r="D3199" s="4" t="str">
        <f ca="1">IFERROR(__xludf.DUMMYFUNCTION("""COMPUTED_VALUE"""),"LUSTRO LED OVL GOLD 50X100CM")</f>
        <v>LUSTRO LED OVL GOLD 50X100CM</v>
      </c>
      <c r="E3199" s="31">
        <v>153.41463414634148</v>
      </c>
      <c r="F3199" s="31">
        <f t="shared" si="49"/>
        <v>188.70000000000002</v>
      </c>
    </row>
    <row r="3200" spans="1:6" ht="18.75" customHeight="1" x14ac:dyDescent="0.25">
      <c r="A3200" s="2" t="str">
        <f ca="1">IFERROR(__xludf.DUMMYFUNCTION("""COMPUTED_VALUE"""),"HOM-02506")</f>
        <v>HOM-02506</v>
      </c>
      <c r="B3200" s="3">
        <f ca="1">IFERROR(__xludf.DUMMYFUNCTION("""COMPUTED_VALUE"""),52589)</f>
        <v>52589</v>
      </c>
      <c r="C3200" s="3">
        <f ca="1">IFERROR(__xludf.DUMMYFUNCTION("""COMPUTED_VALUE"""),5902557396900)</f>
        <v>5902557396900</v>
      </c>
      <c r="D3200" s="4" t="str">
        <f ca="1">IFERROR(__xludf.DUMMYFUNCTION("""COMPUTED_VALUE"""),"LUSTRO LED OVL BRUSH GOLD 50X100CM")</f>
        <v>LUSTRO LED OVL BRUSH GOLD 50X100CM</v>
      </c>
      <c r="E3200" s="31">
        <v>180.48780487804879</v>
      </c>
      <c r="F3200" s="31">
        <f t="shared" si="49"/>
        <v>222</v>
      </c>
    </row>
    <row r="3201" spans="1:6" ht="18.75" customHeight="1" x14ac:dyDescent="0.25">
      <c r="A3201" s="2" t="str">
        <f ca="1">IFERROR(__xludf.DUMMYFUNCTION("""COMPUTED_VALUE"""),"HOM-02507")</f>
        <v>HOM-02507</v>
      </c>
      <c r="B3201" s="3">
        <f ca="1">IFERROR(__xludf.DUMMYFUNCTION("""COMPUTED_VALUE"""),52587)</f>
        <v>52587</v>
      </c>
      <c r="C3201" s="3">
        <f ca="1">IFERROR(__xludf.DUMMYFUNCTION("""COMPUTED_VALUE"""),5902557396870)</f>
        <v>5902557396870</v>
      </c>
      <c r="D3201" s="4" t="str">
        <f ca="1">IFERROR(__xludf.DUMMYFUNCTION("""COMPUTED_VALUE"""),"LUSTRO LED SQR 50X100CM")</f>
        <v>LUSTRO LED SQR 50X100CM</v>
      </c>
      <c r="E3201" s="31">
        <v>85.731707317073173</v>
      </c>
      <c r="F3201" s="31">
        <f t="shared" ref="F3201:F3205" si="50">E3201*1.23</f>
        <v>105.45</v>
      </c>
    </row>
    <row r="3202" spans="1:6" ht="18.75" customHeight="1" x14ac:dyDescent="0.25">
      <c r="A3202" s="2" t="str">
        <f ca="1">IFERROR(__xludf.DUMMYFUNCTION("""COMPUTED_VALUE"""),"HOM-06509")</f>
        <v>HOM-06509</v>
      </c>
      <c r="B3202" s="3">
        <f ca="1">IFERROR(__xludf.DUMMYFUNCTION("""COMPUTED_VALUE"""),54061)</f>
        <v>54061</v>
      </c>
      <c r="C3202" s="3">
        <f ca="1">IFERROR(__xludf.DUMMYFUNCTION("""COMPUTED_VALUE"""),5906366004650)</f>
        <v>5906366004650</v>
      </c>
      <c r="D3202" s="4" t="str">
        <f ca="1">IFERROR(__xludf.DUMMYFUNCTION("""COMPUTED_VALUE"""),"LUSTRO LED ROUND ACRYL 60CM")</f>
        <v>LUSTRO LED ROUND ACRYL 60CM</v>
      </c>
      <c r="E3202" s="31">
        <v>139.87804878048783</v>
      </c>
      <c r="F3202" s="31">
        <f t="shared" si="50"/>
        <v>172.05000000000004</v>
      </c>
    </row>
    <row r="3203" spans="1:6" ht="18.75" customHeight="1" x14ac:dyDescent="0.25">
      <c r="A3203" s="2" t="str">
        <f ca="1">IFERROR(__xludf.DUMMYFUNCTION("""COMPUTED_VALUE"""),"HOM-06528")</f>
        <v>HOM-06528</v>
      </c>
      <c r="B3203" s="3">
        <f ca="1">IFERROR(__xludf.DUMMYFUNCTION("""COMPUTED_VALUE"""),54064)</f>
        <v>54064</v>
      </c>
      <c r="C3203" s="3">
        <f ca="1">IFERROR(__xludf.DUMMYFUNCTION("""COMPUTED_VALUE"""),5906366004667)</f>
        <v>5906366004667</v>
      </c>
      <c r="D3203" s="4" t="str">
        <f ca="1">IFERROR(__xludf.DUMMYFUNCTION("""COMPUTED_VALUE"""),"LUSTRO LED ROUND AKRYL 80CM")</f>
        <v>LUSTRO LED ROUND AKRYL 80CM</v>
      </c>
      <c r="E3203" s="31">
        <v>153.41463414634148</v>
      </c>
      <c r="F3203" s="31">
        <f t="shared" si="50"/>
        <v>188.70000000000002</v>
      </c>
    </row>
    <row r="3204" spans="1:6" ht="18.75" customHeight="1" x14ac:dyDescent="0.25">
      <c r="A3204" s="2" t="str">
        <f ca="1">IFERROR(__xludf.DUMMYFUNCTION("""COMPUTED_VALUE"""),"HOM-06508")</f>
        <v>HOM-06508</v>
      </c>
      <c r="B3204" s="3">
        <f ca="1">IFERROR(__xludf.DUMMYFUNCTION("""COMPUTED_VALUE"""),54056)</f>
        <v>54056</v>
      </c>
      <c r="C3204" s="3">
        <f ca="1">IFERROR(__xludf.DUMMYFUNCTION("""COMPUTED_VALUE"""),5906366004643)</f>
        <v>5906366004643</v>
      </c>
      <c r="D3204" s="4" t="str">
        <f ca="1">IFERROR(__xludf.DUMMYFUNCTION("""COMPUTED_VALUE"""),"LUSTRO LED PRO SQR 90X60CM")</f>
        <v>LUSTRO LED PRO SQR 90X60CM</v>
      </c>
      <c r="E3204" s="31">
        <v>180.48780487804879</v>
      </c>
      <c r="F3204" s="31">
        <f t="shared" si="50"/>
        <v>222</v>
      </c>
    </row>
    <row r="3205" spans="1:6" ht="18.75" customHeight="1" x14ac:dyDescent="0.25">
      <c r="A3205" s="2" t="str">
        <f ca="1">IFERROR(__xludf.DUMMYFUNCTION("""COMPUTED_VALUE"""),"HOM-05516")</f>
        <v>HOM-05516</v>
      </c>
      <c r="B3205" s="3">
        <f ca="1">IFERROR(__xludf.DUMMYFUNCTION("""COMPUTED_VALUE"""),52642)</f>
        <v>52642</v>
      </c>
      <c r="C3205" s="3">
        <f ca="1">IFERROR(__xludf.DUMMYFUNCTION("""COMPUTED_VALUE"""),5902557397105)</f>
        <v>5902557397105</v>
      </c>
      <c r="D3205" s="4" t="str">
        <f ca="1">IFERROR(__xludf.DUMMYFUNCTION("""COMPUTED_VALUE"""),"LUSTRO LED FOG 70x100cm")</f>
        <v>LUSTRO LED FOG 70x100cm</v>
      </c>
      <c r="E3205" s="31">
        <v>180.48780487804879</v>
      </c>
      <c r="F3205" s="31">
        <f t="shared" si="50"/>
        <v>222</v>
      </c>
    </row>
    <row r="3206" spans="1:6" ht="18.75" customHeight="1" x14ac:dyDescent="0.25">
      <c r="A3206" s="2"/>
      <c r="B3206" s="2"/>
      <c r="C3206" s="2"/>
      <c r="D3206" s="4"/>
    </row>
    <row r="3207" spans="1:6" ht="18.75" customHeight="1" x14ac:dyDescent="0.25">
      <c r="A3207" s="2"/>
      <c r="B3207" s="2"/>
      <c r="C3207" s="2"/>
      <c r="D3207" s="4"/>
    </row>
    <row r="3208" spans="1:6" ht="18.75" customHeight="1" x14ac:dyDescent="0.25">
      <c r="A3208" s="2"/>
      <c r="B3208" s="2"/>
      <c r="C3208" s="2"/>
      <c r="D3208" s="4"/>
    </row>
    <row r="3209" spans="1:6" ht="18.75" customHeight="1" x14ac:dyDescent="0.25">
      <c r="A3209" s="2"/>
      <c r="B3209" s="2"/>
      <c r="C3209" s="2"/>
      <c r="D3209" s="4"/>
    </row>
    <row r="3210" spans="1:6" ht="18.75" customHeight="1" x14ac:dyDescent="0.25">
      <c r="A3210" s="2"/>
      <c r="B3210" s="2"/>
      <c r="C3210" s="2"/>
      <c r="D3210" s="4"/>
    </row>
    <row r="3211" spans="1:6" ht="18.75" customHeight="1" x14ac:dyDescent="0.25">
      <c r="A3211" s="2"/>
      <c r="B3211" s="2"/>
      <c r="C3211" s="2"/>
      <c r="D3211" s="4"/>
    </row>
    <row r="3212" spans="1:6" ht="18.75" customHeight="1" x14ac:dyDescent="0.25">
      <c r="A3212" s="2"/>
      <c r="B3212" s="2"/>
      <c r="C3212" s="2"/>
      <c r="D3212" s="4"/>
    </row>
    <row r="3213" spans="1:6" ht="18.75" customHeight="1" x14ac:dyDescent="0.25">
      <c r="A3213" s="2"/>
      <c r="B3213" s="2"/>
      <c r="C3213" s="2"/>
      <c r="D3213" s="4"/>
    </row>
    <row r="3214" spans="1:6" ht="18.75" customHeight="1" x14ac:dyDescent="0.25">
      <c r="A3214" s="2"/>
      <c r="B3214" s="2"/>
      <c r="C3214" s="2"/>
      <c r="D3214" s="4"/>
    </row>
    <row r="3215" spans="1:6" ht="18.75" customHeight="1" x14ac:dyDescent="0.25">
      <c r="A3215" s="2"/>
      <c r="B3215" s="2"/>
      <c r="C3215" s="2"/>
      <c r="D3215" s="4"/>
    </row>
    <row r="3216" spans="1:6" ht="18.75" customHeight="1" x14ac:dyDescent="0.25">
      <c r="A3216" s="2"/>
      <c r="B3216" s="2"/>
      <c r="C3216" s="2"/>
      <c r="D3216" s="4"/>
    </row>
    <row r="3217" spans="1:4" ht="18.75" customHeight="1" x14ac:dyDescent="0.25">
      <c r="A3217" s="2"/>
      <c r="B3217" s="2"/>
      <c r="C3217" s="2"/>
      <c r="D3217" s="4"/>
    </row>
    <row r="3218" spans="1:4" ht="18.75" customHeight="1" x14ac:dyDescent="0.25">
      <c r="A3218" s="2"/>
      <c r="B3218" s="2"/>
      <c r="C3218" s="2"/>
      <c r="D3218" s="4"/>
    </row>
    <row r="3219" spans="1:4" ht="18.75" customHeight="1" x14ac:dyDescent="0.25">
      <c r="A3219" s="2"/>
      <c r="B3219" s="2"/>
      <c r="C3219" s="2"/>
      <c r="D3219" s="4"/>
    </row>
    <row r="3220" spans="1:4" ht="18.75" customHeight="1" x14ac:dyDescent="0.25">
      <c r="A3220" s="2"/>
      <c r="B3220" s="2"/>
      <c r="C3220" s="2"/>
      <c r="D3220" s="4"/>
    </row>
    <row r="3221" spans="1:4" ht="18.75" customHeight="1" x14ac:dyDescent="0.25">
      <c r="A3221" s="2"/>
      <c r="B3221" s="2"/>
      <c r="C3221" s="2"/>
      <c r="D3221" s="4"/>
    </row>
    <row r="3222" spans="1:4" ht="18.75" customHeight="1" x14ac:dyDescent="0.25">
      <c r="A3222" s="2"/>
      <c r="B3222" s="2"/>
      <c r="C3222" s="2"/>
      <c r="D3222" s="4"/>
    </row>
    <row r="3223" spans="1:4" ht="18.75" customHeight="1" x14ac:dyDescent="0.25">
      <c r="A3223" s="2"/>
      <c r="B3223" s="2"/>
      <c r="C3223" s="2"/>
      <c r="D3223" s="4"/>
    </row>
    <row r="3224" spans="1:4" ht="18.75" customHeight="1" x14ac:dyDescent="0.25">
      <c r="A3224" s="2"/>
      <c r="B3224" s="2"/>
      <c r="C3224" s="2"/>
      <c r="D3224" s="4"/>
    </row>
    <row r="3225" spans="1:4" ht="18.75" customHeight="1" x14ac:dyDescent="0.25">
      <c r="A3225" s="2"/>
      <c r="B3225" s="2"/>
      <c r="C3225" s="2"/>
      <c r="D3225" s="4"/>
    </row>
    <row r="3226" spans="1:4" ht="18.75" customHeight="1" x14ac:dyDescent="0.25">
      <c r="A3226" s="2"/>
      <c r="B3226" s="2"/>
      <c r="C3226" s="2"/>
      <c r="D3226" s="4"/>
    </row>
    <row r="3227" spans="1:4" ht="18.75" customHeight="1" x14ac:dyDescent="0.25">
      <c r="A3227" s="2"/>
      <c r="B3227" s="2"/>
      <c r="C3227" s="2"/>
      <c r="D3227" s="4"/>
    </row>
    <row r="3228" spans="1:4" ht="18.75" customHeight="1" x14ac:dyDescent="0.25">
      <c r="A3228" s="2"/>
      <c r="B3228" s="2"/>
      <c r="C3228" s="2"/>
      <c r="D3228" s="4"/>
    </row>
    <row r="3229" spans="1:4" ht="18.75" customHeight="1" x14ac:dyDescent="0.25">
      <c r="A3229" s="2"/>
      <c r="B3229" s="2"/>
      <c r="C3229" s="2"/>
      <c r="D3229" s="4"/>
    </row>
    <row r="3230" spans="1:4" ht="18.75" customHeight="1" x14ac:dyDescent="0.25">
      <c r="A3230" s="2"/>
      <c r="B3230" s="2"/>
      <c r="C3230" s="2"/>
      <c r="D3230" s="4"/>
    </row>
    <row r="3231" spans="1:4" ht="18.75" customHeight="1" x14ac:dyDescent="0.25">
      <c r="A3231" s="2"/>
      <c r="B3231" s="2"/>
      <c r="C3231" s="2"/>
      <c r="D3231" s="4"/>
    </row>
    <row r="3232" spans="1:4" ht="18.75" customHeight="1" x14ac:dyDescent="0.25">
      <c r="A3232" s="2"/>
      <c r="B3232" s="2"/>
      <c r="C3232" s="2"/>
      <c r="D3232" s="4"/>
    </row>
    <row r="3233" spans="1:4" ht="18.75" customHeight="1" x14ac:dyDescent="0.25">
      <c r="A3233" s="2"/>
      <c r="B3233" s="2"/>
      <c r="C3233" s="2"/>
      <c r="D3233" s="4"/>
    </row>
    <row r="3234" spans="1:4" ht="18.75" customHeight="1" x14ac:dyDescent="0.25">
      <c r="A3234" s="2"/>
      <c r="B3234" s="2"/>
      <c r="C3234" s="2"/>
      <c r="D3234" s="4"/>
    </row>
    <row r="3235" spans="1:4" ht="18.75" customHeight="1" x14ac:dyDescent="0.25">
      <c r="A3235" s="2"/>
      <c r="B3235" s="2"/>
      <c r="C3235" s="2"/>
      <c r="D3235" s="4"/>
    </row>
    <row r="3236" spans="1:4" ht="18.75" customHeight="1" x14ac:dyDescent="0.25">
      <c r="A3236" s="2"/>
      <c r="B3236" s="2"/>
      <c r="C3236" s="2"/>
      <c r="D3236" s="4"/>
    </row>
    <row r="3237" spans="1:4" ht="18.75" customHeight="1" x14ac:dyDescent="0.25">
      <c r="A3237" s="2"/>
      <c r="B3237" s="2"/>
      <c r="C3237" s="2"/>
      <c r="D3237" s="4"/>
    </row>
    <row r="3238" spans="1:4" ht="18.75" customHeight="1" x14ac:dyDescent="0.25">
      <c r="A3238" s="2"/>
      <c r="B3238" s="2"/>
      <c r="C3238" s="2"/>
      <c r="D3238" s="4"/>
    </row>
    <row r="3239" spans="1:4" ht="18.75" customHeight="1" x14ac:dyDescent="0.25">
      <c r="A3239" s="2"/>
      <c r="B3239" s="2"/>
      <c r="C3239" s="2"/>
      <c r="D3239" s="4"/>
    </row>
    <row r="3240" spans="1:4" ht="18.75" customHeight="1" x14ac:dyDescent="0.25">
      <c r="A3240" s="2"/>
      <c r="B3240" s="2"/>
      <c r="C3240" s="2"/>
      <c r="D3240" s="4"/>
    </row>
    <row r="3241" spans="1:4" ht="18.75" customHeight="1" x14ac:dyDescent="0.25">
      <c r="A3241" s="2"/>
      <c r="B3241" s="2"/>
      <c r="C3241" s="2"/>
      <c r="D3241" s="4"/>
    </row>
    <row r="3242" spans="1:4" ht="18.75" customHeight="1" x14ac:dyDescent="0.25">
      <c r="A3242" s="2"/>
      <c r="B3242" s="2"/>
      <c r="C3242" s="2"/>
      <c r="D3242" s="4"/>
    </row>
    <row r="3243" spans="1:4" ht="18.75" customHeight="1" x14ac:dyDescent="0.25">
      <c r="A3243" s="2"/>
      <c r="B3243" s="2"/>
      <c r="C3243" s="2"/>
      <c r="D3243" s="4"/>
    </row>
    <row r="3244" spans="1:4" ht="18.75" customHeight="1" x14ac:dyDescent="0.25">
      <c r="A3244" s="2"/>
      <c r="B3244" s="2"/>
      <c r="C3244" s="2"/>
      <c r="D3244" s="4"/>
    </row>
    <row r="3245" spans="1:4" ht="18.75" customHeight="1" x14ac:dyDescent="0.25">
      <c r="A3245" s="2"/>
      <c r="B3245" s="2"/>
      <c r="C3245" s="2"/>
      <c r="D3245" s="4"/>
    </row>
    <row r="3246" spans="1:4" ht="18.75" customHeight="1" x14ac:dyDescent="0.25">
      <c r="A3246" s="2"/>
      <c r="B3246" s="2"/>
      <c r="C3246" s="2"/>
      <c r="D3246" s="4"/>
    </row>
    <row r="3247" spans="1:4" ht="18.75" customHeight="1" x14ac:dyDescent="0.25">
      <c r="A3247" s="2"/>
      <c r="B3247" s="2"/>
      <c r="C3247" s="2"/>
      <c r="D3247" s="4"/>
    </row>
    <row r="3248" spans="1:4" ht="18.75" customHeight="1" x14ac:dyDescent="0.25">
      <c r="A3248" s="2"/>
      <c r="B3248" s="2"/>
      <c r="C3248" s="2"/>
      <c r="D3248" s="4"/>
    </row>
    <row r="3249" spans="1:4" ht="18.75" customHeight="1" x14ac:dyDescent="0.25">
      <c r="A3249" s="2"/>
      <c r="B3249" s="2"/>
      <c r="C3249" s="2"/>
      <c r="D3249" s="4"/>
    </row>
    <row r="3250" spans="1:4" ht="18.75" customHeight="1" x14ac:dyDescent="0.25">
      <c r="A3250" s="2"/>
      <c r="B3250" s="2"/>
      <c r="C3250" s="2"/>
      <c r="D3250" s="4"/>
    </row>
    <row r="3251" spans="1:4" ht="18.75" customHeight="1" x14ac:dyDescent="0.25">
      <c r="A3251" s="2"/>
      <c r="B3251" s="2"/>
      <c r="C3251" s="2"/>
      <c r="D3251" s="4"/>
    </row>
    <row r="3252" spans="1:4" ht="18.75" customHeight="1" x14ac:dyDescent="0.25">
      <c r="A3252" s="2"/>
      <c r="B3252" s="2"/>
      <c r="C3252" s="2"/>
      <c r="D3252" s="4"/>
    </row>
    <row r="3253" spans="1:4" ht="18.75" customHeight="1" x14ac:dyDescent="0.25">
      <c r="A3253" s="2"/>
      <c r="B3253" s="2"/>
      <c r="C3253" s="2"/>
      <c r="D3253" s="4"/>
    </row>
    <row r="3254" spans="1:4" ht="18.75" customHeight="1" x14ac:dyDescent="0.25">
      <c r="A3254" s="2"/>
      <c r="B3254" s="2"/>
      <c r="C3254" s="2"/>
      <c r="D3254" s="4"/>
    </row>
    <row r="3255" spans="1:4" ht="18.75" customHeight="1" x14ac:dyDescent="0.25">
      <c r="A3255" s="2"/>
      <c r="B3255" s="2"/>
      <c r="C3255" s="2"/>
      <c r="D3255" s="4"/>
    </row>
    <row r="3256" spans="1:4" ht="18.75" customHeight="1" x14ac:dyDescent="0.25">
      <c r="A3256" s="2"/>
      <c r="B3256" s="2"/>
      <c r="C3256" s="2"/>
      <c r="D3256" s="4"/>
    </row>
    <row r="3257" spans="1:4" ht="18.75" customHeight="1" x14ac:dyDescent="0.25">
      <c r="A3257" s="2"/>
      <c r="B3257" s="2"/>
      <c r="C3257" s="2"/>
      <c r="D3257" s="4"/>
    </row>
    <row r="3258" spans="1:4" ht="18.75" customHeight="1" x14ac:dyDescent="0.25">
      <c r="A3258" s="2"/>
      <c r="B3258" s="2"/>
      <c r="C3258" s="2"/>
      <c r="D3258" s="4"/>
    </row>
    <row r="3259" spans="1:4" ht="18.75" customHeight="1" x14ac:dyDescent="0.25">
      <c r="A3259" s="2"/>
      <c r="B3259" s="2"/>
      <c r="C3259" s="2"/>
      <c r="D3259" s="4"/>
    </row>
    <row r="3260" spans="1:4" ht="18.75" customHeight="1" x14ac:dyDescent="0.25">
      <c r="A3260" s="2"/>
      <c r="B3260" s="2"/>
      <c r="C3260" s="2"/>
      <c r="D3260" s="4"/>
    </row>
    <row r="3261" spans="1:4" ht="18.75" customHeight="1" x14ac:dyDescent="0.25">
      <c r="A3261" s="2"/>
      <c r="B3261" s="2"/>
      <c r="C3261" s="2"/>
      <c r="D3261" s="4"/>
    </row>
    <row r="3262" spans="1:4" ht="18.75" customHeight="1" x14ac:dyDescent="0.25">
      <c r="A3262" s="2"/>
      <c r="B3262" s="2"/>
      <c r="C3262" s="2"/>
      <c r="D3262" s="4"/>
    </row>
    <row r="3263" spans="1:4" ht="18.75" customHeight="1" x14ac:dyDescent="0.25">
      <c r="A3263" s="2"/>
      <c r="B3263" s="2"/>
      <c r="C3263" s="2"/>
      <c r="D3263" s="4"/>
    </row>
    <row r="3264" spans="1:4" ht="18.75" customHeight="1" x14ac:dyDescent="0.25">
      <c r="A3264" s="2"/>
      <c r="B3264" s="2"/>
      <c r="C3264" s="2"/>
      <c r="D3264" s="4"/>
    </row>
    <row r="3265" spans="1:4" ht="18.75" customHeight="1" x14ac:dyDescent="0.25">
      <c r="A3265" s="2"/>
      <c r="B3265" s="2"/>
      <c r="C3265" s="2"/>
      <c r="D3265" s="4"/>
    </row>
    <row r="3266" spans="1:4" ht="18.75" customHeight="1" x14ac:dyDescent="0.25">
      <c r="A3266" s="2"/>
      <c r="B3266" s="2"/>
      <c r="C3266" s="2"/>
      <c r="D3266" s="4"/>
    </row>
    <row r="3267" spans="1:4" ht="18.75" customHeight="1" x14ac:dyDescent="0.25">
      <c r="A3267" s="2"/>
      <c r="B3267" s="2"/>
      <c r="C3267" s="2"/>
      <c r="D3267" s="4"/>
    </row>
    <row r="3268" spans="1:4" ht="18.75" customHeight="1" x14ac:dyDescent="0.25">
      <c r="A3268" s="2"/>
      <c r="B3268" s="2"/>
      <c r="C3268" s="2"/>
      <c r="D3268" s="4"/>
    </row>
    <row r="3269" spans="1:4" ht="18.75" customHeight="1" x14ac:dyDescent="0.25">
      <c r="A3269" s="2"/>
      <c r="B3269" s="2"/>
      <c r="C3269" s="2"/>
      <c r="D3269" s="4"/>
    </row>
    <row r="3270" spans="1:4" ht="18.75" customHeight="1" x14ac:dyDescent="0.25">
      <c r="A3270" s="2"/>
      <c r="B3270" s="2"/>
      <c r="C3270" s="2"/>
      <c r="D3270" s="4"/>
    </row>
    <row r="3271" spans="1:4" ht="18.75" customHeight="1" x14ac:dyDescent="0.25">
      <c r="A3271" s="2"/>
      <c r="B3271" s="2"/>
      <c r="C3271" s="2"/>
      <c r="D3271" s="4"/>
    </row>
    <row r="3272" spans="1:4" ht="18.75" customHeight="1" x14ac:dyDescent="0.25">
      <c r="A3272" s="2"/>
      <c r="B3272" s="2"/>
      <c r="C3272" s="2"/>
      <c r="D3272" s="4"/>
    </row>
    <row r="3273" spans="1:4" ht="18.75" customHeight="1" x14ac:dyDescent="0.25">
      <c r="A3273" s="2"/>
      <c r="B3273" s="2"/>
      <c r="C3273" s="2"/>
      <c r="D3273" s="4"/>
    </row>
    <row r="3274" spans="1:4" ht="18.75" customHeight="1" x14ac:dyDescent="0.25">
      <c r="A3274" s="2"/>
      <c r="B3274" s="2"/>
      <c r="C3274" s="2"/>
      <c r="D3274" s="4"/>
    </row>
    <row r="3275" spans="1:4" ht="18.75" customHeight="1" x14ac:dyDescent="0.25">
      <c r="A3275" s="2"/>
      <c r="B3275" s="2"/>
      <c r="C3275" s="2"/>
      <c r="D3275" s="4"/>
    </row>
    <row r="3276" spans="1:4" ht="18.75" customHeight="1" x14ac:dyDescent="0.25">
      <c r="A3276" s="2"/>
      <c r="B3276" s="2"/>
      <c r="C3276" s="2"/>
      <c r="D3276" s="4"/>
    </row>
    <row r="3277" spans="1:4" ht="18.75" customHeight="1" x14ac:dyDescent="0.25">
      <c r="A3277" s="2"/>
      <c r="B3277" s="2"/>
      <c r="C3277" s="2"/>
      <c r="D3277" s="4"/>
    </row>
    <row r="3278" spans="1:4" ht="18.75" customHeight="1" x14ac:dyDescent="0.25">
      <c r="A3278" s="2"/>
      <c r="B3278" s="2"/>
      <c r="C3278" s="2"/>
      <c r="D3278" s="4"/>
    </row>
    <row r="3279" spans="1:4" ht="18.75" customHeight="1" x14ac:dyDescent="0.25">
      <c r="A3279" s="2"/>
      <c r="B3279" s="2"/>
      <c r="C3279" s="2"/>
      <c r="D3279" s="4"/>
    </row>
    <row r="3280" spans="1:4" ht="18.75" customHeight="1" x14ac:dyDescent="0.25">
      <c r="A3280" s="2"/>
      <c r="B3280" s="2"/>
      <c r="C3280" s="2"/>
      <c r="D3280" s="4"/>
    </row>
    <row r="3281" spans="1:4" ht="18.75" customHeight="1" x14ac:dyDescent="0.25">
      <c r="A3281" s="2"/>
      <c r="B3281" s="2"/>
      <c r="C3281" s="2"/>
      <c r="D3281" s="4"/>
    </row>
    <row r="3282" spans="1:4" ht="18.75" customHeight="1" x14ac:dyDescent="0.25">
      <c r="A3282" s="2"/>
      <c r="B3282" s="2"/>
      <c r="C3282" s="2"/>
      <c r="D3282" s="4"/>
    </row>
    <row r="3283" spans="1:4" ht="18.75" customHeight="1" x14ac:dyDescent="0.25">
      <c r="A3283" s="2"/>
      <c r="B3283" s="2"/>
      <c r="C3283" s="2"/>
      <c r="D3283" s="4"/>
    </row>
    <row r="3284" spans="1:4" ht="18.75" customHeight="1" x14ac:dyDescent="0.25">
      <c r="A3284" s="2"/>
      <c r="B3284" s="2"/>
      <c r="C3284" s="2"/>
      <c r="D3284" s="4"/>
    </row>
    <row r="3285" spans="1:4" ht="18.75" customHeight="1" x14ac:dyDescent="0.25">
      <c r="A3285" s="2"/>
      <c r="B3285" s="2"/>
      <c r="C3285" s="2"/>
      <c r="D3285" s="4"/>
    </row>
    <row r="3286" spans="1:4" ht="18.75" customHeight="1" x14ac:dyDescent="0.25">
      <c r="A3286" s="2"/>
      <c r="B3286" s="2"/>
      <c r="C3286" s="2"/>
      <c r="D3286" s="4"/>
    </row>
    <row r="3287" spans="1:4" ht="18.75" customHeight="1" x14ac:dyDescent="0.25">
      <c r="A3287" s="2"/>
      <c r="B3287" s="2"/>
      <c r="C3287" s="2"/>
      <c r="D3287" s="4"/>
    </row>
    <row r="3288" spans="1:4" ht="18.75" customHeight="1" x14ac:dyDescent="0.25">
      <c r="A3288" s="2"/>
      <c r="B3288" s="2"/>
      <c r="C3288" s="2"/>
      <c r="D3288" s="4"/>
    </row>
    <row r="3289" spans="1:4" ht="18.75" customHeight="1" x14ac:dyDescent="0.25">
      <c r="A3289" s="2"/>
      <c r="B3289" s="2"/>
      <c r="C3289" s="2"/>
      <c r="D3289" s="4"/>
    </row>
    <row r="3290" spans="1:4" ht="18.75" customHeight="1" x14ac:dyDescent="0.25">
      <c r="A3290" s="2"/>
      <c r="B3290" s="2"/>
      <c r="C3290" s="2"/>
      <c r="D3290" s="4"/>
    </row>
    <row r="3291" spans="1:4" ht="18.75" customHeight="1" x14ac:dyDescent="0.25">
      <c r="A3291" s="2"/>
      <c r="B3291" s="2"/>
      <c r="C3291" s="2"/>
      <c r="D3291" s="4"/>
    </row>
    <row r="3292" spans="1:4" ht="18.75" customHeight="1" x14ac:dyDescent="0.25">
      <c r="A3292" s="2"/>
      <c r="B3292" s="2"/>
      <c r="C3292" s="2"/>
      <c r="D3292" s="4"/>
    </row>
    <row r="3293" spans="1:4" ht="18.75" customHeight="1" x14ac:dyDescent="0.25">
      <c r="A3293" s="2"/>
      <c r="B3293" s="2"/>
      <c r="C3293" s="2"/>
      <c r="D3293" s="4"/>
    </row>
    <row r="3294" spans="1:4" ht="18.75" customHeight="1" x14ac:dyDescent="0.25">
      <c r="A3294" s="2"/>
      <c r="B3294" s="2"/>
      <c r="C3294" s="2"/>
      <c r="D3294" s="4"/>
    </row>
    <row r="3295" spans="1:4" ht="18.75" customHeight="1" x14ac:dyDescent="0.25">
      <c r="A3295" s="2"/>
      <c r="B3295" s="2"/>
      <c r="C3295" s="2"/>
      <c r="D3295" s="4"/>
    </row>
    <row r="3296" spans="1:4" ht="18.75" customHeight="1" x14ac:dyDescent="0.25">
      <c r="A3296" s="2"/>
      <c r="B3296" s="2"/>
      <c r="C3296" s="2"/>
      <c r="D3296" s="4"/>
    </row>
    <row r="3297" spans="1:4" ht="18.75" customHeight="1" x14ac:dyDescent="0.25">
      <c r="A3297" s="2"/>
      <c r="B3297" s="2"/>
      <c r="C3297" s="2"/>
      <c r="D3297" s="4"/>
    </row>
    <row r="3298" spans="1:4" ht="18.75" customHeight="1" x14ac:dyDescent="0.25">
      <c r="A3298" s="2"/>
      <c r="B3298" s="2"/>
      <c r="C3298" s="2"/>
      <c r="D3298" s="4"/>
    </row>
    <row r="3299" spans="1:4" ht="18.75" customHeight="1" x14ac:dyDescent="0.25">
      <c r="A3299" s="2"/>
      <c r="B3299" s="2"/>
      <c r="C3299" s="2"/>
      <c r="D3299" s="4"/>
    </row>
    <row r="3300" spans="1:4" ht="18.75" customHeight="1" x14ac:dyDescent="0.25">
      <c r="A3300" s="2"/>
      <c r="B3300" s="2"/>
      <c r="C3300" s="2"/>
      <c r="D3300" s="4"/>
    </row>
    <row r="3301" spans="1:4" ht="18.75" customHeight="1" x14ac:dyDescent="0.25">
      <c r="A3301" s="2"/>
      <c r="B3301" s="2"/>
      <c r="C3301" s="2"/>
      <c r="D3301" s="4"/>
    </row>
    <row r="3302" spans="1:4" ht="18.75" customHeight="1" x14ac:dyDescent="0.25">
      <c r="A3302" s="2"/>
      <c r="B3302" s="2"/>
      <c r="C3302" s="2"/>
      <c r="D3302" s="4"/>
    </row>
    <row r="3303" spans="1:4" ht="18.75" customHeight="1" x14ac:dyDescent="0.25">
      <c r="A3303" s="2"/>
      <c r="B3303" s="2"/>
      <c r="C3303" s="2"/>
      <c r="D3303" s="4"/>
    </row>
    <row r="3304" spans="1:4" ht="18.75" customHeight="1" x14ac:dyDescent="0.25">
      <c r="A3304" s="2"/>
      <c r="B3304" s="2"/>
      <c r="C3304" s="2"/>
      <c r="D3304" s="4"/>
    </row>
    <row r="3305" spans="1:4" ht="18.75" customHeight="1" x14ac:dyDescent="0.25">
      <c r="A3305" s="2"/>
      <c r="B3305" s="2"/>
      <c r="C3305" s="2"/>
      <c r="D3305" s="4"/>
    </row>
    <row r="3306" spans="1:4" ht="18.75" customHeight="1" x14ac:dyDescent="0.25">
      <c r="A3306" s="2"/>
      <c r="B3306" s="2"/>
      <c r="C3306" s="2"/>
      <c r="D3306" s="4"/>
    </row>
    <row r="3307" spans="1:4" ht="18.75" customHeight="1" x14ac:dyDescent="0.25">
      <c r="A3307" s="2"/>
      <c r="B3307" s="2"/>
      <c r="C3307" s="2"/>
      <c r="D3307" s="4"/>
    </row>
    <row r="3308" spans="1:4" ht="18.75" customHeight="1" x14ac:dyDescent="0.25">
      <c r="A3308" s="2"/>
      <c r="B3308" s="2"/>
      <c r="C3308" s="2"/>
      <c r="D3308" s="4"/>
    </row>
    <row r="3309" spans="1:4" ht="18.75" customHeight="1" x14ac:dyDescent="0.25">
      <c r="A3309" s="2"/>
      <c r="B3309" s="2"/>
      <c r="C3309" s="2"/>
      <c r="D3309" s="4"/>
    </row>
    <row r="3310" spans="1:4" ht="18.75" customHeight="1" x14ac:dyDescent="0.25">
      <c r="A3310" s="2"/>
      <c r="B3310" s="2"/>
      <c r="C3310" s="2"/>
      <c r="D3310" s="4"/>
    </row>
    <row r="3311" spans="1:4" ht="18.75" customHeight="1" x14ac:dyDescent="0.25">
      <c r="A3311" s="2"/>
      <c r="B3311" s="2"/>
      <c r="C3311" s="2"/>
      <c r="D3311" s="4"/>
    </row>
    <row r="3312" spans="1:4" ht="18.75" customHeight="1" x14ac:dyDescent="0.25">
      <c r="A3312" s="2"/>
      <c r="B3312" s="2"/>
      <c r="C3312" s="2"/>
      <c r="D3312" s="4"/>
    </row>
    <row r="3313" spans="1:4" ht="18.75" customHeight="1" x14ac:dyDescent="0.25">
      <c r="A3313" s="2"/>
      <c r="B3313" s="2"/>
      <c r="C3313" s="2"/>
      <c r="D3313" s="4"/>
    </row>
    <row r="3314" spans="1:4" ht="18.75" customHeight="1" x14ac:dyDescent="0.25">
      <c r="A3314" s="2"/>
      <c r="B3314" s="2"/>
      <c r="C3314" s="2"/>
      <c r="D3314" s="4"/>
    </row>
    <row r="3315" spans="1:4" ht="18.75" customHeight="1" x14ac:dyDescent="0.25">
      <c r="A3315" s="2"/>
      <c r="B3315" s="2"/>
      <c r="C3315" s="2"/>
      <c r="D3315" s="4"/>
    </row>
    <row r="3316" spans="1:4" ht="18.75" customHeight="1" x14ac:dyDescent="0.25">
      <c r="A3316" s="2"/>
      <c r="B3316" s="2"/>
      <c r="C3316" s="2"/>
      <c r="D3316" s="4"/>
    </row>
    <row r="3317" spans="1:4" ht="18.75" customHeight="1" x14ac:dyDescent="0.25">
      <c r="A3317" s="2"/>
      <c r="B3317" s="2"/>
      <c r="C3317" s="2"/>
      <c r="D3317" s="4"/>
    </row>
    <row r="3318" spans="1:4" ht="18.75" customHeight="1" x14ac:dyDescent="0.25">
      <c r="A3318" s="2"/>
      <c r="B3318" s="2"/>
      <c r="C3318" s="2"/>
      <c r="D3318" s="4"/>
    </row>
    <row r="3319" spans="1:4" ht="18.75" customHeight="1" x14ac:dyDescent="0.25">
      <c r="A3319" s="2"/>
      <c r="B3319" s="2"/>
      <c r="C3319" s="2"/>
      <c r="D3319" s="4"/>
    </row>
    <row r="3320" spans="1:4" ht="18.75" customHeight="1" x14ac:dyDescent="0.25">
      <c r="A3320" s="2"/>
      <c r="B3320" s="2"/>
      <c r="C3320" s="2"/>
      <c r="D3320" s="4"/>
    </row>
    <row r="3321" spans="1:4" ht="18.75" customHeight="1" x14ac:dyDescent="0.25">
      <c r="A3321" s="2"/>
      <c r="B3321" s="2"/>
      <c r="C3321" s="2"/>
      <c r="D3321" s="4"/>
    </row>
    <row r="3322" spans="1:4" ht="18.75" customHeight="1" x14ac:dyDescent="0.25">
      <c r="A3322" s="2"/>
      <c r="B3322" s="2"/>
      <c r="C3322" s="2"/>
      <c r="D3322" s="4"/>
    </row>
    <row r="3323" spans="1:4" ht="18.75" customHeight="1" x14ac:dyDescent="0.25">
      <c r="A3323" s="2"/>
      <c r="B3323" s="2"/>
      <c r="C3323" s="2"/>
      <c r="D3323" s="4"/>
    </row>
    <row r="3324" spans="1:4" ht="18.75" customHeight="1" x14ac:dyDescent="0.25">
      <c r="A3324" s="2"/>
      <c r="B3324" s="2"/>
      <c r="C3324" s="2"/>
      <c r="D3324" s="4"/>
    </row>
    <row r="3325" spans="1:4" ht="18.75" customHeight="1" x14ac:dyDescent="0.25">
      <c r="A3325" s="2"/>
      <c r="B3325" s="2"/>
      <c r="C3325" s="2"/>
      <c r="D3325" s="4"/>
    </row>
    <row r="3326" spans="1:4" ht="18.75" customHeight="1" x14ac:dyDescent="0.25">
      <c r="A3326" s="2"/>
      <c r="B3326" s="2"/>
      <c r="C3326" s="2"/>
      <c r="D3326" s="4"/>
    </row>
    <row r="3327" spans="1:4" ht="18.75" customHeight="1" x14ac:dyDescent="0.25">
      <c r="A3327" s="2"/>
      <c r="B3327" s="2"/>
      <c r="C3327" s="2"/>
      <c r="D3327" s="4"/>
    </row>
    <row r="3328" spans="1:4" ht="18.75" customHeight="1" x14ac:dyDescent="0.25">
      <c r="A3328" s="2"/>
      <c r="B3328" s="2"/>
      <c r="C3328" s="2"/>
      <c r="D3328" s="4"/>
    </row>
    <row r="3329" spans="1:4" ht="18.75" customHeight="1" x14ac:dyDescent="0.25">
      <c r="A3329" s="2"/>
      <c r="B3329" s="2"/>
      <c r="C3329" s="2"/>
      <c r="D3329" s="4"/>
    </row>
    <row r="3330" spans="1:4" ht="18.75" customHeight="1" x14ac:dyDescent="0.25">
      <c r="A3330" s="2"/>
      <c r="B3330" s="2"/>
      <c r="C3330" s="2"/>
      <c r="D3330" s="4"/>
    </row>
    <row r="3331" spans="1:4" ht="18.75" customHeight="1" x14ac:dyDescent="0.25">
      <c r="A3331" s="2"/>
      <c r="B3331" s="2"/>
      <c r="C3331" s="2"/>
      <c r="D3331" s="4"/>
    </row>
    <row r="3332" spans="1:4" ht="18.75" customHeight="1" x14ac:dyDescent="0.25">
      <c r="A3332" s="2"/>
      <c r="B3332" s="2"/>
      <c r="C3332" s="2"/>
      <c r="D3332" s="4"/>
    </row>
    <row r="3333" spans="1:4" ht="18.75" customHeight="1" x14ac:dyDescent="0.25">
      <c r="A3333" s="2"/>
      <c r="B3333" s="2"/>
      <c r="C3333" s="2"/>
      <c r="D3333" s="4"/>
    </row>
    <row r="3334" spans="1:4" ht="18.75" customHeight="1" x14ac:dyDescent="0.25">
      <c r="A3334" s="2"/>
      <c r="B3334" s="2"/>
      <c r="C3334" s="2"/>
      <c r="D3334" s="4"/>
    </row>
    <row r="3335" spans="1:4" ht="18.75" customHeight="1" x14ac:dyDescent="0.25">
      <c r="A3335" s="2"/>
      <c r="B3335" s="2"/>
      <c r="C3335" s="2"/>
      <c r="D3335" s="4"/>
    </row>
    <row r="3336" spans="1:4" ht="18.75" customHeight="1" x14ac:dyDescent="0.25">
      <c r="A3336" s="2"/>
      <c r="B3336" s="2"/>
      <c r="C3336" s="2"/>
      <c r="D3336" s="4"/>
    </row>
    <row r="3337" spans="1:4" ht="18.75" customHeight="1" x14ac:dyDescent="0.25">
      <c r="A3337" s="2"/>
      <c r="B3337" s="2"/>
      <c r="C3337" s="2"/>
      <c r="D3337" s="4"/>
    </row>
    <row r="3338" spans="1:4" ht="18.75" customHeight="1" x14ac:dyDescent="0.25">
      <c r="A3338" s="2"/>
      <c r="B3338" s="2"/>
      <c r="C3338" s="2"/>
      <c r="D3338" s="4"/>
    </row>
    <row r="3339" spans="1:4" ht="18.75" customHeight="1" x14ac:dyDescent="0.25">
      <c r="A3339" s="2"/>
      <c r="B3339" s="2"/>
      <c r="C3339" s="2"/>
      <c r="D3339" s="4"/>
    </row>
    <row r="3340" spans="1:4" ht="18.75" customHeight="1" x14ac:dyDescent="0.25">
      <c r="A3340" s="2"/>
      <c r="B3340" s="2"/>
      <c r="C3340" s="2"/>
      <c r="D3340" s="4"/>
    </row>
    <row r="3341" spans="1:4" ht="18.75" customHeight="1" x14ac:dyDescent="0.25">
      <c r="A3341" s="2"/>
      <c r="B3341" s="2"/>
      <c r="C3341" s="2"/>
      <c r="D3341" s="4"/>
    </row>
    <row r="3342" spans="1:4" ht="18.75" customHeight="1" x14ac:dyDescent="0.25">
      <c r="A3342" s="2"/>
      <c r="B3342" s="2"/>
      <c r="C3342" s="2"/>
      <c r="D3342" s="4"/>
    </row>
    <row r="3343" spans="1:4" ht="18.75" customHeight="1" x14ac:dyDescent="0.25">
      <c r="A3343" s="2"/>
      <c r="B3343" s="2"/>
      <c r="C3343" s="2"/>
      <c r="D3343" s="4"/>
    </row>
    <row r="3344" spans="1:4" ht="18.75" customHeight="1" x14ac:dyDescent="0.25">
      <c r="A3344" s="2"/>
      <c r="B3344" s="2"/>
      <c r="C3344" s="2"/>
      <c r="D3344" s="4"/>
    </row>
    <row r="3345" spans="1:4" ht="18.75" customHeight="1" x14ac:dyDescent="0.25">
      <c r="A3345" s="2"/>
      <c r="B3345" s="2"/>
      <c r="C3345" s="2"/>
      <c r="D3345" s="4"/>
    </row>
    <row r="3346" spans="1:4" ht="18.75" customHeight="1" x14ac:dyDescent="0.25">
      <c r="A3346" s="2"/>
      <c r="B3346" s="2"/>
      <c r="C3346" s="2"/>
      <c r="D3346" s="4"/>
    </row>
    <row r="3347" spans="1:4" ht="18.75" customHeight="1" x14ac:dyDescent="0.25">
      <c r="A3347" s="2"/>
      <c r="B3347" s="2"/>
      <c r="C3347" s="2"/>
      <c r="D3347" s="4"/>
    </row>
    <row r="3348" spans="1:4" ht="18.75" customHeight="1" x14ac:dyDescent="0.25">
      <c r="A3348" s="2"/>
      <c r="B3348" s="2"/>
      <c r="C3348" s="2"/>
      <c r="D3348" s="4"/>
    </row>
    <row r="3349" spans="1:4" ht="18.75" customHeight="1" x14ac:dyDescent="0.25">
      <c r="A3349" s="2"/>
      <c r="B3349" s="2"/>
      <c r="C3349" s="2"/>
      <c r="D3349" s="4"/>
    </row>
    <row r="3350" spans="1:4" ht="18.75" customHeight="1" x14ac:dyDescent="0.25">
      <c r="A3350" s="2"/>
      <c r="B3350" s="2"/>
      <c r="C3350" s="2"/>
      <c r="D3350" s="4"/>
    </row>
    <row r="3351" spans="1:4" ht="18.75" customHeight="1" x14ac:dyDescent="0.25">
      <c r="A3351" s="2"/>
      <c r="B3351" s="2"/>
      <c r="C3351" s="2"/>
      <c r="D3351" s="4"/>
    </row>
    <row r="3352" spans="1:4" ht="18.75" customHeight="1" x14ac:dyDescent="0.25">
      <c r="A3352" s="2"/>
      <c r="B3352" s="2"/>
      <c r="C3352" s="2"/>
      <c r="D3352" s="4"/>
    </row>
    <row r="3353" spans="1:4" ht="18.75" customHeight="1" x14ac:dyDescent="0.25">
      <c r="A3353" s="2"/>
      <c r="B3353" s="2"/>
      <c r="C3353" s="2"/>
      <c r="D3353" s="4"/>
    </row>
    <row r="3354" spans="1:4" ht="18.75" customHeight="1" x14ac:dyDescent="0.25">
      <c r="A3354" s="2"/>
      <c r="B3354" s="2"/>
      <c r="C3354" s="2"/>
      <c r="D3354" s="4"/>
    </row>
    <row r="3355" spans="1:4" ht="18.75" customHeight="1" x14ac:dyDescent="0.25">
      <c r="A3355" s="2"/>
      <c r="B3355" s="2"/>
      <c r="C3355" s="2"/>
      <c r="D3355" s="4"/>
    </row>
    <row r="3356" spans="1:4" ht="18.75" customHeight="1" x14ac:dyDescent="0.25">
      <c r="A3356" s="2"/>
      <c r="B3356" s="2"/>
      <c r="C3356" s="2"/>
      <c r="D3356" s="4"/>
    </row>
    <row r="3357" spans="1:4" ht="18.75" customHeight="1" x14ac:dyDescent="0.25">
      <c r="A3357" s="2"/>
      <c r="B3357" s="2"/>
      <c r="C3357" s="2"/>
      <c r="D3357" s="4"/>
    </row>
    <row r="3358" spans="1:4" ht="18.75" customHeight="1" x14ac:dyDescent="0.25">
      <c r="A3358" s="2"/>
      <c r="B3358" s="2"/>
      <c r="C3358" s="2"/>
      <c r="D3358" s="4"/>
    </row>
    <row r="3359" spans="1:4" ht="18.75" customHeight="1" x14ac:dyDescent="0.25">
      <c r="A3359" s="2"/>
      <c r="B3359" s="2"/>
      <c r="C3359" s="2"/>
      <c r="D3359" s="4"/>
    </row>
    <row r="3360" spans="1:4" ht="18.75" customHeight="1" x14ac:dyDescent="0.25">
      <c r="A3360" s="2"/>
      <c r="B3360" s="2"/>
      <c r="C3360" s="2"/>
      <c r="D3360" s="4"/>
    </row>
    <row r="3361" spans="1:4" ht="18.75" customHeight="1" x14ac:dyDescent="0.25">
      <c r="A3361" s="2"/>
      <c r="B3361" s="2"/>
      <c r="C3361" s="2"/>
      <c r="D3361" s="4"/>
    </row>
    <row r="3362" spans="1:4" ht="18.75" customHeight="1" x14ac:dyDescent="0.25">
      <c r="A3362" s="2"/>
      <c r="B3362" s="2"/>
      <c r="C3362" s="2"/>
      <c r="D3362" s="4"/>
    </row>
    <row r="3363" spans="1:4" ht="18.75" customHeight="1" x14ac:dyDescent="0.25">
      <c r="A3363" s="2"/>
      <c r="B3363" s="2"/>
      <c r="C3363" s="2"/>
      <c r="D3363" s="4"/>
    </row>
    <row r="3364" spans="1:4" ht="18.75" customHeight="1" x14ac:dyDescent="0.25">
      <c r="A3364" s="2"/>
      <c r="B3364" s="2"/>
      <c r="C3364" s="2"/>
      <c r="D3364" s="4"/>
    </row>
    <row r="3365" spans="1:4" ht="18.75" customHeight="1" x14ac:dyDescent="0.25">
      <c r="A3365" s="2"/>
      <c r="B3365" s="2"/>
      <c r="C3365" s="2"/>
      <c r="D3365" s="4"/>
    </row>
    <row r="3366" spans="1:4" ht="18.75" customHeight="1" x14ac:dyDescent="0.25">
      <c r="A3366" s="2"/>
      <c r="B3366" s="2"/>
      <c r="C3366" s="2"/>
      <c r="D3366" s="4"/>
    </row>
    <row r="3367" spans="1:4" ht="18.75" customHeight="1" x14ac:dyDescent="0.25">
      <c r="A3367" s="2"/>
      <c r="B3367" s="2"/>
      <c r="C3367" s="2"/>
      <c r="D3367" s="4"/>
    </row>
  </sheetData>
  <autoFilter ref="A1:D3367" xr:uid="{00000000-0009-0000-0000-000000000000}"/>
  <conditionalFormatting sqref="A2:D3364">
    <cfRule type="expression" dxfId="3" priority="6">
      <formula>#REF!=MAX(#REF!)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385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9.5" customWidth="1"/>
    <col min="2" max="2" width="12.625" customWidth="1"/>
    <col min="3" max="3" width="15.125" customWidth="1"/>
    <col min="4" max="4" width="70.125" customWidth="1"/>
    <col min="5" max="6" width="12.625" customWidth="1"/>
    <col min="7" max="7" width="5.125" customWidth="1"/>
  </cols>
  <sheetData>
    <row r="1" spans="1:7" ht="33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6" t="s">
        <v>6</v>
      </c>
    </row>
    <row r="2" spans="1:7" ht="18.75" customHeight="1" x14ac:dyDescent="0.2">
      <c r="A2" s="8" t="s">
        <v>7</v>
      </c>
      <c r="B2" s="9">
        <v>49188</v>
      </c>
      <c r="C2" s="9">
        <v>5902557376650</v>
      </c>
      <c r="D2" s="10" t="s">
        <v>8</v>
      </c>
      <c r="E2" s="9">
        <v>46</v>
      </c>
      <c r="F2" s="11">
        <v>45321</v>
      </c>
      <c r="G2" s="8"/>
    </row>
    <row r="3" spans="1:7" ht="18.75" customHeight="1" x14ac:dyDescent="0.2">
      <c r="A3" s="8" t="s">
        <v>9</v>
      </c>
      <c r="B3" s="9">
        <v>49033</v>
      </c>
      <c r="C3" s="9">
        <v>5902557376759</v>
      </c>
      <c r="D3" s="10" t="s">
        <v>10</v>
      </c>
      <c r="E3" s="9">
        <v>46</v>
      </c>
      <c r="F3" s="11">
        <v>45575</v>
      </c>
      <c r="G3" s="8"/>
    </row>
    <row r="4" spans="1:7" ht="18.75" customHeight="1" x14ac:dyDescent="0.2">
      <c r="A4" s="8" t="s">
        <v>11</v>
      </c>
      <c r="B4" s="9">
        <v>42177</v>
      </c>
      <c r="C4" s="9">
        <v>5902557357444</v>
      </c>
      <c r="D4" s="10" t="s">
        <v>12</v>
      </c>
      <c r="E4" s="9">
        <v>46</v>
      </c>
      <c r="F4" s="11">
        <v>45265</v>
      </c>
      <c r="G4" s="8"/>
    </row>
    <row r="5" spans="1:7" ht="18.75" customHeight="1" x14ac:dyDescent="0.2">
      <c r="A5" s="8" t="s">
        <v>13</v>
      </c>
      <c r="B5" s="9">
        <v>42176</v>
      </c>
      <c r="C5" s="9">
        <v>5902557357437</v>
      </c>
      <c r="D5" s="10" t="s">
        <v>14</v>
      </c>
      <c r="E5" s="9">
        <v>38</v>
      </c>
      <c r="F5" s="11">
        <v>45546</v>
      </c>
      <c r="G5" s="8"/>
    </row>
    <row r="6" spans="1:7" ht="18.75" customHeight="1" x14ac:dyDescent="0.2">
      <c r="A6" s="8" t="s">
        <v>15</v>
      </c>
      <c r="B6" s="9">
        <v>33426</v>
      </c>
      <c r="C6" s="9">
        <v>5902557377169</v>
      </c>
      <c r="D6" s="10" t="s">
        <v>16</v>
      </c>
      <c r="E6" s="9">
        <v>46</v>
      </c>
      <c r="F6" s="11">
        <v>45265</v>
      </c>
      <c r="G6" s="8"/>
    </row>
    <row r="7" spans="1:7" ht="18.75" customHeight="1" x14ac:dyDescent="0.2">
      <c r="A7" s="8" t="s">
        <v>17</v>
      </c>
      <c r="B7" s="9">
        <v>49341</v>
      </c>
      <c r="C7" s="9">
        <v>5902557377039</v>
      </c>
      <c r="D7" s="10" t="s">
        <v>18</v>
      </c>
      <c r="E7" s="9">
        <v>47</v>
      </c>
      <c r="F7" s="11">
        <v>45490</v>
      </c>
      <c r="G7" s="8"/>
    </row>
    <row r="8" spans="1:7" ht="18.75" customHeight="1" x14ac:dyDescent="0.2">
      <c r="A8" s="8" t="s">
        <v>19</v>
      </c>
      <c r="B8" s="9">
        <v>42399</v>
      </c>
      <c r="C8" s="9">
        <v>5902557359059</v>
      </c>
      <c r="D8" s="10" t="s">
        <v>20</v>
      </c>
      <c r="E8" s="9">
        <v>46</v>
      </c>
      <c r="F8" s="11">
        <v>45265</v>
      </c>
      <c r="G8" s="8"/>
    </row>
    <row r="9" spans="1:7" ht="18.75" customHeight="1" x14ac:dyDescent="0.2">
      <c r="A9" s="8" t="s">
        <v>21</v>
      </c>
      <c r="B9" s="9">
        <v>49340</v>
      </c>
      <c r="C9" s="9">
        <v>5902557377152</v>
      </c>
      <c r="D9" s="10" t="s">
        <v>22</v>
      </c>
      <c r="E9" s="9">
        <v>58</v>
      </c>
      <c r="F9" s="11">
        <v>45265</v>
      </c>
      <c r="G9" s="8"/>
    </row>
    <row r="10" spans="1:7" ht="18.75" customHeight="1" x14ac:dyDescent="0.2">
      <c r="A10" s="8" t="s">
        <v>23</v>
      </c>
      <c r="B10" s="9">
        <v>14845</v>
      </c>
      <c r="C10" s="9">
        <v>5902557341375</v>
      </c>
      <c r="D10" s="10" t="s">
        <v>24</v>
      </c>
      <c r="E10" s="9">
        <v>47</v>
      </c>
      <c r="F10" s="11">
        <v>45552</v>
      </c>
      <c r="G10" s="8"/>
    </row>
    <row r="11" spans="1:7" ht="18.75" customHeight="1" x14ac:dyDescent="0.2">
      <c r="A11" s="8" t="s">
        <v>25</v>
      </c>
      <c r="B11" s="9">
        <v>49496</v>
      </c>
      <c r="C11" s="9">
        <v>5902557378074</v>
      </c>
      <c r="D11" s="10" t="s">
        <v>26</v>
      </c>
      <c r="E11" s="9">
        <v>18</v>
      </c>
      <c r="F11" s="11">
        <v>45265</v>
      </c>
      <c r="G11" s="8"/>
    </row>
    <row r="12" spans="1:7" ht="18.75" customHeight="1" x14ac:dyDescent="0.2">
      <c r="A12" s="8" t="s">
        <v>27</v>
      </c>
      <c r="B12" s="9">
        <v>49494</v>
      </c>
      <c r="C12" s="9">
        <v>5902557378081</v>
      </c>
      <c r="D12" s="10" t="s">
        <v>28</v>
      </c>
      <c r="E12" s="9">
        <v>18</v>
      </c>
      <c r="F12" s="11">
        <v>45265</v>
      </c>
      <c r="G12" s="8"/>
    </row>
    <row r="13" spans="1:7" ht="18.75" customHeight="1" x14ac:dyDescent="0.2">
      <c r="A13" s="8" t="s">
        <v>29</v>
      </c>
      <c r="B13" s="9"/>
      <c r="C13" s="9">
        <v>5902557328550</v>
      </c>
      <c r="D13" s="10" t="s">
        <v>30</v>
      </c>
      <c r="E13" s="9">
        <v>26</v>
      </c>
      <c r="F13" s="11">
        <v>45265</v>
      </c>
      <c r="G13" s="8"/>
    </row>
    <row r="14" spans="1:7" ht="18.75" customHeight="1" x14ac:dyDescent="0.2">
      <c r="A14" s="8" t="s">
        <v>31</v>
      </c>
      <c r="B14" s="9">
        <v>44588</v>
      </c>
      <c r="C14" s="9">
        <v>5902557368679</v>
      </c>
      <c r="D14" s="10" t="s">
        <v>32</v>
      </c>
      <c r="E14" s="9">
        <v>68</v>
      </c>
      <c r="F14" s="11">
        <v>45265</v>
      </c>
      <c r="G14" s="8"/>
    </row>
    <row r="15" spans="1:7" ht="18.75" customHeight="1" x14ac:dyDescent="0.2">
      <c r="A15" s="8" t="s">
        <v>33</v>
      </c>
      <c r="B15" s="9">
        <v>44990</v>
      </c>
      <c r="C15" s="9">
        <v>5902557370375</v>
      </c>
      <c r="D15" s="10" t="s">
        <v>34</v>
      </c>
      <c r="E15" s="9">
        <v>77</v>
      </c>
      <c r="F15" s="11">
        <v>45265</v>
      </c>
      <c r="G15" s="8"/>
    </row>
    <row r="16" spans="1:7" ht="18.75" customHeight="1" x14ac:dyDescent="0.2">
      <c r="A16" s="8" t="s">
        <v>35</v>
      </c>
      <c r="B16" s="9">
        <v>44998</v>
      </c>
      <c r="C16" s="9">
        <v>5902557370368</v>
      </c>
      <c r="D16" s="10" t="s">
        <v>36</v>
      </c>
      <c r="E16" s="9">
        <v>62</v>
      </c>
      <c r="F16" s="11">
        <v>45265</v>
      </c>
      <c r="G16" s="8"/>
    </row>
    <row r="17" spans="1:7" ht="18.75" customHeight="1" x14ac:dyDescent="0.2">
      <c r="A17" s="8" t="s">
        <v>37</v>
      </c>
      <c r="B17" s="9">
        <v>44904</v>
      </c>
      <c r="C17" s="9">
        <v>5902557373680</v>
      </c>
      <c r="D17" s="10" t="s">
        <v>38</v>
      </c>
      <c r="E17" s="9">
        <v>103</v>
      </c>
      <c r="F17" s="11">
        <v>45265</v>
      </c>
      <c r="G17" s="8"/>
    </row>
    <row r="18" spans="1:7" ht="18.75" customHeight="1" x14ac:dyDescent="0.2">
      <c r="A18" s="8" t="s">
        <v>39</v>
      </c>
      <c r="B18" s="9">
        <v>44587</v>
      </c>
      <c r="C18" s="9">
        <v>5902557368686</v>
      </c>
      <c r="D18" s="10" t="s">
        <v>40</v>
      </c>
      <c r="E18" s="9">
        <v>101</v>
      </c>
      <c r="F18" s="11">
        <v>45265</v>
      </c>
      <c r="G18" s="8"/>
    </row>
    <row r="19" spans="1:7" ht="18.75" customHeight="1" x14ac:dyDescent="0.2">
      <c r="A19" s="8" t="s">
        <v>41</v>
      </c>
      <c r="B19" s="9">
        <v>44586</v>
      </c>
      <c r="C19" s="9">
        <v>5902557368662</v>
      </c>
      <c r="D19" s="10" t="s">
        <v>42</v>
      </c>
      <c r="E19" s="9">
        <v>68</v>
      </c>
      <c r="F19" s="11">
        <v>45265</v>
      </c>
      <c r="G19" s="8"/>
    </row>
    <row r="20" spans="1:7" ht="18.75" customHeight="1" x14ac:dyDescent="0.2">
      <c r="A20" s="8" t="s">
        <v>43</v>
      </c>
      <c r="B20" s="9">
        <v>44622</v>
      </c>
      <c r="C20" s="9">
        <v>5902557369362</v>
      </c>
      <c r="D20" s="10" t="s">
        <v>44</v>
      </c>
      <c r="E20" s="9">
        <v>74</v>
      </c>
      <c r="F20" s="11">
        <v>45265</v>
      </c>
      <c r="G20" s="8"/>
    </row>
    <row r="21" spans="1:7" ht="18.75" customHeight="1" x14ac:dyDescent="0.2">
      <c r="A21" s="8" t="s">
        <v>45</v>
      </c>
      <c r="B21" s="9">
        <v>44624</v>
      </c>
      <c r="C21" s="9">
        <v>5902557369355</v>
      </c>
      <c r="D21" s="10" t="s">
        <v>46</v>
      </c>
      <c r="E21" s="9">
        <v>57</v>
      </c>
      <c r="F21" s="11">
        <v>45265</v>
      </c>
      <c r="G21" s="8"/>
    </row>
    <row r="22" spans="1:7" ht="18.75" customHeight="1" x14ac:dyDescent="0.2">
      <c r="A22" s="8" t="s">
        <v>47</v>
      </c>
      <c r="B22" s="9">
        <v>44621</v>
      </c>
      <c r="C22" s="9">
        <v>5902557369249</v>
      </c>
      <c r="D22" s="10" t="s">
        <v>48</v>
      </c>
      <c r="E22" s="9">
        <v>128</v>
      </c>
      <c r="F22" s="11">
        <v>45265</v>
      </c>
      <c r="G22" s="8"/>
    </row>
    <row r="23" spans="1:7" ht="18.75" customHeight="1" x14ac:dyDescent="0.2">
      <c r="A23" s="8" t="s">
        <v>49</v>
      </c>
      <c r="B23" s="9">
        <v>44623</v>
      </c>
      <c r="C23" s="9">
        <v>5902557369232</v>
      </c>
      <c r="D23" s="10" t="s">
        <v>50</v>
      </c>
      <c r="E23" s="9">
        <v>80</v>
      </c>
      <c r="F23" s="11">
        <v>45265</v>
      </c>
      <c r="G23" s="8"/>
    </row>
    <row r="24" spans="1:7" ht="18.75" customHeight="1" x14ac:dyDescent="0.2">
      <c r="A24" s="8" t="s">
        <v>51</v>
      </c>
      <c r="B24" s="9">
        <v>45050</v>
      </c>
      <c r="C24" s="9">
        <v>5902557370382</v>
      </c>
      <c r="D24" s="10" t="s">
        <v>52</v>
      </c>
      <c r="E24" s="9">
        <v>83</v>
      </c>
      <c r="F24" s="11">
        <v>45265</v>
      </c>
      <c r="G24" s="8"/>
    </row>
    <row r="25" spans="1:7" ht="18.75" customHeight="1" x14ac:dyDescent="0.2">
      <c r="A25" s="8" t="s">
        <v>53</v>
      </c>
      <c r="B25" s="9">
        <v>44625</v>
      </c>
      <c r="C25" s="9">
        <v>5902557369324</v>
      </c>
      <c r="D25" s="10" t="s">
        <v>54</v>
      </c>
      <c r="E25" s="9">
        <v>88</v>
      </c>
      <c r="F25" s="11">
        <v>45343</v>
      </c>
      <c r="G25" s="8"/>
    </row>
    <row r="26" spans="1:7" ht="18.75" customHeight="1" x14ac:dyDescent="0.2">
      <c r="A26" s="9" t="s">
        <v>55</v>
      </c>
      <c r="B26" s="9">
        <v>53894</v>
      </c>
      <c r="C26" s="8">
        <v>5906366002724</v>
      </c>
      <c r="D26" s="10" t="s">
        <v>56</v>
      </c>
      <c r="E26" s="9">
        <v>61</v>
      </c>
      <c r="F26" s="11">
        <v>45562</v>
      </c>
      <c r="G26" s="8"/>
    </row>
    <row r="27" spans="1:7" ht="18.75" customHeight="1" x14ac:dyDescent="0.2">
      <c r="A27" s="8" t="s">
        <v>57</v>
      </c>
      <c r="B27" s="9">
        <v>52106</v>
      </c>
      <c r="C27" s="8">
        <v>5902557391905</v>
      </c>
      <c r="D27" s="10" t="s">
        <v>58</v>
      </c>
      <c r="E27" s="9">
        <v>64</v>
      </c>
      <c r="F27" s="12">
        <v>45266</v>
      </c>
      <c r="G27" s="8"/>
    </row>
    <row r="28" spans="1:7" ht="18.75" customHeight="1" x14ac:dyDescent="0.2">
      <c r="A28" s="9" t="s">
        <v>59</v>
      </c>
      <c r="B28" s="9">
        <v>53893</v>
      </c>
      <c r="C28" s="8">
        <v>5906366002731</v>
      </c>
      <c r="D28" s="10" t="s">
        <v>60</v>
      </c>
      <c r="E28" s="9">
        <v>66</v>
      </c>
      <c r="F28" s="11">
        <v>45642</v>
      </c>
      <c r="G28" s="8"/>
    </row>
    <row r="29" spans="1:7" ht="18.75" customHeight="1" x14ac:dyDescent="0.2">
      <c r="A29" s="8" t="s">
        <v>61</v>
      </c>
      <c r="B29" s="9">
        <v>52105</v>
      </c>
      <c r="C29" s="8">
        <v>5902557391912</v>
      </c>
      <c r="D29" s="10" t="s">
        <v>62</v>
      </c>
      <c r="E29" s="9">
        <v>64</v>
      </c>
      <c r="F29" s="12">
        <v>45266</v>
      </c>
      <c r="G29" s="8"/>
    </row>
    <row r="30" spans="1:7" ht="18.75" customHeight="1" x14ac:dyDescent="0.2">
      <c r="A30" s="8" t="s">
        <v>63</v>
      </c>
      <c r="B30" s="9">
        <v>45255</v>
      </c>
      <c r="C30" s="9">
        <v>5902557370023</v>
      </c>
      <c r="D30" s="10" t="s">
        <v>64</v>
      </c>
      <c r="E30" s="9">
        <v>95</v>
      </c>
      <c r="F30" s="11">
        <v>45443</v>
      </c>
      <c r="G30" s="8"/>
    </row>
    <row r="31" spans="1:7" ht="18.75" customHeight="1" x14ac:dyDescent="0.2">
      <c r="A31" s="8" t="s">
        <v>65</v>
      </c>
      <c r="B31" s="9">
        <v>37974</v>
      </c>
      <c r="C31" s="9">
        <v>5902557349692</v>
      </c>
      <c r="D31" s="10" t="s">
        <v>66</v>
      </c>
      <c r="E31" s="9">
        <v>95</v>
      </c>
      <c r="F31" s="11">
        <v>45357</v>
      </c>
      <c r="G31" s="8"/>
    </row>
    <row r="32" spans="1:7" ht="18.75" customHeight="1" x14ac:dyDescent="0.2">
      <c r="A32" s="8" t="s">
        <v>67</v>
      </c>
      <c r="B32" s="9">
        <v>43229</v>
      </c>
      <c r="C32" s="9">
        <v>5902557364084</v>
      </c>
      <c r="D32" s="10" t="s">
        <v>68</v>
      </c>
      <c r="E32" s="9">
        <v>113</v>
      </c>
      <c r="F32" s="11">
        <v>45265</v>
      </c>
      <c r="G32" s="8"/>
    </row>
    <row r="33" spans="1:7" ht="18.75" customHeight="1" x14ac:dyDescent="0.2">
      <c r="A33" s="8" t="s">
        <v>69</v>
      </c>
      <c r="B33" s="9">
        <v>46471</v>
      </c>
      <c r="C33" s="9">
        <v>5902557375554</v>
      </c>
      <c r="D33" s="10" t="s">
        <v>70</v>
      </c>
      <c r="E33" s="9">
        <v>92</v>
      </c>
      <c r="F33" s="11">
        <v>45357</v>
      </c>
      <c r="G33" s="8"/>
    </row>
    <row r="34" spans="1:7" ht="18.75" customHeight="1" x14ac:dyDescent="0.2">
      <c r="A34" s="8" t="s">
        <v>71</v>
      </c>
      <c r="B34" s="9">
        <v>24178</v>
      </c>
      <c r="C34" s="9">
        <v>5902557332908</v>
      </c>
      <c r="D34" s="10" t="s">
        <v>72</v>
      </c>
      <c r="E34" s="9">
        <v>74</v>
      </c>
      <c r="F34" s="11">
        <v>45357</v>
      </c>
      <c r="G34" s="8"/>
    </row>
    <row r="35" spans="1:7" ht="18.75" customHeight="1" x14ac:dyDescent="0.2">
      <c r="A35" s="8" t="s">
        <v>73</v>
      </c>
      <c r="B35" s="9">
        <v>35384</v>
      </c>
      <c r="C35" s="9">
        <v>5902557344826</v>
      </c>
      <c r="D35" s="10" t="s">
        <v>74</v>
      </c>
      <c r="E35" s="9">
        <v>92</v>
      </c>
      <c r="F35" s="11">
        <v>45293</v>
      </c>
      <c r="G35" s="8"/>
    </row>
    <row r="36" spans="1:7" ht="18.75" customHeight="1" x14ac:dyDescent="0.2">
      <c r="A36" s="8" t="s">
        <v>75</v>
      </c>
      <c r="B36" s="9">
        <v>51422</v>
      </c>
      <c r="C36" s="9">
        <v>5902557391707</v>
      </c>
      <c r="D36" s="10" t="s">
        <v>76</v>
      </c>
      <c r="E36" s="9">
        <v>104</v>
      </c>
      <c r="F36" s="11">
        <v>45265</v>
      </c>
      <c r="G36" s="8"/>
    </row>
    <row r="37" spans="1:7" ht="18.75" customHeight="1" x14ac:dyDescent="0.2">
      <c r="A37" s="8" t="s">
        <v>77</v>
      </c>
      <c r="B37" s="9">
        <v>44671</v>
      </c>
      <c r="C37" s="9">
        <v>5902557366798</v>
      </c>
      <c r="D37" s="10" t="s">
        <v>78</v>
      </c>
      <c r="E37" s="9">
        <v>92</v>
      </c>
      <c r="F37" s="11">
        <v>45293</v>
      </c>
      <c r="G37" s="8"/>
    </row>
    <row r="38" spans="1:7" ht="18.75" customHeight="1" x14ac:dyDescent="0.2">
      <c r="A38" s="8" t="s">
        <v>79</v>
      </c>
      <c r="B38" s="9">
        <v>35385</v>
      </c>
      <c r="C38" s="9">
        <v>5902557345335</v>
      </c>
      <c r="D38" s="10" t="s">
        <v>80</v>
      </c>
      <c r="E38" s="9">
        <v>92</v>
      </c>
      <c r="F38" s="11">
        <v>45293</v>
      </c>
      <c r="G38" s="8"/>
    </row>
    <row r="39" spans="1:7" ht="18.75" customHeight="1" x14ac:dyDescent="0.2">
      <c r="A39" s="8" t="s">
        <v>81</v>
      </c>
      <c r="B39" s="9">
        <v>44954</v>
      </c>
      <c r="C39" s="9">
        <v>5902557369973</v>
      </c>
      <c r="D39" s="10" t="s">
        <v>82</v>
      </c>
      <c r="E39" s="9">
        <v>104</v>
      </c>
      <c r="F39" s="11">
        <v>45337</v>
      </c>
      <c r="G39" s="8"/>
    </row>
    <row r="40" spans="1:7" ht="18.75" customHeight="1" x14ac:dyDescent="0.2">
      <c r="A40" s="8" t="s">
        <v>83</v>
      </c>
      <c r="B40" s="9">
        <v>51031</v>
      </c>
      <c r="C40" s="9">
        <v>5902557391806</v>
      </c>
      <c r="D40" s="10" t="s">
        <v>84</v>
      </c>
      <c r="E40" s="9">
        <v>53</v>
      </c>
      <c r="F40" s="11">
        <v>45265</v>
      </c>
      <c r="G40" s="8"/>
    </row>
    <row r="41" spans="1:7" ht="18.75" customHeight="1" x14ac:dyDescent="0.2">
      <c r="A41" s="8" t="s">
        <v>85</v>
      </c>
      <c r="B41" s="9">
        <v>50950</v>
      </c>
      <c r="C41" s="9">
        <v>5902557391776</v>
      </c>
      <c r="D41" s="10" t="s">
        <v>86</v>
      </c>
      <c r="E41" s="9">
        <v>48</v>
      </c>
      <c r="F41" s="11">
        <v>45265</v>
      </c>
      <c r="G41" s="8"/>
    </row>
    <row r="42" spans="1:7" ht="18.75" customHeight="1" x14ac:dyDescent="0.2">
      <c r="A42" s="8" t="s">
        <v>87</v>
      </c>
      <c r="B42" s="9">
        <v>50954</v>
      </c>
      <c r="C42" s="9">
        <v>5902557391783</v>
      </c>
      <c r="D42" s="10" t="s">
        <v>88</v>
      </c>
      <c r="E42" s="9">
        <v>51</v>
      </c>
      <c r="F42" s="11">
        <v>45265</v>
      </c>
      <c r="G42" s="8"/>
    </row>
    <row r="43" spans="1:7" ht="18.75" customHeight="1" x14ac:dyDescent="0.2">
      <c r="A43" s="8" t="s">
        <v>89</v>
      </c>
      <c r="B43" s="9">
        <v>50953</v>
      </c>
      <c r="C43" s="9">
        <v>5902557391790</v>
      </c>
      <c r="D43" s="10" t="s">
        <v>90</v>
      </c>
      <c r="E43" s="9">
        <v>62</v>
      </c>
      <c r="F43" s="11">
        <v>45265</v>
      </c>
      <c r="G43" s="8"/>
    </row>
    <row r="44" spans="1:7" ht="18.75" customHeight="1" x14ac:dyDescent="0.2">
      <c r="A44" s="8" t="s">
        <v>91</v>
      </c>
      <c r="B44" s="9">
        <v>54090</v>
      </c>
      <c r="C44" s="8">
        <v>5906366008733</v>
      </c>
      <c r="D44" s="10" t="s">
        <v>92</v>
      </c>
      <c r="E44" s="9">
        <v>59</v>
      </c>
      <c r="F44" s="11">
        <v>45618</v>
      </c>
      <c r="G44" s="8"/>
    </row>
    <row r="45" spans="1:7" ht="18.75" customHeight="1" x14ac:dyDescent="0.2">
      <c r="A45" s="9" t="s">
        <v>93</v>
      </c>
      <c r="B45" s="9">
        <v>53886</v>
      </c>
      <c r="C45" s="8">
        <v>5906366006845</v>
      </c>
      <c r="D45" s="10" t="s">
        <v>94</v>
      </c>
      <c r="E45" s="9">
        <v>63</v>
      </c>
      <c r="F45" s="11">
        <v>45562</v>
      </c>
      <c r="G45" s="8"/>
    </row>
    <row r="46" spans="1:7" ht="18.75" customHeight="1" x14ac:dyDescent="0.2">
      <c r="A46" s="8" t="s">
        <v>95</v>
      </c>
      <c r="B46" s="9">
        <v>51025</v>
      </c>
      <c r="C46" s="9">
        <v>5902557391813</v>
      </c>
      <c r="D46" s="10" t="s">
        <v>96</v>
      </c>
      <c r="E46" s="9">
        <v>63</v>
      </c>
      <c r="F46" s="11">
        <v>45679</v>
      </c>
      <c r="G46" s="8"/>
    </row>
    <row r="47" spans="1:7" ht="18.75" customHeight="1" x14ac:dyDescent="0.2">
      <c r="A47" s="8" t="s">
        <v>97</v>
      </c>
      <c r="B47" s="9">
        <v>50949</v>
      </c>
      <c r="C47" s="9">
        <v>5902557391820</v>
      </c>
      <c r="D47" s="10" t="s">
        <v>98</v>
      </c>
      <c r="E47" s="9">
        <v>62</v>
      </c>
      <c r="F47" s="11">
        <v>45357</v>
      </c>
      <c r="G47" s="8"/>
    </row>
    <row r="48" spans="1:7" ht="18.75" customHeight="1" x14ac:dyDescent="0.2">
      <c r="A48" s="8" t="s">
        <v>99</v>
      </c>
      <c r="B48" s="9">
        <v>51085</v>
      </c>
      <c r="C48" s="9">
        <v>5902557391837</v>
      </c>
      <c r="D48" s="10" t="s">
        <v>100</v>
      </c>
      <c r="E48" s="9">
        <v>62</v>
      </c>
      <c r="F48" s="11">
        <v>45337</v>
      </c>
      <c r="G48" s="8"/>
    </row>
    <row r="49" spans="1:7" ht="18.75" customHeight="1" x14ac:dyDescent="0.2">
      <c r="A49" s="8" t="s">
        <v>101</v>
      </c>
      <c r="B49" s="9">
        <v>44598</v>
      </c>
      <c r="C49" s="9">
        <v>5902557368907</v>
      </c>
      <c r="D49" s="10" t="s">
        <v>102</v>
      </c>
      <c r="E49" s="9">
        <v>74</v>
      </c>
      <c r="F49" s="11">
        <v>45343</v>
      </c>
      <c r="G49" s="8"/>
    </row>
    <row r="50" spans="1:7" ht="18.75" customHeight="1" x14ac:dyDescent="0.2">
      <c r="A50" s="8" t="s">
        <v>103</v>
      </c>
      <c r="B50" s="9">
        <v>44602</v>
      </c>
      <c r="C50" s="9">
        <v>5902557368822</v>
      </c>
      <c r="D50" s="10" t="s">
        <v>104</v>
      </c>
      <c r="E50" s="9">
        <v>60</v>
      </c>
      <c r="F50" s="11">
        <v>45406</v>
      </c>
      <c r="G50" s="8"/>
    </row>
    <row r="51" spans="1:7" ht="18.75" customHeight="1" x14ac:dyDescent="0.2">
      <c r="A51" s="8" t="s">
        <v>105</v>
      </c>
      <c r="B51" s="9">
        <v>44601</v>
      </c>
      <c r="C51" s="9">
        <v>5902557368860</v>
      </c>
      <c r="D51" s="10" t="s">
        <v>106</v>
      </c>
      <c r="E51" s="9">
        <v>75</v>
      </c>
      <c r="F51" s="11">
        <v>45644</v>
      </c>
      <c r="G51" s="8"/>
    </row>
    <row r="52" spans="1:7" ht="18.75" customHeight="1" x14ac:dyDescent="0.2">
      <c r="A52" s="8" t="s">
        <v>107</v>
      </c>
      <c r="B52" s="9">
        <v>51072</v>
      </c>
      <c r="C52" s="9">
        <v>5902557392919</v>
      </c>
      <c r="D52" s="10" t="s">
        <v>108</v>
      </c>
      <c r="E52" s="9">
        <v>55</v>
      </c>
      <c r="F52" s="11">
        <v>45265</v>
      </c>
      <c r="G52" s="8"/>
    </row>
    <row r="53" spans="1:7" ht="18.75" customHeight="1" x14ac:dyDescent="0.2">
      <c r="A53" s="8" t="s">
        <v>109</v>
      </c>
      <c r="B53" s="9">
        <v>54277</v>
      </c>
      <c r="C53" s="8">
        <v>5906366007767</v>
      </c>
      <c r="D53" s="10" t="s">
        <v>110</v>
      </c>
      <c r="E53" s="9">
        <v>56</v>
      </c>
      <c r="F53" s="11">
        <v>45644</v>
      </c>
      <c r="G53" s="8"/>
    </row>
    <row r="54" spans="1:7" ht="18.75" customHeight="1" x14ac:dyDescent="0.2">
      <c r="A54" s="8" t="s">
        <v>111</v>
      </c>
      <c r="B54" s="9">
        <v>44663</v>
      </c>
      <c r="C54" s="9">
        <v>5902557369034</v>
      </c>
      <c r="D54" s="10" t="s">
        <v>112</v>
      </c>
      <c r="E54" s="9">
        <v>69</v>
      </c>
      <c r="F54" s="11">
        <v>45265</v>
      </c>
      <c r="G54" s="8"/>
    </row>
    <row r="55" spans="1:7" ht="18.75" customHeight="1" x14ac:dyDescent="0.2">
      <c r="A55" s="8" t="s">
        <v>113</v>
      </c>
      <c r="B55" s="9">
        <v>51094</v>
      </c>
      <c r="C55" s="9">
        <v>5902557392964</v>
      </c>
      <c r="D55" s="10" t="s">
        <v>114</v>
      </c>
      <c r="E55" s="9">
        <v>70</v>
      </c>
      <c r="F55" s="11">
        <v>45687</v>
      </c>
      <c r="G55" s="8"/>
    </row>
    <row r="56" spans="1:7" ht="18.75" customHeight="1" x14ac:dyDescent="0.2">
      <c r="A56" s="8" t="s">
        <v>115</v>
      </c>
      <c r="B56" s="9">
        <v>44647</v>
      </c>
      <c r="C56" s="9">
        <v>5902557369157</v>
      </c>
      <c r="D56" s="10" t="s">
        <v>116</v>
      </c>
      <c r="E56" s="9">
        <v>65</v>
      </c>
      <c r="F56" s="11">
        <v>45343</v>
      </c>
      <c r="G56" s="8"/>
    </row>
    <row r="57" spans="1:7" ht="18.75" customHeight="1" x14ac:dyDescent="0.2">
      <c r="A57" s="8" t="s">
        <v>117</v>
      </c>
      <c r="B57" s="9">
        <v>44646</v>
      </c>
      <c r="C57" s="9">
        <v>5902557369126</v>
      </c>
      <c r="D57" s="10" t="s">
        <v>118</v>
      </c>
      <c r="E57" s="9">
        <v>60</v>
      </c>
      <c r="F57" s="11">
        <v>45265</v>
      </c>
      <c r="G57" s="8"/>
    </row>
    <row r="58" spans="1:7" ht="18.75" customHeight="1" x14ac:dyDescent="0.2">
      <c r="A58" s="8" t="s">
        <v>119</v>
      </c>
      <c r="B58" s="9">
        <v>44651</v>
      </c>
      <c r="C58" s="9">
        <v>5902557369201</v>
      </c>
      <c r="D58" s="10" t="s">
        <v>120</v>
      </c>
      <c r="E58" s="9">
        <v>78</v>
      </c>
      <c r="F58" s="11">
        <v>45265</v>
      </c>
      <c r="G58" s="8"/>
    </row>
    <row r="59" spans="1:7" ht="18.75" customHeight="1" x14ac:dyDescent="0.2">
      <c r="A59" s="8" t="s">
        <v>121</v>
      </c>
      <c r="B59" s="9">
        <v>51088</v>
      </c>
      <c r="C59" s="9">
        <v>5902557393015</v>
      </c>
      <c r="D59" s="10" t="s">
        <v>122</v>
      </c>
      <c r="E59" s="9">
        <v>51</v>
      </c>
      <c r="F59" s="11">
        <v>45265</v>
      </c>
      <c r="G59" s="8"/>
    </row>
    <row r="60" spans="1:7" ht="18.75" customHeight="1" x14ac:dyDescent="0.2">
      <c r="A60" s="8" t="s">
        <v>123</v>
      </c>
      <c r="B60" s="9">
        <v>51318</v>
      </c>
      <c r="C60" s="9">
        <v>5902557393053</v>
      </c>
      <c r="D60" s="10" t="s">
        <v>124</v>
      </c>
      <c r="E60" s="9">
        <v>62</v>
      </c>
      <c r="F60" s="11">
        <v>45343</v>
      </c>
      <c r="G60" s="8"/>
    </row>
    <row r="61" spans="1:7" ht="18.75" customHeight="1" x14ac:dyDescent="0.2">
      <c r="A61" s="8" t="s">
        <v>125</v>
      </c>
      <c r="B61" s="9">
        <v>51090</v>
      </c>
      <c r="C61" s="9">
        <v>5902557393091</v>
      </c>
      <c r="D61" s="10" t="s">
        <v>126</v>
      </c>
      <c r="E61" s="9">
        <v>69</v>
      </c>
      <c r="F61" s="11">
        <v>45343</v>
      </c>
      <c r="G61" s="8"/>
    </row>
    <row r="62" spans="1:7" ht="18.75" customHeight="1" x14ac:dyDescent="0.2">
      <c r="A62" s="8" t="s">
        <v>127</v>
      </c>
      <c r="B62" s="9">
        <v>44626</v>
      </c>
      <c r="C62" s="9">
        <v>5902557369270</v>
      </c>
      <c r="D62" s="10" t="s">
        <v>128</v>
      </c>
      <c r="E62" s="9">
        <v>69</v>
      </c>
      <c r="F62" s="11">
        <v>45265</v>
      </c>
      <c r="G62" s="8"/>
    </row>
    <row r="63" spans="1:7" ht="18.75" customHeight="1" x14ac:dyDescent="0.2">
      <c r="A63" s="8" t="s">
        <v>129</v>
      </c>
      <c r="B63" s="9">
        <v>14102</v>
      </c>
      <c r="C63" s="9">
        <v>5902557330232</v>
      </c>
      <c r="D63" s="10" t="s">
        <v>130</v>
      </c>
      <c r="E63" s="9">
        <v>55</v>
      </c>
      <c r="F63" s="11">
        <v>45265</v>
      </c>
      <c r="G63" s="8"/>
    </row>
    <row r="64" spans="1:7" ht="18.75" customHeight="1" x14ac:dyDescent="0.2">
      <c r="A64" s="8" t="s">
        <v>131</v>
      </c>
      <c r="B64" s="9">
        <v>32609</v>
      </c>
      <c r="C64" s="9">
        <v>5902557345113</v>
      </c>
      <c r="D64" s="10" t="s">
        <v>132</v>
      </c>
      <c r="E64" s="9">
        <v>53</v>
      </c>
      <c r="F64" s="11">
        <v>45265</v>
      </c>
      <c r="G64" s="8"/>
    </row>
    <row r="65" spans="1:7" ht="18.75" customHeight="1" x14ac:dyDescent="0.2">
      <c r="A65" s="8" t="s">
        <v>133</v>
      </c>
      <c r="B65" s="9">
        <v>37963</v>
      </c>
      <c r="C65" s="9">
        <v>5902557349500</v>
      </c>
      <c r="D65" s="10" t="s">
        <v>134</v>
      </c>
      <c r="E65" s="9">
        <v>62</v>
      </c>
      <c r="F65" s="11">
        <v>45337</v>
      </c>
      <c r="G65" s="8"/>
    </row>
    <row r="66" spans="1:7" ht="18.75" customHeight="1" x14ac:dyDescent="0.2">
      <c r="A66" s="8" t="s">
        <v>135</v>
      </c>
      <c r="B66" s="9">
        <v>51030</v>
      </c>
      <c r="C66" s="9">
        <v>5902557391752</v>
      </c>
      <c r="D66" s="10" t="s">
        <v>136</v>
      </c>
      <c r="E66" s="9">
        <v>69</v>
      </c>
      <c r="F66" s="11">
        <v>45265</v>
      </c>
      <c r="G66" s="8"/>
    </row>
    <row r="67" spans="1:7" ht="18.75" customHeight="1" x14ac:dyDescent="0.2">
      <c r="A67" s="8" t="s">
        <v>137</v>
      </c>
      <c r="B67" s="9">
        <v>51432</v>
      </c>
      <c r="C67" s="9">
        <v>5902557391868</v>
      </c>
      <c r="D67" s="10" t="s">
        <v>138</v>
      </c>
      <c r="E67" s="9">
        <v>62</v>
      </c>
      <c r="F67" s="11">
        <v>45265</v>
      </c>
      <c r="G67" s="8"/>
    </row>
    <row r="68" spans="1:7" ht="18.75" customHeight="1" x14ac:dyDescent="0.2">
      <c r="A68" s="8" t="s">
        <v>139</v>
      </c>
      <c r="B68" s="9"/>
      <c r="C68" s="9">
        <v>5902557349562</v>
      </c>
      <c r="D68" s="10" t="s">
        <v>140</v>
      </c>
      <c r="E68" s="9">
        <v>60</v>
      </c>
      <c r="F68" s="11">
        <v>45265</v>
      </c>
      <c r="G68" s="8"/>
    </row>
    <row r="69" spans="1:7" ht="18.75" customHeight="1" x14ac:dyDescent="0.2">
      <c r="A69" s="8" t="s">
        <v>141</v>
      </c>
      <c r="B69" s="9">
        <v>1845</v>
      </c>
      <c r="C69" s="9">
        <v>5902557301768</v>
      </c>
      <c r="D69" s="10" t="s">
        <v>142</v>
      </c>
      <c r="E69" s="9">
        <v>39</v>
      </c>
      <c r="F69" s="11">
        <v>45265</v>
      </c>
      <c r="G69" s="8"/>
    </row>
    <row r="70" spans="1:7" ht="18.75" customHeight="1" x14ac:dyDescent="0.2">
      <c r="A70" s="8" t="s">
        <v>143</v>
      </c>
      <c r="B70" s="9"/>
      <c r="C70" s="9">
        <v>5902557342686</v>
      </c>
      <c r="D70" s="10" t="s">
        <v>144</v>
      </c>
      <c r="E70" s="9">
        <v>72</v>
      </c>
      <c r="F70" s="11">
        <v>45265</v>
      </c>
      <c r="G70" s="8"/>
    </row>
    <row r="71" spans="1:7" ht="18.75" customHeight="1" x14ac:dyDescent="0.2">
      <c r="A71" s="8" t="s">
        <v>145</v>
      </c>
      <c r="B71" s="9"/>
      <c r="C71" s="9">
        <v>5902557342747</v>
      </c>
      <c r="D71" s="10" t="s">
        <v>146</v>
      </c>
      <c r="E71" s="9">
        <v>100</v>
      </c>
      <c r="F71" s="11">
        <v>45265</v>
      </c>
      <c r="G71" s="8"/>
    </row>
    <row r="72" spans="1:7" ht="18.75" customHeight="1" x14ac:dyDescent="0.2">
      <c r="A72" s="8" t="s">
        <v>147</v>
      </c>
      <c r="B72" s="9"/>
      <c r="C72" s="9">
        <v>5902557342723</v>
      </c>
      <c r="D72" s="10" t="s">
        <v>148</v>
      </c>
      <c r="E72" s="9">
        <v>96</v>
      </c>
      <c r="F72" s="11">
        <v>45265</v>
      </c>
      <c r="G72" s="8"/>
    </row>
    <row r="73" spans="1:7" ht="18.75" customHeight="1" x14ac:dyDescent="0.2">
      <c r="A73" s="8" t="s">
        <v>149</v>
      </c>
      <c r="B73" s="9"/>
      <c r="C73" s="9"/>
      <c r="D73" s="10" t="s">
        <v>150</v>
      </c>
      <c r="E73" s="9">
        <v>114</v>
      </c>
      <c r="F73" s="11">
        <v>45265</v>
      </c>
      <c r="G73" s="8"/>
    </row>
    <row r="74" spans="1:7" ht="18.75" customHeight="1" x14ac:dyDescent="0.2">
      <c r="A74" s="13" t="s">
        <v>151</v>
      </c>
      <c r="B74" s="9">
        <v>53217</v>
      </c>
      <c r="C74" s="9">
        <v>5904310999953</v>
      </c>
      <c r="D74" s="10" t="s">
        <v>152</v>
      </c>
      <c r="E74" s="9">
        <v>193</v>
      </c>
      <c r="F74" s="11">
        <v>45439</v>
      </c>
      <c r="G74" s="8"/>
    </row>
    <row r="75" spans="1:7" ht="18.75" customHeight="1" x14ac:dyDescent="0.2">
      <c r="A75" s="13" t="s">
        <v>153</v>
      </c>
      <c r="B75" s="9">
        <v>53219</v>
      </c>
      <c r="C75" s="9">
        <v>5904310999939</v>
      </c>
      <c r="D75" s="10" t="s">
        <v>154</v>
      </c>
      <c r="E75" s="9">
        <v>222</v>
      </c>
      <c r="F75" s="11">
        <v>45439</v>
      </c>
      <c r="G75" s="8"/>
    </row>
    <row r="76" spans="1:7" ht="18.75" customHeight="1" x14ac:dyDescent="0.2">
      <c r="A76" s="8" t="s">
        <v>155</v>
      </c>
      <c r="B76" s="9">
        <v>27355</v>
      </c>
      <c r="C76" s="9">
        <v>5902557335015</v>
      </c>
      <c r="D76" s="10" t="s">
        <v>156</v>
      </c>
      <c r="E76" s="9">
        <v>107</v>
      </c>
      <c r="F76" s="11">
        <v>45265</v>
      </c>
      <c r="G76" s="8"/>
    </row>
    <row r="77" spans="1:7" ht="18.75" customHeight="1" x14ac:dyDescent="0.2">
      <c r="A77" s="8" t="s">
        <v>157</v>
      </c>
      <c r="B77" s="9">
        <v>41717</v>
      </c>
      <c r="C77" s="9">
        <v>5902557357543</v>
      </c>
      <c r="D77" s="10" t="s">
        <v>158</v>
      </c>
      <c r="E77" s="9">
        <v>121</v>
      </c>
      <c r="F77" s="11">
        <v>45467</v>
      </c>
      <c r="G77" s="8"/>
    </row>
    <row r="78" spans="1:7" ht="18.75" customHeight="1" x14ac:dyDescent="0.2">
      <c r="A78" s="8" t="s">
        <v>159</v>
      </c>
      <c r="B78" s="9">
        <v>44823</v>
      </c>
      <c r="C78" s="9">
        <v>5902557369997</v>
      </c>
      <c r="D78" s="10" t="s">
        <v>160</v>
      </c>
      <c r="E78" s="9">
        <v>141</v>
      </c>
      <c r="F78" s="11">
        <v>45736</v>
      </c>
      <c r="G78" s="8"/>
    </row>
    <row r="79" spans="1:7" ht="18.75" customHeight="1" x14ac:dyDescent="0.2">
      <c r="A79" s="8" t="s">
        <v>161</v>
      </c>
      <c r="B79" s="9">
        <v>1769</v>
      </c>
      <c r="C79" s="9">
        <v>5902557323838</v>
      </c>
      <c r="D79" s="10" t="s">
        <v>162</v>
      </c>
      <c r="E79" s="9">
        <v>35</v>
      </c>
      <c r="F79" s="11">
        <v>45645</v>
      </c>
      <c r="G79" s="8"/>
    </row>
    <row r="80" spans="1:7" ht="18.75" customHeight="1" x14ac:dyDescent="0.2">
      <c r="A80" s="8" t="s">
        <v>163</v>
      </c>
      <c r="B80" s="9">
        <v>39795</v>
      </c>
      <c r="C80" s="9">
        <v>5902557354702</v>
      </c>
      <c r="D80" s="10" t="s">
        <v>164</v>
      </c>
      <c r="E80" s="9">
        <v>46</v>
      </c>
      <c r="F80" s="11">
        <v>45300</v>
      </c>
      <c r="G80" s="8"/>
    </row>
    <row r="81" spans="1:7" ht="18.75" customHeight="1" x14ac:dyDescent="0.2">
      <c r="A81" s="8" t="s">
        <v>165</v>
      </c>
      <c r="B81" s="9">
        <v>51660</v>
      </c>
      <c r="C81" s="9">
        <v>5902557391851</v>
      </c>
      <c r="D81" s="10" t="s">
        <v>166</v>
      </c>
      <c r="E81" s="9">
        <v>70</v>
      </c>
      <c r="F81" s="11">
        <v>45729</v>
      </c>
      <c r="G81" s="8"/>
    </row>
    <row r="82" spans="1:7" ht="18.75" customHeight="1" x14ac:dyDescent="0.2">
      <c r="A82" s="8" t="s">
        <v>167</v>
      </c>
      <c r="B82" s="9">
        <v>50296</v>
      </c>
      <c r="C82" s="9">
        <v>5902557385775</v>
      </c>
      <c r="D82" s="10" t="s">
        <v>168</v>
      </c>
      <c r="E82" s="9">
        <v>69</v>
      </c>
      <c r="F82" s="11">
        <v>45337</v>
      </c>
      <c r="G82" s="8"/>
    </row>
    <row r="83" spans="1:7" ht="18.75" customHeight="1" x14ac:dyDescent="0.2">
      <c r="A83" s="8" t="s">
        <v>169</v>
      </c>
      <c r="B83" s="9">
        <v>50451</v>
      </c>
      <c r="C83" s="9">
        <v>5902557385782</v>
      </c>
      <c r="D83" s="10" t="s">
        <v>170</v>
      </c>
      <c r="E83" s="9">
        <v>67</v>
      </c>
      <c r="F83" s="11">
        <v>45372</v>
      </c>
      <c r="G83" s="8"/>
    </row>
    <row r="84" spans="1:7" ht="18.75" customHeight="1" x14ac:dyDescent="0.2">
      <c r="A84" s="8" t="s">
        <v>171</v>
      </c>
      <c r="B84" s="9">
        <v>50295</v>
      </c>
      <c r="C84" s="9">
        <v>5902557385768</v>
      </c>
      <c r="D84" s="10" t="s">
        <v>172</v>
      </c>
      <c r="E84" s="9">
        <v>79</v>
      </c>
      <c r="F84" s="11">
        <v>45357</v>
      </c>
      <c r="G84" s="8"/>
    </row>
    <row r="85" spans="1:7" ht="18.75" customHeight="1" x14ac:dyDescent="0.2">
      <c r="A85" s="8" t="s">
        <v>173</v>
      </c>
      <c r="B85" s="9">
        <v>18917</v>
      </c>
      <c r="C85" s="9">
        <v>5902557331680</v>
      </c>
      <c r="D85" s="10" t="s">
        <v>174</v>
      </c>
      <c r="E85" s="9">
        <v>116</v>
      </c>
      <c r="F85" s="11">
        <v>45372</v>
      </c>
      <c r="G85" s="8"/>
    </row>
    <row r="86" spans="1:7" ht="18.75" customHeight="1" x14ac:dyDescent="0.2">
      <c r="A86" s="8" t="s">
        <v>175</v>
      </c>
      <c r="B86" s="9">
        <v>54280</v>
      </c>
      <c r="C86" s="8">
        <v>5906366008054</v>
      </c>
      <c r="D86" s="10" t="s">
        <v>176</v>
      </c>
      <c r="E86" s="9">
        <v>68</v>
      </c>
      <c r="F86" s="11">
        <v>45644</v>
      </c>
      <c r="G86" s="8"/>
    </row>
    <row r="87" spans="1:7" ht="18.75" customHeight="1" x14ac:dyDescent="0.2">
      <c r="A87" s="8" t="s">
        <v>177</v>
      </c>
      <c r="B87" s="9">
        <v>54281</v>
      </c>
      <c r="C87" s="8">
        <v>5906366008047</v>
      </c>
      <c r="D87" s="10" t="s">
        <v>178</v>
      </c>
      <c r="E87" s="9">
        <v>61</v>
      </c>
      <c r="F87" s="11">
        <v>45644</v>
      </c>
      <c r="G87" s="8"/>
    </row>
    <row r="88" spans="1:7" ht="18.75" customHeight="1" x14ac:dyDescent="0.2">
      <c r="A88" s="8" t="s">
        <v>179</v>
      </c>
      <c r="B88" s="9">
        <v>47476</v>
      </c>
      <c r="C88" s="9">
        <v>5902557376377</v>
      </c>
      <c r="D88" s="10" t="s">
        <v>180</v>
      </c>
      <c r="E88" s="9">
        <v>54</v>
      </c>
      <c r="F88" s="11">
        <v>45538</v>
      </c>
      <c r="G88" s="8"/>
    </row>
    <row r="89" spans="1:7" ht="18.75" customHeight="1" x14ac:dyDescent="0.2">
      <c r="A89" s="8" t="s">
        <v>181</v>
      </c>
      <c r="B89" s="9">
        <v>47477</v>
      </c>
      <c r="C89" s="9">
        <v>5902557376360</v>
      </c>
      <c r="D89" s="10" t="s">
        <v>182</v>
      </c>
      <c r="E89" s="9">
        <v>48</v>
      </c>
      <c r="F89" s="11">
        <v>45321</v>
      </c>
      <c r="G89" s="8"/>
    </row>
    <row r="90" spans="1:7" ht="18.75" customHeight="1" x14ac:dyDescent="0.2">
      <c r="A90" s="8" t="s">
        <v>183</v>
      </c>
      <c r="B90" s="9">
        <v>51348</v>
      </c>
      <c r="C90" s="9">
        <v>5902557387212</v>
      </c>
      <c r="D90" s="10" t="s">
        <v>184</v>
      </c>
      <c r="E90" s="9">
        <v>70</v>
      </c>
      <c r="F90" s="11">
        <v>45679</v>
      </c>
      <c r="G90" s="8"/>
    </row>
    <row r="91" spans="1:7" ht="18.75" customHeight="1" x14ac:dyDescent="0.2">
      <c r="A91" s="8" t="s">
        <v>185</v>
      </c>
      <c r="B91" s="9">
        <v>47610</v>
      </c>
      <c r="C91" s="9">
        <v>5902557376391</v>
      </c>
      <c r="D91" s="10" t="s">
        <v>186</v>
      </c>
      <c r="E91" s="9">
        <v>59</v>
      </c>
      <c r="F91" s="11">
        <v>45581</v>
      </c>
      <c r="G91" s="8"/>
    </row>
    <row r="92" spans="1:7" ht="18.75" customHeight="1" x14ac:dyDescent="0.2">
      <c r="A92" s="8" t="s">
        <v>187</v>
      </c>
      <c r="B92" s="9">
        <v>17814</v>
      </c>
      <c r="C92" s="9">
        <v>5902557331642</v>
      </c>
      <c r="D92" s="10" t="s">
        <v>188</v>
      </c>
      <c r="E92" s="9">
        <v>111</v>
      </c>
      <c r="F92" s="11">
        <v>45265</v>
      </c>
      <c r="G92" s="8"/>
    </row>
    <row r="93" spans="1:7" ht="18.75" customHeight="1" x14ac:dyDescent="0.2">
      <c r="A93" s="8" t="s">
        <v>189</v>
      </c>
      <c r="B93" s="9">
        <v>32176</v>
      </c>
      <c r="C93" s="9">
        <v>5902557344796</v>
      </c>
      <c r="D93" s="10" t="s">
        <v>190</v>
      </c>
      <c r="E93" s="9">
        <v>104</v>
      </c>
      <c r="F93" s="11">
        <v>45265</v>
      </c>
      <c r="G93" s="8"/>
    </row>
    <row r="94" spans="1:7" ht="18.75" customHeight="1" x14ac:dyDescent="0.2">
      <c r="A94" s="8" t="s">
        <v>191</v>
      </c>
      <c r="B94" s="9">
        <v>42796</v>
      </c>
      <c r="C94" s="9">
        <v>5902557357512</v>
      </c>
      <c r="D94" s="10" t="s">
        <v>192</v>
      </c>
      <c r="E94" s="9">
        <v>63</v>
      </c>
      <c r="F94" s="11">
        <v>45562</v>
      </c>
      <c r="G94" s="8"/>
    </row>
    <row r="95" spans="1:7" ht="18.75" customHeight="1" x14ac:dyDescent="0.2">
      <c r="A95" s="8" t="s">
        <v>193</v>
      </c>
      <c r="B95" s="9">
        <v>51190</v>
      </c>
      <c r="C95" s="9">
        <v>5902557391448</v>
      </c>
      <c r="D95" s="10" t="s">
        <v>194</v>
      </c>
      <c r="E95" s="9">
        <v>56</v>
      </c>
      <c r="F95" s="11">
        <v>45387</v>
      </c>
      <c r="G95" s="8"/>
    </row>
    <row r="96" spans="1:7" ht="18.75" customHeight="1" x14ac:dyDescent="0.2">
      <c r="A96" s="8" t="s">
        <v>195</v>
      </c>
      <c r="B96" s="9">
        <v>51192</v>
      </c>
      <c r="C96" s="9">
        <v>5902557391431</v>
      </c>
      <c r="D96" s="10" t="s">
        <v>196</v>
      </c>
      <c r="E96" s="9">
        <v>64</v>
      </c>
      <c r="F96" s="11">
        <v>45265</v>
      </c>
      <c r="G96" s="8"/>
    </row>
    <row r="97" spans="1:7" ht="18.75" customHeight="1" x14ac:dyDescent="0.2">
      <c r="A97" s="8" t="s">
        <v>197</v>
      </c>
      <c r="B97" s="9">
        <v>51193</v>
      </c>
      <c r="C97" s="9">
        <v>5902557391455</v>
      </c>
      <c r="D97" s="10" t="s">
        <v>198</v>
      </c>
      <c r="E97" s="9">
        <v>47</v>
      </c>
      <c r="F97" s="11">
        <v>45645</v>
      </c>
      <c r="G97" s="8"/>
    </row>
    <row r="98" spans="1:7" ht="18.75" customHeight="1" x14ac:dyDescent="0.2">
      <c r="A98" s="8" t="s">
        <v>199</v>
      </c>
      <c r="B98" s="9">
        <v>51321</v>
      </c>
      <c r="C98" s="9">
        <v>5902557391462</v>
      </c>
      <c r="D98" s="10" t="s">
        <v>200</v>
      </c>
      <c r="E98" s="9">
        <v>93</v>
      </c>
      <c r="F98" s="11">
        <v>45418</v>
      </c>
      <c r="G98" s="8"/>
    </row>
    <row r="99" spans="1:7" ht="18.75" customHeight="1" x14ac:dyDescent="0.2">
      <c r="A99" s="8" t="s">
        <v>201</v>
      </c>
      <c r="B99" s="9">
        <v>51333</v>
      </c>
      <c r="C99" s="9">
        <v>5902557391479</v>
      </c>
      <c r="D99" s="10" t="s">
        <v>202</v>
      </c>
      <c r="E99" s="9">
        <v>81</v>
      </c>
      <c r="F99" s="11">
        <v>45341</v>
      </c>
      <c r="G99" s="8"/>
    </row>
    <row r="100" spans="1:7" ht="18.75" customHeight="1" x14ac:dyDescent="0.2">
      <c r="A100" s="8" t="s">
        <v>203</v>
      </c>
      <c r="B100" s="9">
        <v>45053</v>
      </c>
      <c r="C100" s="9">
        <v>5902557370672</v>
      </c>
      <c r="D100" s="10" t="s">
        <v>204</v>
      </c>
      <c r="E100" s="9">
        <v>78</v>
      </c>
      <c r="F100" s="11">
        <v>45265</v>
      </c>
      <c r="G100" s="8"/>
    </row>
    <row r="101" spans="1:7" ht="18.75" customHeight="1" x14ac:dyDescent="0.2">
      <c r="A101" s="8" t="s">
        <v>205</v>
      </c>
      <c r="B101" s="9">
        <v>45051</v>
      </c>
      <c r="C101" s="9">
        <v>5902557370689</v>
      </c>
      <c r="D101" s="10" t="s">
        <v>206</v>
      </c>
      <c r="E101" s="9">
        <v>87</v>
      </c>
      <c r="F101" s="11">
        <v>45265</v>
      </c>
      <c r="G101" s="8"/>
    </row>
    <row r="102" spans="1:7" ht="18.75" customHeight="1" x14ac:dyDescent="0.2">
      <c r="A102" s="8" t="s">
        <v>207</v>
      </c>
      <c r="B102" s="9">
        <v>45052</v>
      </c>
      <c r="C102" s="9">
        <v>5902557370696</v>
      </c>
      <c r="D102" s="10" t="s">
        <v>208</v>
      </c>
      <c r="E102" s="9">
        <v>90</v>
      </c>
      <c r="F102" s="11">
        <v>45265</v>
      </c>
      <c r="G102" s="8"/>
    </row>
    <row r="103" spans="1:7" ht="18.75" customHeight="1" x14ac:dyDescent="0.2">
      <c r="A103" s="8" t="s">
        <v>209</v>
      </c>
      <c r="B103" s="9">
        <v>51196</v>
      </c>
      <c r="C103" s="9">
        <v>5902557391400</v>
      </c>
      <c r="D103" s="10" t="s">
        <v>210</v>
      </c>
      <c r="E103" s="9">
        <v>53</v>
      </c>
      <c r="F103" s="11">
        <v>45265</v>
      </c>
      <c r="G103" s="8"/>
    </row>
    <row r="104" spans="1:7" ht="18.75" customHeight="1" x14ac:dyDescent="0.2">
      <c r="A104" s="8" t="s">
        <v>211</v>
      </c>
      <c r="B104" s="9">
        <v>51194</v>
      </c>
      <c r="C104" s="9">
        <v>5902557391424</v>
      </c>
      <c r="D104" s="10" t="s">
        <v>212</v>
      </c>
      <c r="E104" s="9">
        <v>60</v>
      </c>
      <c r="F104" s="11">
        <v>45265</v>
      </c>
      <c r="G104" s="8"/>
    </row>
    <row r="105" spans="1:7" ht="18.75" customHeight="1" x14ac:dyDescent="0.2">
      <c r="A105" s="8" t="s">
        <v>213</v>
      </c>
      <c r="B105" s="9">
        <v>51198</v>
      </c>
      <c r="C105" s="9">
        <v>5902557391417</v>
      </c>
      <c r="D105" s="10" t="s">
        <v>214</v>
      </c>
      <c r="E105" s="9">
        <v>55</v>
      </c>
      <c r="F105" s="11">
        <v>45265</v>
      </c>
      <c r="G105" s="8"/>
    </row>
    <row r="106" spans="1:7" ht="18.75" customHeight="1" x14ac:dyDescent="0.2">
      <c r="A106" s="8" t="s">
        <v>215</v>
      </c>
      <c r="B106" s="9">
        <v>51195</v>
      </c>
      <c r="C106" s="9">
        <v>5902557391394</v>
      </c>
      <c r="D106" s="10" t="s">
        <v>216</v>
      </c>
      <c r="E106" s="9">
        <v>46</v>
      </c>
      <c r="F106" s="11">
        <v>45265</v>
      </c>
      <c r="G106" s="8"/>
    </row>
    <row r="107" spans="1:7" ht="18.75" customHeight="1" x14ac:dyDescent="0.2">
      <c r="A107" s="8" t="s">
        <v>217</v>
      </c>
      <c r="B107" s="9">
        <v>47606</v>
      </c>
      <c r="C107" s="9">
        <v>5902557376353</v>
      </c>
      <c r="D107" s="10" t="s">
        <v>218</v>
      </c>
      <c r="E107" s="9">
        <v>78</v>
      </c>
      <c r="F107" s="11">
        <v>45265</v>
      </c>
      <c r="G107" s="8"/>
    </row>
    <row r="108" spans="1:7" ht="18.75" customHeight="1" x14ac:dyDescent="0.2">
      <c r="A108" s="8" t="s">
        <v>219</v>
      </c>
      <c r="B108" s="9">
        <v>48756</v>
      </c>
      <c r="C108" s="9">
        <v>5902557376322</v>
      </c>
      <c r="D108" s="10" t="s">
        <v>220</v>
      </c>
      <c r="E108" s="9">
        <v>76</v>
      </c>
      <c r="F108" s="11">
        <v>45265</v>
      </c>
      <c r="G108" s="8"/>
    </row>
    <row r="109" spans="1:7" ht="18.75" customHeight="1" x14ac:dyDescent="0.2">
      <c r="A109" s="8" t="s">
        <v>221</v>
      </c>
      <c r="B109" s="9">
        <v>48763</v>
      </c>
      <c r="C109" s="9">
        <v>5902557376315</v>
      </c>
      <c r="D109" s="10" t="s">
        <v>222</v>
      </c>
      <c r="E109" s="9">
        <v>83</v>
      </c>
      <c r="F109" s="11">
        <v>45265</v>
      </c>
      <c r="G109" s="8"/>
    </row>
    <row r="110" spans="1:7" ht="18.75" customHeight="1" x14ac:dyDescent="0.2">
      <c r="A110" s="8" t="s">
        <v>223</v>
      </c>
      <c r="B110" s="9">
        <v>48764</v>
      </c>
      <c r="C110" s="9">
        <v>5902557376339</v>
      </c>
      <c r="D110" s="10" t="s">
        <v>224</v>
      </c>
      <c r="E110" s="9">
        <v>87</v>
      </c>
      <c r="F110" s="11">
        <v>45265</v>
      </c>
      <c r="G110" s="8"/>
    </row>
    <row r="111" spans="1:7" ht="18.75" customHeight="1" x14ac:dyDescent="0.2">
      <c r="A111" s="8" t="s">
        <v>225</v>
      </c>
      <c r="B111" s="9">
        <v>48752</v>
      </c>
      <c r="C111" s="9">
        <v>5902557376346</v>
      </c>
      <c r="D111" s="10" t="s">
        <v>226</v>
      </c>
      <c r="E111" s="9">
        <v>92</v>
      </c>
      <c r="F111" s="11">
        <v>45265</v>
      </c>
      <c r="G111" s="8"/>
    </row>
    <row r="112" spans="1:7" ht="18.75" customHeight="1" x14ac:dyDescent="0.2">
      <c r="A112" s="8" t="s">
        <v>227</v>
      </c>
      <c r="B112" s="9">
        <v>44610</v>
      </c>
      <c r="C112" s="9">
        <v>5902557369010</v>
      </c>
      <c r="D112" s="10" t="s">
        <v>228</v>
      </c>
      <c r="E112" s="9">
        <v>69</v>
      </c>
      <c r="F112" s="11">
        <v>45265</v>
      </c>
      <c r="G112" s="8"/>
    </row>
    <row r="113" spans="1:7" ht="18.75" customHeight="1" x14ac:dyDescent="0.2">
      <c r="A113" s="8" t="s">
        <v>229</v>
      </c>
      <c r="B113" s="9">
        <v>44589</v>
      </c>
      <c r="C113" s="9">
        <v>5902557368945</v>
      </c>
      <c r="D113" s="10" t="s">
        <v>230</v>
      </c>
      <c r="E113" s="9">
        <v>59</v>
      </c>
      <c r="F113" s="11">
        <v>45265</v>
      </c>
      <c r="G113" s="8"/>
    </row>
    <row r="114" spans="1:7" ht="18.75" customHeight="1" x14ac:dyDescent="0.2">
      <c r="A114" s="8" t="s">
        <v>231</v>
      </c>
      <c r="B114" s="9">
        <v>49892</v>
      </c>
      <c r="C114" s="9">
        <v>5902557381012</v>
      </c>
      <c r="D114" s="10" t="s">
        <v>232</v>
      </c>
      <c r="E114" s="9">
        <v>55</v>
      </c>
      <c r="F114" s="11">
        <v>45265</v>
      </c>
      <c r="G114" s="8"/>
    </row>
    <row r="115" spans="1:7" ht="18.75" customHeight="1" x14ac:dyDescent="0.2">
      <c r="A115" s="8" t="s">
        <v>233</v>
      </c>
      <c r="B115" s="9">
        <v>49891</v>
      </c>
      <c r="C115" s="9">
        <v>5902557381005</v>
      </c>
      <c r="D115" s="10" t="s">
        <v>234</v>
      </c>
      <c r="E115" s="9">
        <v>70</v>
      </c>
      <c r="F115" s="11">
        <v>45562</v>
      </c>
      <c r="G115" s="8"/>
    </row>
    <row r="116" spans="1:7" ht="18.75" customHeight="1" x14ac:dyDescent="0.2">
      <c r="A116" s="8" t="s">
        <v>235</v>
      </c>
      <c r="B116" s="9">
        <v>50780</v>
      </c>
      <c r="C116" s="9">
        <v>5902557386215</v>
      </c>
      <c r="D116" s="10" t="s">
        <v>236</v>
      </c>
      <c r="E116" s="9">
        <v>49</v>
      </c>
      <c r="F116" s="11">
        <v>45679</v>
      </c>
      <c r="G116" s="8"/>
    </row>
    <row r="117" spans="1:7" ht="18.75" customHeight="1" x14ac:dyDescent="0.2">
      <c r="A117" s="8" t="s">
        <v>237</v>
      </c>
      <c r="B117" s="9">
        <v>50781</v>
      </c>
      <c r="C117" s="9">
        <v>5902557386208</v>
      </c>
      <c r="D117" s="10" t="s">
        <v>238</v>
      </c>
      <c r="E117" s="9">
        <v>47</v>
      </c>
      <c r="F117" s="11">
        <v>45538</v>
      </c>
      <c r="G117" s="8"/>
    </row>
    <row r="118" spans="1:7" ht="18.75" customHeight="1" x14ac:dyDescent="0.2">
      <c r="A118" s="8" t="s">
        <v>239</v>
      </c>
      <c r="B118" s="9">
        <v>48837</v>
      </c>
      <c r="C118" s="9">
        <v>5902557376278</v>
      </c>
      <c r="D118" s="10" t="s">
        <v>240</v>
      </c>
      <c r="E118" s="9">
        <v>86</v>
      </c>
      <c r="F118" s="11">
        <v>45265</v>
      </c>
      <c r="G118" s="8"/>
    </row>
    <row r="119" spans="1:7" ht="18.75" customHeight="1" x14ac:dyDescent="0.2">
      <c r="A119" s="8" t="s">
        <v>241</v>
      </c>
      <c r="B119" s="9">
        <v>49014</v>
      </c>
      <c r="C119" s="9">
        <v>5902557376285</v>
      </c>
      <c r="D119" s="10" t="s">
        <v>242</v>
      </c>
      <c r="E119" s="9">
        <v>99</v>
      </c>
      <c r="F119" s="11">
        <v>45265</v>
      </c>
      <c r="G119" s="8"/>
    </row>
    <row r="120" spans="1:7" ht="18.75" customHeight="1" x14ac:dyDescent="0.2">
      <c r="A120" s="8" t="s">
        <v>243</v>
      </c>
      <c r="B120" s="9">
        <v>48779</v>
      </c>
      <c r="C120" s="9">
        <v>5902557376292</v>
      </c>
      <c r="D120" s="10" t="s">
        <v>244</v>
      </c>
      <c r="E120" s="9">
        <v>99</v>
      </c>
      <c r="F120" s="11">
        <v>45265</v>
      </c>
      <c r="G120" s="8"/>
    </row>
    <row r="121" spans="1:7" ht="18.75" customHeight="1" x14ac:dyDescent="0.2">
      <c r="A121" s="8" t="s">
        <v>245</v>
      </c>
      <c r="B121" s="9">
        <v>47613</v>
      </c>
      <c r="C121" s="9">
        <v>5902557376308</v>
      </c>
      <c r="D121" s="10" t="s">
        <v>246</v>
      </c>
      <c r="E121" s="9">
        <v>116</v>
      </c>
      <c r="F121" s="11">
        <v>45265</v>
      </c>
      <c r="G121" s="8"/>
    </row>
    <row r="122" spans="1:7" ht="18.75" customHeight="1" x14ac:dyDescent="0.2">
      <c r="A122" s="8" t="s">
        <v>247</v>
      </c>
      <c r="B122" s="9">
        <v>1773</v>
      </c>
      <c r="C122" s="9">
        <v>5902557344819</v>
      </c>
      <c r="D122" s="10" t="s">
        <v>248</v>
      </c>
      <c r="E122" s="9">
        <v>57</v>
      </c>
      <c r="F122" s="11">
        <v>45265</v>
      </c>
      <c r="G122" s="8"/>
    </row>
    <row r="123" spans="1:7" ht="18.75" customHeight="1" x14ac:dyDescent="0.2">
      <c r="A123" s="8" t="s">
        <v>249</v>
      </c>
      <c r="B123" s="9">
        <v>32278</v>
      </c>
      <c r="C123" s="9">
        <v>5902557344802</v>
      </c>
      <c r="D123" s="10" t="s">
        <v>250</v>
      </c>
      <c r="E123" s="9">
        <v>57</v>
      </c>
      <c r="F123" s="11">
        <v>45552</v>
      </c>
      <c r="G123" s="8"/>
    </row>
    <row r="124" spans="1:7" ht="18.75" customHeight="1" x14ac:dyDescent="0.2">
      <c r="A124" s="8" t="s">
        <v>251</v>
      </c>
      <c r="B124" s="9">
        <v>50074</v>
      </c>
      <c r="C124" s="9">
        <v>5902557385805</v>
      </c>
      <c r="D124" s="10" t="s">
        <v>252</v>
      </c>
      <c r="E124" s="9">
        <v>46</v>
      </c>
      <c r="F124" s="11">
        <v>45265</v>
      </c>
      <c r="G124" s="8"/>
    </row>
    <row r="125" spans="1:7" ht="18.75" customHeight="1" x14ac:dyDescent="0.2">
      <c r="A125" s="8" t="s">
        <v>253</v>
      </c>
      <c r="B125" s="9">
        <v>50076</v>
      </c>
      <c r="C125" s="9">
        <v>5902557385799</v>
      </c>
      <c r="D125" s="10" t="s">
        <v>254</v>
      </c>
      <c r="E125" s="9">
        <v>44</v>
      </c>
      <c r="F125" s="11">
        <v>45265</v>
      </c>
      <c r="G125" s="8"/>
    </row>
    <row r="126" spans="1:7" ht="18.75" customHeight="1" x14ac:dyDescent="0.2">
      <c r="A126" s="8" t="s">
        <v>255</v>
      </c>
      <c r="B126" s="9">
        <v>50275</v>
      </c>
      <c r="C126" s="9">
        <v>5902557385812</v>
      </c>
      <c r="D126" s="10" t="s">
        <v>256</v>
      </c>
      <c r="E126" s="9">
        <v>60</v>
      </c>
      <c r="F126" s="11">
        <v>45265</v>
      </c>
      <c r="G126" s="8"/>
    </row>
    <row r="127" spans="1:7" ht="18.75" customHeight="1" x14ac:dyDescent="0.2">
      <c r="A127" s="8" t="s">
        <v>257</v>
      </c>
      <c r="B127" s="9">
        <v>52755</v>
      </c>
      <c r="C127" s="9">
        <v>5902557397730</v>
      </c>
      <c r="D127" s="10" t="s">
        <v>258</v>
      </c>
      <c r="E127" s="9">
        <v>101</v>
      </c>
      <c r="F127" s="11">
        <v>45365</v>
      </c>
      <c r="G127" s="8"/>
    </row>
    <row r="128" spans="1:7" ht="18.75" customHeight="1" x14ac:dyDescent="0.2">
      <c r="A128" s="8" t="s">
        <v>259</v>
      </c>
      <c r="B128" s="9">
        <v>51006</v>
      </c>
      <c r="C128" s="9">
        <v>5902557390809</v>
      </c>
      <c r="D128" s="10" t="s">
        <v>260</v>
      </c>
      <c r="E128" s="9">
        <v>74</v>
      </c>
      <c r="F128" s="11">
        <v>45357</v>
      </c>
      <c r="G128" s="8"/>
    </row>
    <row r="129" spans="1:7" ht="18.75" customHeight="1" x14ac:dyDescent="0.2">
      <c r="A129" s="8" t="s">
        <v>261</v>
      </c>
      <c r="B129" s="9">
        <v>51007</v>
      </c>
      <c r="C129" s="9">
        <v>5902557390793</v>
      </c>
      <c r="D129" s="10" t="s">
        <v>262</v>
      </c>
      <c r="E129" s="9">
        <v>79</v>
      </c>
      <c r="F129" s="11">
        <v>45357</v>
      </c>
      <c r="G129" s="8"/>
    </row>
    <row r="130" spans="1:7" ht="18.75" customHeight="1" x14ac:dyDescent="0.2">
      <c r="A130" s="8" t="s">
        <v>263</v>
      </c>
      <c r="B130" s="9">
        <v>51431</v>
      </c>
      <c r="C130" s="9">
        <v>5902557390816</v>
      </c>
      <c r="D130" s="10" t="s">
        <v>264</v>
      </c>
      <c r="E130" s="9">
        <v>101</v>
      </c>
      <c r="F130" s="11">
        <v>45265</v>
      </c>
      <c r="G130" s="8"/>
    </row>
    <row r="131" spans="1:7" ht="18.75" customHeight="1" x14ac:dyDescent="0.2">
      <c r="A131" s="8" t="s">
        <v>265</v>
      </c>
      <c r="B131" s="9">
        <v>52877</v>
      </c>
      <c r="C131" s="9">
        <v>5902557399673</v>
      </c>
      <c r="D131" s="10" t="s">
        <v>266</v>
      </c>
      <c r="E131" s="9">
        <v>70</v>
      </c>
      <c r="F131" s="11">
        <v>45387</v>
      </c>
      <c r="G131" s="8"/>
    </row>
    <row r="132" spans="1:7" ht="18.75" customHeight="1" x14ac:dyDescent="0.2">
      <c r="A132" s="8" t="s">
        <v>267</v>
      </c>
      <c r="B132" s="9">
        <v>52874</v>
      </c>
      <c r="C132" s="9">
        <v>5902557399680</v>
      </c>
      <c r="D132" s="10" t="s">
        <v>268</v>
      </c>
      <c r="E132" s="9">
        <v>89</v>
      </c>
      <c r="F132" s="11">
        <v>45645</v>
      </c>
      <c r="G132" s="8"/>
    </row>
    <row r="133" spans="1:7" ht="18.75" customHeight="1" x14ac:dyDescent="0.2">
      <c r="A133" s="8" t="s">
        <v>269</v>
      </c>
      <c r="B133" s="9">
        <v>52875</v>
      </c>
      <c r="C133" s="9">
        <v>5902557399727</v>
      </c>
      <c r="D133" s="10" t="s">
        <v>270</v>
      </c>
      <c r="E133" s="9">
        <v>70</v>
      </c>
      <c r="F133" s="11">
        <v>45387</v>
      </c>
      <c r="G133" s="8"/>
    </row>
    <row r="134" spans="1:7" ht="18.75" customHeight="1" x14ac:dyDescent="0.2">
      <c r="A134" s="8" t="s">
        <v>271</v>
      </c>
      <c r="B134" s="9">
        <v>52876</v>
      </c>
      <c r="C134" s="9">
        <v>5902557399710</v>
      </c>
      <c r="D134" s="10" t="s">
        <v>272</v>
      </c>
      <c r="E134" s="9">
        <v>89</v>
      </c>
      <c r="F134" s="11">
        <v>45387</v>
      </c>
      <c r="G134" s="8"/>
    </row>
    <row r="135" spans="1:7" ht="18.75" customHeight="1" x14ac:dyDescent="0.2">
      <c r="A135" s="8" t="s">
        <v>273</v>
      </c>
      <c r="B135" s="9">
        <v>54332</v>
      </c>
      <c r="C135" s="8">
        <v>5906366007606</v>
      </c>
      <c r="D135" s="10" t="s">
        <v>274</v>
      </c>
      <c r="E135" s="9">
        <v>94</v>
      </c>
      <c r="F135" s="11">
        <v>45645</v>
      </c>
      <c r="G135" s="8"/>
    </row>
    <row r="136" spans="1:7" ht="18.75" customHeight="1" x14ac:dyDescent="0.2">
      <c r="A136" s="8" t="s">
        <v>275</v>
      </c>
      <c r="B136" s="9">
        <v>54331</v>
      </c>
      <c r="C136" s="8">
        <v>5906366007590</v>
      </c>
      <c r="D136" s="10" t="s">
        <v>276</v>
      </c>
      <c r="E136" s="9">
        <v>89</v>
      </c>
      <c r="F136" s="11">
        <v>45645</v>
      </c>
      <c r="G136" s="8"/>
    </row>
    <row r="137" spans="1:7" ht="18.75" customHeight="1" x14ac:dyDescent="0.2">
      <c r="A137" s="8" t="s">
        <v>277</v>
      </c>
      <c r="B137" s="9"/>
      <c r="C137" s="9">
        <v>5902557349630</v>
      </c>
      <c r="D137" s="10" t="s">
        <v>278</v>
      </c>
      <c r="E137" s="9">
        <v>78</v>
      </c>
      <c r="F137" s="11">
        <v>45265</v>
      </c>
      <c r="G137" s="8"/>
    </row>
    <row r="138" spans="1:7" ht="18.75" customHeight="1" x14ac:dyDescent="0.2">
      <c r="A138" s="8" t="s">
        <v>279</v>
      </c>
      <c r="B138" s="9">
        <v>37975</v>
      </c>
      <c r="C138" s="9">
        <v>5902557349647</v>
      </c>
      <c r="D138" s="10" t="s">
        <v>280</v>
      </c>
      <c r="E138" s="9">
        <v>79</v>
      </c>
      <c r="F138" s="11">
        <v>45265</v>
      </c>
      <c r="G138" s="8"/>
    </row>
    <row r="139" spans="1:7" ht="18.75" customHeight="1" x14ac:dyDescent="0.2">
      <c r="A139" s="8" t="s">
        <v>281</v>
      </c>
      <c r="B139" s="9">
        <v>47605</v>
      </c>
      <c r="C139" s="9">
        <v>5902557376438</v>
      </c>
      <c r="D139" s="10" t="s">
        <v>282</v>
      </c>
      <c r="E139" s="9">
        <v>64</v>
      </c>
      <c r="F139" s="11">
        <v>45265</v>
      </c>
      <c r="G139" s="8"/>
    </row>
    <row r="140" spans="1:7" ht="18.75" customHeight="1" x14ac:dyDescent="0.2">
      <c r="A140" s="8" t="s">
        <v>283</v>
      </c>
      <c r="B140" s="9">
        <v>44644</v>
      </c>
      <c r="C140" s="9">
        <v>5902557368754</v>
      </c>
      <c r="D140" s="10" t="s">
        <v>284</v>
      </c>
      <c r="E140" s="9">
        <v>64</v>
      </c>
      <c r="F140" s="11">
        <v>45265</v>
      </c>
      <c r="G140" s="8"/>
    </row>
    <row r="141" spans="1:7" ht="18.75" customHeight="1" x14ac:dyDescent="0.2">
      <c r="A141" s="8" t="s">
        <v>285</v>
      </c>
      <c r="B141" s="9">
        <v>51071</v>
      </c>
      <c r="C141" s="9">
        <v>5902557392865</v>
      </c>
      <c r="D141" s="10" t="s">
        <v>286</v>
      </c>
      <c r="E141" s="9">
        <v>60</v>
      </c>
      <c r="F141" s="11">
        <v>45265</v>
      </c>
      <c r="G141" s="8"/>
    </row>
    <row r="142" spans="1:7" ht="18.75" customHeight="1" x14ac:dyDescent="0.2">
      <c r="A142" s="8" t="s">
        <v>287</v>
      </c>
      <c r="B142" s="9">
        <v>44641</v>
      </c>
      <c r="C142" s="9">
        <v>5902557368792</v>
      </c>
      <c r="D142" s="10" t="s">
        <v>288</v>
      </c>
      <c r="E142" s="9">
        <v>81</v>
      </c>
      <c r="F142" s="11">
        <v>45343</v>
      </c>
      <c r="G142" s="8"/>
    </row>
    <row r="143" spans="1:7" ht="18.75" customHeight="1" x14ac:dyDescent="0.2">
      <c r="A143" s="8" t="s">
        <v>289</v>
      </c>
      <c r="B143" s="9">
        <v>44645</v>
      </c>
      <c r="C143" s="9">
        <v>5902557368921</v>
      </c>
      <c r="D143" s="10" t="s">
        <v>290</v>
      </c>
      <c r="E143" s="9">
        <v>92</v>
      </c>
      <c r="F143" s="11">
        <v>45265</v>
      </c>
      <c r="G143" s="8"/>
    </row>
    <row r="144" spans="1:7" ht="18.75" customHeight="1" x14ac:dyDescent="0.2">
      <c r="A144" s="8" t="s">
        <v>291</v>
      </c>
      <c r="B144" s="9">
        <v>49125</v>
      </c>
      <c r="C144" s="9">
        <v>5902557376841</v>
      </c>
      <c r="D144" s="10" t="s">
        <v>292</v>
      </c>
      <c r="E144" s="9">
        <v>74</v>
      </c>
      <c r="F144" s="11">
        <v>45265</v>
      </c>
      <c r="G144" s="8"/>
    </row>
    <row r="145" spans="1:7" ht="18.75" customHeight="1" x14ac:dyDescent="0.2">
      <c r="A145" s="8" t="s">
        <v>293</v>
      </c>
      <c r="B145" s="9">
        <v>44655</v>
      </c>
      <c r="C145" s="9">
        <v>5902557369058</v>
      </c>
      <c r="D145" s="10" t="s">
        <v>294</v>
      </c>
      <c r="E145" s="9">
        <v>92</v>
      </c>
      <c r="F145" s="11">
        <v>45343</v>
      </c>
      <c r="G145" s="8"/>
    </row>
    <row r="146" spans="1:7" ht="18.75" customHeight="1" x14ac:dyDescent="0.2">
      <c r="A146" s="8" t="s">
        <v>295</v>
      </c>
      <c r="B146" s="9">
        <v>51093</v>
      </c>
      <c r="C146" s="9">
        <v>5902557393022</v>
      </c>
      <c r="D146" s="10" t="s">
        <v>296</v>
      </c>
      <c r="E146" s="9">
        <v>60</v>
      </c>
      <c r="F146" s="11">
        <v>45265</v>
      </c>
      <c r="G146" s="8"/>
    </row>
    <row r="147" spans="1:7" ht="18.75" customHeight="1" x14ac:dyDescent="0.2">
      <c r="A147" s="8" t="s">
        <v>297</v>
      </c>
      <c r="B147" s="9">
        <v>51103</v>
      </c>
      <c r="C147" s="9">
        <v>5902557393060</v>
      </c>
      <c r="D147" s="10" t="s">
        <v>298</v>
      </c>
      <c r="E147" s="9">
        <v>75</v>
      </c>
      <c r="F147" s="11">
        <v>45478</v>
      </c>
      <c r="G147" s="8"/>
    </row>
    <row r="148" spans="1:7" ht="18.75" customHeight="1" x14ac:dyDescent="0.2">
      <c r="A148" s="8" t="s">
        <v>299</v>
      </c>
      <c r="B148" s="9">
        <v>51112</v>
      </c>
      <c r="C148" s="9">
        <v>5902557393114</v>
      </c>
      <c r="D148" s="10" t="s">
        <v>300</v>
      </c>
      <c r="E148" s="9">
        <v>74</v>
      </c>
      <c r="F148" s="11">
        <v>45265</v>
      </c>
      <c r="G148" s="8"/>
    </row>
    <row r="149" spans="1:7" ht="18.75" customHeight="1" x14ac:dyDescent="0.2">
      <c r="A149" s="8" t="s">
        <v>301</v>
      </c>
      <c r="B149" s="9">
        <v>51080</v>
      </c>
      <c r="C149" s="9">
        <v>5902557392995</v>
      </c>
      <c r="D149" s="10" t="s">
        <v>302</v>
      </c>
      <c r="E149" s="9">
        <v>74</v>
      </c>
      <c r="F149" s="11">
        <v>45265</v>
      </c>
      <c r="G149" s="8"/>
    </row>
    <row r="150" spans="1:7" ht="18.75" customHeight="1" x14ac:dyDescent="0.2">
      <c r="A150" s="8" t="s">
        <v>303</v>
      </c>
      <c r="B150" s="9">
        <v>51086</v>
      </c>
      <c r="C150" s="9">
        <v>5902557393008</v>
      </c>
      <c r="D150" s="10" t="s">
        <v>304</v>
      </c>
      <c r="E150" s="9">
        <v>94</v>
      </c>
      <c r="F150" s="11">
        <v>45478</v>
      </c>
      <c r="G150" s="8"/>
    </row>
    <row r="151" spans="1:7" ht="18.75" customHeight="1" x14ac:dyDescent="0.2">
      <c r="A151" s="8" t="s">
        <v>305</v>
      </c>
      <c r="B151" s="9">
        <v>51101</v>
      </c>
      <c r="C151" s="9">
        <v>5902557393206</v>
      </c>
      <c r="D151" s="10" t="s">
        <v>306</v>
      </c>
      <c r="E151" s="9">
        <v>69</v>
      </c>
      <c r="F151" s="11">
        <v>45265</v>
      </c>
      <c r="G151" s="8"/>
    </row>
    <row r="152" spans="1:7" ht="18.75" customHeight="1" x14ac:dyDescent="0.2">
      <c r="A152" s="8" t="s">
        <v>307</v>
      </c>
      <c r="B152" s="9">
        <v>51109</v>
      </c>
      <c r="C152" s="9">
        <v>5902557393213</v>
      </c>
      <c r="D152" s="10" t="s">
        <v>308</v>
      </c>
      <c r="E152" s="9">
        <v>83</v>
      </c>
      <c r="F152" s="11">
        <v>45265</v>
      </c>
      <c r="G152" s="8"/>
    </row>
    <row r="153" spans="1:7" ht="18.75" customHeight="1" x14ac:dyDescent="0.2">
      <c r="A153" s="8" t="s">
        <v>309</v>
      </c>
      <c r="B153" s="9">
        <v>13197</v>
      </c>
      <c r="C153" s="9">
        <v>5902557315543</v>
      </c>
      <c r="D153" s="10" t="s">
        <v>310</v>
      </c>
      <c r="E153" s="9">
        <v>138</v>
      </c>
      <c r="F153" s="11">
        <v>45265</v>
      </c>
      <c r="G153" s="8"/>
    </row>
    <row r="154" spans="1:7" ht="18.75" customHeight="1" x14ac:dyDescent="0.2">
      <c r="A154" s="8" t="s">
        <v>311</v>
      </c>
      <c r="B154" s="9">
        <v>7177</v>
      </c>
      <c r="C154" s="9">
        <v>5902557302505</v>
      </c>
      <c r="D154" s="10" t="s">
        <v>312</v>
      </c>
      <c r="E154" s="9">
        <v>108</v>
      </c>
      <c r="F154" s="11">
        <v>45265</v>
      </c>
      <c r="G154" s="8"/>
    </row>
    <row r="155" spans="1:7" ht="18.75" customHeight="1" x14ac:dyDescent="0.2">
      <c r="A155" s="8" t="s">
        <v>313</v>
      </c>
      <c r="B155" s="9">
        <v>53653</v>
      </c>
      <c r="C155" s="9">
        <v>5906366003585</v>
      </c>
      <c r="D155" s="10" t="s">
        <v>314</v>
      </c>
      <c r="E155" s="9">
        <v>85</v>
      </c>
      <c r="F155" s="11">
        <v>45467</v>
      </c>
      <c r="G155" s="8"/>
    </row>
    <row r="156" spans="1:7" ht="18.75" customHeight="1" x14ac:dyDescent="0.2">
      <c r="A156" s="8" t="s">
        <v>315</v>
      </c>
      <c r="B156" s="9">
        <v>46452</v>
      </c>
      <c r="C156" s="9">
        <v>5902557375479</v>
      </c>
      <c r="D156" s="10" t="s">
        <v>316</v>
      </c>
      <c r="E156" s="9">
        <v>94</v>
      </c>
      <c r="F156" s="11">
        <v>45365</v>
      </c>
      <c r="G156" s="8"/>
    </row>
    <row r="157" spans="1:7" ht="18.75" customHeight="1" x14ac:dyDescent="0.2">
      <c r="A157" s="8" t="s">
        <v>317</v>
      </c>
      <c r="B157" s="9">
        <v>44993</v>
      </c>
      <c r="C157" s="9">
        <v>5902557370665</v>
      </c>
      <c r="D157" s="10" t="s">
        <v>318</v>
      </c>
      <c r="E157" s="9">
        <v>89</v>
      </c>
      <c r="F157" s="11">
        <v>45265</v>
      </c>
      <c r="G157" s="8"/>
    </row>
    <row r="158" spans="1:7" ht="18.75" customHeight="1" x14ac:dyDescent="0.2">
      <c r="A158" s="8" t="s">
        <v>319</v>
      </c>
      <c r="B158" s="9">
        <v>51115</v>
      </c>
      <c r="C158" s="9">
        <v>5902557393107</v>
      </c>
      <c r="D158" s="10" t="s">
        <v>320</v>
      </c>
      <c r="E158" s="9">
        <v>83</v>
      </c>
      <c r="F158" s="11">
        <v>45343</v>
      </c>
      <c r="G158" s="8"/>
    </row>
    <row r="159" spans="1:7" ht="18.75" customHeight="1" x14ac:dyDescent="0.2">
      <c r="A159" s="8" t="s">
        <v>321</v>
      </c>
      <c r="B159" s="9">
        <v>51114</v>
      </c>
      <c r="C159" s="9">
        <v>5902557393084</v>
      </c>
      <c r="D159" s="10" t="s">
        <v>322</v>
      </c>
      <c r="E159" s="9">
        <v>77</v>
      </c>
      <c r="F159" s="11">
        <v>45644</v>
      </c>
      <c r="G159" s="8"/>
    </row>
    <row r="160" spans="1:7" ht="18.75" customHeight="1" x14ac:dyDescent="0.2">
      <c r="A160" s="8" t="s">
        <v>323</v>
      </c>
      <c r="B160" s="9">
        <v>47611</v>
      </c>
      <c r="C160" s="9">
        <v>5902557376452</v>
      </c>
      <c r="D160" s="10" t="s">
        <v>324</v>
      </c>
      <c r="E160" s="9">
        <v>122</v>
      </c>
      <c r="F160" s="11">
        <v>45265</v>
      </c>
      <c r="G160" s="8"/>
    </row>
    <row r="161" spans="1:7" ht="18.75" customHeight="1" x14ac:dyDescent="0.2">
      <c r="A161" s="8" t="s">
        <v>325</v>
      </c>
      <c r="B161" s="9">
        <v>51360</v>
      </c>
      <c r="C161" s="9">
        <v>5902557391264</v>
      </c>
      <c r="D161" s="10" t="s">
        <v>326</v>
      </c>
      <c r="E161" s="9">
        <v>80</v>
      </c>
      <c r="F161" s="11">
        <v>45387</v>
      </c>
      <c r="G161" s="8"/>
    </row>
    <row r="162" spans="1:7" ht="18.75" customHeight="1" x14ac:dyDescent="0.2">
      <c r="A162" s="8" t="s">
        <v>327</v>
      </c>
      <c r="B162" s="9">
        <v>51359</v>
      </c>
      <c r="C162" s="9">
        <v>5902557391257</v>
      </c>
      <c r="D162" s="10" t="s">
        <v>328</v>
      </c>
      <c r="E162" s="9">
        <v>61</v>
      </c>
      <c r="F162" s="11">
        <v>45387</v>
      </c>
      <c r="G162" s="8"/>
    </row>
    <row r="163" spans="1:7" ht="18.75" customHeight="1" x14ac:dyDescent="0.2">
      <c r="A163" s="8" t="s">
        <v>329</v>
      </c>
      <c r="B163" s="9">
        <v>44591</v>
      </c>
      <c r="C163" s="9">
        <v>5902557368914</v>
      </c>
      <c r="D163" s="10" t="s">
        <v>330</v>
      </c>
      <c r="E163" s="9">
        <v>95</v>
      </c>
      <c r="F163" s="11">
        <v>45265</v>
      </c>
      <c r="G163" s="8"/>
    </row>
    <row r="164" spans="1:7" ht="18.75" customHeight="1" x14ac:dyDescent="0.2">
      <c r="A164" s="8" t="s">
        <v>331</v>
      </c>
      <c r="B164" s="9">
        <v>44603</v>
      </c>
      <c r="C164" s="9">
        <v>5902557368990</v>
      </c>
      <c r="D164" s="10" t="s">
        <v>332</v>
      </c>
      <c r="E164" s="9">
        <v>70</v>
      </c>
      <c r="F164" s="11">
        <v>45687</v>
      </c>
      <c r="G164" s="8"/>
    </row>
    <row r="165" spans="1:7" ht="18.75" customHeight="1" x14ac:dyDescent="0.2">
      <c r="A165" s="8" t="s">
        <v>333</v>
      </c>
      <c r="B165" s="9">
        <v>44619</v>
      </c>
      <c r="C165" s="9">
        <v>5902557369331</v>
      </c>
      <c r="D165" s="10" t="s">
        <v>334</v>
      </c>
      <c r="E165" s="9">
        <v>115</v>
      </c>
      <c r="F165" s="11">
        <v>45687</v>
      </c>
      <c r="G165" s="8"/>
    </row>
    <row r="166" spans="1:7" ht="18.75" customHeight="1" x14ac:dyDescent="0.2">
      <c r="A166" s="8" t="s">
        <v>335</v>
      </c>
      <c r="B166" s="9">
        <v>44618</v>
      </c>
      <c r="C166" s="9">
        <v>5902557369317</v>
      </c>
      <c r="D166" s="10" t="s">
        <v>336</v>
      </c>
      <c r="E166" s="9">
        <v>82</v>
      </c>
      <c r="F166" s="11">
        <v>45687</v>
      </c>
      <c r="G166" s="8"/>
    </row>
    <row r="167" spans="1:7" ht="18.75" customHeight="1" x14ac:dyDescent="0.2">
      <c r="A167" s="8" t="s">
        <v>337</v>
      </c>
      <c r="B167" s="9">
        <v>17820</v>
      </c>
      <c r="C167" s="9">
        <v>5902557331710</v>
      </c>
      <c r="D167" s="10" t="s">
        <v>338</v>
      </c>
      <c r="E167" s="9">
        <v>85</v>
      </c>
      <c r="F167" s="11">
        <v>45265</v>
      </c>
      <c r="G167" s="8"/>
    </row>
    <row r="168" spans="1:7" ht="18.75" customHeight="1" x14ac:dyDescent="0.2">
      <c r="A168" s="8" t="s">
        <v>339</v>
      </c>
      <c r="B168" s="9">
        <v>44997</v>
      </c>
      <c r="C168" s="9">
        <v>5902557370641</v>
      </c>
      <c r="D168" s="10" t="s">
        <v>340</v>
      </c>
      <c r="E168" s="9">
        <v>92</v>
      </c>
      <c r="F168" s="11">
        <v>45387</v>
      </c>
      <c r="G168" s="8"/>
    </row>
    <row r="169" spans="1:7" ht="18.75" customHeight="1" x14ac:dyDescent="0.2">
      <c r="A169" s="8" t="s">
        <v>341</v>
      </c>
      <c r="B169" s="9">
        <v>51186</v>
      </c>
      <c r="C169" s="9">
        <v>5902557391523</v>
      </c>
      <c r="D169" s="10" t="s">
        <v>342</v>
      </c>
      <c r="E169" s="9">
        <v>53</v>
      </c>
      <c r="F169" s="11">
        <v>45265</v>
      </c>
      <c r="G169" s="8"/>
    </row>
    <row r="170" spans="1:7" ht="18.75" customHeight="1" x14ac:dyDescent="0.2">
      <c r="A170" s="8" t="s">
        <v>343</v>
      </c>
      <c r="B170" s="9">
        <v>51183</v>
      </c>
      <c r="C170" s="9">
        <v>5902557391592</v>
      </c>
      <c r="D170" s="10" t="s">
        <v>344</v>
      </c>
      <c r="E170" s="9">
        <v>70</v>
      </c>
      <c r="F170" s="11">
        <v>45387</v>
      </c>
      <c r="G170" s="8"/>
    </row>
    <row r="171" spans="1:7" ht="18.75" customHeight="1" x14ac:dyDescent="0.2">
      <c r="A171" s="8" t="s">
        <v>345</v>
      </c>
      <c r="B171" s="9">
        <v>51189</v>
      </c>
      <c r="C171" s="9">
        <v>5902557391608</v>
      </c>
      <c r="D171" s="10" t="s">
        <v>346</v>
      </c>
      <c r="E171" s="9">
        <v>70</v>
      </c>
      <c r="F171" s="11">
        <v>45387</v>
      </c>
      <c r="G171" s="8"/>
    </row>
    <row r="172" spans="1:7" ht="18.75" customHeight="1" x14ac:dyDescent="0.2">
      <c r="A172" s="8" t="s">
        <v>347</v>
      </c>
      <c r="B172" s="9">
        <v>51184</v>
      </c>
      <c r="C172" s="9">
        <v>5902557391585</v>
      </c>
      <c r="D172" s="10" t="s">
        <v>348</v>
      </c>
      <c r="E172" s="9">
        <v>52</v>
      </c>
      <c r="F172" s="11">
        <v>45645</v>
      </c>
      <c r="G172" s="8"/>
    </row>
    <row r="173" spans="1:7" ht="18.75" customHeight="1" x14ac:dyDescent="0.2">
      <c r="A173" s="8" t="s">
        <v>349</v>
      </c>
      <c r="B173" s="9">
        <v>44593</v>
      </c>
      <c r="C173" s="9">
        <v>5902557368839</v>
      </c>
      <c r="D173" s="10" t="s">
        <v>350</v>
      </c>
      <c r="E173" s="9">
        <v>70</v>
      </c>
      <c r="F173" s="11">
        <v>45265</v>
      </c>
      <c r="G173" s="8"/>
    </row>
    <row r="174" spans="1:7" ht="18.75" customHeight="1" x14ac:dyDescent="0.2">
      <c r="A174" s="8" t="s">
        <v>351</v>
      </c>
      <c r="B174" s="9">
        <v>44910</v>
      </c>
      <c r="C174" s="9">
        <v>5902557373642</v>
      </c>
      <c r="D174" s="10" t="s">
        <v>352</v>
      </c>
      <c r="E174" s="9">
        <v>84</v>
      </c>
      <c r="F174" s="11">
        <v>45265</v>
      </c>
      <c r="G174" s="8"/>
    </row>
    <row r="175" spans="1:7" ht="18.75" customHeight="1" x14ac:dyDescent="0.2">
      <c r="A175" s="8" t="s">
        <v>353</v>
      </c>
      <c r="B175" s="9">
        <v>44592</v>
      </c>
      <c r="C175" s="9">
        <v>5902557368877</v>
      </c>
      <c r="D175" s="10" t="s">
        <v>354</v>
      </c>
      <c r="E175" s="9">
        <v>95</v>
      </c>
      <c r="F175" s="11">
        <v>45265</v>
      </c>
      <c r="G175" s="8"/>
    </row>
    <row r="176" spans="1:7" ht="18.75" customHeight="1" x14ac:dyDescent="0.2">
      <c r="A176" s="8" t="s">
        <v>355</v>
      </c>
      <c r="B176" s="9">
        <v>44595</v>
      </c>
      <c r="C176" s="9">
        <v>5902557368969</v>
      </c>
      <c r="D176" s="10" t="s">
        <v>356</v>
      </c>
      <c r="E176" s="9">
        <v>66</v>
      </c>
      <c r="F176" s="11">
        <v>45265</v>
      </c>
      <c r="G176" s="8"/>
    </row>
    <row r="177" spans="1:7" ht="18.75" customHeight="1" x14ac:dyDescent="0.2">
      <c r="A177" s="8" t="s">
        <v>357</v>
      </c>
      <c r="B177" s="9">
        <v>44635</v>
      </c>
      <c r="C177" s="9">
        <v>5902557369089</v>
      </c>
      <c r="D177" s="10" t="s">
        <v>358</v>
      </c>
      <c r="E177" s="9">
        <v>78</v>
      </c>
      <c r="F177" s="11">
        <v>45265</v>
      </c>
      <c r="G177" s="8"/>
    </row>
    <row r="178" spans="1:7" ht="18.75" customHeight="1" x14ac:dyDescent="0.2">
      <c r="A178" s="8" t="s">
        <v>359</v>
      </c>
      <c r="B178" s="9">
        <v>44923</v>
      </c>
      <c r="C178" s="9">
        <v>5902557373758</v>
      </c>
      <c r="D178" s="10" t="s">
        <v>360</v>
      </c>
      <c r="E178" s="9">
        <v>75</v>
      </c>
      <c r="F178" s="11">
        <v>45687</v>
      </c>
      <c r="G178" s="8"/>
    </row>
    <row r="179" spans="1:7" ht="18.75" customHeight="1" x14ac:dyDescent="0.2">
      <c r="A179" s="8" t="s">
        <v>361</v>
      </c>
      <c r="B179" s="9">
        <v>51202</v>
      </c>
      <c r="C179" s="9">
        <v>5902557391653</v>
      </c>
      <c r="D179" s="10" t="s">
        <v>362</v>
      </c>
      <c r="E179" s="9">
        <v>115</v>
      </c>
      <c r="F179" s="11">
        <v>45645</v>
      </c>
      <c r="G179" s="8"/>
    </row>
    <row r="180" spans="1:7" ht="18.75" customHeight="1" x14ac:dyDescent="0.2">
      <c r="A180" s="8" t="s">
        <v>363</v>
      </c>
      <c r="B180" s="9">
        <v>51203</v>
      </c>
      <c r="C180" s="9">
        <v>5902557391660</v>
      </c>
      <c r="D180" s="10" t="s">
        <v>364</v>
      </c>
      <c r="E180" s="9">
        <v>113</v>
      </c>
      <c r="F180" s="11">
        <v>45265</v>
      </c>
      <c r="G180" s="8"/>
    </row>
    <row r="181" spans="1:7" ht="18.75" customHeight="1" x14ac:dyDescent="0.2">
      <c r="A181" s="8" t="s">
        <v>365</v>
      </c>
      <c r="B181" s="9">
        <v>44994</v>
      </c>
      <c r="C181" s="9">
        <v>5902557370658</v>
      </c>
      <c r="D181" s="10" t="s">
        <v>366</v>
      </c>
      <c r="E181" s="9">
        <v>64</v>
      </c>
      <c r="F181" s="11">
        <v>45265</v>
      </c>
      <c r="G181" s="8"/>
    </row>
    <row r="182" spans="1:7" ht="18.75" customHeight="1" x14ac:dyDescent="0.2">
      <c r="A182" s="8" t="s">
        <v>367</v>
      </c>
      <c r="B182" s="9">
        <v>44609</v>
      </c>
      <c r="C182" s="9">
        <v>5902557368891</v>
      </c>
      <c r="D182" s="10" t="s">
        <v>368</v>
      </c>
      <c r="E182" s="9">
        <v>74</v>
      </c>
      <c r="F182" s="11">
        <v>45343</v>
      </c>
      <c r="G182" s="8"/>
    </row>
    <row r="183" spans="1:7" ht="18.75" customHeight="1" x14ac:dyDescent="0.2">
      <c r="A183" s="8" t="s">
        <v>369</v>
      </c>
      <c r="B183" s="9">
        <v>44608</v>
      </c>
      <c r="C183" s="9">
        <v>5902557368815</v>
      </c>
      <c r="D183" s="10" t="s">
        <v>370</v>
      </c>
      <c r="E183" s="9">
        <v>60</v>
      </c>
      <c r="F183" s="11">
        <v>45343</v>
      </c>
      <c r="G183" s="8"/>
    </row>
    <row r="184" spans="1:7" ht="18.75" customHeight="1" x14ac:dyDescent="0.2">
      <c r="A184" s="8" t="s">
        <v>371</v>
      </c>
      <c r="B184" s="9">
        <v>44911</v>
      </c>
      <c r="C184" s="9">
        <v>5902557373635</v>
      </c>
      <c r="D184" s="10" t="s">
        <v>372</v>
      </c>
      <c r="E184" s="9">
        <v>68</v>
      </c>
      <c r="F184" s="11">
        <v>45687</v>
      </c>
      <c r="G184" s="8"/>
    </row>
    <row r="185" spans="1:7" ht="18.75" customHeight="1" x14ac:dyDescent="0.2">
      <c r="A185" s="8" t="s">
        <v>373</v>
      </c>
      <c r="B185" s="9">
        <v>44607</v>
      </c>
      <c r="C185" s="9">
        <v>5902557368853</v>
      </c>
      <c r="D185" s="10" t="s">
        <v>374</v>
      </c>
      <c r="E185" s="9">
        <v>75</v>
      </c>
      <c r="F185" s="11">
        <v>45644</v>
      </c>
      <c r="G185" s="8"/>
    </row>
    <row r="186" spans="1:7" ht="18.75" customHeight="1" x14ac:dyDescent="0.2">
      <c r="A186" s="8" t="s">
        <v>375</v>
      </c>
      <c r="B186" s="9">
        <v>44604</v>
      </c>
      <c r="C186" s="9">
        <v>5902557368983</v>
      </c>
      <c r="D186" s="10" t="s">
        <v>376</v>
      </c>
      <c r="E186" s="9">
        <v>59</v>
      </c>
      <c r="F186" s="11">
        <v>45644</v>
      </c>
      <c r="G186" s="8"/>
    </row>
    <row r="187" spans="1:7" ht="18.75" customHeight="1" x14ac:dyDescent="0.2">
      <c r="A187" s="9" t="s">
        <v>377</v>
      </c>
      <c r="B187" s="9">
        <v>53856</v>
      </c>
      <c r="C187" s="8">
        <v>5906366006890</v>
      </c>
      <c r="D187" s="10" t="s">
        <v>378</v>
      </c>
      <c r="E187" s="9">
        <v>117</v>
      </c>
      <c r="F187" s="11">
        <v>45538</v>
      </c>
      <c r="G187" s="8"/>
    </row>
    <row r="188" spans="1:7" ht="18.75" customHeight="1" x14ac:dyDescent="0.2">
      <c r="A188" s="8" t="s">
        <v>379</v>
      </c>
      <c r="B188" s="9">
        <v>49828</v>
      </c>
      <c r="C188" s="9">
        <v>5902557380985</v>
      </c>
      <c r="D188" s="10" t="s">
        <v>380</v>
      </c>
      <c r="E188" s="9">
        <v>117</v>
      </c>
      <c r="F188" s="11">
        <v>45581</v>
      </c>
      <c r="G188" s="8"/>
    </row>
    <row r="189" spans="1:7" ht="18.75" customHeight="1" x14ac:dyDescent="0.2">
      <c r="A189" s="8" t="s">
        <v>381</v>
      </c>
      <c r="B189" s="9">
        <v>44996</v>
      </c>
      <c r="C189" s="9">
        <v>5902557370634</v>
      </c>
      <c r="D189" s="10" t="s">
        <v>382</v>
      </c>
      <c r="E189" s="9">
        <v>64</v>
      </c>
      <c r="F189" s="11">
        <v>45265</v>
      </c>
      <c r="G189" s="8"/>
    </row>
    <row r="190" spans="1:7" ht="18.75" customHeight="1" x14ac:dyDescent="0.2">
      <c r="A190" s="8" t="s">
        <v>383</v>
      </c>
      <c r="B190" s="9">
        <v>44596</v>
      </c>
      <c r="C190" s="9">
        <v>5902557368952</v>
      </c>
      <c r="D190" s="10" t="s">
        <v>384</v>
      </c>
      <c r="E190" s="9">
        <v>56</v>
      </c>
      <c r="F190" s="11">
        <v>45644</v>
      </c>
      <c r="G190" s="8"/>
    </row>
    <row r="191" spans="1:7" ht="18.75" customHeight="1" x14ac:dyDescent="0.2">
      <c r="A191" s="8" t="s">
        <v>385</v>
      </c>
      <c r="B191" s="9">
        <v>44922</v>
      </c>
      <c r="C191" s="9">
        <v>5902557373765</v>
      </c>
      <c r="D191" s="10" t="s">
        <v>386</v>
      </c>
      <c r="E191" s="9">
        <v>61</v>
      </c>
      <c r="F191" s="11">
        <v>45687</v>
      </c>
      <c r="G191" s="8"/>
    </row>
    <row r="192" spans="1:7" ht="18.75" customHeight="1" x14ac:dyDescent="0.2">
      <c r="A192" s="8" t="s">
        <v>387</v>
      </c>
      <c r="B192" s="9">
        <v>51099</v>
      </c>
      <c r="C192" s="9">
        <v>5902557393183</v>
      </c>
      <c r="D192" s="10" t="s">
        <v>388</v>
      </c>
      <c r="E192" s="9">
        <v>80</v>
      </c>
      <c r="F192" s="11">
        <v>45478</v>
      </c>
      <c r="G192" s="8"/>
    </row>
    <row r="193" spans="1:7" ht="18.75" customHeight="1" x14ac:dyDescent="0.2">
      <c r="A193" s="8" t="s">
        <v>389</v>
      </c>
      <c r="B193" s="9">
        <v>51108</v>
      </c>
      <c r="C193" s="9">
        <v>5902557393190</v>
      </c>
      <c r="D193" s="10" t="s">
        <v>390</v>
      </c>
      <c r="E193" s="9">
        <v>94</v>
      </c>
      <c r="F193" s="11">
        <v>45265</v>
      </c>
      <c r="G193" s="8"/>
    </row>
    <row r="194" spans="1:7" ht="18.75" customHeight="1" x14ac:dyDescent="0.2">
      <c r="A194" s="8" t="s">
        <v>391</v>
      </c>
      <c r="B194" s="9">
        <v>51098</v>
      </c>
      <c r="C194" s="9">
        <v>5902557393220</v>
      </c>
      <c r="D194" s="10" t="s">
        <v>392</v>
      </c>
      <c r="E194" s="9">
        <v>55</v>
      </c>
      <c r="F194" s="11">
        <v>45265</v>
      </c>
      <c r="G194" s="8"/>
    </row>
    <row r="195" spans="1:7" ht="18.75" customHeight="1" x14ac:dyDescent="0.2">
      <c r="A195" s="8" t="s">
        <v>393</v>
      </c>
      <c r="B195" s="9">
        <v>51107</v>
      </c>
      <c r="C195" s="9">
        <v>5902557393237</v>
      </c>
      <c r="D195" s="10" t="s">
        <v>394</v>
      </c>
      <c r="E195" s="9">
        <v>67</v>
      </c>
      <c r="F195" s="11">
        <v>45265</v>
      </c>
      <c r="G195" s="8"/>
    </row>
    <row r="196" spans="1:7" ht="18.75" customHeight="1" x14ac:dyDescent="0.2">
      <c r="A196" s="8" t="s">
        <v>395</v>
      </c>
      <c r="B196" s="9">
        <v>45028</v>
      </c>
      <c r="C196" s="9">
        <v>5902557370726</v>
      </c>
      <c r="D196" s="10" t="s">
        <v>396</v>
      </c>
      <c r="E196" s="9">
        <v>105</v>
      </c>
      <c r="F196" s="11">
        <v>45265</v>
      </c>
      <c r="G196" s="8"/>
    </row>
    <row r="197" spans="1:7" ht="18.75" customHeight="1" x14ac:dyDescent="0.2">
      <c r="A197" s="8" t="s">
        <v>397</v>
      </c>
      <c r="B197" s="9">
        <v>45029</v>
      </c>
      <c r="C197" s="9">
        <v>5902557370719</v>
      </c>
      <c r="D197" s="10" t="s">
        <v>398</v>
      </c>
      <c r="E197" s="9">
        <v>106</v>
      </c>
      <c r="F197" s="11">
        <v>45265</v>
      </c>
      <c r="G197" s="8"/>
    </row>
    <row r="198" spans="1:7" ht="18.75" customHeight="1" x14ac:dyDescent="0.2">
      <c r="A198" s="8" t="s">
        <v>399</v>
      </c>
      <c r="B198" s="9">
        <v>45030</v>
      </c>
      <c r="C198" s="9">
        <v>5902557370702</v>
      </c>
      <c r="D198" s="10" t="s">
        <v>400</v>
      </c>
      <c r="E198" s="9">
        <v>99</v>
      </c>
      <c r="F198" s="11">
        <v>45265</v>
      </c>
      <c r="G198" s="8"/>
    </row>
    <row r="199" spans="1:7" ht="18.75" customHeight="1" x14ac:dyDescent="0.2">
      <c r="A199" s="8" t="s">
        <v>401</v>
      </c>
      <c r="B199" s="9">
        <v>52177</v>
      </c>
      <c r="C199" s="8">
        <v>5902557395972</v>
      </c>
      <c r="D199" s="10" t="s">
        <v>402</v>
      </c>
      <c r="E199" s="9">
        <v>94</v>
      </c>
      <c r="F199" s="11">
        <v>45538</v>
      </c>
      <c r="G199" s="8"/>
    </row>
    <row r="200" spans="1:7" ht="18.75" customHeight="1" x14ac:dyDescent="0.2">
      <c r="A200" s="8" t="s">
        <v>403</v>
      </c>
      <c r="B200" s="9">
        <v>44988</v>
      </c>
      <c r="C200" s="9">
        <v>5902557370405</v>
      </c>
      <c r="D200" s="10" t="s">
        <v>404</v>
      </c>
      <c r="E200" s="9">
        <v>80</v>
      </c>
      <c r="F200" s="11">
        <v>45387</v>
      </c>
      <c r="G200" s="8"/>
    </row>
    <row r="201" spans="1:7" ht="18.75" customHeight="1" x14ac:dyDescent="0.2">
      <c r="A201" s="8" t="s">
        <v>405</v>
      </c>
      <c r="B201" s="9">
        <v>47378</v>
      </c>
      <c r="C201" s="9">
        <v>5902557375431</v>
      </c>
      <c r="D201" s="10" t="s">
        <v>406</v>
      </c>
      <c r="E201" s="9">
        <v>112</v>
      </c>
      <c r="F201" s="11">
        <v>45265</v>
      </c>
      <c r="G201" s="8"/>
    </row>
    <row r="202" spans="1:7" ht="18.75" customHeight="1" x14ac:dyDescent="0.2">
      <c r="A202" s="8" t="s">
        <v>407</v>
      </c>
      <c r="B202" s="9">
        <v>45020</v>
      </c>
      <c r="C202" s="9">
        <v>5902557370498</v>
      </c>
      <c r="D202" s="10" t="s">
        <v>408</v>
      </c>
      <c r="E202" s="9">
        <v>68</v>
      </c>
      <c r="F202" s="11">
        <v>45265</v>
      </c>
      <c r="G202" s="8"/>
    </row>
    <row r="203" spans="1:7" ht="18.75" customHeight="1" x14ac:dyDescent="0.2">
      <c r="A203" s="8" t="s">
        <v>409</v>
      </c>
      <c r="B203" s="9"/>
      <c r="C203" s="9">
        <v>5902557354658</v>
      </c>
      <c r="D203" s="10" t="s">
        <v>410</v>
      </c>
      <c r="E203" s="9">
        <v>62</v>
      </c>
      <c r="F203" s="11">
        <v>45265</v>
      </c>
      <c r="G203" s="8"/>
    </row>
    <row r="204" spans="1:7" ht="18.75" customHeight="1" x14ac:dyDescent="0.2">
      <c r="A204" s="8" t="s">
        <v>411</v>
      </c>
      <c r="B204" s="9"/>
      <c r="C204" s="9">
        <v>5902557354641</v>
      </c>
      <c r="D204" s="10" t="s">
        <v>412</v>
      </c>
      <c r="E204" s="9">
        <v>46</v>
      </c>
      <c r="F204" s="11">
        <v>45265</v>
      </c>
      <c r="G204" s="8"/>
    </row>
    <row r="205" spans="1:7" ht="18.75" customHeight="1" x14ac:dyDescent="0.2">
      <c r="A205" s="9" t="s">
        <v>413</v>
      </c>
      <c r="B205" s="9">
        <v>53898</v>
      </c>
      <c r="C205" s="8">
        <v>5906366002700</v>
      </c>
      <c r="D205" s="10" t="s">
        <v>414</v>
      </c>
      <c r="E205" s="9">
        <v>61</v>
      </c>
      <c r="F205" s="11">
        <v>45562</v>
      </c>
      <c r="G205" s="8"/>
    </row>
    <row r="206" spans="1:7" ht="18.75" customHeight="1" x14ac:dyDescent="0.2">
      <c r="A206" s="9" t="s">
        <v>415</v>
      </c>
      <c r="B206" s="9">
        <v>53896</v>
      </c>
      <c r="C206" s="8">
        <v>5906366002748</v>
      </c>
      <c r="D206" s="10" t="s">
        <v>416</v>
      </c>
      <c r="E206" s="9">
        <v>89</v>
      </c>
      <c r="F206" s="11">
        <v>45562</v>
      </c>
      <c r="G206" s="8"/>
    </row>
    <row r="207" spans="1:7" ht="18.75" customHeight="1" x14ac:dyDescent="0.2">
      <c r="A207" s="8" t="s">
        <v>417</v>
      </c>
      <c r="B207" s="9">
        <v>52108</v>
      </c>
      <c r="C207" s="8">
        <v>5902557391882</v>
      </c>
      <c r="D207" s="10" t="s">
        <v>418</v>
      </c>
      <c r="E207" s="9">
        <v>70</v>
      </c>
      <c r="F207" s="11">
        <v>45729</v>
      </c>
      <c r="G207" s="8"/>
    </row>
    <row r="208" spans="1:7" ht="18.75" customHeight="1" x14ac:dyDescent="0.2">
      <c r="A208" s="8" t="s">
        <v>419</v>
      </c>
      <c r="B208" s="9">
        <v>52110</v>
      </c>
      <c r="C208" s="8">
        <v>5902557391929</v>
      </c>
      <c r="D208" s="10" t="s">
        <v>420</v>
      </c>
      <c r="E208" s="9">
        <v>99</v>
      </c>
      <c r="F208" s="11">
        <v>45729</v>
      </c>
      <c r="G208" s="8"/>
    </row>
    <row r="209" spans="1:7" ht="18.75" customHeight="1" x14ac:dyDescent="0.2">
      <c r="A209" s="9" t="s">
        <v>421</v>
      </c>
      <c r="B209" s="9">
        <v>53897</v>
      </c>
      <c r="C209" s="8">
        <v>5906366002717</v>
      </c>
      <c r="D209" s="10" t="s">
        <v>422</v>
      </c>
      <c r="E209" s="9">
        <v>66</v>
      </c>
      <c r="F209" s="11">
        <v>45642</v>
      </c>
      <c r="G209" s="8"/>
    </row>
    <row r="210" spans="1:7" ht="18.75" customHeight="1" x14ac:dyDescent="0.2">
      <c r="A210" s="8" t="s">
        <v>423</v>
      </c>
      <c r="B210" s="9">
        <v>52107</v>
      </c>
      <c r="C210" s="8">
        <v>5902557391899</v>
      </c>
      <c r="D210" s="10" t="s">
        <v>424</v>
      </c>
      <c r="E210" s="9">
        <v>75</v>
      </c>
      <c r="F210" s="11">
        <v>45729</v>
      </c>
      <c r="G210" s="8"/>
    </row>
    <row r="211" spans="1:7" ht="18.75" customHeight="1" x14ac:dyDescent="0.2">
      <c r="A211" s="8" t="s">
        <v>425</v>
      </c>
      <c r="B211" s="9">
        <v>52109</v>
      </c>
      <c r="C211" s="8">
        <v>5902557391936</v>
      </c>
      <c r="D211" s="10" t="s">
        <v>426</v>
      </c>
      <c r="E211" s="9">
        <v>94</v>
      </c>
      <c r="F211" s="11">
        <v>45562</v>
      </c>
      <c r="G211" s="8"/>
    </row>
    <row r="212" spans="1:7" ht="18.75" customHeight="1" x14ac:dyDescent="0.2">
      <c r="A212" s="9" t="s">
        <v>427</v>
      </c>
      <c r="B212" s="9">
        <v>53895</v>
      </c>
      <c r="C212" s="8">
        <v>5906366002755</v>
      </c>
      <c r="D212" s="10" t="s">
        <v>428</v>
      </c>
      <c r="E212" s="9">
        <v>94</v>
      </c>
      <c r="F212" s="11">
        <v>45642</v>
      </c>
      <c r="G212" s="8"/>
    </row>
    <row r="213" spans="1:7" ht="18.75" customHeight="1" x14ac:dyDescent="0.2">
      <c r="A213" s="8" t="s">
        <v>429</v>
      </c>
      <c r="B213" s="9">
        <v>18915</v>
      </c>
      <c r="C213" s="9">
        <v>5902557331697</v>
      </c>
      <c r="D213" s="10" t="s">
        <v>430</v>
      </c>
      <c r="E213" s="9">
        <v>64</v>
      </c>
      <c r="F213" s="11">
        <v>45321</v>
      </c>
      <c r="G213" s="8"/>
    </row>
    <row r="214" spans="1:7" ht="18.75" customHeight="1" x14ac:dyDescent="0.2">
      <c r="A214" s="8" t="s">
        <v>431</v>
      </c>
      <c r="B214" s="9">
        <v>37327</v>
      </c>
      <c r="C214" s="9">
        <v>5902557349708</v>
      </c>
      <c r="D214" s="10" t="s">
        <v>432</v>
      </c>
      <c r="E214" s="9">
        <v>64</v>
      </c>
      <c r="F214" s="11">
        <v>45321</v>
      </c>
      <c r="G214" s="8"/>
    </row>
    <row r="215" spans="1:7" ht="18.75" customHeight="1" x14ac:dyDescent="0.2">
      <c r="A215" s="8" t="s">
        <v>433</v>
      </c>
      <c r="B215" s="9">
        <v>40655</v>
      </c>
      <c r="C215" s="9">
        <v>5902557356898</v>
      </c>
      <c r="D215" s="10" t="s">
        <v>434</v>
      </c>
      <c r="E215" s="9">
        <v>53</v>
      </c>
      <c r="F215" s="11">
        <v>45265</v>
      </c>
      <c r="G215" s="8"/>
    </row>
    <row r="216" spans="1:7" ht="18.75" customHeight="1" x14ac:dyDescent="0.2">
      <c r="A216" s="8" t="s">
        <v>435</v>
      </c>
      <c r="B216" s="9">
        <v>40654</v>
      </c>
      <c r="C216" s="9">
        <v>5902557356904</v>
      </c>
      <c r="D216" s="10" t="s">
        <v>436</v>
      </c>
      <c r="E216" s="9">
        <v>73</v>
      </c>
      <c r="F216" s="11">
        <v>45265</v>
      </c>
      <c r="G216" s="8"/>
    </row>
    <row r="217" spans="1:7" ht="18.75" customHeight="1" x14ac:dyDescent="0.2">
      <c r="A217" s="8" t="s">
        <v>437</v>
      </c>
      <c r="B217" s="9">
        <v>1852</v>
      </c>
      <c r="C217" s="9">
        <v>5902557301775</v>
      </c>
      <c r="D217" s="10" t="s">
        <v>438</v>
      </c>
      <c r="E217" s="9">
        <v>37</v>
      </c>
      <c r="F217" s="11">
        <v>45265</v>
      </c>
      <c r="G217" s="8"/>
    </row>
    <row r="218" spans="1:7" ht="18.75" customHeight="1" x14ac:dyDescent="0.2">
      <c r="A218" s="8" t="s">
        <v>439</v>
      </c>
      <c r="B218" s="9">
        <v>42476</v>
      </c>
      <c r="C218" s="9">
        <v>5902557302185</v>
      </c>
      <c r="D218" s="10" t="s">
        <v>440</v>
      </c>
      <c r="E218" s="9">
        <v>47</v>
      </c>
      <c r="F218" s="11">
        <v>45265</v>
      </c>
      <c r="G218" s="8"/>
    </row>
    <row r="219" spans="1:7" ht="18.75" customHeight="1" x14ac:dyDescent="0.2">
      <c r="A219" s="8" t="s">
        <v>441</v>
      </c>
      <c r="B219" s="9">
        <v>31462</v>
      </c>
      <c r="C219" s="9">
        <v>5902557342051</v>
      </c>
      <c r="D219" s="10" t="s">
        <v>442</v>
      </c>
      <c r="E219" s="9">
        <v>72</v>
      </c>
      <c r="F219" s="11">
        <v>45265</v>
      </c>
      <c r="G219" s="8"/>
    </row>
    <row r="220" spans="1:7" ht="18.75" customHeight="1" x14ac:dyDescent="0.2">
      <c r="A220" s="8" t="s">
        <v>443</v>
      </c>
      <c r="B220" s="9">
        <v>31463</v>
      </c>
      <c r="C220" s="9">
        <v>5902557342044</v>
      </c>
      <c r="D220" s="10" t="s">
        <v>444</v>
      </c>
      <c r="E220" s="9">
        <v>98</v>
      </c>
      <c r="F220" s="11">
        <v>45265</v>
      </c>
      <c r="G220" s="8"/>
    </row>
    <row r="221" spans="1:7" ht="18.75" customHeight="1" x14ac:dyDescent="0.2">
      <c r="A221" s="8" t="s">
        <v>445</v>
      </c>
      <c r="B221" s="9">
        <v>50948</v>
      </c>
      <c r="C221" s="9">
        <v>5902557390724</v>
      </c>
      <c r="D221" s="10" t="s">
        <v>446</v>
      </c>
      <c r="E221" s="9">
        <v>60</v>
      </c>
      <c r="F221" s="11">
        <v>45357</v>
      </c>
      <c r="G221" s="8"/>
    </row>
    <row r="222" spans="1:7" ht="18.75" customHeight="1" x14ac:dyDescent="0.2">
      <c r="A222" s="8" t="s">
        <v>447</v>
      </c>
      <c r="B222" s="9">
        <v>50947</v>
      </c>
      <c r="C222" s="9">
        <v>5902557390731</v>
      </c>
      <c r="D222" s="10" t="s">
        <v>448</v>
      </c>
      <c r="E222" s="9">
        <v>86</v>
      </c>
      <c r="F222" s="11">
        <v>45372</v>
      </c>
      <c r="G222" s="8"/>
    </row>
    <row r="223" spans="1:7" ht="18.75" customHeight="1" x14ac:dyDescent="0.2">
      <c r="A223" s="8" t="s">
        <v>449</v>
      </c>
      <c r="B223" s="9">
        <v>50944</v>
      </c>
      <c r="C223" s="9">
        <v>5902557390717</v>
      </c>
      <c r="D223" s="10" t="s">
        <v>450</v>
      </c>
      <c r="E223" s="9">
        <v>62</v>
      </c>
      <c r="F223" s="11">
        <v>45357</v>
      </c>
      <c r="G223" s="8"/>
    </row>
    <row r="224" spans="1:7" ht="18.75" customHeight="1" x14ac:dyDescent="0.2">
      <c r="A224" s="8" t="s">
        <v>451</v>
      </c>
      <c r="B224" s="9">
        <v>50941</v>
      </c>
      <c r="C224" s="9">
        <v>5902557390700</v>
      </c>
      <c r="D224" s="10" t="s">
        <v>452</v>
      </c>
      <c r="E224" s="9">
        <v>93</v>
      </c>
      <c r="F224" s="11">
        <v>45372</v>
      </c>
      <c r="G224" s="8"/>
    </row>
    <row r="225" spans="1:7" ht="18.75" customHeight="1" x14ac:dyDescent="0.2">
      <c r="A225" s="8" t="s">
        <v>453</v>
      </c>
      <c r="B225" s="9">
        <v>51423</v>
      </c>
      <c r="C225" s="9">
        <v>5902557390755</v>
      </c>
      <c r="D225" s="10" t="s">
        <v>454</v>
      </c>
      <c r="E225" s="9">
        <v>76</v>
      </c>
      <c r="F225" s="11">
        <v>45265</v>
      </c>
      <c r="G225" s="8"/>
    </row>
    <row r="226" spans="1:7" ht="18.75" customHeight="1" x14ac:dyDescent="0.2">
      <c r="A226" s="8" t="s">
        <v>455</v>
      </c>
      <c r="B226" s="9">
        <v>51429</v>
      </c>
      <c r="C226" s="9">
        <v>5902557390748</v>
      </c>
      <c r="D226" s="10" t="s">
        <v>456</v>
      </c>
      <c r="E226" s="9">
        <v>111</v>
      </c>
      <c r="F226" s="11">
        <v>45265</v>
      </c>
      <c r="G226" s="8"/>
    </row>
    <row r="227" spans="1:7" ht="18.75" customHeight="1" x14ac:dyDescent="0.2">
      <c r="A227" s="8" t="s">
        <v>457</v>
      </c>
      <c r="B227" s="9">
        <v>39781</v>
      </c>
      <c r="C227" s="9">
        <v>5902557354665</v>
      </c>
      <c r="D227" s="10" t="s">
        <v>458</v>
      </c>
      <c r="E227" s="9">
        <v>77</v>
      </c>
      <c r="F227" s="11">
        <v>45265</v>
      </c>
      <c r="G227" s="8"/>
    </row>
    <row r="228" spans="1:7" ht="18.75" customHeight="1" x14ac:dyDescent="0.2">
      <c r="A228" s="8" t="s">
        <v>459</v>
      </c>
      <c r="B228" s="9">
        <v>39779</v>
      </c>
      <c r="C228" s="9">
        <v>5902557354672</v>
      </c>
      <c r="D228" s="10" t="s">
        <v>460</v>
      </c>
      <c r="E228" s="9">
        <v>120</v>
      </c>
      <c r="F228" s="11">
        <v>45265</v>
      </c>
      <c r="G228" s="8"/>
    </row>
    <row r="229" spans="1:7" ht="18.75" customHeight="1" x14ac:dyDescent="0.2">
      <c r="A229" s="8" t="s">
        <v>461</v>
      </c>
      <c r="B229" s="9">
        <v>39782</v>
      </c>
      <c r="C229" s="9">
        <v>5902557354689</v>
      </c>
      <c r="D229" s="10" t="s">
        <v>462</v>
      </c>
      <c r="E229" s="9">
        <v>85</v>
      </c>
      <c r="F229" s="11">
        <v>45265</v>
      </c>
      <c r="G229" s="8"/>
    </row>
    <row r="230" spans="1:7" ht="18.75" customHeight="1" x14ac:dyDescent="0.2">
      <c r="A230" s="8" t="s">
        <v>463</v>
      </c>
      <c r="B230" s="9">
        <v>39780</v>
      </c>
      <c r="C230" s="9">
        <v>5902557354696</v>
      </c>
      <c r="D230" s="10" t="s">
        <v>464</v>
      </c>
      <c r="E230" s="9">
        <v>117</v>
      </c>
      <c r="F230" s="11">
        <v>45581</v>
      </c>
      <c r="G230" s="8"/>
    </row>
    <row r="231" spans="1:7" ht="18.75" customHeight="1" x14ac:dyDescent="0.2">
      <c r="A231" s="8" t="s">
        <v>465</v>
      </c>
      <c r="B231" s="9">
        <v>1850</v>
      </c>
      <c r="C231" s="9">
        <v>5902557301898</v>
      </c>
      <c r="D231" s="10" t="s">
        <v>466</v>
      </c>
      <c r="E231" s="9">
        <v>36</v>
      </c>
      <c r="F231" s="11">
        <v>45265</v>
      </c>
      <c r="G231" s="8"/>
    </row>
    <row r="232" spans="1:7" ht="18.75" customHeight="1" x14ac:dyDescent="0.2">
      <c r="A232" s="8" t="s">
        <v>467</v>
      </c>
      <c r="B232" s="9">
        <v>7413</v>
      </c>
      <c r="C232" s="9">
        <v>5902557301904</v>
      </c>
      <c r="D232" s="10" t="s">
        <v>468</v>
      </c>
      <c r="E232" s="9">
        <v>68</v>
      </c>
      <c r="F232" s="11">
        <v>45265</v>
      </c>
      <c r="G232" s="8"/>
    </row>
    <row r="233" spans="1:7" ht="18.75" customHeight="1" x14ac:dyDescent="0.2">
      <c r="A233" s="8" t="s">
        <v>469</v>
      </c>
      <c r="B233" s="9">
        <v>1843</v>
      </c>
      <c r="C233" s="9">
        <v>5902557301812</v>
      </c>
      <c r="D233" s="10" t="s">
        <v>470</v>
      </c>
      <c r="E233" s="9">
        <v>61</v>
      </c>
      <c r="F233" s="11">
        <v>45265</v>
      </c>
      <c r="G233" s="8"/>
    </row>
    <row r="234" spans="1:7" ht="18.75" customHeight="1" x14ac:dyDescent="0.2">
      <c r="A234" s="8" t="s">
        <v>471</v>
      </c>
      <c r="B234" s="9">
        <v>1844</v>
      </c>
      <c r="C234" s="9">
        <v>5902557301829</v>
      </c>
      <c r="D234" s="10" t="s">
        <v>472</v>
      </c>
      <c r="E234" s="9">
        <v>73</v>
      </c>
      <c r="F234" s="11">
        <v>45265</v>
      </c>
      <c r="G234" s="8"/>
    </row>
    <row r="235" spans="1:7" ht="18.75" customHeight="1" x14ac:dyDescent="0.2">
      <c r="A235" s="8" t="s">
        <v>473</v>
      </c>
      <c r="B235" s="9">
        <v>37567</v>
      </c>
      <c r="C235" s="9">
        <v>5902557350049</v>
      </c>
      <c r="D235" s="10" t="s">
        <v>474</v>
      </c>
      <c r="E235" s="9">
        <v>65</v>
      </c>
      <c r="F235" s="11">
        <v>45265</v>
      </c>
      <c r="G235" s="8"/>
    </row>
    <row r="236" spans="1:7" ht="18.75" customHeight="1" x14ac:dyDescent="0.2">
      <c r="A236" s="8" t="s">
        <v>475</v>
      </c>
      <c r="B236" s="9">
        <v>37425</v>
      </c>
      <c r="C236" s="9">
        <v>5902557350032</v>
      </c>
      <c r="D236" s="10" t="s">
        <v>476</v>
      </c>
      <c r="E236" s="9">
        <v>79</v>
      </c>
      <c r="F236" s="11">
        <v>45265</v>
      </c>
      <c r="G236" s="8"/>
    </row>
    <row r="237" spans="1:7" ht="18.75" customHeight="1" x14ac:dyDescent="0.2">
      <c r="A237" s="8" t="s">
        <v>477</v>
      </c>
      <c r="B237" s="9">
        <v>44819</v>
      </c>
      <c r="C237" s="9">
        <v>5902557370009</v>
      </c>
      <c r="D237" s="10" t="s">
        <v>478</v>
      </c>
      <c r="E237" s="9">
        <v>66</v>
      </c>
      <c r="F237" s="11">
        <v>45443</v>
      </c>
      <c r="G237" s="8"/>
    </row>
    <row r="238" spans="1:7" ht="18.75" customHeight="1" x14ac:dyDescent="0.2">
      <c r="A238" s="8" t="s">
        <v>479</v>
      </c>
      <c r="B238" s="9">
        <v>44820</v>
      </c>
      <c r="C238" s="9">
        <v>5902557370016</v>
      </c>
      <c r="D238" s="10" t="s">
        <v>480</v>
      </c>
      <c r="E238" s="9">
        <v>95</v>
      </c>
      <c r="F238" s="11">
        <v>45443</v>
      </c>
      <c r="G238" s="8"/>
    </row>
    <row r="239" spans="1:7" ht="18.75" customHeight="1" x14ac:dyDescent="0.2">
      <c r="A239" s="8" t="s">
        <v>481</v>
      </c>
      <c r="B239" s="9">
        <v>42754</v>
      </c>
      <c r="C239" s="9">
        <v>5902557344772</v>
      </c>
      <c r="D239" s="10" t="s">
        <v>482</v>
      </c>
      <c r="E239" s="9">
        <v>70</v>
      </c>
      <c r="F239" s="11">
        <v>45365</v>
      </c>
      <c r="G239" s="8"/>
    </row>
    <row r="240" spans="1:7" ht="18.75" customHeight="1" x14ac:dyDescent="0.2">
      <c r="A240" s="8" t="s">
        <v>483</v>
      </c>
      <c r="B240" s="9">
        <v>33659</v>
      </c>
      <c r="C240" s="9">
        <v>5902557344789</v>
      </c>
      <c r="D240" s="10" t="s">
        <v>484</v>
      </c>
      <c r="E240" s="9">
        <v>102</v>
      </c>
      <c r="F240" s="11">
        <v>45337</v>
      </c>
      <c r="G240" s="8"/>
    </row>
    <row r="241" spans="1:7" ht="18.75" customHeight="1" x14ac:dyDescent="0.2">
      <c r="A241" s="8" t="s">
        <v>485</v>
      </c>
      <c r="B241" s="9">
        <v>33665</v>
      </c>
      <c r="C241" s="9">
        <v>5902557364060</v>
      </c>
      <c r="D241" s="10" t="s">
        <v>486</v>
      </c>
      <c r="E241" s="9">
        <v>90</v>
      </c>
      <c r="F241" s="11">
        <v>45265</v>
      </c>
      <c r="G241" s="8"/>
    </row>
    <row r="242" spans="1:7" ht="18.75" customHeight="1" x14ac:dyDescent="0.2">
      <c r="A242" s="8" t="s">
        <v>487</v>
      </c>
      <c r="B242" s="9">
        <v>42753</v>
      </c>
      <c r="C242" s="9">
        <v>5902557364053</v>
      </c>
      <c r="D242" s="10" t="s">
        <v>488</v>
      </c>
      <c r="E242" s="9">
        <v>109</v>
      </c>
      <c r="F242" s="11">
        <v>45443</v>
      </c>
      <c r="G242" s="8"/>
    </row>
    <row r="243" spans="1:7" ht="18.75" customHeight="1" x14ac:dyDescent="0.2">
      <c r="A243" s="8" t="s">
        <v>489</v>
      </c>
      <c r="B243" s="9">
        <v>43052</v>
      </c>
      <c r="C243" s="9">
        <v>5902557366750</v>
      </c>
      <c r="D243" s="10" t="s">
        <v>490</v>
      </c>
      <c r="E243" s="9">
        <v>59</v>
      </c>
      <c r="F243" s="11">
        <v>45265</v>
      </c>
      <c r="G243" s="8"/>
    </row>
    <row r="244" spans="1:7" ht="18.75" customHeight="1" x14ac:dyDescent="0.2">
      <c r="A244" s="8" t="s">
        <v>491</v>
      </c>
      <c r="B244" s="9">
        <v>1858</v>
      </c>
      <c r="C244" s="9">
        <v>5902557301737</v>
      </c>
      <c r="D244" s="10" t="s">
        <v>492</v>
      </c>
      <c r="E244" s="9">
        <v>34</v>
      </c>
      <c r="F244" s="11">
        <v>45265</v>
      </c>
      <c r="G244" s="8"/>
    </row>
    <row r="245" spans="1:7" ht="18.75" customHeight="1" x14ac:dyDescent="0.2">
      <c r="A245" s="8" t="s">
        <v>493</v>
      </c>
      <c r="B245" s="9">
        <v>41833</v>
      </c>
      <c r="C245" s="9">
        <v>5902557357529</v>
      </c>
      <c r="D245" s="10" t="s">
        <v>494</v>
      </c>
      <c r="E245" s="9">
        <v>35</v>
      </c>
      <c r="F245" s="11">
        <v>45581</v>
      </c>
      <c r="G245" s="8"/>
    </row>
    <row r="246" spans="1:7" ht="18.75" customHeight="1" x14ac:dyDescent="0.2">
      <c r="A246" s="8" t="s">
        <v>495</v>
      </c>
      <c r="B246" s="9">
        <v>30030</v>
      </c>
      <c r="C246" s="9">
        <v>5902557341931</v>
      </c>
      <c r="D246" s="10" t="s">
        <v>496</v>
      </c>
      <c r="E246" s="9">
        <v>56</v>
      </c>
      <c r="F246" s="11">
        <v>45265</v>
      </c>
      <c r="G246" s="8"/>
    </row>
    <row r="247" spans="1:7" ht="18.75" customHeight="1" x14ac:dyDescent="0.2">
      <c r="A247" s="8" t="s">
        <v>497</v>
      </c>
      <c r="B247" s="9">
        <v>42795</v>
      </c>
      <c r="C247" s="9">
        <v>5902557357482</v>
      </c>
      <c r="D247" s="10" t="s">
        <v>498</v>
      </c>
      <c r="E247" s="9">
        <v>64</v>
      </c>
      <c r="F247" s="11">
        <v>45265</v>
      </c>
      <c r="G247" s="8"/>
    </row>
    <row r="248" spans="1:7" ht="18.75" customHeight="1" x14ac:dyDescent="0.2">
      <c r="A248" s="8" t="s">
        <v>499</v>
      </c>
      <c r="B248" s="9">
        <v>42788</v>
      </c>
      <c r="C248" s="9">
        <v>5902557357499</v>
      </c>
      <c r="D248" s="10" t="s">
        <v>500</v>
      </c>
      <c r="E248" s="9">
        <v>85</v>
      </c>
      <c r="F248" s="11">
        <v>45265</v>
      </c>
      <c r="G248" s="8"/>
    </row>
    <row r="249" spans="1:7" ht="18.75" customHeight="1" x14ac:dyDescent="0.2">
      <c r="A249" s="8" t="s">
        <v>501</v>
      </c>
      <c r="B249" s="9">
        <v>45269</v>
      </c>
      <c r="C249" s="9">
        <v>5902557370047</v>
      </c>
      <c r="D249" s="10" t="s">
        <v>502</v>
      </c>
      <c r="E249" s="9">
        <v>71</v>
      </c>
      <c r="F249" s="11">
        <v>45443</v>
      </c>
      <c r="G249" s="8"/>
    </row>
    <row r="250" spans="1:7" ht="18.75" customHeight="1" x14ac:dyDescent="0.2">
      <c r="A250" s="8" t="s">
        <v>503</v>
      </c>
      <c r="B250" s="9">
        <v>45270</v>
      </c>
      <c r="C250" s="9">
        <v>5902557370054</v>
      </c>
      <c r="D250" s="10" t="s">
        <v>504</v>
      </c>
      <c r="E250" s="9">
        <v>110</v>
      </c>
      <c r="F250" s="11">
        <v>45265</v>
      </c>
      <c r="G250" s="8"/>
    </row>
    <row r="251" spans="1:7" ht="18.75" customHeight="1" x14ac:dyDescent="0.2">
      <c r="A251" s="8" t="s">
        <v>505</v>
      </c>
      <c r="B251" s="9">
        <v>45271</v>
      </c>
      <c r="C251" s="9">
        <v>5902557370061</v>
      </c>
      <c r="D251" s="10" t="s">
        <v>506</v>
      </c>
      <c r="E251" s="9">
        <v>85</v>
      </c>
      <c r="F251" s="11">
        <v>45443</v>
      </c>
      <c r="G251" s="8"/>
    </row>
    <row r="252" spans="1:7" ht="18.75" customHeight="1" x14ac:dyDescent="0.2">
      <c r="A252" s="8" t="s">
        <v>507</v>
      </c>
      <c r="B252" s="9">
        <v>45275</v>
      </c>
      <c r="C252" s="9">
        <v>5902557370078</v>
      </c>
      <c r="D252" s="10" t="s">
        <v>508</v>
      </c>
      <c r="E252" s="9">
        <v>101</v>
      </c>
      <c r="F252" s="11">
        <v>45265</v>
      </c>
      <c r="G252" s="8"/>
    </row>
    <row r="253" spans="1:7" ht="18.75" customHeight="1" x14ac:dyDescent="0.2">
      <c r="A253" s="8" t="s">
        <v>509</v>
      </c>
      <c r="B253" s="9">
        <v>45039</v>
      </c>
      <c r="C253" s="9">
        <v>5902557370467</v>
      </c>
      <c r="D253" s="10" t="s">
        <v>510</v>
      </c>
      <c r="E253" s="9">
        <v>62</v>
      </c>
      <c r="F253" s="11">
        <v>45265</v>
      </c>
      <c r="G253" s="8"/>
    </row>
    <row r="254" spans="1:7" ht="18.75" customHeight="1" x14ac:dyDescent="0.2">
      <c r="A254" s="8" t="s">
        <v>511</v>
      </c>
      <c r="B254" s="9">
        <v>45040</v>
      </c>
      <c r="C254" s="9">
        <v>5902557370474</v>
      </c>
      <c r="D254" s="10" t="s">
        <v>512</v>
      </c>
      <c r="E254" s="9">
        <v>84</v>
      </c>
      <c r="F254" s="11">
        <v>45265</v>
      </c>
      <c r="G254" s="8"/>
    </row>
    <row r="255" spans="1:7" ht="18.75" customHeight="1" x14ac:dyDescent="0.2">
      <c r="A255" s="8" t="s">
        <v>513</v>
      </c>
      <c r="B255" s="9">
        <v>45019</v>
      </c>
      <c r="C255" s="9">
        <v>5902557370504</v>
      </c>
      <c r="D255" s="10" t="s">
        <v>514</v>
      </c>
      <c r="E255" s="9">
        <v>90</v>
      </c>
      <c r="F255" s="11">
        <v>45265</v>
      </c>
      <c r="G255" s="8"/>
    </row>
    <row r="256" spans="1:7" ht="18.75" customHeight="1" x14ac:dyDescent="0.2">
      <c r="A256" s="8" t="s">
        <v>515</v>
      </c>
      <c r="B256" s="9">
        <v>45036</v>
      </c>
      <c r="C256" s="9">
        <v>5902557370535</v>
      </c>
      <c r="D256" s="10" t="s">
        <v>516</v>
      </c>
      <c r="E256" s="9">
        <v>94</v>
      </c>
      <c r="F256" s="11">
        <v>45645</v>
      </c>
      <c r="G256" s="8"/>
    </row>
    <row r="257" spans="1:7" ht="18.75" customHeight="1" x14ac:dyDescent="0.2">
      <c r="A257" s="8" t="s">
        <v>517</v>
      </c>
      <c r="B257" s="9">
        <v>45035</v>
      </c>
      <c r="C257" s="9">
        <v>5902557370528</v>
      </c>
      <c r="D257" s="10" t="s">
        <v>518</v>
      </c>
      <c r="E257" s="9">
        <v>70</v>
      </c>
      <c r="F257" s="11">
        <v>45645</v>
      </c>
      <c r="G257" s="8"/>
    </row>
    <row r="258" spans="1:7" ht="18.75" customHeight="1" x14ac:dyDescent="0.2">
      <c r="A258" s="8" t="s">
        <v>519</v>
      </c>
      <c r="B258" s="9">
        <v>53869</v>
      </c>
      <c r="C258" s="8">
        <v>5906366007620</v>
      </c>
      <c r="D258" s="10" t="s">
        <v>520</v>
      </c>
      <c r="E258" s="9">
        <v>94</v>
      </c>
      <c r="F258" s="11">
        <v>45645</v>
      </c>
      <c r="G258" s="8"/>
    </row>
    <row r="259" spans="1:7" ht="18.75" customHeight="1" x14ac:dyDescent="0.2">
      <c r="A259" s="8" t="s">
        <v>521</v>
      </c>
      <c r="B259" s="9">
        <v>53868</v>
      </c>
      <c r="C259" s="8">
        <v>5906366007613</v>
      </c>
      <c r="D259" s="10" t="s">
        <v>522</v>
      </c>
      <c r="E259" s="9">
        <v>92</v>
      </c>
      <c r="F259" s="11">
        <v>45645</v>
      </c>
      <c r="G259" s="8"/>
    </row>
    <row r="260" spans="1:7" ht="18.75" customHeight="1" x14ac:dyDescent="0.2">
      <c r="A260" s="8" t="s">
        <v>523</v>
      </c>
      <c r="B260" s="9">
        <v>44999</v>
      </c>
      <c r="C260" s="9">
        <v>5902557370306</v>
      </c>
      <c r="D260" s="10" t="s">
        <v>524</v>
      </c>
      <c r="E260" s="9">
        <v>57</v>
      </c>
      <c r="F260" s="11">
        <v>45265</v>
      </c>
      <c r="G260" s="8"/>
    </row>
    <row r="261" spans="1:7" ht="18.75" customHeight="1" x14ac:dyDescent="0.2">
      <c r="A261" s="8" t="s">
        <v>525</v>
      </c>
      <c r="B261" s="9">
        <v>44995</v>
      </c>
      <c r="C261" s="9">
        <v>5902557370313</v>
      </c>
      <c r="D261" s="10" t="s">
        <v>526</v>
      </c>
      <c r="E261" s="9">
        <v>72</v>
      </c>
      <c r="F261" s="11">
        <v>45406</v>
      </c>
      <c r="G261" s="8"/>
    </row>
    <row r="262" spans="1:7" ht="18.75" customHeight="1" x14ac:dyDescent="0.2">
      <c r="A262" s="8" t="s">
        <v>527</v>
      </c>
      <c r="B262" s="9">
        <v>44991</v>
      </c>
      <c r="C262" s="9">
        <v>5902557370344</v>
      </c>
      <c r="D262" s="10" t="s">
        <v>528</v>
      </c>
      <c r="E262" s="9">
        <v>79</v>
      </c>
      <c r="F262" s="11">
        <v>45406</v>
      </c>
      <c r="G262" s="8"/>
    </row>
    <row r="263" spans="1:7" ht="18.75" customHeight="1" x14ac:dyDescent="0.2">
      <c r="A263" s="8" t="s">
        <v>529</v>
      </c>
      <c r="B263" s="9">
        <v>44989</v>
      </c>
      <c r="C263" s="9">
        <v>5902557370399</v>
      </c>
      <c r="D263" s="10" t="s">
        <v>530</v>
      </c>
      <c r="E263" s="9">
        <v>62</v>
      </c>
      <c r="F263" s="11">
        <v>45265</v>
      </c>
      <c r="G263" s="8"/>
    </row>
    <row r="264" spans="1:7" ht="18.75" customHeight="1" x14ac:dyDescent="0.2">
      <c r="A264" s="8" t="s">
        <v>531</v>
      </c>
      <c r="B264" s="9">
        <v>44992</v>
      </c>
      <c r="C264" s="9">
        <v>5902557370337</v>
      </c>
      <c r="D264" s="10" t="s">
        <v>532</v>
      </c>
      <c r="E264" s="9">
        <v>57</v>
      </c>
      <c r="F264" s="11">
        <v>45645</v>
      </c>
      <c r="G264" s="8"/>
    </row>
    <row r="265" spans="1:7" ht="18.75" customHeight="1" x14ac:dyDescent="0.2">
      <c r="A265" s="8" t="s">
        <v>533</v>
      </c>
      <c r="B265" s="9">
        <v>45025</v>
      </c>
      <c r="C265" s="9">
        <v>5902557370276</v>
      </c>
      <c r="D265" s="10" t="s">
        <v>534</v>
      </c>
      <c r="E265" s="9">
        <v>44</v>
      </c>
      <c r="F265" s="11">
        <v>45387</v>
      </c>
      <c r="G265" s="8"/>
    </row>
    <row r="266" spans="1:7" ht="18.75" customHeight="1" x14ac:dyDescent="0.2">
      <c r="A266" s="8" t="s">
        <v>535</v>
      </c>
      <c r="B266" s="9">
        <v>51320</v>
      </c>
      <c r="C266" s="9">
        <v>5902557391158</v>
      </c>
      <c r="D266" s="10" t="s">
        <v>536</v>
      </c>
      <c r="E266" s="9">
        <v>55</v>
      </c>
      <c r="F266" s="11">
        <v>45341</v>
      </c>
      <c r="G266" s="8"/>
    </row>
    <row r="267" spans="1:7" ht="18.75" customHeight="1" x14ac:dyDescent="0.2">
      <c r="A267" s="8" t="s">
        <v>537</v>
      </c>
      <c r="B267" s="9">
        <v>51319</v>
      </c>
      <c r="C267" s="9">
        <v>5902557391165</v>
      </c>
      <c r="D267" s="10" t="s">
        <v>538</v>
      </c>
      <c r="E267" s="9">
        <v>63</v>
      </c>
      <c r="F267" s="11">
        <v>45387</v>
      </c>
      <c r="G267" s="8"/>
    </row>
    <row r="268" spans="1:7" ht="18.75" customHeight="1" x14ac:dyDescent="0.2">
      <c r="A268" s="8" t="s">
        <v>539</v>
      </c>
      <c r="B268" s="9">
        <v>45026</v>
      </c>
      <c r="C268" s="9">
        <v>5902557370283</v>
      </c>
      <c r="D268" s="10" t="s">
        <v>540</v>
      </c>
      <c r="E268" s="9">
        <v>46</v>
      </c>
      <c r="F268" s="11">
        <v>45265</v>
      </c>
      <c r="G268" s="8"/>
    </row>
    <row r="269" spans="1:7" ht="18.75" customHeight="1" x14ac:dyDescent="0.2">
      <c r="A269" s="8" t="s">
        <v>541</v>
      </c>
      <c r="B269" s="9">
        <v>45024</v>
      </c>
      <c r="C269" s="9">
        <v>5902557370290</v>
      </c>
      <c r="D269" s="10" t="s">
        <v>542</v>
      </c>
      <c r="E269" s="9">
        <v>49</v>
      </c>
      <c r="F269" s="11">
        <v>45387</v>
      </c>
      <c r="G269" s="8"/>
    </row>
    <row r="270" spans="1:7" ht="18.75" customHeight="1" x14ac:dyDescent="0.2">
      <c r="A270" s="8" t="s">
        <v>543</v>
      </c>
      <c r="B270" s="9">
        <v>45037</v>
      </c>
      <c r="C270" s="9">
        <v>5902557370429</v>
      </c>
      <c r="D270" s="10" t="s">
        <v>544</v>
      </c>
      <c r="E270" s="9">
        <v>46</v>
      </c>
      <c r="F270" s="11">
        <v>45265</v>
      </c>
      <c r="G270" s="8"/>
    </row>
    <row r="271" spans="1:7" ht="18.75" customHeight="1" x14ac:dyDescent="0.2">
      <c r="A271" s="8" t="s">
        <v>545</v>
      </c>
      <c r="B271" s="9">
        <v>45034</v>
      </c>
      <c r="C271" s="9">
        <v>5902557370443</v>
      </c>
      <c r="D271" s="10" t="s">
        <v>546</v>
      </c>
      <c r="E271" s="9">
        <v>51</v>
      </c>
      <c r="F271" s="11">
        <v>45265</v>
      </c>
      <c r="G271" s="8"/>
    </row>
    <row r="272" spans="1:7" ht="18.75" customHeight="1" x14ac:dyDescent="0.2">
      <c r="A272" s="8" t="s">
        <v>547</v>
      </c>
      <c r="B272" s="9">
        <v>44987</v>
      </c>
      <c r="C272" s="9">
        <v>5902557370153</v>
      </c>
      <c r="D272" s="10" t="s">
        <v>548</v>
      </c>
      <c r="E272" s="9">
        <v>61</v>
      </c>
      <c r="F272" s="11">
        <v>45265</v>
      </c>
      <c r="G272" s="8"/>
    </row>
    <row r="273" spans="1:7" ht="18.75" customHeight="1" x14ac:dyDescent="0.2">
      <c r="A273" s="8" t="s">
        <v>549</v>
      </c>
      <c r="B273" s="9">
        <v>44986</v>
      </c>
      <c r="C273" s="9">
        <v>5902557370177</v>
      </c>
      <c r="D273" s="10" t="s">
        <v>550</v>
      </c>
      <c r="E273" s="9">
        <v>74</v>
      </c>
      <c r="F273" s="11">
        <v>45265</v>
      </c>
      <c r="G273" s="8"/>
    </row>
    <row r="274" spans="1:7" ht="18.75" customHeight="1" x14ac:dyDescent="0.2">
      <c r="A274" s="8" t="s">
        <v>551</v>
      </c>
      <c r="B274" s="9">
        <v>44984</v>
      </c>
      <c r="C274" s="9">
        <v>5902557370184</v>
      </c>
      <c r="D274" s="10" t="s">
        <v>552</v>
      </c>
      <c r="E274" s="9">
        <v>81</v>
      </c>
      <c r="F274" s="11">
        <v>45265</v>
      </c>
      <c r="G274" s="8"/>
    </row>
    <row r="275" spans="1:7" ht="18.75" customHeight="1" x14ac:dyDescent="0.2">
      <c r="A275" s="8" t="s">
        <v>553</v>
      </c>
      <c r="B275" s="9">
        <v>44985</v>
      </c>
      <c r="C275" s="9">
        <v>5902557370160</v>
      </c>
      <c r="D275" s="10" t="s">
        <v>554</v>
      </c>
      <c r="E275" s="9">
        <v>64</v>
      </c>
      <c r="F275" s="11">
        <v>45265</v>
      </c>
      <c r="G275" s="8"/>
    </row>
    <row r="276" spans="1:7" ht="18.75" customHeight="1" x14ac:dyDescent="0.2">
      <c r="A276" s="8" t="s">
        <v>555</v>
      </c>
      <c r="B276" s="9">
        <v>45058</v>
      </c>
      <c r="C276" s="9">
        <v>5902557370597</v>
      </c>
      <c r="D276" s="10" t="s">
        <v>556</v>
      </c>
      <c r="E276" s="9">
        <v>61</v>
      </c>
      <c r="F276" s="11">
        <v>45265</v>
      </c>
      <c r="G276" s="8"/>
    </row>
    <row r="277" spans="1:7" ht="18.75" customHeight="1" x14ac:dyDescent="0.2">
      <c r="A277" s="8" t="s">
        <v>557</v>
      </c>
      <c r="B277" s="9">
        <v>45060</v>
      </c>
      <c r="C277" s="9">
        <v>5902557370603</v>
      </c>
      <c r="D277" s="10" t="s">
        <v>558</v>
      </c>
      <c r="E277" s="9">
        <v>85</v>
      </c>
      <c r="F277" s="11">
        <v>45645</v>
      </c>
      <c r="G277" s="8"/>
    </row>
    <row r="278" spans="1:7" ht="18.75" customHeight="1" x14ac:dyDescent="0.2">
      <c r="A278" s="8" t="s">
        <v>559</v>
      </c>
      <c r="B278" s="9">
        <v>45000</v>
      </c>
      <c r="C278" s="9">
        <v>5902557370627</v>
      </c>
      <c r="D278" s="10" t="s">
        <v>560</v>
      </c>
      <c r="E278" s="9">
        <v>94</v>
      </c>
      <c r="F278" s="11">
        <v>45387</v>
      </c>
      <c r="G278" s="8"/>
    </row>
    <row r="279" spans="1:7" ht="18.75" customHeight="1" x14ac:dyDescent="0.2">
      <c r="A279" s="8" t="s">
        <v>561</v>
      </c>
      <c r="B279" s="9">
        <v>45002</v>
      </c>
      <c r="C279" s="9">
        <v>5902557370610</v>
      </c>
      <c r="D279" s="10" t="s">
        <v>562</v>
      </c>
      <c r="E279" s="9">
        <v>70</v>
      </c>
      <c r="F279" s="11">
        <v>45387</v>
      </c>
      <c r="G279" s="8"/>
    </row>
    <row r="280" spans="1:7" ht="18.75" customHeight="1" x14ac:dyDescent="0.2">
      <c r="A280" s="8" t="s">
        <v>563</v>
      </c>
      <c r="B280" s="9">
        <v>45017</v>
      </c>
      <c r="C280" s="9">
        <v>5902557370580</v>
      </c>
      <c r="D280" s="10" t="s">
        <v>564</v>
      </c>
      <c r="E280" s="9">
        <v>70</v>
      </c>
      <c r="F280" s="11">
        <v>45406</v>
      </c>
      <c r="G280" s="8"/>
    </row>
    <row r="281" spans="1:7" ht="18.75" customHeight="1" x14ac:dyDescent="0.2">
      <c r="A281" s="8" t="s">
        <v>565</v>
      </c>
      <c r="B281" s="9">
        <v>45023</v>
      </c>
      <c r="C281" s="9">
        <v>5902557370566</v>
      </c>
      <c r="D281" s="10" t="s">
        <v>566</v>
      </c>
      <c r="E281" s="9">
        <v>69</v>
      </c>
      <c r="F281" s="11">
        <v>45265</v>
      </c>
      <c r="G281" s="8"/>
    </row>
    <row r="282" spans="1:7" ht="18.75" customHeight="1" x14ac:dyDescent="0.2">
      <c r="A282" s="8" t="s">
        <v>567</v>
      </c>
      <c r="B282" s="9">
        <v>45018</v>
      </c>
      <c r="C282" s="9">
        <v>5902557370573</v>
      </c>
      <c r="D282" s="10" t="s">
        <v>568</v>
      </c>
      <c r="E282" s="9">
        <v>56</v>
      </c>
      <c r="F282" s="11">
        <v>45406</v>
      </c>
      <c r="G282" s="8"/>
    </row>
    <row r="283" spans="1:7" ht="18.75" customHeight="1" x14ac:dyDescent="0.2">
      <c r="A283" s="8" t="s">
        <v>569</v>
      </c>
      <c r="B283" s="9">
        <v>45022</v>
      </c>
      <c r="C283" s="9">
        <v>5902557370559</v>
      </c>
      <c r="D283" s="10" t="s">
        <v>570</v>
      </c>
      <c r="E283" s="9">
        <v>55</v>
      </c>
      <c r="F283" s="11">
        <v>45265</v>
      </c>
      <c r="G283" s="8"/>
    </row>
    <row r="284" spans="1:7" ht="18.75" customHeight="1" x14ac:dyDescent="0.2">
      <c r="A284" s="8" t="s">
        <v>571</v>
      </c>
      <c r="B284" s="9">
        <v>51182</v>
      </c>
      <c r="C284" s="9">
        <v>5902557391530</v>
      </c>
      <c r="D284" s="10" t="s">
        <v>572</v>
      </c>
      <c r="E284" s="9">
        <v>47</v>
      </c>
      <c r="F284" s="11">
        <v>45387</v>
      </c>
      <c r="G284" s="8"/>
    </row>
    <row r="285" spans="1:7" ht="18.75" customHeight="1" x14ac:dyDescent="0.2">
      <c r="A285" s="8" t="s">
        <v>573</v>
      </c>
      <c r="B285" s="9">
        <v>51187</v>
      </c>
      <c r="C285" s="9">
        <v>5902557391516</v>
      </c>
      <c r="D285" s="10" t="s">
        <v>574</v>
      </c>
      <c r="E285" s="9">
        <v>42</v>
      </c>
      <c r="F285" s="11">
        <v>45387</v>
      </c>
      <c r="G285" s="8"/>
    </row>
    <row r="286" spans="1:7" ht="18.75" customHeight="1" x14ac:dyDescent="0.2">
      <c r="A286" s="8" t="s">
        <v>575</v>
      </c>
      <c r="B286" s="9">
        <v>51175</v>
      </c>
      <c r="C286" s="9">
        <v>5902557391509</v>
      </c>
      <c r="D286" s="10" t="s">
        <v>576</v>
      </c>
      <c r="E286" s="9">
        <v>40</v>
      </c>
      <c r="F286" s="11">
        <v>45645</v>
      </c>
      <c r="G286" s="8"/>
    </row>
    <row r="287" spans="1:7" ht="18.75" customHeight="1" x14ac:dyDescent="0.2">
      <c r="A287" s="8" t="s">
        <v>577</v>
      </c>
      <c r="B287" s="9">
        <v>51177</v>
      </c>
      <c r="C287" s="9">
        <v>5902557391493</v>
      </c>
      <c r="D287" s="10" t="s">
        <v>578</v>
      </c>
      <c r="E287" s="9">
        <v>44</v>
      </c>
      <c r="F287" s="11">
        <v>45387</v>
      </c>
      <c r="G287" s="8"/>
    </row>
    <row r="288" spans="1:7" ht="18.75" customHeight="1" x14ac:dyDescent="0.2">
      <c r="A288" s="8" t="s">
        <v>579</v>
      </c>
      <c r="B288" s="9">
        <v>51181</v>
      </c>
      <c r="C288" s="9">
        <v>5902557391486</v>
      </c>
      <c r="D288" s="10" t="s">
        <v>580</v>
      </c>
      <c r="E288" s="9">
        <v>35</v>
      </c>
      <c r="F288" s="11">
        <v>45387</v>
      </c>
      <c r="G288" s="8"/>
    </row>
    <row r="289" spans="1:7" ht="18.75" customHeight="1" x14ac:dyDescent="0.2">
      <c r="A289" s="8" t="s">
        <v>581</v>
      </c>
      <c r="B289" s="9">
        <v>51191</v>
      </c>
      <c r="C289" s="9">
        <v>5902557391615</v>
      </c>
      <c r="D289" s="10" t="s">
        <v>582</v>
      </c>
      <c r="E289" s="9">
        <v>61</v>
      </c>
      <c r="F289" s="11">
        <v>45387</v>
      </c>
      <c r="G289" s="8"/>
    </row>
    <row r="290" spans="1:7" ht="18.75" customHeight="1" x14ac:dyDescent="0.2">
      <c r="A290" s="8" t="s">
        <v>583</v>
      </c>
      <c r="B290" s="9">
        <v>51185</v>
      </c>
      <c r="C290" s="9">
        <v>5902557391578</v>
      </c>
      <c r="D290" s="10" t="s">
        <v>584</v>
      </c>
      <c r="E290" s="9">
        <v>47</v>
      </c>
      <c r="F290" s="11">
        <v>45387</v>
      </c>
      <c r="G290" s="8"/>
    </row>
    <row r="291" spans="1:7" ht="18.75" customHeight="1" x14ac:dyDescent="0.2">
      <c r="A291" s="8" t="s">
        <v>585</v>
      </c>
      <c r="B291" s="9">
        <v>51178</v>
      </c>
      <c r="C291" s="9">
        <v>5902557391554</v>
      </c>
      <c r="D291" s="10" t="s">
        <v>586</v>
      </c>
      <c r="E291" s="9">
        <v>52</v>
      </c>
      <c r="F291" s="11">
        <v>45645</v>
      </c>
      <c r="G291" s="8"/>
    </row>
    <row r="292" spans="1:7" ht="18.75" customHeight="1" x14ac:dyDescent="0.2">
      <c r="A292" s="8" t="s">
        <v>587</v>
      </c>
      <c r="B292" s="9">
        <v>51188</v>
      </c>
      <c r="C292" s="9">
        <v>5902557391561</v>
      </c>
      <c r="D292" s="10" t="s">
        <v>588</v>
      </c>
      <c r="E292" s="9">
        <v>67</v>
      </c>
      <c r="F292" s="11">
        <v>45265</v>
      </c>
      <c r="G292" s="8"/>
    </row>
    <row r="293" spans="1:7" ht="18.75" customHeight="1" x14ac:dyDescent="0.2">
      <c r="A293" s="8" t="s">
        <v>589</v>
      </c>
      <c r="B293" s="9">
        <v>51179</v>
      </c>
      <c r="C293" s="9">
        <v>5902557391547</v>
      </c>
      <c r="D293" s="10" t="s">
        <v>590</v>
      </c>
      <c r="E293" s="9">
        <v>47</v>
      </c>
      <c r="F293" s="11">
        <v>45645</v>
      </c>
      <c r="G293" s="8"/>
    </row>
    <row r="294" spans="1:7" ht="18.75" customHeight="1" x14ac:dyDescent="0.2">
      <c r="A294" s="8" t="s">
        <v>591</v>
      </c>
      <c r="B294" s="9">
        <v>53865</v>
      </c>
      <c r="C294" s="8">
        <v>5906366007552</v>
      </c>
      <c r="D294" s="10" t="s">
        <v>592</v>
      </c>
      <c r="E294" s="9">
        <v>85</v>
      </c>
      <c r="F294" s="11">
        <v>45645</v>
      </c>
      <c r="G294" s="8"/>
    </row>
    <row r="295" spans="1:7" ht="18.75" customHeight="1" x14ac:dyDescent="0.2">
      <c r="A295" s="8" t="s">
        <v>593</v>
      </c>
      <c r="B295" s="9">
        <v>53867</v>
      </c>
      <c r="C295" s="8">
        <v>5906366007569</v>
      </c>
      <c r="D295" s="10" t="s">
        <v>594</v>
      </c>
      <c r="E295" s="9">
        <v>77</v>
      </c>
      <c r="F295" s="11">
        <v>45645</v>
      </c>
      <c r="G295" s="8"/>
    </row>
    <row r="296" spans="1:7" ht="18.75" customHeight="1" x14ac:dyDescent="0.2">
      <c r="A296" s="8" t="s">
        <v>595</v>
      </c>
      <c r="B296" s="9">
        <v>53864</v>
      </c>
      <c r="C296" s="8">
        <v>5906366007545</v>
      </c>
      <c r="D296" s="10" t="s">
        <v>596</v>
      </c>
      <c r="E296" s="9">
        <v>70</v>
      </c>
      <c r="F296" s="11">
        <v>45645</v>
      </c>
      <c r="G296" s="8"/>
    </row>
    <row r="297" spans="1:7" ht="18.75" customHeight="1" x14ac:dyDescent="0.2">
      <c r="A297" s="8" t="s">
        <v>597</v>
      </c>
      <c r="B297" s="9">
        <v>53866</v>
      </c>
      <c r="C297" s="8">
        <v>5906366007538</v>
      </c>
      <c r="D297" s="10" t="s">
        <v>598</v>
      </c>
      <c r="E297" s="9">
        <v>66</v>
      </c>
      <c r="F297" s="11">
        <v>45645</v>
      </c>
      <c r="G297" s="8"/>
    </row>
    <row r="298" spans="1:7" ht="18.75" customHeight="1" x14ac:dyDescent="0.2">
      <c r="A298" s="8" t="s">
        <v>599</v>
      </c>
      <c r="B298" s="9">
        <v>45021</v>
      </c>
      <c r="C298" s="9">
        <v>5902557370207</v>
      </c>
      <c r="D298" s="10" t="s">
        <v>600</v>
      </c>
      <c r="E298" s="9">
        <v>82</v>
      </c>
      <c r="F298" s="11">
        <v>45265</v>
      </c>
      <c r="G298" s="8"/>
    </row>
    <row r="299" spans="1:7" ht="18.75" customHeight="1" x14ac:dyDescent="0.2">
      <c r="A299" s="8" t="s">
        <v>601</v>
      </c>
      <c r="B299" s="9">
        <v>45031</v>
      </c>
      <c r="C299" s="9">
        <v>5902557370191</v>
      </c>
      <c r="D299" s="10" t="s">
        <v>602</v>
      </c>
      <c r="E299" s="9">
        <v>73</v>
      </c>
      <c r="F299" s="11">
        <v>45265</v>
      </c>
      <c r="G299" s="8"/>
    </row>
    <row r="300" spans="1:7" ht="18.75" customHeight="1" x14ac:dyDescent="0.2">
      <c r="A300" s="8" t="s">
        <v>603</v>
      </c>
      <c r="B300" s="9">
        <v>45007</v>
      </c>
      <c r="C300" s="9">
        <v>5902557370214</v>
      </c>
      <c r="D300" s="10" t="s">
        <v>604</v>
      </c>
      <c r="E300" s="9">
        <v>51</v>
      </c>
      <c r="F300" s="11">
        <v>45265</v>
      </c>
      <c r="G300" s="8"/>
    </row>
    <row r="301" spans="1:7" ht="18.75" customHeight="1" x14ac:dyDescent="0.2">
      <c r="A301" s="8" t="s">
        <v>605</v>
      </c>
      <c r="B301" s="9">
        <v>45006</v>
      </c>
      <c r="C301" s="9">
        <v>5902557370221</v>
      </c>
      <c r="D301" s="10" t="s">
        <v>606</v>
      </c>
      <c r="E301" s="9">
        <v>63</v>
      </c>
      <c r="F301" s="11">
        <v>45645</v>
      </c>
      <c r="G301" s="8"/>
    </row>
    <row r="302" spans="1:7" ht="18.75" customHeight="1" x14ac:dyDescent="0.2">
      <c r="A302" s="8" t="s">
        <v>607</v>
      </c>
      <c r="B302" s="9">
        <v>45001</v>
      </c>
      <c r="C302" s="9">
        <v>5902557370245</v>
      </c>
      <c r="D302" s="10" t="s">
        <v>608</v>
      </c>
      <c r="E302" s="9">
        <v>68</v>
      </c>
      <c r="F302" s="11">
        <v>45387</v>
      </c>
      <c r="G302" s="8"/>
    </row>
    <row r="303" spans="1:7" ht="18.75" customHeight="1" x14ac:dyDescent="0.2">
      <c r="A303" s="8" t="s">
        <v>609</v>
      </c>
      <c r="B303" s="9">
        <v>45005</v>
      </c>
      <c r="C303" s="9">
        <v>5902557370269</v>
      </c>
      <c r="D303" s="10" t="s">
        <v>610</v>
      </c>
      <c r="E303" s="9">
        <v>70</v>
      </c>
      <c r="F303" s="11">
        <v>45387</v>
      </c>
      <c r="G303" s="8"/>
    </row>
    <row r="304" spans="1:7" ht="18.75" customHeight="1" x14ac:dyDescent="0.2">
      <c r="A304" s="8" t="s">
        <v>611</v>
      </c>
      <c r="B304" s="9">
        <v>45003</v>
      </c>
      <c r="C304" s="9">
        <v>5902557370238</v>
      </c>
      <c r="D304" s="10" t="s">
        <v>612</v>
      </c>
      <c r="E304" s="9">
        <v>54</v>
      </c>
      <c r="F304" s="11">
        <v>45645</v>
      </c>
      <c r="G304" s="8"/>
    </row>
    <row r="305" spans="1:7" ht="18.75" customHeight="1" x14ac:dyDescent="0.2">
      <c r="A305" s="8" t="s">
        <v>613</v>
      </c>
      <c r="B305" s="9">
        <v>45004</v>
      </c>
      <c r="C305" s="9">
        <v>5902557370252</v>
      </c>
      <c r="D305" s="10" t="s">
        <v>614</v>
      </c>
      <c r="E305" s="9">
        <v>55</v>
      </c>
      <c r="F305" s="11">
        <v>45265</v>
      </c>
      <c r="G305" s="8"/>
    </row>
    <row r="306" spans="1:7" ht="18.75" customHeight="1" x14ac:dyDescent="0.2">
      <c r="A306" s="8" t="s">
        <v>615</v>
      </c>
      <c r="B306" s="9">
        <v>45045</v>
      </c>
      <c r="C306" s="9">
        <v>5902557374540</v>
      </c>
      <c r="D306" s="10" t="s">
        <v>616</v>
      </c>
      <c r="E306" s="9">
        <v>99</v>
      </c>
      <c r="F306" s="11">
        <v>45265</v>
      </c>
      <c r="G306" s="8"/>
    </row>
    <row r="307" spans="1:7" ht="18.75" customHeight="1" x14ac:dyDescent="0.2">
      <c r="A307" s="8" t="s">
        <v>617</v>
      </c>
      <c r="B307" s="9">
        <v>45038</v>
      </c>
      <c r="C307" s="9">
        <v>5902557374557</v>
      </c>
      <c r="D307" s="10" t="s">
        <v>618</v>
      </c>
      <c r="E307" s="9">
        <v>115</v>
      </c>
      <c r="F307" s="11">
        <v>45265</v>
      </c>
      <c r="G307" s="8"/>
    </row>
    <row r="308" spans="1:7" ht="18.75" customHeight="1" x14ac:dyDescent="0.2">
      <c r="A308" s="8" t="s">
        <v>619</v>
      </c>
      <c r="B308" s="9">
        <v>44001</v>
      </c>
      <c r="C308" s="9">
        <v>5902557359448</v>
      </c>
      <c r="D308" s="10" t="s">
        <v>620</v>
      </c>
      <c r="E308" s="9">
        <v>89</v>
      </c>
      <c r="F308" s="11">
        <v>45265</v>
      </c>
      <c r="G308" s="8"/>
    </row>
    <row r="309" spans="1:7" ht="18.75" customHeight="1" x14ac:dyDescent="0.2">
      <c r="A309" s="8" t="s">
        <v>621</v>
      </c>
      <c r="B309" s="9">
        <v>43996</v>
      </c>
      <c r="C309" s="9">
        <v>5902557359455</v>
      </c>
      <c r="D309" s="10" t="s">
        <v>622</v>
      </c>
      <c r="E309" s="9">
        <v>93</v>
      </c>
      <c r="F309" s="11">
        <v>45265</v>
      </c>
      <c r="G309" s="8"/>
    </row>
    <row r="310" spans="1:7" ht="18.75" customHeight="1" x14ac:dyDescent="0.2">
      <c r="A310" s="8" t="s">
        <v>623</v>
      </c>
      <c r="B310" s="9">
        <v>44000</v>
      </c>
      <c r="C310" s="9">
        <v>5902557359462</v>
      </c>
      <c r="D310" s="10" t="s">
        <v>624</v>
      </c>
      <c r="E310" s="9">
        <v>102</v>
      </c>
      <c r="F310" s="11">
        <v>45265</v>
      </c>
      <c r="G310" s="8"/>
    </row>
    <row r="311" spans="1:7" ht="18.75" customHeight="1" x14ac:dyDescent="0.2">
      <c r="A311" s="8" t="s">
        <v>625</v>
      </c>
      <c r="B311" s="9">
        <v>52176</v>
      </c>
      <c r="C311" s="8">
        <v>5902557395965</v>
      </c>
      <c r="D311" s="10" t="s">
        <v>626</v>
      </c>
      <c r="E311" s="9">
        <v>94</v>
      </c>
      <c r="F311" s="11">
        <v>45644</v>
      </c>
      <c r="G311" s="8"/>
    </row>
    <row r="312" spans="1:7" ht="18.75" customHeight="1" x14ac:dyDescent="0.2">
      <c r="A312" s="8" t="s">
        <v>627</v>
      </c>
      <c r="B312" s="9">
        <v>45272</v>
      </c>
      <c r="C312" s="9">
        <v>5902557375257</v>
      </c>
      <c r="D312" s="10" t="s">
        <v>628</v>
      </c>
      <c r="E312" s="9">
        <v>108</v>
      </c>
      <c r="F312" s="11">
        <v>45265</v>
      </c>
      <c r="G312" s="8"/>
    </row>
    <row r="313" spans="1:7" ht="18.75" customHeight="1" x14ac:dyDescent="0.2">
      <c r="A313" s="8" t="s">
        <v>629</v>
      </c>
      <c r="B313" s="9">
        <v>45274</v>
      </c>
      <c r="C313" s="9">
        <v>5902557375264</v>
      </c>
      <c r="D313" s="10" t="s">
        <v>630</v>
      </c>
      <c r="E313" s="9">
        <v>116</v>
      </c>
      <c r="F313" s="11">
        <v>45265</v>
      </c>
      <c r="G313" s="8"/>
    </row>
    <row r="314" spans="1:7" ht="18.75" customHeight="1" x14ac:dyDescent="0.2">
      <c r="A314" s="8" t="s">
        <v>631</v>
      </c>
      <c r="B314" s="9">
        <v>32604</v>
      </c>
      <c r="C314" s="9">
        <v>5902557344680</v>
      </c>
      <c r="D314" s="10" t="s">
        <v>632</v>
      </c>
      <c r="E314" s="9">
        <v>75</v>
      </c>
      <c r="F314" s="11">
        <v>45365</v>
      </c>
      <c r="G314" s="8"/>
    </row>
    <row r="315" spans="1:7" ht="18.75" customHeight="1" x14ac:dyDescent="0.2">
      <c r="A315" s="8" t="s">
        <v>633</v>
      </c>
      <c r="B315" s="9">
        <v>32613</v>
      </c>
      <c r="C315" s="9">
        <v>5902557344697</v>
      </c>
      <c r="D315" s="10" t="s">
        <v>634</v>
      </c>
      <c r="E315" s="9">
        <v>79</v>
      </c>
      <c r="F315" s="11">
        <v>45372</v>
      </c>
      <c r="G315" s="8"/>
    </row>
    <row r="316" spans="1:7" ht="18.75" customHeight="1" x14ac:dyDescent="0.2">
      <c r="A316" s="8" t="s">
        <v>635</v>
      </c>
      <c r="B316" s="9">
        <v>51073</v>
      </c>
      <c r="C316" s="9">
        <v>5902557391844</v>
      </c>
      <c r="D316" s="10" t="s">
        <v>636</v>
      </c>
      <c r="E316" s="9">
        <v>93</v>
      </c>
      <c r="F316" s="11">
        <v>45372</v>
      </c>
      <c r="G316" s="8"/>
    </row>
    <row r="317" spans="1:7" ht="18.75" customHeight="1" x14ac:dyDescent="0.2">
      <c r="A317" s="8" t="s">
        <v>637</v>
      </c>
      <c r="B317" s="9">
        <v>32612</v>
      </c>
      <c r="C317" s="9">
        <v>5902557344703</v>
      </c>
      <c r="D317" s="10" t="s">
        <v>638</v>
      </c>
      <c r="E317" s="9">
        <v>90</v>
      </c>
      <c r="F317" s="11">
        <v>45321</v>
      </c>
      <c r="G317" s="8"/>
    </row>
    <row r="318" spans="1:7" ht="18.75" customHeight="1" x14ac:dyDescent="0.2">
      <c r="A318" s="8" t="s">
        <v>639</v>
      </c>
      <c r="B318" s="9">
        <v>30329</v>
      </c>
      <c r="C318" s="9">
        <v>5902557338825</v>
      </c>
      <c r="D318" s="10" t="s">
        <v>640</v>
      </c>
      <c r="E318" s="9">
        <v>64</v>
      </c>
      <c r="F318" s="11">
        <v>45265</v>
      </c>
      <c r="G318" s="8"/>
    </row>
    <row r="319" spans="1:7" ht="18.75" customHeight="1" x14ac:dyDescent="0.2">
      <c r="A319" s="8" t="s">
        <v>641</v>
      </c>
      <c r="B319" s="9">
        <v>42896</v>
      </c>
      <c r="C319" s="9">
        <v>5902557363964</v>
      </c>
      <c r="D319" s="10" t="s">
        <v>642</v>
      </c>
      <c r="E319" s="9">
        <v>70</v>
      </c>
      <c r="F319" s="11">
        <v>45372</v>
      </c>
      <c r="G319" s="8"/>
    </row>
    <row r="320" spans="1:7" ht="18.75" customHeight="1" x14ac:dyDescent="0.2">
      <c r="A320" s="8" t="s">
        <v>643</v>
      </c>
      <c r="B320" s="9">
        <v>42897</v>
      </c>
      <c r="C320" s="9">
        <v>5902557363971</v>
      </c>
      <c r="D320" s="10" t="s">
        <v>644</v>
      </c>
      <c r="E320" s="9">
        <v>84</v>
      </c>
      <c r="F320" s="11">
        <v>45642</v>
      </c>
      <c r="G320" s="8"/>
    </row>
    <row r="321" spans="1:7" ht="18.75" customHeight="1" x14ac:dyDescent="0.2">
      <c r="A321" s="8" t="s">
        <v>645</v>
      </c>
      <c r="B321" s="9">
        <v>44375</v>
      </c>
      <c r="C321" s="9">
        <v>5902557369911</v>
      </c>
      <c r="D321" s="10" t="s">
        <v>646</v>
      </c>
      <c r="E321" s="9">
        <v>54</v>
      </c>
      <c r="F321" s="11">
        <v>45642</v>
      </c>
      <c r="G321" s="8"/>
    </row>
    <row r="322" spans="1:7" ht="18.75" customHeight="1" x14ac:dyDescent="0.2">
      <c r="A322" s="8" t="s">
        <v>647</v>
      </c>
      <c r="B322" s="9">
        <v>44376</v>
      </c>
      <c r="C322" s="9">
        <v>5902557369928</v>
      </c>
      <c r="D322" s="10" t="s">
        <v>648</v>
      </c>
      <c r="E322" s="9">
        <v>57</v>
      </c>
      <c r="F322" s="11">
        <v>45596</v>
      </c>
      <c r="G322" s="8"/>
    </row>
    <row r="323" spans="1:7" ht="18.75" customHeight="1" x14ac:dyDescent="0.2">
      <c r="A323" s="8" t="s">
        <v>649</v>
      </c>
      <c r="B323" s="9">
        <v>24378</v>
      </c>
      <c r="C323" s="9">
        <v>5902557335916</v>
      </c>
      <c r="D323" s="10" t="s">
        <v>650</v>
      </c>
      <c r="E323" s="9">
        <v>44</v>
      </c>
      <c r="F323" s="11">
        <v>45581</v>
      </c>
      <c r="G323" s="8"/>
    </row>
    <row r="324" spans="1:7" ht="18.75" customHeight="1" x14ac:dyDescent="0.2">
      <c r="A324" s="8" t="s">
        <v>651</v>
      </c>
      <c r="B324" s="9">
        <v>24380</v>
      </c>
      <c r="C324" s="9">
        <v>5902557335947</v>
      </c>
      <c r="D324" s="10" t="s">
        <v>652</v>
      </c>
      <c r="E324" s="9">
        <v>52</v>
      </c>
      <c r="F324" s="11">
        <v>45642</v>
      </c>
      <c r="G324" s="8"/>
    </row>
    <row r="325" spans="1:7" ht="18.75" customHeight="1" x14ac:dyDescent="0.2">
      <c r="A325" s="8" t="s">
        <v>653</v>
      </c>
      <c r="B325" s="9">
        <v>24386</v>
      </c>
      <c r="C325" s="9">
        <v>5902557335923</v>
      </c>
      <c r="D325" s="10" t="s">
        <v>654</v>
      </c>
      <c r="E325" s="9">
        <v>53</v>
      </c>
      <c r="F325" s="11">
        <v>45265</v>
      </c>
      <c r="G325" s="8"/>
    </row>
    <row r="326" spans="1:7" ht="18.75" customHeight="1" x14ac:dyDescent="0.2">
      <c r="A326" s="8" t="s">
        <v>655</v>
      </c>
      <c r="B326" s="9">
        <v>24382</v>
      </c>
      <c r="C326" s="9">
        <v>5902557335930</v>
      </c>
      <c r="D326" s="10" t="s">
        <v>656</v>
      </c>
      <c r="E326" s="9">
        <v>62</v>
      </c>
      <c r="F326" s="11">
        <v>45265</v>
      </c>
      <c r="G326" s="8"/>
    </row>
    <row r="327" spans="1:7" ht="18.75" customHeight="1" x14ac:dyDescent="0.2">
      <c r="A327" s="8" t="s">
        <v>657</v>
      </c>
      <c r="B327" s="9">
        <v>50942</v>
      </c>
      <c r="C327" s="9">
        <v>5902557391677</v>
      </c>
      <c r="D327" s="10" t="s">
        <v>658</v>
      </c>
      <c r="E327" s="9">
        <v>57</v>
      </c>
      <c r="F327" s="11">
        <v>45265</v>
      </c>
      <c r="G327" s="8"/>
    </row>
    <row r="328" spans="1:7" ht="18.75" customHeight="1" x14ac:dyDescent="0.2">
      <c r="A328" s="8" t="s">
        <v>659</v>
      </c>
      <c r="B328" s="9">
        <v>50946</v>
      </c>
      <c r="C328" s="9">
        <v>5902557391684</v>
      </c>
      <c r="D328" s="10" t="s">
        <v>660</v>
      </c>
      <c r="E328" s="9">
        <v>70</v>
      </c>
      <c r="F328" s="11">
        <v>45372</v>
      </c>
      <c r="G328" s="8"/>
    </row>
    <row r="329" spans="1:7" ht="18.75" customHeight="1" x14ac:dyDescent="0.2">
      <c r="A329" s="9" t="s">
        <v>661</v>
      </c>
      <c r="B329" s="9">
        <v>53877</v>
      </c>
      <c r="C329" s="8">
        <v>5906366007651</v>
      </c>
      <c r="D329" s="10" t="s">
        <v>662</v>
      </c>
      <c r="E329" s="9">
        <v>59</v>
      </c>
      <c r="F329" s="11">
        <v>45596</v>
      </c>
      <c r="G329" s="8"/>
    </row>
    <row r="330" spans="1:7" ht="18.75" customHeight="1" x14ac:dyDescent="0.2">
      <c r="A330" s="9" t="s">
        <v>663</v>
      </c>
      <c r="B330" s="9">
        <v>53879</v>
      </c>
      <c r="C330" s="8">
        <v>5906366007668</v>
      </c>
      <c r="D330" s="10" t="s">
        <v>664</v>
      </c>
      <c r="E330" s="9">
        <v>68</v>
      </c>
      <c r="F330" s="11">
        <v>45596</v>
      </c>
      <c r="G330" s="8"/>
    </row>
    <row r="331" spans="1:7" ht="18.75" customHeight="1" x14ac:dyDescent="0.2">
      <c r="A331" s="8" t="s">
        <v>665</v>
      </c>
      <c r="B331" s="9">
        <v>54273</v>
      </c>
      <c r="C331" s="8">
        <v>5906366007644</v>
      </c>
      <c r="D331" s="10" t="s">
        <v>666</v>
      </c>
      <c r="E331" s="9">
        <v>61</v>
      </c>
      <c r="F331" s="11">
        <v>45642</v>
      </c>
      <c r="G331" s="8"/>
    </row>
    <row r="332" spans="1:7" ht="18.75" customHeight="1" x14ac:dyDescent="0.2">
      <c r="A332" s="8" t="s">
        <v>667</v>
      </c>
      <c r="B332" s="9">
        <v>54274</v>
      </c>
      <c r="C332" s="8">
        <v>5906366007675</v>
      </c>
      <c r="D332" s="10" t="s">
        <v>668</v>
      </c>
      <c r="E332" s="9">
        <v>70</v>
      </c>
      <c r="F332" s="11">
        <v>45642</v>
      </c>
      <c r="G332" s="8"/>
    </row>
    <row r="333" spans="1:7" ht="18.75" customHeight="1" x14ac:dyDescent="0.2">
      <c r="A333" s="9" t="s">
        <v>669</v>
      </c>
      <c r="B333" s="9">
        <v>53880</v>
      </c>
      <c r="C333" s="8">
        <v>5906366006722</v>
      </c>
      <c r="D333" s="10" t="s">
        <v>670</v>
      </c>
      <c r="E333" s="9">
        <v>68</v>
      </c>
      <c r="F333" s="11">
        <v>45562</v>
      </c>
      <c r="G333" s="8"/>
    </row>
    <row r="334" spans="1:7" ht="18.75" customHeight="1" x14ac:dyDescent="0.2">
      <c r="A334" s="9" t="s">
        <v>671</v>
      </c>
      <c r="B334" s="9">
        <v>53884</v>
      </c>
      <c r="C334" s="8">
        <v>5906366006739</v>
      </c>
      <c r="D334" s="10" t="s">
        <v>672</v>
      </c>
      <c r="E334" s="9">
        <v>77</v>
      </c>
      <c r="F334" s="11">
        <v>45562</v>
      </c>
      <c r="G334" s="8"/>
    </row>
    <row r="335" spans="1:7" ht="18.75" customHeight="1" x14ac:dyDescent="0.2">
      <c r="A335" s="8" t="s">
        <v>673</v>
      </c>
      <c r="B335" s="9">
        <v>54093</v>
      </c>
      <c r="C335" s="8">
        <v>5906366008672</v>
      </c>
      <c r="D335" s="10" t="s">
        <v>674</v>
      </c>
      <c r="E335" s="9">
        <v>62</v>
      </c>
      <c r="F335" s="11">
        <v>45618</v>
      </c>
      <c r="G335" s="8"/>
    </row>
    <row r="336" spans="1:7" ht="18.75" customHeight="1" x14ac:dyDescent="0.2">
      <c r="A336" s="8" t="s">
        <v>675</v>
      </c>
      <c r="B336" s="9">
        <v>29266</v>
      </c>
      <c r="C336" s="9">
        <v>5902557341603</v>
      </c>
      <c r="D336" s="10" t="s">
        <v>676</v>
      </c>
      <c r="E336" s="9">
        <v>54</v>
      </c>
      <c r="F336" s="11">
        <v>45552</v>
      </c>
      <c r="G336" s="8"/>
    </row>
    <row r="337" spans="1:7" ht="18.75" customHeight="1" x14ac:dyDescent="0.2">
      <c r="A337" s="8" t="s">
        <v>677</v>
      </c>
      <c r="B337" s="9">
        <v>24384</v>
      </c>
      <c r="C337" s="9">
        <v>5902557335893</v>
      </c>
      <c r="D337" s="10" t="s">
        <v>678</v>
      </c>
      <c r="E337" s="9">
        <v>65</v>
      </c>
      <c r="F337" s="11">
        <v>45372</v>
      </c>
      <c r="G337" s="8"/>
    </row>
    <row r="338" spans="1:7" ht="18.75" customHeight="1" x14ac:dyDescent="0.2">
      <c r="A338" s="8" t="s">
        <v>679</v>
      </c>
      <c r="B338" s="9">
        <v>37424</v>
      </c>
      <c r="C338" s="9">
        <v>5902557350742</v>
      </c>
      <c r="D338" s="10" t="s">
        <v>680</v>
      </c>
      <c r="E338" s="9">
        <v>58</v>
      </c>
      <c r="F338" s="11">
        <v>45372</v>
      </c>
      <c r="G338" s="8"/>
    </row>
    <row r="339" spans="1:7" ht="18.75" customHeight="1" x14ac:dyDescent="0.2">
      <c r="A339" s="8" t="s">
        <v>681</v>
      </c>
      <c r="B339" s="9">
        <v>42751</v>
      </c>
      <c r="C339" s="9">
        <v>5902557364008</v>
      </c>
      <c r="D339" s="10" t="s">
        <v>682</v>
      </c>
      <c r="E339" s="9">
        <v>68</v>
      </c>
      <c r="F339" s="11">
        <v>45552</v>
      </c>
      <c r="G339" s="8"/>
    </row>
    <row r="340" spans="1:7" ht="18.75" customHeight="1" x14ac:dyDescent="0.2">
      <c r="A340" s="8" t="s">
        <v>683</v>
      </c>
      <c r="B340" s="9">
        <v>42752</v>
      </c>
      <c r="C340" s="9">
        <v>5902557363995</v>
      </c>
      <c r="D340" s="10" t="s">
        <v>684</v>
      </c>
      <c r="E340" s="9">
        <v>70</v>
      </c>
      <c r="F340" s="11">
        <v>45642</v>
      </c>
      <c r="G340" s="8"/>
    </row>
    <row r="341" spans="1:7" ht="18.75" customHeight="1" x14ac:dyDescent="0.2">
      <c r="A341" s="8" t="s">
        <v>685</v>
      </c>
      <c r="B341" s="9">
        <v>29975</v>
      </c>
      <c r="C341" s="9">
        <v>5902557342075</v>
      </c>
      <c r="D341" s="10" t="s">
        <v>686</v>
      </c>
      <c r="E341" s="9">
        <v>66</v>
      </c>
      <c r="F341" s="11">
        <v>45642</v>
      </c>
      <c r="G341" s="8"/>
    </row>
    <row r="342" spans="1:7" ht="18.75" customHeight="1" x14ac:dyDescent="0.2">
      <c r="A342" s="8" t="s">
        <v>687</v>
      </c>
      <c r="B342" s="9">
        <v>42785</v>
      </c>
      <c r="C342" s="9">
        <v>5902557359509</v>
      </c>
      <c r="D342" s="10" t="s">
        <v>688</v>
      </c>
      <c r="E342" s="9">
        <v>51</v>
      </c>
      <c r="F342" s="11">
        <v>45265</v>
      </c>
      <c r="G342" s="8"/>
    </row>
    <row r="343" spans="1:7" ht="18.75" customHeight="1" x14ac:dyDescent="0.2">
      <c r="A343" s="8" t="s">
        <v>689</v>
      </c>
      <c r="B343" s="9">
        <v>42509</v>
      </c>
      <c r="C343" s="9">
        <v>5902557359516</v>
      </c>
      <c r="D343" s="10" t="s">
        <v>690</v>
      </c>
      <c r="E343" s="9">
        <v>76</v>
      </c>
      <c r="F343" s="11">
        <v>45265</v>
      </c>
      <c r="G343" s="8"/>
    </row>
    <row r="344" spans="1:7" ht="18.75" customHeight="1" x14ac:dyDescent="0.2">
      <c r="A344" s="9" t="s">
        <v>691</v>
      </c>
      <c r="B344" s="9">
        <v>53746</v>
      </c>
      <c r="C344" s="8">
        <v>5906366003639</v>
      </c>
      <c r="D344" s="10" t="s">
        <v>692</v>
      </c>
      <c r="E344" s="9">
        <v>54</v>
      </c>
      <c r="F344" s="11">
        <v>45552</v>
      </c>
      <c r="G344" s="8"/>
    </row>
    <row r="345" spans="1:7" ht="18.75" customHeight="1" x14ac:dyDescent="0.2">
      <c r="A345" s="9" t="s">
        <v>693</v>
      </c>
      <c r="B345" s="9">
        <v>53743</v>
      </c>
      <c r="C345" s="8">
        <v>5906366003608</v>
      </c>
      <c r="D345" s="10" t="s">
        <v>694</v>
      </c>
      <c r="E345" s="9">
        <v>84</v>
      </c>
      <c r="F345" s="11">
        <v>45552</v>
      </c>
      <c r="G345" s="8"/>
    </row>
    <row r="346" spans="1:7" ht="18.75" customHeight="1" x14ac:dyDescent="0.2">
      <c r="A346" s="9" t="s">
        <v>695</v>
      </c>
      <c r="B346" s="9">
        <v>53747</v>
      </c>
      <c r="C346" s="8">
        <v>5906366003622</v>
      </c>
      <c r="D346" s="10" t="s">
        <v>696</v>
      </c>
      <c r="E346" s="9">
        <v>63</v>
      </c>
      <c r="F346" s="11">
        <v>45552</v>
      </c>
      <c r="G346" s="8"/>
    </row>
    <row r="347" spans="1:7" ht="18.75" customHeight="1" x14ac:dyDescent="0.2">
      <c r="A347" s="8" t="s">
        <v>697</v>
      </c>
      <c r="B347" s="9">
        <v>53745</v>
      </c>
      <c r="C347" s="8">
        <v>5906366003615</v>
      </c>
      <c r="D347" s="10" t="s">
        <v>698</v>
      </c>
      <c r="E347" s="9">
        <v>84</v>
      </c>
      <c r="F347" s="11">
        <v>45533</v>
      </c>
      <c r="G347" s="8"/>
    </row>
    <row r="348" spans="1:7" ht="18.75" customHeight="1" x14ac:dyDescent="0.2">
      <c r="A348" s="8" t="s">
        <v>699</v>
      </c>
      <c r="B348" s="9">
        <v>42402</v>
      </c>
      <c r="C348" s="9">
        <v>5902557362707</v>
      </c>
      <c r="D348" s="10" t="s">
        <v>700</v>
      </c>
      <c r="E348" s="9">
        <v>54</v>
      </c>
      <c r="F348" s="11">
        <v>45265</v>
      </c>
      <c r="G348" s="8"/>
    </row>
    <row r="349" spans="1:7" ht="18.75" customHeight="1" x14ac:dyDescent="0.2">
      <c r="A349" s="8" t="s">
        <v>701</v>
      </c>
      <c r="B349" s="9">
        <v>42403</v>
      </c>
      <c r="C349" s="9">
        <v>5902557362721</v>
      </c>
      <c r="D349" s="10" t="s">
        <v>702</v>
      </c>
      <c r="E349" s="9">
        <v>74</v>
      </c>
      <c r="F349" s="11">
        <v>45265</v>
      </c>
      <c r="G349" s="8"/>
    </row>
    <row r="350" spans="1:7" ht="18.75" customHeight="1" x14ac:dyDescent="0.2">
      <c r="A350" s="8" t="s">
        <v>703</v>
      </c>
      <c r="B350" s="9">
        <v>42405</v>
      </c>
      <c r="C350" s="9">
        <v>5902557362714</v>
      </c>
      <c r="D350" s="10" t="s">
        <v>704</v>
      </c>
      <c r="E350" s="9">
        <v>62</v>
      </c>
      <c r="F350" s="11">
        <v>45265</v>
      </c>
      <c r="G350" s="8"/>
    </row>
    <row r="351" spans="1:7" ht="18.75" customHeight="1" x14ac:dyDescent="0.2">
      <c r="A351" s="8" t="s">
        <v>705</v>
      </c>
      <c r="B351" s="9">
        <v>42404</v>
      </c>
      <c r="C351" s="9">
        <v>5902557362738</v>
      </c>
      <c r="D351" s="10" t="s">
        <v>706</v>
      </c>
      <c r="E351" s="9">
        <v>87</v>
      </c>
      <c r="F351" s="11">
        <v>45265</v>
      </c>
      <c r="G351" s="8"/>
    </row>
    <row r="352" spans="1:7" ht="18.75" customHeight="1" x14ac:dyDescent="0.2">
      <c r="A352" s="8" t="s">
        <v>707</v>
      </c>
      <c r="B352" s="9">
        <v>52111</v>
      </c>
      <c r="C352" s="8">
        <v>5902557392025</v>
      </c>
      <c r="D352" s="10" t="s">
        <v>708</v>
      </c>
      <c r="E352" s="9">
        <v>63</v>
      </c>
      <c r="F352" s="11">
        <v>45562</v>
      </c>
      <c r="G352" s="8"/>
    </row>
    <row r="353" spans="1:7" ht="18.75" customHeight="1" x14ac:dyDescent="0.2">
      <c r="A353" s="8" t="s">
        <v>709</v>
      </c>
      <c r="B353" s="9">
        <v>52114</v>
      </c>
      <c r="C353" s="8">
        <v>5902557392032</v>
      </c>
      <c r="D353" s="10" t="s">
        <v>710</v>
      </c>
      <c r="E353" s="9">
        <v>89</v>
      </c>
      <c r="F353" s="11">
        <v>45562</v>
      </c>
      <c r="G353" s="8"/>
    </row>
    <row r="354" spans="1:7" ht="18.75" customHeight="1" x14ac:dyDescent="0.2">
      <c r="A354" s="8" t="s">
        <v>711</v>
      </c>
      <c r="B354" s="9">
        <v>48753</v>
      </c>
      <c r="C354" s="9">
        <v>5902557376407</v>
      </c>
      <c r="D354" s="10" t="s">
        <v>712</v>
      </c>
      <c r="E354" s="9">
        <v>55</v>
      </c>
      <c r="F354" s="11">
        <v>45265</v>
      </c>
      <c r="G354" s="8"/>
    </row>
    <row r="355" spans="1:7" ht="18.75" customHeight="1" x14ac:dyDescent="0.2">
      <c r="A355" s="8" t="s">
        <v>713</v>
      </c>
      <c r="B355" s="9">
        <v>48751</v>
      </c>
      <c r="C355" s="9">
        <v>5902557376414</v>
      </c>
      <c r="D355" s="10" t="s">
        <v>714</v>
      </c>
      <c r="E355" s="9">
        <v>80</v>
      </c>
      <c r="F355" s="11">
        <v>45265</v>
      </c>
      <c r="G355" s="8"/>
    </row>
    <row r="356" spans="1:7" ht="18.75" customHeight="1" x14ac:dyDescent="0.2">
      <c r="A356" s="8" t="s">
        <v>715</v>
      </c>
      <c r="B356" s="9">
        <v>42800</v>
      </c>
      <c r="C356" s="9">
        <v>5902557359479</v>
      </c>
      <c r="D356" s="10" t="s">
        <v>716</v>
      </c>
      <c r="E356" s="9">
        <v>106</v>
      </c>
      <c r="F356" s="11">
        <v>45265</v>
      </c>
      <c r="G356" s="8"/>
    </row>
    <row r="357" spans="1:7" ht="18.75" customHeight="1" x14ac:dyDescent="0.2">
      <c r="A357" s="8" t="s">
        <v>717</v>
      </c>
      <c r="B357" s="9">
        <v>42801</v>
      </c>
      <c r="C357" s="9">
        <v>5902557359486</v>
      </c>
      <c r="D357" s="10" t="s">
        <v>718</v>
      </c>
      <c r="E357" s="9">
        <v>116</v>
      </c>
      <c r="F357" s="11">
        <v>45265</v>
      </c>
      <c r="G357" s="8"/>
    </row>
    <row r="358" spans="1:7" ht="18.75" customHeight="1" x14ac:dyDescent="0.2">
      <c r="A358" s="13" t="s">
        <v>719</v>
      </c>
      <c r="B358" s="9">
        <v>53455</v>
      </c>
      <c r="C358" s="9">
        <v>5902557399246</v>
      </c>
      <c r="D358" s="10" t="s">
        <v>720</v>
      </c>
      <c r="E358" s="9">
        <v>76</v>
      </c>
      <c r="F358" s="11">
        <v>45443</v>
      </c>
      <c r="G358" s="8"/>
    </row>
    <row r="359" spans="1:7" ht="18.75" customHeight="1" x14ac:dyDescent="0.2">
      <c r="A359" s="8" t="s">
        <v>721</v>
      </c>
      <c r="B359" s="9">
        <v>52810</v>
      </c>
      <c r="C359" s="9">
        <v>5902557399253</v>
      </c>
      <c r="D359" s="10" t="s">
        <v>722</v>
      </c>
      <c r="E359" s="9">
        <v>114</v>
      </c>
      <c r="F359" s="11">
        <v>45702</v>
      </c>
      <c r="G359" s="8"/>
    </row>
    <row r="360" spans="1:7" ht="18.75" customHeight="1" x14ac:dyDescent="0.2">
      <c r="A360" s="8" t="s">
        <v>723</v>
      </c>
      <c r="B360" s="9">
        <v>52808</v>
      </c>
      <c r="C360" s="9">
        <v>5902557399239</v>
      </c>
      <c r="D360" s="10" t="s">
        <v>724</v>
      </c>
      <c r="E360" s="9">
        <v>97</v>
      </c>
      <c r="F360" s="11">
        <v>45702</v>
      </c>
      <c r="G360" s="8"/>
    </row>
    <row r="361" spans="1:7" ht="18.75" customHeight="1" x14ac:dyDescent="0.2">
      <c r="A361" s="13" t="s">
        <v>725</v>
      </c>
      <c r="B361" s="9">
        <v>53447</v>
      </c>
      <c r="C361" s="9">
        <v>5902557399260</v>
      </c>
      <c r="D361" s="10" t="s">
        <v>726</v>
      </c>
      <c r="E361" s="9">
        <v>121</v>
      </c>
      <c r="F361" s="11">
        <v>45715</v>
      </c>
      <c r="G361" s="8"/>
    </row>
    <row r="362" spans="1:7" ht="18.75" customHeight="1" x14ac:dyDescent="0.2">
      <c r="A362" s="13" t="s">
        <v>727</v>
      </c>
      <c r="B362" s="9">
        <v>53448</v>
      </c>
      <c r="C362" s="9">
        <v>5902557399277</v>
      </c>
      <c r="D362" s="10" t="s">
        <v>728</v>
      </c>
      <c r="E362" s="9">
        <v>87</v>
      </c>
      <c r="F362" s="11">
        <v>45439</v>
      </c>
      <c r="G362" s="8"/>
    </row>
    <row r="363" spans="1:7" ht="18.75" customHeight="1" x14ac:dyDescent="0.2">
      <c r="A363" s="8" t="s">
        <v>729</v>
      </c>
      <c r="B363" s="9">
        <v>52811</v>
      </c>
      <c r="C363" s="9">
        <v>5902557399222</v>
      </c>
      <c r="D363" s="10" t="s">
        <v>730</v>
      </c>
      <c r="E363" s="9">
        <v>121</v>
      </c>
      <c r="F363" s="11">
        <v>45702</v>
      </c>
      <c r="G363" s="8"/>
    </row>
    <row r="364" spans="1:7" ht="18.75" customHeight="1" x14ac:dyDescent="0.2">
      <c r="A364" s="8" t="s">
        <v>731</v>
      </c>
      <c r="B364" s="9">
        <v>34892</v>
      </c>
      <c r="C364" s="9">
        <v>5902557345243</v>
      </c>
      <c r="D364" s="10" t="s">
        <v>732</v>
      </c>
      <c r="E364" s="9">
        <v>91</v>
      </c>
      <c r="F364" s="11">
        <v>45265</v>
      </c>
      <c r="G364" s="8"/>
    </row>
    <row r="365" spans="1:7" ht="18.75" customHeight="1" x14ac:dyDescent="0.2">
      <c r="A365" s="8" t="s">
        <v>733</v>
      </c>
      <c r="B365" s="9">
        <v>44606</v>
      </c>
      <c r="C365" s="9">
        <v>5902557368747</v>
      </c>
      <c r="D365" s="10" t="s">
        <v>734</v>
      </c>
      <c r="E365" s="9">
        <v>94</v>
      </c>
      <c r="F365" s="11">
        <v>45265</v>
      </c>
      <c r="G365" s="8"/>
    </row>
    <row r="366" spans="1:7" ht="18.75" customHeight="1" x14ac:dyDescent="0.2">
      <c r="A366" s="8" t="s">
        <v>735</v>
      </c>
      <c r="B366" s="9">
        <v>44590</v>
      </c>
      <c r="C366" s="9">
        <v>5902557368716</v>
      </c>
      <c r="D366" s="10" t="s">
        <v>736</v>
      </c>
      <c r="E366" s="9">
        <v>94</v>
      </c>
      <c r="F366" s="11">
        <v>45265</v>
      </c>
      <c r="G366" s="8"/>
    </row>
    <row r="367" spans="1:7" ht="18.75" customHeight="1" x14ac:dyDescent="0.2">
      <c r="A367" s="8" t="s">
        <v>737</v>
      </c>
      <c r="B367" s="9">
        <v>44599</v>
      </c>
      <c r="C367" s="9">
        <v>5902557368785</v>
      </c>
      <c r="D367" s="10" t="s">
        <v>738</v>
      </c>
      <c r="E367" s="9">
        <v>112</v>
      </c>
      <c r="F367" s="11">
        <v>45265</v>
      </c>
      <c r="G367" s="8"/>
    </row>
    <row r="368" spans="1:7" ht="18.75" customHeight="1" x14ac:dyDescent="0.2">
      <c r="A368" s="8" t="s">
        <v>739</v>
      </c>
      <c r="B368" s="9">
        <v>44605</v>
      </c>
      <c r="C368" s="9">
        <v>5902557368730</v>
      </c>
      <c r="D368" s="10" t="s">
        <v>740</v>
      </c>
      <c r="E368" s="9">
        <v>61</v>
      </c>
      <c r="F368" s="11">
        <v>45687</v>
      </c>
      <c r="G368" s="8"/>
    </row>
    <row r="369" spans="1:7" ht="18.75" customHeight="1" x14ac:dyDescent="0.2">
      <c r="A369" s="8" t="s">
        <v>741</v>
      </c>
      <c r="B369" s="9">
        <v>44594</v>
      </c>
      <c r="C369" s="9">
        <v>5902557368709</v>
      </c>
      <c r="D369" s="10" t="s">
        <v>742</v>
      </c>
      <c r="E369" s="9">
        <v>64</v>
      </c>
      <c r="F369" s="11">
        <v>45265</v>
      </c>
      <c r="G369" s="8"/>
    </row>
    <row r="370" spans="1:7" ht="18.75" customHeight="1" x14ac:dyDescent="0.2">
      <c r="A370" s="8" t="s">
        <v>743</v>
      </c>
      <c r="B370" s="9">
        <v>44597</v>
      </c>
      <c r="C370" s="9">
        <v>5902557368778</v>
      </c>
      <c r="D370" s="10" t="s">
        <v>744</v>
      </c>
      <c r="E370" s="9">
        <v>74</v>
      </c>
      <c r="F370" s="11">
        <v>45343</v>
      </c>
      <c r="G370" s="8"/>
    </row>
    <row r="371" spans="1:7" ht="18.75" customHeight="1" x14ac:dyDescent="0.2">
      <c r="A371" s="8" t="s">
        <v>745</v>
      </c>
      <c r="B371" s="9">
        <v>44611</v>
      </c>
      <c r="C371" s="9">
        <v>5902557369096</v>
      </c>
      <c r="D371" s="10" t="s">
        <v>746</v>
      </c>
      <c r="E371" s="9">
        <v>85</v>
      </c>
      <c r="F371" s="11">
        <v>45644</v>
      </c>
      <c r="G371" s="8"/>
    </row>
    <row r="372" spans="1:7" ht="18.75" customHeight="1" x14ac:dyDescent="0.2">
      <c r="A372" s="8" t="s">
        <v>747</v>
      </c>
      <c r="B372" s="9">
        <v>44887</v>
      </c>
      <c r="C372" s="9">
        <v>5902557373666</v>
      </c>
      <c r="D372" s="10" t="s">
        <v>748</v>
      </c>
      <c r="E372" s="9">
        <v>85</v>
      </c>
      <c r="F372" s="11">
        <v>45644</v>
      </c>
      <c r="G372" s="8"/>
    </row>
    <row r="373" spans="1:7" ht="18.75" customHeight="1" x14ac:dyDescent="0.2">
      <c r="A373" s="8" t="s">
        <v>749</v>
      </c>
      <c r="B373" s="9">
        <v>44633</v>
      </c>
      <c r="C373" s="9">
        <v>5902557369041</v>
      </c>
      <c r="D373" s="10" t="s">
        <v>750</v>
      </c>
      <c r="E373" s="9">
        <v>99</v>
      </c>
      <c r="F373" s="11">
        <v>45644</v>
      </c>
      <c r="G373" s="8"/>
    </row>
    <row r="374" spans="1:7" ht="18.75" customHeight="1" x14ac:dyDescent="0.2">
      <c r="A374" s="8" t="s">
        <v>751</v>
      </c>
      <c r="B374" s="9">
        <v>51092</v>
      </c>
      <c r="C374" s="9">
        <v>5902557392971</v>
      </c>
      <c r="D374" s="10" t="s">
        <v>752</v>
      </c>
      <c r="E374" s="9">
        <v>106</v>
      </c>
      <c r="F374" s="11">
        <v>45644</v>
      </c>
      <c r="G374" s="8"/>
    </row>
    <row r="375" spans="1:7" ht="18.75" customHeight="1" x14ac:dyDescent="0.2">
      <c r="A375" s="8" t="s">
        <v>753</v>
      </c>
      <c r="B375" s="9">
        <v>44612</v>
      </c>
      <c r="C375" s="9">
        <v>5902557369072</v>
      </c>
      <c r="D375" s="10" t="s">
        <v>754</v>
      </c>
      <c r="E375" s="9">
        <v>66</v>
      </c>
      <c r="F375" s="11">
        <v>45644</v>
      </c>
      <c r="G375" s="8"/>
    </row>
    <row r="376" spans="1:7" ht="18.75" customHeight="1" x14ac:dyDescent="0.2">
      <c r="A376" s="8" t="s">
        <v>755</v>
      </c>
      <c r="B376" s="9">
        <v>44888</v>
      </c>
      <c r="C376" s="9">
        <v>5902557373659</v>
      </c>
      <c r="D376" s="10" t="s">
        <v>756</v>
      </c>
      <c r="E376" s="9">
        <v>60</v>
      </c>
      <c r="F376" s="11">
        <v>45478</v>
      </c>
      <c r="G376" s="8"/>
    </row>
    <row r="377" spans="1:7" ht="18.75" customHeight="1" x14ac:dyDescent="0.2">
      <c r="A377" s="8" t="s">
        <v>757</v>
      </c>
      <c r="B377" s="9">
        <v>44632</v>
      </c>
      <c r="C377" s="9">
        <v>5902557369027</v>
      </c>
      <c r="D377" s="10" t="s">
        <v>758</v>
      </c>
      <c r="E377" s="9">
        <v>70</v>
      </c>
      <c r="F377" s="11">
        <v>45644</v>
      </c>
      <c r="G377" s="8"/>
    </row>
    <row r="378" spans="1:7" ht="18.75" customHeight="1" x14ac:dyDescent="0.2">
      <c r="A378" s="8" t="s">
        <v>759</v>
      </c>
      <c r="B378" s="9">
        <v>51089</v>
      </c>
      <c r="C378" s="9">
        <v>5902557392988</v>
      </c>
      <c r="D378" s="10" t="s">
        <v>760</v>
      </c>
      <c r="E378" s="9">
        <v>75</v>
      </c>
      <c r="F378" s="11">
        <v>45687</v>
      </c>
      <c r="G378" s="8"/>
    </row>
    <row r="379" spans="1:7" ht="18.75" customHeight="1" x14ac:dyDescent="0.2">
      <c r="A379" s="8" t="s">
        <v>761</v>
      </c>
      <c r="B379" s="9">
        <v>44629</v>
      </c>
      <c r="C379" s="9">
        <v>5902557369164</v>
      </c>
      <c r="D379" s="10" t="s">
        <v>762</v>
      </c>
      <c r="E379" s="9">
        <v>99</v>
      </c>
      <c r="F379" s="11">
        <v>45265</v>
      </c>
      <c r="G379" s="8"/>
    </row>
    <row r="380" spans="1:7" ht="18.75" customHeight="1" x14ac:dyDescent="0.2">
      <c r="A380" s="8" t="s">
        <v>763</v>
      </c>
      <c r="B380" s="9">
        <v>44620</v>
      </c>
      <c r="C380" s="9">
        <v>5902557369133</v>
      </c>
      <c r="D380" s="10" t="s">
        <v>764</v>
      </c>
      <c r="E380" s="9">
        <v>99</v>
      </c>
      <c r="F380" s="11">
        <v>45265</v>
      </c>
      <c r="G380" s="8"/>
    </row>
    <row r="381" spans="1:7" ht="18.75" customHeight="1" x14ac:dyDescent="0.2">
      <c r="A381" s="8" t="s">
        <v>765</v>
      </c>
      <c r="B381" s="9">
        <v>44617</v>
      </c>
      <c r="C381" s="9">
        <v>5902557369218</v>
      </c>
      <c r="D381" s="10" t="s">
        <v>766</v>
      </c>
      <c r="E381" s="9">
        <v>119</v>
      </c>
      <c r="F381" s="11">
        <v>45265</v>
      </c>
      <c r="G381" s="8"/>
    </row>
    <row r="382" spans="1:7" ht="18.75" customHeight="1" x14ac:dyDescent="0.2">
      <c r="A382" s="8" t="s">
        <v>767</v>
      </c>
      <c r="B382" s="9">
        <v>44627</v>
      </c>
      <c r="C382" s="9">
        <v>5902557369140</v>
      </c>
      <c r="D382" s="10" t="s">
        <v>768</v>
      </c>
      <c r="E382" s="9">
        <v>62</v>
      </c>
      <c r="F382" s="11">
        <v>45343</v>
      </c>
      <c r="G382" s="8"/>
    </row>
    <row r="383" spans="1:7" ht="18.75" customHeight="1" x14ac:dyDescent="0.2">
      <c r="A383" s="8" t="s">
        <v>769</v>
      </c>
      <c r="B383" s="9">
        <v>44616</v>
      </c>
      <c r="C383" s="9">
        <v>5902557369119</v>
      </c>
      <c r="D383" s="10" t="s">
        <v>770</v>
      </c>
      <c r="E383" s="9">
        <v>62</v>
      </c>
      <c r="F383" s="11">
        <v>45265</v>
      </c>
      <c r="G383" s="8"/>
    </row>
    <row r="384" spans="1:7" ht="18.75" customHeight="1" x14ac:dyDescent="0.2">
      <c r="A384" s="8" t="s">
        <v>771</v>
      </c>
      <c r="B384" s="9">
        <v>44615</v>
      </c>
      <c r="C384" s="9">
        <v>5902557369188</v>
      </c>
      <c r="D384" s="10" t="s">
        <v>772</v>
      </c>
      <c r="E384" s="9">
        <v>74</v>
      </c>
      <c r="F384" s="11">
        <v>45343</v>
      </c>
      <c r="G384" s="8"/>
    </row>
    <row r="385" spans="1:7" ht="18.75" customHeight="1" x14ac:dyDescent="0.2">
      <c r="A385" s="8" t="s">
        <v>773</v>
      </c>
      <c r="B385" s="9">
        <v>44665</v>
      </c>
      <c r="C385" s="9">
        <v>5902557369195</v>
      </c>
      <c r="D385" s="10" t="s">
        <v>774</v>
      </c>
      <c r="E385" s="9">
        <v>83</v>
      </c>
      <c r="F385" s="11">
        <v>45265</v>
      </c>
      <c r="G385" s="8"/>
    </row>
    <row r="386" spans="1:7" ht="18.75" customHeight="1" x14ac:dyDescent="0.2">
      <c r="A386" s="8" t="s">
        <v>775</v>
      </c>
      <c r="B386" s="9">
        <v>44901</v>
      </c>
      <c r="C386" s="9">
        <v>5902557373727</v>
      </c>
      <c r="D386" s="10" t="s">
        <v>776</v>
      </c>
      <c r="E386" s="9">
        <v>68</v>
      </c>
      <c r="F386" s="11">
        <v>45687</v>
      </c>
      <c r="G386" s="8"/>
    </row>
    <row r="387" spans="1:7" ht="18.75" customHeight="1" x14ac:dyDescent="0.2">
      <c r="A387" s="8" t="s">
        <v>777</v>
      </c>
      <c r="B387" s="9">
        <v>44925</v>
      </c>
      <c r="C387" s="9">
        <v>5902557373741</v>
      </c>
      <c r="D387" s="10" t="s">
        <v>778</v>
      </c>
      <c r="E387" s="9">
        <v>67</v>
      </c>
      <c r="F387" s="11">
        <v>45343</v>
      </c>
      <c r="G387" s="8"/>
    </row>
    <row r="388" spans="1:7" ht="18.75" customHeight="1" x14ac:dyDescent="0.2">
      <c r="A388" s="8" t="s">
        <v>779</v>
      </c>
      <c r="B388" s="9">
        <v>44899</v>
      </c>
      <c r="C388" s="9">
        <v>5902557373710</v>
      </c>
      <c r="D388" s="10" t="s">
        <v>780</v>
      </c>
      <c r="E388" s="9">
        <v>54</v>
      </c>
      <c r="F388" s="11">
        <v>45644</v>
      </c>
      <c r="G388" s="8"/>
    </row>
    <row r="389" spans="1:7" ht="18.75" customHeight="1" x14ac:dyDescent="0.2">
      <c r="A389" s="8" t="s">
        <v>781</v>
      </c>
      <c r="B389" s="9">
        <v>44924</v>
      </c>
      <c r="C389" s="9">
        <v>5902557373734</v>
      </c>
      <c r="D389" s="10" t="s">
        <v>782</v>
      </c>
      <c r="E389" s="9">
        <v>46</v>
      </c>
      <c r="F389" s="11">
        <v>45343</v>
      </c>
      <c r="G389" s="8"/>
    </row>
    <row r="390" spans="1:7" ht="18.75" customHeight="1" x14ac:dyDescent="0.2">
      <c r="A390" s="8" t="s">
        <v>783</v>
      </c>
      <c r="B390" s="9">
        <v>44614</v>
      </c>
      <c r="C390" s="9">
        <v>5902557369287</v>
      </c>
      <c r="D390" s="10" t="s">
        <v>784</v>
      </c>
      <c r="E390" s="9">
        <v>95</v>
      </c>
      <c r="F390" s="11">
        <v>45265</v>
      </c>
      <c r="G390" s="8"/>
    </row>
    <row r="391" spans="1:7" ht="18.75" customHeight="1" x14ac:dyDescent="0.2">
      <c r="A391" s="8" t="s">
        <v>785</v>
      </c>
      <c r="B391" s="9">
        <v>44895</v>
      </c>
      <c r="C391" s="9">
        <v>5902557373703</v>
      </c>
      <c r="D391" s="10" t="s">
        <v>786</v>
      </c>
      <c r="E391" s="9">
        <v>95</v>
      </c>
      <c r="F391" s="11">
        <v>45265</v>
      </c>
      <c r="G391" s="8"/>
    </row>
    <row r="392" spans="1:7" ht="18.75" customHeight="1" x14ac:dyDescent="0.2">
      <c r="A392" s="8" t="s">
        <v>787</v>
      </c>
      <c r="B392" s="9">
        <v>44613</v>
      </c>
      <c r="C392" s="9">
        <v>5902557369263</v>
      </c>
      <c r="D392" s="10" t="s">
        <v>788</v>
      </c>
      <c r="E392" s="9">
        <v>66</v>
      </c>
      <c r="F392" s="11">
        <v>45687</v>
      </c>
      <c r="G392" s="8"/>
    </row>
    <row r="393" spans="1:7" ht="18.75" customHeight="1" x14ac:dyDescent="0.2">
      <c r="A393" s="8" t="s">
        <v>789</v>
      </c>
      <c r="B393" s="9">
        <v>44896</v>
      </c>
      <c r="C393" s="9">
        <v>5902557373697</v>
      </c>
      <c r="D393" s="10" t="s">
        <v>790</v>
      </c>
      <c r="E393" s="9">
        <v>66</v>
      </c>
      <c r="F393" s="11">
        <v>45478</v>
      </c>
      <c r="G393" s="8"/>
    </row>
    <row r="394" spans="1:7" ht="18.75" customHeight="1" x14ac:dyDescent="0.2">
      <c r="A394" s="8" t="s">
        <v>791</v>
      </c>
      <c r="B394" s="9">
        <v>44824</v>
      </c>
      <c r="C394" s="9">
        <v>5902557369560</v>
      </c>
      <c r="D394" s="10" t="s">
        <v>792</v>
      </c>
      <c r="E394" s="9">
        <v>65</v>
      </c>
      <c r="F394" s="11">
        <v>45337</v>
      </c>
      <c r="G394" s="8"/>
    </row>
    <row r="395" spans="1:7" ht="18.75" customHeight="1" x14ac:dyDescent="0.2">
      <c r="A395" s="8" t="s">
        <v>793</v>
      </c>
      <c r="B395" s="9">
        <v>44822</v>
      </c>
      <c r="C395" s="9">
        <v>5902557369591</v>
      </c>
      <c r="D395" s="10" t="s">
        <v>794</v>
      </c>
      <c r="E395" s="9">
        <v>89</v>
      </c>
      <c r="F395" s="11">
        <v>45300</v>
      </c>
      <c r="G395" s="8"/>
    </row>
    <row r="396" spans="1:7" ht="18.75" customHeight="1" x14ac:dyDescent="0.2">
      <c r="A396" s="8" t="s">
        <v>795</v>
      </c>
      <c r="B396" s="9">
        <v>44933</v>
      </c>
      <c r="C396" s="9">
        <v>5902557369577</v>
      </c>
      <c r="D396" s="10" t="s">
        <v>796</v>
      </c>
      <c r="E396" s="9">
        <v>69</v>
      </c>
      <c r="F396" s="11">
        <v>45321</v>
      </c>
      <c r="G396" s="8"/>
    </row>
    <row r="397" spans="1:7" ht="18.75" customHeight="1" x14ac:dyDescent="0.2">
      <c r="A397" s="8" t="s">
        <v>797</v>
      </c>
      <c r="B397" s="9">
        <v>44869</v>
      </c>
      <c r="C397" s="9">
        <v>5902557369607</v>
      </c>
      <c r="D397" s="10" t="s">
        <v>798</v>
      </c>
      <c r="E397" s="9">
        <v>92</v>
      </c>
      <c r="F397" s="11">
        <v>45265</v>
      </c>
      <c r="G397" s="8"/>
    </row>
    <row r="398" spans="1:7" ht="18.75" customHeight="1" x14ac:dyDescent="0.2">
      <c r="A398" s="8" t="s">
        <v>799</v>
      </c>
      <c r="B398" s="9">
        <v>44866</v>
      </c>
      <c r="C398" s="9">
        <v>5902557369584</v>
      </c>
      <c r="D398" s="10" t="s">
        <v>800</v>
      </c>
      <c r="E398" s="9">
        <v>75</v>
      </c>
      <c r="F398" s="11">
        <v>45265</v>
      </c>
      <c r="G398" s="8"/>
    </row>
    <row r="399" spans="1:7" ht="18.75" customHeight="1" x14ac:dyDescent="0.2">
      <c r="A399" s="8" t="s">
        <v>801</v>
      </c>
      <c r="B399" s="9">
        <v>44821</v>
      </c>
      <c r="C399" s="9">
        <v>5902557369614</v>
      </c>
      <c r="D399" s="10" t="s">
        <v>802</v>
      </c>
      <c r="E399" s="9">
        <v>106</v>
      </c>
      <c r="F399" s="11">
        <v>45265</v>
      </c>
      <c r="G399" s="8"/>
    </row>
    <row r="400" spans="1:7" ht="18.75" customHeight="1" x14ac:dyDescent="0.2">
      <c r="A400" s="8" t="s">
        <v>803</v>
      </c>
      <c r="B400" s="9">
        <v>44913</v>
      </c>
      <c r="C400" s="9">
        <v>5902557369829</v>
      </c>
      <c r="D400" s="10" t="s">
        <v>804</v>
      </c>
      <c r="E400" s="9">
        <v>58</v>
      </c>
      <c r="F400" s="11">
        <v>45293</v>
      </c>
      <c r="G400" s="8"/>
    </row>
    <row r="401" spans="1:7" ht="18.75" customHeight="1" x14ac:dyDescent="0.2">
      <c r="A401" s="8" t="s">
        <v>805</v>
      </c>
      <c r="B401" s="9">
        <v>44914</v>
      </c>
      <c r="C401" s="9">
        <v>5902557369799</v>
      </c>
      <c r="D401" s="10" t="s">
        <v>806</v>
      </c>
      <c r="E401" s="9">
        <v>64</v>
      </c>
      <c r="F401" s="11">
        <v>45265</v>
      </c>
      <c r="G401" s="8"/>
    </row>
    <row r="402" spans="1:7" ht="18.75" customHeight="1" x14ac:dyDescent="0.2">
      <c r="A402" s="8" t="s">
        <v>807</v>
      </c>
      <c r="B402" s="9">
        <v>44906</v>
      </c>
      <c r="C402" s="9">
        <v>5902557369836</v>
      </c>
      <c r="D402" s="10" t="s">
        <v>808</v>
      </c>
      <c r="E402" s="9">
        <v>60</v>
      </c>
      <c r="F402" s="11">
        <v>45351</v>
      </c>
      <c r="G402" s="8"/>
    </row>
    <row r="403" spans="1:7" ht="18.75" customHeight="1" x14ac:dyDescent="0.2">
      <c r="A403" s="8" t="s">
        <v>809</v>
      </c>
      <c r="B403" s="9">
        <v>44905</v>
      </c>
      <c r="C403" s="9">
        <v>5902557369805</v>
      </c>
      <c r="D403" s="10" t="s">
        <v>810</v>
      </c>
      <c r="E403" s="9">
        <v>67</v>
      </c>
      <c r="F403" s="11">
        <v>45265</v>
      </c>
      <c r="G403" s="8"/>
    </row>
    <row r="404" spans="1:7" ht="18.75" customHeight="1" x14ac:dyDescent="0.2">
      <c r="A404" s="8" t="s">
        <v>811</v>
      </c>
      <c r="B404" s="9">
        <v>44909</v>
      </c>
      <c r="C404" s="9">
        <v>5902557369843</v>
      </c>
      <c r="D404" s="10" t="s">
        <v>812</v>
      </c>
      <c r="E404" s="9">
        <v>64</v>
      </c>
      <c r="F404" s="11">
        <v>45300</v>
      </c>
      <c r="G404" s="8"/>
    </row>
    <row r="405" spans="1:7" ht="18.75" customHeight="1" x14ac:dyDescent="0.2">
      <c r="A405" s="8" t="s">
        <v>813</v>
      </c>
      <c r="B405" s="9">
        <v>44908</v>
      </c>
      <c r="C405" s="9">
        <v>5902557369812</v>
      </c>
      <c r="D405" s="10" t="s">
        <v>814</v>
      </c>
      <c r="E405" s="9">
        <v>71</v>
      </c>
      <c r="F405" s="11">
        <v>45300</v>
      </c>
      <c r="G405" s="8"/>
    </row>
    <row r="406" spans="1:7" ht="18.75" customHeight="1" x14ac:dyDescent="0.2">
      <c r="A406" s="8" t="s">
        <v>815</v>
      </c>
      <c r="B406" s="9">
        <v>48876</v>
      </c>
      <c r="C406" s="9">
        <v>5902557375226</v>
      </c>
      <c r="D406" s="10" t="s">
        <v>816</v>
      </c>
      <c r="E406" s="9">
        <v>110</v>
      </c>
      <c r="F406" s="11">
        <v>45265</v>
      </c>
      <c r="G406" s="8"/>
    </row>
    <row r="407" spans="1:7" ht="18.75" customHeight="1" x14ac:dyDescent="0.2">
      <c r="A407" s="8" t="s">
        <v>817</v>
      </c>
      <c r="B407" s="9">
        <v>48732</v>
      </c>
      <c r="C407" s="9">
        <v>5902557375196</v>
      </c>
      <c r="D407" s="10" t="s">
        <v>818</v>
      </c>
      <c r="E407" s="9">
        <v>87</v>
      </c>
      <c r="F407" s="11">
        <v>45265</v>
      </c>
      <c r="G407" s="8"/>
    </row>
    <row r="408" spans="1:7" ht="18.75" customHeight="1" x14ac:dyDescent="0.2">
      <c r="A408" s="8" t="s">
        <v>819</v>
      </c>
      <c r="B408" s="9">
        <v>48731</v>
      </c>
      <c r="C408" s="9">
        <v>5902557375202</v>
      </c>
      <c r="D408" s="10" t="s">
        <v>820</v>
      </c>
      <c r="E408" s="9">
        <v>85</v>
      </c>
      <c r="F408" s="11">
        <v>45265</v>
      </c>
      <c r="G408" s="8"/>
    </row>
    <row r="409" spans="1:7" ht="18.75" customHeight="1" x14ac:dyDescent="0.2">
      <c r="A409" s="8" t="s">
        <v>821</v>
      </c>
      <c r="B409" s="9">
        <v>48877</v>
      </c>
      <c r="C409" s="9">
        <v>5902557375219</v>
      </c>
      <c r="D409" s="10" t="s">
        <v>822</v>
      </c>
      <c r="E409" s="9">
        <v>112</v>
      </c>
      <c r="F409" s="11">
        <v>45265</v>
      </c>
      <c r="G409" s="8"/>
    </row>
    <row r="410" spans="1:7" ht="18.75" customHeight="1" x14ac:dyDescent="0.2">
      <c r="A410" s="8" t="s">
        <v>823</v>
      </c>
      <c r="B410" s="9">
        <v>29777</v>
      </c>
      <c r="C410" s="9">
        <v>5902557339037</v>
      </c>
      <c r="D410" s="10" t="s">
        <v>824</v>
      </c>
      <c r="E410" s="9">
        <v>132</v>
      </c>
      <c r="F410" s="11">
        <v>45581</v>
      </c>
      <c r="G410" s="8"/>
    </row>
    <row r="411" spans="1:7" ht="18.75" customHeight="1" x14ac:dyDescent="0.2">
      <c r="A411" s="8" t="s">
        <v>825</v>
      </c>
      <c r="B411" s="9">
        <v>29340</v>
      </c>
      <c r="C411" s="9">
        <v>5902557339020</v>
      </c>
      <c r="D411" s="10" t="s">
        <v>826</v>
      </c>
      <c r="E411" s="9">
        <v>193</v>
      </c>
      <c r="F411" s="11">
        <v>45679</v>
      </c>
      <c r="G411" s="8"/>
    </row>
    <row r="412" spans="1:7" ht="18.75" customHeight="1" x14ac:dyDescent="0.2">
      <c r="A412" s="9" t="s">
        <v>827</v>
      </c>
      <c r="B412" s="9">
        <v>53855</v>
      </c>
      <c r="C412" s="8">
        <v>5906366006715</v>
      </c>
      <c r="D412" s="10" t="s">
        <v>828</v>
      </c>
      <c r="E412" s="9">
        <v>115</v>
      </c>
      <c r="F412" s="11">
        <v>45538</v>
      </c>
      <c r="G412" s="8"/>
    </row>
    <row r="413" spans="1:7" ht="18.75" customHeight="1" x14ac:dyDescent="0.2">
      <c r="A413" s="8" t="s">
        <v>829</v>
      </c>
      <c r="B413" s="9">
        <v>26219</v>
      </c>
      <c r="C413" s="9">
        <v>5902557341580</v>
      </c>
      <c r="D413" s="10" t="s">
        <v>830</v>
      </c>
      <c r="E413" s="9">
        <v>114</v>
      </c>
      <c r="F413" s="11">
        <v>45372</v>
      </c>
      <c r="G413" s="8"/>
    </row>
    <row r="414" spans="1:7" ht="18.75" customHeight="1" x14ac:dyDescent="0.2">
      <c r="A414" s="8" t="s">
        <v>831</v>
      </c>
      <c r="B414" s="9">
        <v>44917</v>
      </c>
      <c r="C414" s="9">
        <v>5902557369959</v>
      </c>
      <c r="D414" s="10" t="s">
        <v>832</v>
      </c>
      <c r="E414" s="9">
        <v>115</v>
      </c>
      <c r="F414" s="11">
        <v>45667</v>
      </c>
      <c r="G414" s="8"/>
    </row>
    <row r="415" spans="1:7" ht="18.75" customHeight="1" x14ac:dyDescent="0.2">
      <c r="A415" s="8" t="s">
        <v>833</v>
      </c>
      <c r="B415" s="9">
        <v>46448</v>
      </c>
      <c r="C415" s="9">
        <v>5902557376001</v>
      </c>
      <c r="D415" s="10" t="s">
        <v>834</v>
      </c>
      <c r="E415" s="9">
        <v>111</v>
      </c>
      <c r="F415" s="11">
        <v>45265</v>
      </c>
      <c r="G415" s="8"/>
    </row>
    <row r="416" spans="1:7" ht="18.75" customHeight="1" x14ac:dyDescent="0.2">
      <c r="A416" s="8" t="s">
        <v>835</v>
      </c>
      <c r="B416" s="9">
        <v>46449</v>
      </c>
      <c r="C416" s="9">
        <v>5902557375981</v>
      </c>
      <c r="D416" s="10" t="s">
        <v>836</v>
      </c>
      <c r="E416" s="9">
        <v>104</v>
      </c>
      <c r="F416" s="11">
        <v>45265</v>
      </c>
      <c r="G416" s="8"/>
    </row>
    <row r="417" spans="1:7" ht="18.75" customHeight="1" x14ac:dyDescent="0.2">
      <c r="A417" s="8" t="s">
        <v>837</v>
      </c>
      <c r="B417" s="9">
        <v>46450</v>
      </c>
      <c r="C417" s="9">
        <v>5902557375998</v>
      </c>
      <c r="D417" s="10" t="s">
        <v>838</v>
      </c>
      <c r="E417" s="9">
        <v>117</v>
      </c>
      <c r="F417" s="11">
        <v>45552</v>
      </c>
      <c r="G417" s="8"/>
    </row>
    <row r="418" spans="1:7" ht="18.75" customHeight="1" x14ac:dyDescent="0.2">
      <c r="A418" s="8" t="s">
        <v>839</v>
      </c>
      <c r="B418" s="9">
        <v>30274</v>
      </c>
      <c r="C418" s="9">
        <v>5902557338580</v>
      </c>
      <c r="D418" s="10" t="s">
        <v>840</v>
      </c>
      <c r="E418" s="9">
        <v>117</v>
      </c>
      <c r="F418" s="11">
        <v>45351</v>
      </c>
      <c r="G418" s="8"/>
    </row>
    <row r="419" spans="1:7" ht="18.75" customHeight="1" x14ac:dyDescent="0.2">
      <c r="A419" s="8" t="s">
        <v>841</v>
      </c>
      <c r="B419" s="9">
        <v>51200</v>
      </c>
      <c r="C419" s="9">
        <v>5902557391622</v>
      </c>
      <c r="D419" s="10" t="s">
        <v>842</v>
      </c>
      <c r="E419" s="9">
        <v>85</v>
      </c>
      <c r="F419" s="11">
        <v>45645</v>
      </c>
      <c r="G419" s="8"/>
    </row>
    <row r="420" spans="1:7" ht="18.75" customHeight="1" x14ac:dyDescent="0.2">
      <c r="A420" s="8" t="s">
        <v>843</v>
      </c>
      <c r="B420" s="9">
        <v>51197</v>
      </c>
      <c r="C420" s="9">
        <v>5902557391639</v>
      </c>
      <c r="D420" s="10" t="s">
        <v>844</v>
      </c>
      <c r="E420" s="9">
        <v>106</v>
      </c>
      <c r="F420" s="11">
        <v>45645</v>
      </c>
      <c r="G420" s="8"/>
    </row>
    <row r="421" spans="1:7" ht="18.75" customHeight="1" x14ac:dyDescent="0.2">
      <c r="A421" s="8" t="s">
        <v>845</v>
      </c>
      <c r="B421" s="9">
        <v>51199</v>
      </c>
      <c r="C421" s="9">
        <v>5902557391646</v>
      </c>
      <c r="D421" s="10" t="s">
        <v>846</v>
      </c>
      <c r="E421" s="9">
        <v>94</v>
      </c>
      <c r="F421" s="11">
        <v>45645</v>
      </c>
      <c r="G421" s="8"/>
    </row>
    <row r="422" spans="1:7" ht="18.75" customHeight="1" x14ac:dyDescent="0.2">
      <c r="A422" s="8" t="s">
        <v>847</v>
      </c>
      <c r="B422" s="9">
        <v>44825</v>
      </c>
      <c r="C422" s="9">
        <v>5902557369935</v>
      </c>
      <c r="D422" s="10" t="s">
        <v>848</v>
      </c>
      <c r="E422" s="9">
        <v>117</v>
      </c>
      <c r="F422" s="11">
        <v>45365</v>
      </c>
      <c r="G422" s="8"/>
    </row>
    <row r="423" spans="1:7" ht="18.75" customHeight="1" x14ac:dyDescent="0.2">
      <c r="A423" s="8" t="s">
        <v>849</v>
      </c>
      <c r="B423" s="9">
        <v>24113</v>
      </c>
      <c r="C423" s="9">
        <v>5902557335909</v>
      </c>
      <c r="D423" s="10" t="s">
        <v>850</v>
      </c>
      <c r="E423" s="9">
        <v>83</v>
      </c>
      <c r="F423" s="11">
        <v>45265</v>
      </c>
      <c r="G423" s="8"/>
    </row>
    <row r="424" spans="1:7" ht="18.75" customHeight="1" x14ac:dyDescent="0.2">
      <c r="A424" s="8" t="s">
        <v>851</v>
      </c>
      <c r="B424" s="9">
        <v>22576</v>
      </c>
      <c r="C424" s="9">
        <v>5902557336036</v>
      </c>
      <c r="D424" s="10" t="s">
        <v>852</v>
      </c>
      <c r="E424" s="9">
        <v>104</v>
      </c>
      <c r="F424" s="11">
        <v>45265</v>
      </c>
      <c r="G424" s="8"/>
    </row>
    <row r="425" spans="1:7" ht="18.75" customHeight="1" x14ac:dyDescent="0.2">
      <c r="A425" s="8" t="s">
        <v>853</v>
      </c>
      <c r="B425" s="9">
        <v>51074</v>
      </c>
      <c r="C425" s="9">
        <v>5902557391721</v>
      </c>
      <c r="D425" s="10" t="s">
        <v>854</v>
      </c>
      <c r="E425" s="9">
        <v>115</v>
      </c>
      <c r="F425" s="11">
        <v>45265</v>
      </c>
      <c r="G425" s="8"/>
    </row>
    <row r="426" spans="1:7" ht="18.75" customHeight="1" x14ac:dyDescent="0.2">
      <c r="A426" s="8" t="s">
        <v>855</v>
      </c>
      <c r="B426" s="9">
        <v>54088</v>
      </c>
      <c r="C426" s="8">
        <v>5906366008634</v>
      </c>
      <c r="D426" s="10" t="s">
        <v>856</v>
      </c>
      <c r="E426" s="9">
        <v>110</v>
      </c>
      <c r="F426" s="11">
        <v>45618</v>
      </c>
      <c r="G426" s="8"/>
    </row>
    <row r="427" spans="1:7" ht="18.75" customHeight="1" x14ac:dyDescent="0.2">
      <c r="A427" s="8" t="s">
        <v>857</v>
      </c>
      <c r="B427" s="9">
        <v>26217</v>
      </c>
      <c r="C427" s="9">
        <v>5902557341573</v>
      </c>
      <c r="D427" s="10" t="s">
        <v>858</v>
      </c>
      <c r="E427" s="9">
        <v>94</v>
      </c>
      <c r="F427" s="11">
        <v>45365</v>
      </c>
      <c r="G427" s="8"/>
    </row>
    <row r="428" spans="1:7" ht="18.75" customHeight="1" x14ac:dyDescent="0.2">
      <c r="A428" s="8" t="s">
        <v>859</v>
      </c>
      <c r="B428" s="9">
        <v>41667</v>
      </c>
      <c r="C428" s="9">
        <v>5902557357550</v>
      </c>
      <c r="D428" s="10" t="s">
        <v>860</v>
      </c>
      <c r="E428" s="9">
        <v>111</v>
      </c>
      <c r="F428" s="11">
        <v>45265</v>
      </c>
      <c r="G428" s="8"/>
    </row>
    <row r="429" spans="1:7" ht="18.75" customHeight="1" x14ac:dyDescent="0.2">
      <c r="A429" s="8" t="s">
        <v>861</v>
      </c>
      <c r="B429" s="9">
        <v>43053</v>
      </c>
      <c r="C429" s="9">
        <v>5902557366743</v>
      </c>
      <c r="D429" s="10" t="s">
        <v>862</v>
      </c>
      <c r="E429" s="9">
        <v>125</v>
      </c>
      <c r="F429" s="11">
        <v>45667</v>
      </c>
      <c r="G429" s="8"/>
    </row>
    <row r="430" spans="1:7" ht="18.75" customHeight="1" x14ac:dyDescent="0.2">
      <c r="A430" s="8" t="s">
        <v>863</v>
      </c>
      <c r="B430" s="9">
        <v>45277</v>
      </c>
      <c r="C430" s="9">
        <v>5902557369850</v>
      </c>
      <c r="D430" s="10" t="s">
        <v>864</v>
      </c>
      <c r="E430" s="9">
        <v>118</v>
      </c>
      <c r="F430" s="11">
        <v>45265</v>
      </c>
      <c r="G430" s="8"/>
    </row>
    <row r="431" spans="1:7" ht="18.75" customHeight="1" x14ac:dyDescent="0.2">
      <c r="A431" s="8" t="s">
        <v>865</v>
      </c>
      <c r="B431" s="9">
        <v>44955</v>
      </c>
      <c r="C431" s="9">
        <v>5902557369867</v>
      </c>
      <c r="D431" s="10" t="s">
        <v>866</v>
      </c>
      <c r="E431" s="9">
        <v>121</v>
      </c>
      <c r="F431" s="11">
        <v>45265</v>
      </c>
      <c r="G431" s="8"/>
    </row>
    <row r="432" spans="1:7" ht="18.75" customHeight="1" x14ac:dyDescent="0.2">
      <c r="A432" s="8" t="s">
        <v>867</v>
      </c>
      <c r="B432" s="9">
        <v>45276</v>
      </c>
      <c r="C432" s="9">
        <v>5902557369874</v>
      </c>
      <c r="D432" s="10" t="s">
        <v>868</v>
      </c>
      <c r="E432" s="9">
        <v>129</v>
      </c>
      <c r="F432" s="11">
        <v>45265</v>
      </c>
      <c r="G432" s="8"/>
    </row>
    <row r="433" spans="1:7" ht="18.75" customHeight="1" x14ac:dyDescent="0.2">
      <c r="A433" s="8" t="s">
        <v>869</v>
      </c>
      <c r="B433" s="9">
        <v>19010</v>
      </c>
      <c r="C433" s="9">
        <v>5902557331529</v>
      </c>
      <c r="D433" s="10" t="s">
        <v>870</v>
      </c>
      <c r="E433" s="9">
        <v>111</v>
      </c>
      <c r="F433" s="11">
        <v>45265</v>
      </c>
      <c r="G433" s="8"/>
    </row>
    <row r="434" spans="1:7" ht="18.75" customHeight="1" x14ac:dyDescent="0.2">
      <c r="A434" s="8" t="s">
        <v>871</v>
      </c>
      <c r="B434" s="9"/>
      <c r="C434" s="9">
        <v>5902557359431</v>
      </c>
      <c r="D434" s="10" t="s">
        <v>872</v>
      </c>
      <c r="E434" s="9">
        <v>85</v>
      </c>
      <c r="F434" s="11">
        <v>45265</v>
      </c>
      <c r="G434" s="8"/>
    </row>
    <row r="435" spans="1:7" ht="18.75" customHeight="1" x14ac:dyDescent="0.2">
      <c r="A435" s="8" t="s">
        <v>873</v>
      </c>
      <c r="B435" s="9">
        <v>17398</v>
      </c>
      <c r="C435" s="9">
        <v>5902557331871</v>
      </c>
      <c r="D435" s="10" t="s">
        <v>874</v>
      </c>
      <c r="E435" s="9">
        <v>94</v>
      </c>
      <c r="F435" s="11">
        <v>45581</v>
      </c>
      <c r="G435" s="8"/>
    </row>
    <row r="436" spans="1:7" ht="18.75" customHeight="1" x14ac:dyDescent="0.2">
      <c r="A436" s="8" t="s">
        <v>875</v>
      </c>
      <c r="B436" s="9">
        <v>42202</v>
      </c>
      <c r="C436" s="9">
        <v>5902557357536</v>
      </c>
      <c r="D436" s="10" t="s">
        <v>876</v>
      </c>
      <c r="E436" s="9">
        <v>108</v>
      </c>
      <c r="F436" s="11">
        <v>45265</v>
      </c>
      <c r="G436" s="8"/>
    </row>
    <row r="437" spans="1:7" ht="18.75" customHeight="1" x14ac:dyDescent="0.2">
      <c r="A437" s="8" t="s">
        <v>877</v>
      </c>
      <c r="B437" s="9">
        <v>17816</v>
      </c>
      <c r="C437" s="9">
        <v>5902557331673</v>
      </c>
      <c r="D437" s="10" t="s">
        <v>878</v>
      </c>
      <c r="E437" s="9">
        <v>70</v>
      </c>
      <c r="F437" s="11">
        <v>45581</v>
      </c>
      <c r="G437" s="8"/>
    </row>
    <row r="438" spans="1:7" ht="18.75" customHeight="1" x14ac:dyDescent="0.2">
      <c r="A438" s="8" t="s">
        <v>879</v>
      </c>
      <c r="B438" s="9">
        <v>52178</v>
      </c>
      <c r="C438" s="8">
        <v>5902557395989</v>
      </c>
      <c r="D438" s="10" t="s">
        <v>880</v>
      </c>
      <c r="E438" s="9">
        <v>82</v>
      </c>
      <c r="F438" s="11">
        <v>45644</v>
      </c>
      <c r="G438" s="8"/>
    </row>
    <row r="439" spans="1:7" ht="18.75" customHeight="1" x14ac:dyDescent="0.2">
      <c r="A439" s="8" t="s">
        <v>881</v>
      </c>
      <c r="B439" s="9">
        <v>24374</v>
      </c>
      <c r="C439" s="9">
        <v>5902557335961</v>
      </c>
      <c r="D439" s="10" t="s">
        <v>882</v>
      </c>
      <c r="E439" s="9">
        <v>90</v>
      </c>
      <c r="F439" s="11">
        <v>45265</v>
      </c>
      <c r="G439" s="8"/>
    </row>
    <row r="440" spans="1:7" ht="18.75" customHeight="1" x14ac:dyDescent="0.2">
      <c r="A440" s="9" t="s">
        <v>883</v>
      </c>
      <c r="B440" s="9">
        <v>53859</v>
      </c>
      <c r="C440" s="8">
        <v>5906366002847</v>
      </c>
      <c r="D440" s="10" t="s">
        <v>884</v>
      </c>
      <c r="E440" s="9">
        <v>68</v>
      </c>
      <c r="F440" s="11">
        <v>45715</v>
      </c>
      <c r="G440" s="8"/>
    </row>
    <row r="441" spans="1:7" ht="18.75" customHeight="1" x14ac:dyDescent="0.2">
      <c r="A441" s="9" t="s">
        <v>885</v>
      </c>
      <c r="B441" s="9">
        <v>53860</v>
      </c>
      <c r="C441" s="8">
        <v>5906366002854</v>
      </c>
      <c r="D441" s="10" t="s">
        <v>886</v>
      </c>
      <c r="E441" s="9">
        <v>72</v>
      </c>
      <c r="F441" s="11">
        <v>45715</v>
      </c>
      <c r="G441" s="8"/>
    </row>
    <row r="442" spans="1:7" ht="18.75" customHeight="1" x14ac:dyDescent="0.2">
      <c r="A442" s="9" t="s">
        <v>887</v>
      </c>
      <c r="B442" s="9">
        <v>53861</v>
      </c>
      <c r="C442" s="8">
        <v>5906366002892</v>
      </c>
      <c r="D442" s="10" t="s">
        <v>888</v>
      </c>
      <c r="E442" s="9">
        <v>77</v>
      </c>
      <c r="F442" s="11">
        <v>45715</v>
      </c>
      <c r="G442" s="8"/>
    </row>
    <row r="443" spans="1:7" ht="18.75" customHeight="1" x14ac:dyDescent="0.2">
      <c r="A443" s="9" t="s">
        <v>889</v>
      </c>
      <c r="B443" s="9">
        <v>53862</v>
      </c>
      <c r="C443" s="8">
        <v>5906366002885</v>
      </c>
      <c r="D443" s="10" t="s">
        <v>890</v>
      </c>
      <c r="E443" s="9">
        <v>85</v>
      </c>
      <c r="F443" s="11">
        <v>45715</v>
      </c>
      <c r="G443" s="8"/>
    </row>
    <row r="444" spans="1:7" ht="18.75" customHeight="1" x14ac:dyDescent="0.2">
      <c r="A444" s="8" t="s">
        <v>891</v>
      </c>
      <c r="B444" s="9">
        <v>31454</v>
      </c>
      <c r="C444" s="9">
        <v>5902557314515</v>
      </c>
      <c r="D444" s="10" t="s">
        <v>892</v>
      </c>
      <c r="E444" s="9">
        <v>80</v>
      </c>
      <c r="F444" s="11">
        <v>45265</v>
      </c>
      <c r="G444" s="8"/>
    </row>
    <row r="445" spans="1:7" ht="18.75" customHeight="1" x14ac:dyDescent="0.2">
      <c r="A445" s="8" t="s">
        <v>893</v>
      </c>
      <c r="B445" s="9">
        <v>31455</v>
      </c>
      <c r="C445" s="9">
        <v>5902557343355</v>
      </c>
      <c r="D445" s="10" t="s">
        <v>894</v>
      </c>
      <c r="E445" s="9">
        <v>82</v>
      </c>
      <c r="F445" s="11">
        <v>45265</v>
      </c>
      <c r="G445" s="8"/>
    </row>
    <row r="446" spans="1:7" ht="18.75" customHeight="1" x14ac:dyDescent="0.2">
      <c r="A446" s="8" t="s">
        <v>895</v>
      </c>
      <c r="B446" s="9"/>
      <c r="C446" s="9">
        <v>5902557328765</v>
      </c>
      <c r="D446" s="10" t="s">
        <v>896</v>
      </c>
      <c r="E446" s="9">
        <v>61</v>
      </c>
      <c r="F446" s="11">
        <v>45265</v>
      </c>
      <c r="G446" s="8"/>
    </row>
    <row r="447" spans="1:7" ht="18.75" customHeight="1" x14ac:dyDescent="0.2">
      <c r="A447" s="8" t="s">
        <v>897</v>
      </c>
      <c r="B447" s="9"/>
      <c r="C447" s="9">
        <v>5902557328772</v>
      </c>
      <c r="D447" s="10" t="s">
        <v>898</v>
      </c>
      <c r="E447" s="9">
        <v>75</v>
      </c>
      <c r="F447" s="11">
        <v>45265</v>
      </c>
      <c r="G447" s="8"/>
    </row>
    <row r="448" spans="1:7" ht="18.75" customHeight="1" x14ac:dyDescent="0.2">
      <c r="A448" s="8" t="s">
        <v>899</v>
      </c>
      <c r="B448" s="9">
        <v>1817</v>
      </c>
      <c r="C448" s="9">
        <v>5902557302482</v>
      </c>
      <c r="D448" s="10" t="s">
        <v>900</v>
      </c>
      <c r="E448" s="9">
        <v>74</v>
      </c>
      <c r="F448" s="11">
        <v>45265</v>
      </c>
      <c r="G448" s="8"/>
    </row>
    <row r="449" spans="1:7" ht="18.75" customHeight="1" x14ac:dyDescent="0.2">
      <c r="A449" s="8" t="s">
        <v>901</v>
      </c>
      <c r="B449" s="9">
        <v>13993</v>
      </c>
      <c r="C449" s="9">
        <v>5902557330201</v>
      </c>
      <c r="D449" s="10" t="s">
        <v>902</v>
      </c>
      <c r="E449" s="9">
        <v>95</v>
      </c>
      <c r="F449" s="11">
        <v>45265</v>
      </c>
      <c r="G449" s="8"/>
    </row>
    <row r="450" spans="1:7" ht="18.75" customHeight="1" x14ac:dyDescent="0.2">
      <c r="A450" s="8" t="s">
        <v>903</v>
      </c>
      <c r="B450" s="9">
        <v>14104</v>
      </c>
      <c r="C450" s="9">
        <v>5902557330225</v>
      </c>
      <c r="D450" s="10" t="s">
        <v>904</v>
      </c>
      <c r="E450" s="9">
        <v>49</v>
      </c>
      <c r="F450" s="11">
        <v>45265</v>
      </c>
      <c r="G450" s="8"/>
    </row>
    <row r="451" spans="1:7" ht="18.75" customHeight="1" x14ac:dyDescent="0.2">
      <c r="A451" s="8" t="s">
        <v>905</v>
      </c>
      <c r="B451" s="9">
        <v>7423</v>
      </c>
      <c r="C451" s="9">
        <v>5902557319725</v>
      </c>
      <c r="D451" s="10" t="s">
        <v>906</v>
      </c>
      <c r="E451" s="9">
        <v>58</v>
      </c>
      <c r="F451" s="11">
        <v>45351</v>
      </c>
      <c r="G451" s="8"/>
    </row>
    <row r="452" spans="1:7" ht="18.75" customHeight="1" x14ac:dyDescent="0.2">
      <c r="A452" s="8" t="s">
        <v>907</v>
      </c>
      <c r="B452" s="9">
        <v>37912</v>
      </c>
      <c r="C452" s="9">
        <v>5902557349494</v>
      </c>
      <c r="D452" s="10" t="s">
        <v>908</v>
      </c>
      <c r="E452" s="9">
        <v>51</v>
      </c>
      <c r="F452" s="11">
        <v>45337</v>
      </c>
      <c r="G452" s="8"/>
    </row>
    <row r="453" spans="1:7" ht="18.75" customHeight="1" x14ac:dyDescent="0.2">
      <c r="A453" s="8" t="s">
        <v>909</v>
      </c>
      <c r="B453" s="9">
        <v>17399</v>
      </c>
      <c r="C453" s="9">
        <v>5902557331505</v>
      </c>
      <c r="D453" s="10" t="s">
        <v>910</v>
      </c>
      <c r="E453" s="9">
        <v>64</v>
      </c>
      <c r="F453" s="11">
        <v>45265</v>
      </c>
      <c r="G453" s="8"/>
    </row>
    <row r="454" spans="1:7" ht="18.75" customHeight="1" x14ac:dyDescent="0.2">
      <c r="A454" s="8" t="s">
        <v>911</v>
      </c>
      <c r="B454" s="9">
        <v>22451</v>
      </c>
      <c r="C454" s="9">
        <v>5902557332885</v>
      </c>
      <c r="D454" s="10" t="s">
        <v>912</v>
      </c>
      <c r="E454" s="9">
        <v>69</v>
      </c>
      <c r="F454" s="11">
        <v>45265</v>
      </c>
      <c r="G454" s="8"/>
    </row>
    <row r="455" spans="1:7" ht="18.75" customHeight="1" x14ac:dyDescent="0.2">
      <c r="A455" s="8" t="s">
        <v>913</v>
      </c>
      <c r="B455" s="9">
        <v>41666</v>
      </c>
      <c r="C455" s="9">
        <v>5902557356966</v>
      </c>
      <c r="D455" s="10" t="s">
        <v>914</v>
      </c>
      <c r="E455" s="9">
        <v>69</v>
      </c>
      <c r="F455" s="11">
        <v>45265</v>
      </c>
      <c r="G455" s="8"/>
    </row>
    <row r="456" spans="1:7" ht="18.75" customHeight="1" x14ac:dyDescent="0.2">
      <c r="A456" s="8" t="s">
        <v>915</v>
      </c>
      <c r="B456" s="9">
        <v>42831</v>
      </c>
      <c r="C456" s="9">
        <v>5902557364022</v>
      </c>
      <c r="D456" s="10" t="s">
        <v>916</v>
      </c>
      <c r="E456" s="9">
        <v>60</v>
      </c>
      <c r="F456" s="11">
        <v>45372</v>
      </c>
      <c r="G456" s="8"/>
    </row>
    <row r="457" spans="1:7" ht="18.75" customHeight="1" x14ac:dyDescent="0.2">
      <c r="A457" s="8" t="s">
        <v>917</v>
      </c>
      <c r="B457" s="9">
        <v>42832</v>
      </c>
      <c r="C457" s="9">
        <v>5902557364015</v>
      </c>
      <c r="D457" s="10" t="s">
        <v>918</v>
      </c>
      <c r="E457" s="9">
        <v>74</v>
      </c>
      <c r="F457" s="11">
        <v>45372</v>
      </c>
      <c r="G457" s="8"/>
    </row>
    <row r="458" spans="1:7" ht="18.75" customHeight="1" x14ac:dyDescent="0.2">
      <c r="A458" s="8" t="s">
        <v>919</v>
      </c>
      <c r="B458" s="9">
        <v>14002</v>
      </c>
      <c r="C458" s="9">
        <v>5902557330249</v>
      </c>
      <c r="D458" s="10" t="s">
        <v>920</v>
      </c>
      <c r="E458" s="9">
        <v>73</v>
      </c>
      <c r="F458" s="11">
        <v>45642</v>
      </c>
      <c r="G458" s="8"/>
    </row>
    <row r="459" spans="1:7" ht="18.75" customHeight="1" x14ac:dyDescent="0.2">
      <c r="A459" s="8" t="s">
        <v>921</v>
      </c>
      <c r="B459" s="9">
        <v>30034</v>
      </c>
      <c r="C459" s="9">
        <v>5902557338771</v>
      </c>
      <c r="D459" s="10" t="s">
        <v>922</v>
      </c>
      <c r="E459" s="9">
        <v>53</v>
      </c>
      <c r="F459" s="11">
        <v>45265</v>
      </c>
      <c r="G459" s="8"/>
    </row>
    <row r="460" spans="1:7" ht="18.75" customHeight="1" x14ac:dyDescent="0.2">
      <c r="A460" s="8" t="s">
        <v>923</v>
      </c>
      <c r="B460" s="9">
        <v>53649</v>
      </c>
      <c r="C460" s="9">
        <v>5906366003554</v>
      </c>
      <c r="D460" s="10" t="s">
        <v>924</v>
      </c>
      <c r="E460" s="9">
        <v>69</v>
      </c>
      <c r="F460" s="11">
        <v>45467</v>
      </c>
      <c r="G460" s="8"/>
    </row>
    <row r="461" spans="1:7" ht="18.75" customHeight="1" x14ac:dyDescent="0.2">
      <c r="A461" s="8" t="s">
        <v>925</v>
      </c>
      <c r="B461" s="9">
        <v>53651</v>
      </c>
      <c r="C461" s="9">
        <v>5906366003561</v>
      </c>
      <c r="D461" s="10" t="s">
        <v>926</v>
      </c>
      <c r="E461" s="9">
        <v>94</v>
      </c>
      <c r="F461" s="11">
        <v>45552</v>
      </c>
      <c r="G461" s="8"/>
    </row>
    <row r="462" spans="1:7" ht="18.75" customHeight="1" x14ac:dyDescent="0.2">
      <c r="A462" s="8" t="s">
        <v>927</v>
      </c>
      <c r="B462" s="9">
        <v>47377</v>
      </c>
      <c r="C462" s="9">
        <v>5902557375417</v>
      </c>
      <c r="D462" s="10" t="s">
        <v>928</v>
      </c>
      <c r="E462" s="9">
        <v>87</v>
      </c>
      <c r="F462" s="11">
        <v>45265</v>
      </c>
      <c r="G462" s="8"/>
    </row>
    <row r="463" spans="1:7" ht="18.75" customHeight="1" x14ac:dyDescent="0.2">
      <c r="A463" s="8" t="s">
        <v>929</v>
      </c>
      <c r="B463" s="9">
        <v>46472</v>
      </c>
      <c r="C463" s="9">
        <v>5902557375400</v>
      </c>
      <c r="D463" s="10" t="s">
        <v>930</v>
      </c>
      <c r="E463" s="9">
        <v>77</v>
      </c>
      <c r="F463" s="11">
        <v>45642</v>
      </c>
      <c r="G463" s="8"/>
    </row>
    <row r="464" spans="1:7" ht="18.75" customHeight="1" x14ac:dyDescent="0.2">
      <c r="A464" s="8" t="s">
        <v>931</v>
      </c>
      <c r="B464" s="9">
        <v>46473</v>
      </c>
      <c r="C464" s="9">
        <v>5902557375424</v>
      </c>
      <c r="D464" s="10" t="s">
        <v>932</v>
      </c>
      <c r="E464" s="9">
        <v>103</v>
      </c>
      <c r="F464" s="11">
        <v>45673</v>
      </c>
      <c r="G464" s="8"/>
    </row>
    <row r="465" spans="1:7" ht="18.75" customHeight="1" x14ac:dyDescent="0.2">
      <c r="A465" s="8" t="s">
        <v>933</v>
      </c>
      <c r="B465" s="9">
        <v>41897</v>
      </c>
      <c r="C465" s="9">
        <v>5902557356928</v>
      </c>
      <c r="D465" s="10" t="s">
        <v>934</v>
      </c>
      <c r="E465" s="9">
        <v>79</v>
      </c>
      <c r="F465" s="11">
        <v>45265</v>
      </c>
      <c r="G465" s="8"/>
    </row>
    <row r="466" spans="1:7" ht="18.75" customHeight="1" x14ac:dyDescent="0.2">
      <c r="A466" s="8" t="s">
        <v>935</v>
      </c>
      <c r="B466" s="9">
        <v>41745</v>
      </c>
      <c r="C466" s="9">
        <v>5902557356942</v>
      </c>
      <c r="D466" s="10" t="s">
        <v>936</v>
      </c>
      <c r="E466" s="9">
        <v>66</v>
      </c>
      <c r="F466" s="11">
        <v>45265</v>
      </c>
      <c r="G466" s="8"/>
    </row>
    <row r="467" spans="1:7" ht="18.75" customHeight="1" x14ac:dyDescent="0.2">
      <c r="A467" s="8" t="s">
        <v>937</v>
      </c>
      <c r="B467" s="9">
        <v>17818</v>
      </c>
      <c r="C467" s="9">
        <v>5902557331703</v>
      </c>
      <c r="D467" s="10" t="s">
        <v>938</v>
      </c>
      <c r="E467" s="9">
        <v>83</v>
      </c>
      <c r="F467" s="11">
        <v>45337</v>
      </c>
      <c r="G467" s="8"/>
    </row>
    <row r="468" spans="1:7" ht="18.75" customHeight="1" x14ac:dyDescent="0.2">
      <c r="A468" s="8" t="s">
        <v>939</v>
      </c>
      <c r="B468" s="9"/>
      <c r="C468" s="9"/>
      <c r="D468" s="10" t="s">
        <v>940</v>
      </c>
      <c r="E468" s="9">
        <v>67</v>
      </c>
      <c r="F468" s="11">
        <v>45265</v>
      </c>
      <c r="G468" s="8"/>
    </row>
    <row r="469" spans="1:7" ht="18.75" customHeight="1" x14ac:dyDescent="0.2">
      <c r="A469" s="8" t="s">
        <v>941</v>
      </c>
      <c r="B469" s="9"/>
      <c r="C469" s="9">
        <v>5902557336081</v>
      </c>
      <c r="D469" s="10" t="s">
        <v>942</v>
      </c>
      <c r="E469" s="9">
        <v>67</v>
      </c>
      <c r="F469" s="11">
        <v>45265</v>
      </c>
      <c r="G469" s="8"/>
    </row>
    <row r="470" spans="1:7" ht="18.75" customHeight="1" x14ac:dyDescent="0.2">
      <c r="A470" s="8" t="s">
        <v>943</v>
      </c>
      <c r="B470" s="9">
        <v>30270</v>
      </c>
      <c r="C470" s="9">
        <v>5902557338740</v>
      </c>
      <c r="D470" s="10" t="s">
        <v>944</v>
      </c>
      <c r="E470" s="9">
        <v>74</v>
      </c>
      <c r="F470" s="11">
        <v>45265</v>
      </c>
      <c r="G470" s="8"/>
    </row>
    <row r="471" spans="1:7" ht="18.75" customHeight="1" x14ac:dyDescent="0.2">
      <c r="A471" s="8" t="s">
        <v>945</v>
      </c>
      <c r="B471" s="9">
        <v>44637</v>
      </c>
      <c r="C471" s="9">
        <v>5902557368693</v>
      </c>
      <c r="D471" s="10" t="s">
        <v>946</v>
      </c>
      <c r="E471" s="9">
        <v>92</v>
      </c>
      <c r="F471" s="11">
        <v>45265</v>
      </c>
      <c r="G471" s="8"/>
    </row>
    <row r="472" spans="1:7" ht="18.75" customHeight="1" x14ac:dyDescent="0.2">
      <c r="A472" s="8" t="s">
        <v>947</v>
      </c>
      <c r="B472" s="9">
        <v>44653</v>
      </c>
      <c r="C472" s="9">
        <v>5902557369379</v>
      </c>
      <c r="D472" s="10" t="s">
        <v>948</v>
      </c>
      <c r="E472" s="9">
        <v>88</v>
      </c>
      <c r="F472" s="11">
        <v>45265</v>
      </c>
      <c r="G472" s="8"/>
    </row>
    <row r="473" spans="1:7" ht="18.75" customHeight="1" x14ac:dyDescent="0.2">
      <c r="A473" s="8" t="s">
        <v>949</v>
      </c>
      <c r="B473" s="9">
        <v>45048</v>
      </c>
      <c r="C473" s="9">
        <v>5902557370351</v>
      </c>
      <c r="D473" s="10" t="s">
        <v>950</v>
      </c>
      <c r="E473" s="9">
        <v>89</v>
      </c>
      <c r="F473" s="11">
        <v>45645</v>
      </c>
      <c r="G473" s="8"/>
    </row>
    <row r="474" spans="1:7" ht="18.75" customHeight="1" x14ac:dyDescent="0.2">
      <c r="A474" s="8" t="s">
        <v>951</v>
      </c>
      <c r="B474" s="9">
        <v>45032</v>
      </c>
      <c r="C474" s="9">
        <v>5902557370450</v>
      </c>
      <c r="D474" s="10" t="s">
        <v>952</v>
      </c>
      <c r="E474" s="9">
        <v>77</v>
      </c>
      <c r="F474" s="11">
        <v>45265</v>
      </c>
      <c r="G474" s="8"/>
    </row>
    <row r="475" spans="1:7" ht="18.75" customHeight="1" x14ac:dyDescent="0.2">
      <c r="A475" s="8" t="s">
        <v>953</v>
      </c>
      <c r="B475" s="9">
        <v>37970</v>
      </c>
      <c r="C475" s="9">
        <v>5902557349579</v>
      </c>
      <c r="D475" s="10" t="s">
        <v>954</v>
      </c>
      <c r="E475" s="9">
        <v>200</v>
      </c>
      <c r="F475" s="11">
        <v>45372</v>
      </c>
      <c r="G475" s="8"/>
    </row>
    <row r="476" spans="1:7" ht="18.75" customHeight="1" x14ac:dyDescent="0.2">
      <c r="A476" s="8" t="s">
        <v>955</v>
      </c>
      <c r="B476" s="9">
        <v>37971</v>
      </c>
      <c r="C476" s="9">
        <v>5902557349586</v>
      </c>
      <c r="D476" s="10" t="s">
        <v>956</v>
      </c>
      <c r="E476" s="9">
        <v>204</v>
      </c>
      <c r="F476" s="11">
        <v>45372</v>
      </c>
      <c r="G476" s="8"/>
    </row>
    <row r="477" spans="1:7" ht="18.75" customHeight="1" x14ac:dyDescent="0.2">
      <c r="A477" s="8" t="s">
        <v>957</v>
      </c>
      <c r="B477" s="9">
        <v>18899</v>
      </c>
      <c r="C477" s="9">
        <v>5902557331536</v>
      </c>
      <c r="D477" s="10" t="s">
        <v>958</v>
      </c>
      <c r="E477" s="9">
        <v>182</v>
      </c>
      <c r="F477" s="11">
        <v>45265</v>
      </c>
      <c r="G477" s="8"/>
    </row>
    <row r="478" spans="1:7" ht="18.75" customHeight="1" x14ac:dyDescent="0.2">
      <c r="A478" s="8" t="s">
        <v>959</v>
      </c>
      <c r="B478" s="9">
        <v>43325</v>
      </c>
      <c r="C478" s="9">
        <v>5902557357505</v>
      </c>
      <c r="D478" s="10" t="s">
        <v>960</v>
      </c>
      <c r="E478" s="9">
        <v>212</v>
      </c>
      <c r="F478" s="11">
        <v>45265</v>
      </c>
      <c r="G478" s="8"/>
    </row>
    <row r="479" spans="1:7" ht="18.75" customHeight="1" x14ac:dyDescent="0.2">
      <c r="A479" s="9" t="s">
        <v>961</v>
      </c>
      <c r="B479" s="9">
        <v>53900</v>
      </c>
      <c r="C479" s="8">
        <v>5906366002762</v>
      </c>
      <c r="D479" s="10" t="s">
        <v>962</v>
      </c>
      <c r="E479" s="9">
        <v>87</v>
      </c>
      <c r="F479" s="11">
        <v>45562</v>
      </c>
      <c r="G479" s="8"/>
    </row>
    <row r="480" spans="1:7" ht="18.75" customHeight="1" x14ac:dyDescent="0.2">
      <c r="A480" s="8" t="s">
        <v>963</v>
      </c>
      <c r="B480" s="9">
        <v>52165</v>
      </c>
      <c r="C480" s="8">
        <v>5902557391943</v>
      </c>
      <c r="D480" s="10" t="s">
        <v>964</v>
      </c>
      <c r="E480" s="9">
        <v>101</v>
      </c>
      <c r="F480" s="11">
        <v>45729</v>
      </c>
      <c r="G480" s="8"/>
    </row>
    <row r="481" spans="1:7" ht="18.75" customHeight="1" x14ac:dyDescent="0.2">
      <c r="A481" s="9" t="s">
        <v>965</v>
      </c>
      <c r="B481" s="9">
        <v>53899</v>
      </c>
      <c r="C481" s="8">
        <v>5906366002779</v>
      </c>
      <c r="D481" s="10" t="s">
        <v>966</v>
      </c>
      <c r="E481" s="9">
        <v>99</v>
      </c>
      <c r="F481" s="11">
        <v>45642</v>
      </c>
      <c r="G481" s="8"/>
    </row>
    <row r="482" spans="1:7" ht="18.75" customHeight="1" x14ac:dyDescent="0.2">
      <c r="A482" s="8" t="s">
        <v>967</v>
      </c>
      <c r="B482" s="9">
        <v>52159</v>
      </c>
      <c r="C482" s="8">
        <v>5902557391950</v>
      </c>
      <c r="D482" s="10" t="s">
        <v>968</v>
      </c>
      <c r="E482" s="9">
        <v>99</v>
      </c>
      <c r="F482" s="11">
        <v>45562</v>
      </c>
      <c r="G482" s="8"/>
    </row>
    <row r="483" spans="1:7" ht="18.75" customHeight="1" x14ac:dyDescent="0.2">
      <c r="A483" s="8" t="s">
        <v>969</v>
      </c>
      <c r="B483" s="9">
        <v>52607</v>
      </c>
      <c r="C483" s="9">
        <v>5902557319664</v>
      </c>
      <c r="D483" s="10" t="s">
        <v>970</v>
      </c>
      <c r="E483" s="9">
        <v>146</v>
      </c>
      <c r="F483" s="11">
        <v>45265</v>
      </c>
      <c r="G483" s="8"/>
    </row>
    <row r="484" spans="1:7" ht="18.75" customHeight="1" x14ac:dyDescent="0.2">
      <c r="A484" s="8" t="s">
        <v>971</v>
      </c>
      <c r="B484" s="9">
        <v>41747</v>
      </c>
      <c r="C484" s="9">
        <v>5902557356911</v>
      </c>
      <c r="D484" s="10" t="s">
        <v>972</v>
      </c>
      <c r="E484" s="9">
        <v>82</v>
      </c>
      <c r="F484" s="11">
        <v>45265</v>
      </c>
      <c r="G484" s="8"/>
    </row>
    <row r="485" spans="1:7" ht="18.75" customHeight="1" x14ac:dyDescent="0.2">
      <c r="A485" s="8" t="s">
        <v>973</v>
      </c>
      <c r="B485" s="9">
        <v>42203</v>
      </c>
      <c r="C485" s="9">
        <v>5902557357567</v>
      </c>
      <c r="D485" s="10" t="s">
        <v>974</v>
      </c>
      <c r="E485" s="9">
        <v>99</v>
      </c>
      <c r="F485" s="11">
        <v>45265</v>
      </c>
      <c r="G485" s="8"/>
    </row>
    <row r="486" spans="1:7" ht="18.75" customHeight="1" x14ac:dyDescent="0.2">
      <c r="A486" s="8" t="s">
        <v>975</v>
      </c>
      <c r="B486" s="9">
        <v>51008</v>
      </c>
      <c r="C486" s="9">
        <v>5902557390779</v>
      </c>
      <c r="D486" s="10" t="s">
        <v>976</v>
      </c>
      <c r="E486" s="9">
        <v>92</v>
      </c>
      <c r="F486" s="11">
        <v>45265</v>
      </c>
      <c r="G486" s="8"/>
    </row>
    <row r="487" spans="1:7" ht="18.75" customHeight="1" x14ac:dyDescent="0.2">
      <c r="A487" s="8" t="s">
        <v>977</v>
      </c>
      <c r="B487" s="9">
        <v>51003</v>
      </c>
      <c r="C487" s="9">
        <v>5902557390786</v>
      </c>
      <c r="D487" s="10" t="s">
        <v>978</v>
      </c>
      <c r="E487" s="9">
        <v>94</v>
      </c>
      <c r="F487" s="11">
        <v>45265</v>
      </c>
      <c r="G487" s="8"/>
    </row>
    <row r="488" spans="1:7" ht="18.75" customHeight="1" x14ac:dyDescent="0.2">
      <c r="A488" s="8" t="s">
        <v>979</v>
      </c>
      <c r="B488" s="9">
        <v>51430</v>
      </c>
      <c r="C488" s="9">
        <v>5902557390762</v>
      </c>
      <c r="D488" s="10" t="s">
        <v>980</v>
      </c>
      <c r="E488" s="9">
        <v>127</v>
      </c>
      <c r="F488" s="11">
        <v>45265</v>
      </c>
      <c r="G488" s="8"/>
    </row>
    <row r="489" spans="1:7" ht="18.75" customHeight="1" x14ac:dyDescent="0.2">
      <c r="A489" s="8" t="s">
        <v>981</v>
      </c>
      <c r="B489" s="9">
        <v>17392</v>
      </c>
      <c r="C489" s="9">
        <v>5902557331628</v>
      </c>
      <c r="D489" s="10" t="s">
        <v>982</v>
      </c>
      <c r="E489" s="9">
        <v>100</v>
      </c>
      <c r="F489" s="11">
        <v>45265</v>
      </c>
      <c r="G489" s="8"/>
    </row>
    <row r="490" spans="1:7" ht="18.75" customHeight="1" x14ac:dyDescent="0.2">
      <c r="A490" s="8" t="s">
        <v>983</v>
      </c>
      <c r="B490" s="9">
        <v>17394</v>
      </c>
      <c r="C490" s="9">
        <v>5902557331611</v>
      </c>
      <c r="D490" s="10" t="s">
        <v>984</v>
      </c>
      <c r="E490" s="9">
        <v>81</v>
      </c>
      <c r="F490" s="11">
        <v>45265</v>
      </c>
      <c r="G490" s="8"/>
    </row>
    <row r="491" spans="1:7" ht="18.75" customHeight="1" x14ac:dyDescent="0.2">
      <c r="A491" s="8" t="s">
        <v>985</v>
      </c>
      <c r="B491" s="9"/>
      <c r="C491" s="9">
        <v>5902557350056</v>
      </c>
      <c r="D491" s="10" t="s">
        <v>986</v>
      </c>
      <c r="E491" s="9">
        <v>88</v>
      </c>
      <c r="F491" s="11">
        <v>45265</v>
      </c>
      <c r="G491" s="8"/>
    </row>
    <row r="492" spans="1:7" ht="18.75" customHeight="1" x14ac:dyDescent="0.2">
      <c r="A492" s="8" t="s">
        <v>987</v>
      </c>
      <c r="B492" s="9">
        <v>49261</v>
      </c>
      <c r="C492" s="9">
        <v>5902557377893</v>
      </c>
      <c r="D492" s="10" t="s">
        <v>988</v>
      </c>
      <c r="E492" s="9">
        <v>122</v>
      </c>
      <c r="F492" s="11">
        <v>45679</v>
      </c>
      <c r="G492" s="8"/>
    </row>
    <row r="493" spans="1:7" ht="18.75" customHeight="1" x14ac:dyDescent="0.2">
      <c r="A493" s="8" t="s">
        <v>989</v>
      </c>
      <c r="B493" s="9">
        <v>39099</v>
      </c>
      <c r="C493" s="9">
        <v>5902557352081</v>
      </c>
      <c r="D493" s="10" t="s">
        <v>990</v>
      </c>
      <c r="E493" s="9">
        <v>143</v>
      </c>
      <c r="F493" s="11">
        <v>45443</v>
      </c>
      <c r="G493" s="8"/>
    </row>
    <row r="494" spans="1:7" ht="18.75" customHeight="1" x14ac:dyDescent="0.2">
      <c r="A494" s="8" t="s">
        <v>991</v>
      </c>
      <c r="B494" s="9">
        <v>42833</v>
      </c>
      <c r="C494" s="9">
        <v>5902557364077</v>
      </c>
      <c r="D494" s="10" t="s">
        <v>992</v>
      </c>
      <c r="E494" s="9">
        <v>139</v>
      </c>
      <c r="F494" s="11">
        <v>45372</v>
      </c>
      <c r="G494" s="8"/>
    </row>
    <row r="495" spans="1:7" ht="18.75" customHeight="1" x14ac:dyDescent="0.2">
      <c r="A495" s="8" t="s">
        <v>993</v>
      </c>
      <c r="B495" s="9">
        <v>52485</v>
      </c>
      <c r="C495" s="9">
        <v>5902557391769</v>
      </c>
      <c r="D495" s="10" t="s">
        <v>994</v>
      </c>
      <c r="E495" s="9">
        <v>92</v>
      </c>
      <c r="F495" s="11">
        <v>45337</v>
      </c>
      <c r="G495" s="8"/>
    </row>
    <row r="496" spans="1:7" ht="18.75" customHeight="1" x14ac:dyDescent="0.2">
      <c r="A496" s="8" t="s">
        <v>995</v>
      </c>
      <c r="B496" s="9">
        <v>45044</v>
      </c>
      <c r="C496" s="9">
        <v>5902557370481</v>
      </c>
      <c r="D496" s="10" t="s">
        <v>996</v>
      </c>
      <c r="E496" s="9">
        <v>91</v>
      </c>
      <c r="F496" s="11">
        <v>45265</v>
      </c>
      <c r="G496" s="8"/>
    </row>
    <row r="497" spans="1:7" ht="18.75" customHeight="1" x14ac:dyDescent="0.2">
      <c r="A497" s="8" t="s">
        <v>997</v>
      </c>
      <c r="B497" s="9">
        <v>45042</v>
      </c>
      <c r="C497" s="9">
        <v>5902557370511</v>
      </c>
      <c r="D497" s="10" t="s">
        <v>998</v>
      </c>
      <c r="E497" s="9">
        <v>101</v>
      </c>
      <c r="F497" s="11">
        <v>45265</v>
      </c>
      <c r="G497" s="8"/>
    </row>
    <row r="498" spans="1:7" ht="18.75" customHeight="1" x14ac:dyDescent="0.2">
      <c r="A498" s="8" t="s">
        <v>999</v>
      </c>
      <c r="B498" s="9">
        <v>45043</v>
      </c>
      <c r="C498" s="9">
        <v>5902557370542</v>
      </c>
      <c r="D498" s="10" t="s">
        <v>1000</v>
      </c>
      <c r="E498" s="9">
        <v>113</v>
      </c>
      <c r="F498" s="11">
        <v>45265</v>
      </c>
      <c r="G498" s="8"/>
    </row>
    <row r="499" spans="1:7" ht="18.75" customHeight="1" x14ac:dyDescent="0.2">
      <c r="A499" s="8" t="s">
        <v>1001</v>
      </c>
      <c r="B499" s="9">
        <v>45047</v>
      </c>
      <c r="C499" s="9">
        <v>5902557370320</v>
      </c>
      <c r="D499" s="10" t="s">
        <v>1002</v>
      </c>
      <c r="E499" s="9">
        <v>73</v>
      </c>
      <c r="F499" s="11">
        <v>45265</v>
      </c>
      <c r="G499" s="8"/>
    </row>
    <row r="500" spans="1:7" ht="18.75" customHeight="1" x14ac:dyDescent="0.2">
      <c r="A500" s="8" t="s">
        <v>1003</v>
      </c>
      <c r="B500" s="9">
        <v>45046</v>
      </c>
      <c r="C500" s="9">
        <v>5902557370412</v>
      </c>
      <c r="D500" s="10" t="s">
        <v>1004</v>
      </c>
      <c r="E500" s="9">
        <v>83</v>
      </c>
      <c r="F500" s="11">
        <v>45265</v>
      </c>
      <c r="G500" s="8"/>
    </row>
    <row r="501" spans="1:7" ht="18.75" customHeight="1" x14ac:dyDescent="0.2">
      <c r="A501" s="8" t="s">
        <v>1005</v>
      </c>
      <c r="B501" s="9">
        <v>52873</v>
      </c>
      <c r="C501" s="9">
        <v>5902557399666</v>
      </c>
      <c r="D501" s="10" t="s">
        <v>1006</v>
      </c>
      <c r="E501" s="9">
        <v>94</v>
      </c>
      <c r="F501" s="11">
        <v>45387</v>
      </c>
      <c r="G501" s="8"/>
    </row>
    <row r="502" spans="1:7" ht="18.75" customHeight="1" x14ac:dyDescent="0.2">
      <c r="A502" s="8" t="s">
        <v>1007</v>
      </c>
      <c r="B502" s="9">
        <v>52871</v>
      </c>
      <c r="C502" s="9">
        <v>5902557399697</v>
      </c>
      <c r="D502" s="10" t="s">
        <v>1008</v>
      </c>
      <c r="E502" s="9">
        <v>108</v>
      </c>
      <c r="F502" s="11">
        <v>45387</v>
      </c>
      <c r="G502" s="8"/>
    </row>
    <row r="503" spans="1:7" ht="18.75" customHeight="1" x14ac:dyDescent="0.2">
      <c r="A503" s="8" t="s">
        <v>1009</v>
      </c>
      <c r="B503" s="9">
        <v>52872</v>
      </c>
      <c r="C503" s="9">
        <v>5902557399734</v>
      </c>
      <c r="D503" s="10" t="s">
        <v>1010</v>
      </c>
      <c r="E503" s="9">
        <v>94</v>
      </c>
      <c r="F503" s="11">
        <v>45387</v>
      </c>
      <c r="G503" s="8"/>
    </row>
    <row r="504" spans="1:7" ht="18.75" customHeight="1" x14ac:dyDescent="0.2">
      <c r="A504" s="8" t="s">
        <v>1011</v>
      </c>
      <c r="B504" s="9">
        <v>52870</v>
      </c>
      <c r="C504" s="9">
        <v>5902557399703</v>
      </c>
      <c r="D504" s="10" t="s">
        <v>1012</v>
      </c>
      <c r="E504" s="9">
        <v>108</v>
      </c>
      <c r="F504" s="11">
        <v>45645</v>
      </c>
      <c r="G504" s="8"/>
    </row>
    <row r="505" spans="1:7" ht="18.75" customHeight="1" x14ac:dyDescent="0.2">
      <c r="A505" s="8" t="s">
        <v>1013</v>
      </c>
      <c r="B505" s="9">
        <v>54324</v>
      </c>
      <c r="C505" s="8">
        <v>5906366007521</v>
      </c>
      <c r="D505" s="10" t="s">
        <v>1014</v>
      </c>
      <c r="E505" s="9">
        <v>94</v>
      </c>
      <c r="F505" s="11">
        <v>45645</v>
      </c>
      <c r="G505" s="8"/>
    </row>
    <row r="506" spans="1:7" ht="18.75" customHeight="1" x14ac:dyDescent="0.2">
      <c r="A506" s="8" t="s">
        <v>1015</v>
      </c>
      <c r="B506" s="9">
        <v>45033</v>
      </c>
      <c r="C506" s="9">
        <v>5902557370436</v>
      </c>
      <c r="D506" s="10" t="s">
        <v>1016</v>
      </c>
      <c r="E506" s="9">
        <v>66</v>
      </c>
      <c r="F506" s="11">
        <v>45265</v>
      </c>
      <c r="G506" s="8"/>
    </row>
    <row r="507" spans="1:7" ht="18.75" customHeight="1" x14ac:dyDescent="0.2">
      <c r="A507" s="8" t="s">
        <v>1017</v>
      </c>
      <c r="B507" s="9">
        <v>45049</v>
      </c>
      <c r="C507" s="9">
        <v>5902557374533</v>
      </c>
      <c r="D507" s="10" t="s">
        <v>1018</v>
      </c>
      <c r="E507" s="9">
        <v>84</v>
      </c>
      <c r="F507" s="11">
        <v>45265</v>
      </c>
      <c r="G507" s="8"/>
    </row>
    <row r="508" spans="1:7" ht="18.75" customHeight="1" x14ac:dyDescent="0.2">
      <c r="A508" s="8" t="s">
        <v>1019</v>
      </c>
      <c r="B508" s="9">
        <v>45041</v>
      </c>
      <c r="C508" s="9">
        <v>5902557374526</v>
      </c>
      <c r="D508" s="10" t="s">
        <v>1020</v>
      </c>
      <c r="E508" s="9">
        <v>95</v>
      </c>
      <c r="F508" s="11">
        <v>45265</v>
      </c>
      <c r="G508" s="8"/>
    </row>
    <row r="509" spans="1:7" ht="18.75" customHeight="1" x14ac:dyDescent="0.2">
      <c r="A509" s="8" t="s">
        <v>1021</v>
      </c>
      <c r="B509" s="9">
        <v>54333</v>
      </c>
      <c r="C509" s="8">
        <v>5906366007576</v>
      </c>
      <c r="D509" s="10" t="s">
        <v>1022</v>
      </c>
      <c r="E509" s="9">
        <v>132</v>
      </c>
      <c r="F509" s="11">
        <v>45645</v>
      </c>
      <c r="G509" s="8"/>
    </row>
    <row r="510" spans="1:7" ht="18.75" customHeight="1" x14ac:dyDescent="0.2">
      <c r="A510" s="8" t="s">
        <v>1023</v>
      </c>
      <c r="B510" s="9">
        <v>54339</v>
      </c>
      <c r="C510" s="8">
        <v>5906366007583</v>
      </c>
      <c r="D510" s="10" t="s">
        <v>1024</v>
      </c>
      <c r="E510" s="9">
        <v>124</v>
      </c>
      <c r="F510" s="11">
        <v>45645</v>
      </c>
      <c r="G510" s="8"/>
    </row>
    <row r="511" spans="1:7" ht="18.75" customHeight="1" x14ac:dyDescent="0.2">
      <c r="A511" s="8" t="s">
        <v>1025</v>
      </c>
      <c r="B511" s="9">
        <v>49750</v>
      </c>
      <c r="C511" s="9">
        <v>5902557377732</v>
      </c>
      <c r="D511" s="10" t="s">
        <v>1026</v>
      </c>
      <c r="E511" s="9">
        <v>138</v>
      </c>
      <c r="F511" s="11">
        <v>45293</v>
      </c>
      <c r="G511" s="8"/>
    </row>
    <row r="512" spans="1:7" ht="18.75" customHeight="1" x14ac:dyDescent="0.2">
      <c r="A512" s="8" t="s">
        <v>1027</v>
      </c>
      <c r="B512" s="9">
        <v>39594</v>
      </c>
      <c r="C512" s="9">
        <v>5902557354719</v>
      </c>
      <c r="D512" s="10" t="s">
        <v>1028</v>
      </c>
      <c r="E512" s="9">
        <v>124</v>
      </c>
      <c r="F512" s="11">
        <v>45265</v>
      </c>
      <c r="G512" s="8"/>
    </row>
    <row r="513" spans="1:7" ht="18.75" customHeight="1" x14ac:dyDescent="0.2">
      <c r="A513" s="8" t="s">
        <v>1029</v>
      </c>
      <c r="B513" s="9">
        <v>37870</v>
      </c>
      <c r="C513" s="9">
        <v>5902557349616</v>
      </c>
      <c r="D513" s="10" t="s">
        <v>1030</v>
      </c>
      <c r="E513" s="9">
        <v>141</v>
      </c>
      <c r="F513" s="11">
        <v>45581</v>
      </c>
      <c r="G513" s="8"/>
    </row>
    <row r="514" spans="1:7" ht="18.75" customHeight="1" x14ac:dyDescent="0.2">
      <c r="A514" s="8" t="s">
        <v>1031</v>
      </c>
      <c r="B514" s="9">
        <v>51051</v>
      </c>
      <c r="C514" s="9">
        <v>5902557391745</v>
      </c>
      <c r="D514" s="10" t="s">
        <v>1032</v>
      </c>
      <c r="E514" s="9">
        <v>161</v>
      </c>
      <c r="F514" s="11">
        <v>45265</v>
      </c>
      <c r="G514" s="8"/>
    </row>
    <row r="515" spans="1:7" ht="18.75" customHeight="1" x14ac:dyDescent="0.2">
      <c r="A515" s="8" t="s">
        <v>1033</v>
      </c>
      <c r="B515" s="9">
        <v>54100</v>
      </c>
      <c r="C515" s="8">
        <v>5906366008696</v>
      </c>
      <c r="D515" s="10" t="s">
        <v>1034</v>
      </c>
      <c r="E515" s="9">
        <v>151</v>
      </c>
      <c r="F515" s="11">
        <v>45618</v>
      </c>
      <c r="G515" s="8"/>
    </row>
    <row r="516" spans="1:7" ht="18.75" customHeight="1" x14ac:dyDescent="0.2">
      <c r="A516" s="9" t="s">
        <v>1035</v>
      </c>
      <c r="B516" s="9">
        <v>53888</v>
      </c>
      <c r="C516" s="8">
        <v>5906366006746</v>
      </c>
      <c r="D516" s="10" t="s">
        <v>1036</v>
      </c>
      <c r="E516" s="9">
        <v>164</v>
      </c>
      <c r="F516" s="11">
        <v>45562</v>
      </c>
      <c r="G516" s="8"/>
    </row>
    <row r="517" spans="1:7" ht="18.75" customHeight="1" x14ac:dyDescent="0.2">
      <c r="A517" s="8" t="s">
        <v>1037</v>
      </c>
      <c r="B517" s="9">
        <v>43251</v>
      </c>
      <c r="C517" s="9">
        <v>5902557368327</v>
      </c>
      <c r="D517" s="10" t="s">
        <v>1038</v>
      </c>
      <c r="E517" s="9">
        <v>154</v>
      </c>
      <c r="F517" s="11">
        <v>45265</v>
      </c>
      <c r="G517" s="8"/>
    </row>
    <row r="518" spans="1:7" ht="18.75" customHeight="1" x14ac:dyDescent="0.2">
      <c r="A518" s="8" t="s">
        <v>1039</v>
      </c>
      <c r="B518" s="9">
        <v>37976</v>
      </c>
      <c r="C518" s="9">
        <v>5902557349623</v>
      </c>
      <c r="D518" s="10" t="s">
        <v>1040</v>
      </c>
      <c r="E518" s="9">
        <v>156</v>
      </c>
      <c r="F518" s="11">
        <v>45372</v>
      </c>
      <c r="G518" s="8"/>
    </row>
    <row r="519" spans="1:7" ht="18.75" customHeight="1" x14ac:dyDescent="0.2">
      <c r="A519" s="8" t="s">
        <v>1041</v>
      </c>
      <c r="B519" s="9">
        <v>49384</v>
      </c>
      <c r="C519" s="9">
        <v>5902557377749</v>
      </c>
      <c r="D519" s="10" t="s">
        <v>1042</v>
      </c>
      <c r="E519" s="9">
        <v>164</v>
      </c>
      <c r="F519" s="11">
        <v>45642</v>
      </c>
      <c r="G519" s="8"/>
    </row>
    <row r="520" spans="1:7" ht="18.75" customHeight="1" x14ac:dyDescent="0.2">
      <c r="A520" s="8" t="s">
        <v>1043</v>
      </c>
      <c r="B520" s="9">
        <v>43202</v>
      </c>
      <c r="C520" s="9">
        <v>5902557359493</v>
      </c>
      <c r="D520" s="10" t="s">
        <v>1044</v>
      </c>
      <c r="E520" s="9">
        <v>97</v>
      </c>
      <c r="F520" s="11">
        <v>45265</v>
      </c>
      <c r="G520" s="8"/>
    </row>
    <row r="521" spans="1:7" ht="18.75" customHeight="1" x14ac:dyDescent="0.2">
      <c r="A521" s="9" t="s">
        <v>1045</v>
      </c>
      <c r="B521" s="9">
        <v>53748</v>
      </c>
      <c r="C521" s="8">
        <v>5906366003646</v>
      </c>
      <c r="D521" s="10" t="s">
        <v>1046</v>
      </c>
      <c r="E521" s="9">
        <v>89</v>
      </c>
      <c r="F521" s="11">
        <v>45552</v>
      </c>
      <c r="G521" s="8"/>
    </row>
    <row r="522" spans="1:7" ht="18.75" customHeight="1" x14ac:dyDescent="0.2">
      <c r="A522" s="8" t="s">
        <v>1047</v>
      </c>
      <c r="B522" s="9">
        <v>53751</v>
      </c>
      <c r="C522" s="9">
        <v>5906366003653</v>
      </c>
      <c r="D522" s="10" t="s">
        <v>1048</v>
      </c>
      <c r="E522" s="9">
        <v>103</v>
      </c>
      <c r="F522" s="11">
        <v>45533</v>
      </c>
      <c r="G522" s="8"/>
    </row>
    <row r="523" spans="1:7" ht="18.75" customHeight="1" x14ac:dyDescent="0.2">
      <c r="A523" s="8" t="s">
        <v>1049</v>
      </c>
      <c r="B523" s="9">
        <v>42549</v>
      </c>
      <c r="C523" s="9">
        <v>5902557362745</v>
      </c>
      <c r="D523" s="10" t="s">
        <v>1050</v>
      </c>
      <c r="E523" s="9">
        <v>95</v>
      </c>
      <c r="F523" s="11">
        <v>45265</v>
      </c>
      <c r="G523" s="8"/>
    </row>
    <row r="524" spans="1:7" ht="18.75" customHeight="1" x14ac:dyDescent="0.2">
      <c r="A524" s="8" t="s">
        <v>1051</v>
      </c>
      <c r="B524" s="9">
        <v>42834</v>
      </c>
      <c r="C524" s="9">
        <v>5902557362752</v>
      </c>
      <c r="D524" s="10" t="s">
        <v>1052</v>
      </c>
      <c r="E524" s="9">
        <v>97</v>
      </c>
      <c r="F524" s="11">
        <v>45351</v>
      </c>
      <c r="G524" s="8"/>
    </row>
    <row r="525" spans="1:7" ht="18.75" customHeight="1" x14ac:dyDescent="0.2">
      <c r="A525" s="8" t="s">
        <v>1053</v>
      </c>
      <c r="B525" s="9">
        <v>52167</v>
      </c>
      <c r="C525" s="8">
        <v>5902557392049</v>
      </c>
      <c r="D525" s="10" t="s">
        <v>1054</v>
      </c>
      <c r="E525" s="9">
        <v>104</v>
      </c>
      <c r="F525" s="11">
        <v>45266</v>
      </c>
      <c r="G525" s="8"/>
    </row>
    <row r="526" spans="1:7" ht="18.75" customHeight="1" x14ac:dyDescent="0.2">
      <c r="A526" s="8" t="s">
        <v>1055</v>
      </c>
      <c r="B526" s="9">
        <v>48838</v>
      </c>
      <c r="C526" s="9">
        <v>5902557376421</v>
      </c>
      <c r="D526" s="10" t="s">
        <v>1056</v>
      </c>
      <c r="E526" s="9">
        <v>97</v>
      </c>
      <c r="F526" s="11">
        <v>45265</v>
      </c>
      <c r="G526" s="8"/>
    </row>
    <row r="527" spans="1:7" ht="18.75" customHeight="1" x14ac:dyDescent="0.2">
      <c r="A527" s="8" t="s">
        <v>1057</v>
      </c>
      <c r="B527" s="9">
        <v>44634</v>
      </c>
      <c r="C527" s="9">
        <v>5902557368761</v>
      </c>
      <c r="D527" s="10" t="s">
        <v>1058</v>
      </c>
      <c r="E527" s="9">
        <v>85</v>
      </c>
      <c r="F527" s="11">
        <v>45343</v>
      </c>
      <c r="G527" s="8"/>
    </row>
    <row r="528" spans="1:7" ht="18.75" customHeight="1" x14ac:dyDescent="0.2">
      <c r="A528" s="8" t="s">
        <v>1059</v>
      </c>
      <c r="B528" s="9">
        <v>44640</v>
      </c>
      <c r="C528" s="9">
        <v>5902557368723</v>
      </c>
      <c r="D528" s="10" t="s">
        <v>1060</v>
      </c>
      <c r="E528" s="9">
        <v>76</v>
      </c>
      <c r="F528" s="11">
        <v>45343</v>
      </c>
      <c r="G528" s="8"/>
    </row>
    <row r="529" spans="1:7" ht="18.75" customHeight="1" x14ac:dyDescent="0.2">
      <c r="A529" s="8" t="s">
        <v>1061</v>
      </c>
      <c r="B529" s="9">
        <v>44636</v>
      </c>
      <c r="C529" s="9">
        <v>5902557368808</v>
      </c>
      <c r="D529" s="10" t="s">
        <v>1062</v>
      </c>
      <c r="E529" s="9">
        <v>104</v>
      </c>
      <c r="F529" s="11">
        <v>45265</v>
      </c>
      <c r="G529" s="8"/>
    </row>
    <row r="530" spans="1:7" ht="18.75" customHeight="1" x14ac:dyDescent="0.2">
      <c r="A530" s="8" t="s">
        <v>1063</v>
      </c>
      <c r="B530" s="9">
        <v>44648</v>
      </c>
      <c r="C530" s="9">
        <v>5902557368938</v>
      </c>
      <c r="D530" s="10" t="s">
        <v>1064</v>
      </c>
      <c r="E530" s="9">
        <v>103</v>
      </c>
      <c r="F530" s="11">
        <v>45478</v>
      </c>
      <c r="G530" s="8"/>
    </row>
    <row r="531" spans="1:7" ht="18.75" customHeight="1" x14ac:dyDescent="0.2">
      <c r="A531" s="8" t="s">
        <v>1065</v>
      </c>
      <c r="B531" s="9">
        <v>44649</v>
      </c>
      <c r="C531" s="9">
        <v>5902557368846</v>
      </c>
      <c r="D531" s="10" t="s">
        <v>1066</v>
      </c>
      <c r="E531" s="9">
        <v>80</v>
      </c>
      <c r="F531" s="11">
        <v>45478</v>
      </c>
      <c r="G531" s="8"/>
    </row>
    <row r="532" spans="1:7" ht="18.75" customHeight="1" x14ac:dyDescent="0.2">
      <c r="A532" s="8" t="s">
        <v>1067</v>
      </c>
      <c r="B532" s="9">
        <v>44630</v>
      </c>
      <c r="C532" s="9">
        <v>5902557368884</v>
      </c>
      <c r="D532" s="10" t="s">
        <v>1068</v>
      </c>
      <c r="E532" s="9">
        <v>108</v>
      </c>
      <c r="F532" s="11">
        <v>45687</v>
      </c>
      <c r="G532" s="8"/>
    </row>
    <row r="533" spans="1:7" ht="18.75" customHeight="1" x14ac:dyDescent="0.2">
      <c r="A533" s="8" t="s">
        <v>1069</v>
      </c>
      <c r="B533" s="9">
        <v>44642</v>
      </c>
      <c r="C533" s="9">
        <v>5902557369003</v>
      </c>
      <c r="D533" s="10" t="s">
        <v>1070</v>
      </c>
      <c r="E533" s="9">
        <v>106</v>
      </c>
      <c r="F533" s="11">
        <v>45343</v>
      </c>
      <c r="G533" s="8"/>
    </row>
    <row r="534" spans="1:7" ht="18.75" customHeight="1" x14ac:dyDescent="0.2">
      <c r="A534" s="8" t="s">
        <v>1071</v>
      </c>
      <c r="B534" s="9">
        <v>44643</v>
      </c>
      <c r="C534" s="9">
        <v>5902557368976</v>
      </c>
      <c r="D534" s="10" t="s">
        <v>1072</v>
      </c>
      <c r="E534" s="9">
        <v>104</v>
      </c>
      <c r="F534" s="11">
        <v>45343</v>
      </c>
      <c r="G534" s="8"/>
    </row>
    <row r="535" spans="1:7" ht="18.75" customHeight="1" x14ac:dyDescent="0.2">
      <c r="A535" s="8" t="s">
        <v>1073</v>
      </c>
      <c r="B535" s="9">
        <v>44664</v>
      </c>
      <c r="C535" s="9">
        <v>5902557369102</v>
      </c>
      <c r="D535" s="10" t="s">
        <v>1074</v>
      </c>
      <c r="E535" s="9">
        <v>92</v>
      </c>
      <c r="F535" s="11">
        <v>45343</v>
      </c>
      <c r="G535" s="8"/>
    </row>
    <row r="536" spans="1:7" ht="18.75" customHeight="1" x14ac:dyDescent="0.2">
      <c r="A536" s="8" t="s">
        <v>1075</v>
      </c>
      <c r="B536" s="9">
        <v>44912</v>
      </c>
      <c r="C536" s="9">
        <v>5902557373673</v>
      </c>
      <c r="D536" s="10" t="s">
        <v>1076</v>
      </c>
      <c r="E536" s="9">
        <v>92</v>
      </c>
      <c r="F536" s="11">
        <v>45343</v>
      </c>
      <c r="G536" s="8"/>
    </row>
    <row r="537" spans="1:7" ht="18.75" customHeight="1" x14ac:dyDescent="0.2">
      <c r="A537" s="8" t="s">
        <v>1077</v>
      </c>
      <c r="B537" s="9">
        <v>44656</v>
      </c>
      <c r="C537" s="9">
        <v>5902557369065</v>
      </c>
      <c r="D537" s="10" t="s">
        <v>1078</v>
      </c>
      <c r="E537" s="9">
        <v>113</v>
      </c>
      <c r="F537" s="11">
        <v>45343</v>
      </c>
      <c r="G537" s="8"/>
    </row>
    <row r="538" spans="1:7" ht="18.75" customHeight="1" x14ac:dyDescent="0.2">
      <c r="A538" s="8" t="s">
        <v>1079</v>
      </c>
      <c r="B538" s="9">
        <v>51096</v>
      </c>
      <c r="C538" s="9">
        <v>5902557393404</v>
      </c>
      <c r="D538" s="10" t="s">
        <v>1080</v>
      </c>
      <c r="E538" s="9">
        <v>117</v>
      </c>
      <c r="F538" s="11">
        <v>45687</v>
      </c>
      <c r="G538" s="8"/>
    </row>
    <row r="539" spans="1:7" ht="18.75" customHeight="1" x14ac:dyDescent="0.2">
      <c r="A539" s="8" t="s">
        <v>1081</v>
      </c>
      <c r="B539" s="9">
        <v>44652</v>
      </c>
      <c r="C539" s="9">
        <v>5902557369171</v>
      </c>
      <c r="D539" s="10" t="s">
        <v>1082</v>
      </c>
      <c r="E539" s="9">
        <v>92</v>
      </c>
      <c r="F539" s="11">
        <v>45265</v>
      </c>
      <c r="G539" s="8"/>
    </row>
    <row r="540" spans="1:7" ht="18.75" customHeight="1" x14ac:dyDescent="0.2">
      <c r="A540" s="8" t="s">
        <v>1083</v>
      </c>
      <c r="B540" s="9">
        <v>44661</v>
      </c>
      <c r="C540" s="9">
        <v>5902557369225</v>
      </c>
      <c r="D540" s="10" t="s">
        <v>1084</v>
      </c>
      <c r="E540" s="9">
        <v>111</v>
      </c>
      <c r="F540" s="11">
        <v>45343</v>
      </c>
      <c r="G540" s="8"/>
    </row>
    <row r="541" spans="1:7" ht="18.75" customHeight="1" x14ac:dyDescent="0.2">
      <c r="A541" s="8" t="s">
        <v>1085</v>
      </c>
      <c r="B541" s="9">
        <v>51095</v>
      </c>
      <c r="C541" s="9">
        <v>5902557393039</v>
      </c>
      <c r="D541" s="10" t="s">
        <v>1086</v>
      </c>
      <c r="E541" s="9">
        <v>69</v>
      </c>
      <c r="F541" s="11">
        <v>45265</v>
      </c>
      <c r="G541" s="8"/>
    </row>
    <row r="542" spans="1:7" ht="18.75" customHeight="1" x14ac:dyDescent="0.2">
      <c r="A542" s="8" t="s">
        <v>1087</v>
      </c>
      <c r="B542" s="9">
        <v>51104</v>
      </c>
      <c r="C542" s="9">
        <v>5902557393077</v>
      </c>
      <c r="D542" s="10" t="s">
        <v>1088</v>
      </c>
      <c r="E542" s="9">
        <v>89</v>
      </c>
      <c r="F542" s="11">
        <v>45478</v>
      </c>
      <c r="G542" s="8"/>
    </row>
    <row r="543" spans="1:7" ht="18.75" customHeight="1" x14ac:dyDescent="0.2">
      <c r="A543" s="8" t="s">
        <v>1089</v>
      </c>
      <c r="B543" s="9">
        <v>51113</v>
      </c>
      <c r="C543" s="9">
        <v>5902557393121</v>
      </c>
      <c r="D543" s="10" t="s">
        <v>1090</v>
      </c>
      <c r="E543" s="9">
        <v>99</v>
      </c>
      <c r="F543" s="11">
        <v>45644</v>
      </c>
      <c r="G543" s="8"/>
    </row>
    <row r="544" spans="1:7" ht="18.75" customHeight="1" x14ac:dyDescent="0.2">
      <c r="A544" s="8" t="s">
        <v>1091</v>
      </c>
      <c r="B544" s="9">
        <v>44631</v>
      </c>
      <c r="C544" s="9">
        <v>5902557369294</v>
      </c>
      <c r="D544" s="10" t="s">
        <v>1092</v>
      </c>
      <c r="E544" s="9">
        <v>92</v>
      </c>
      <c r="F544" s="11">
        <v>45265</v>
      </c>
      <c r="G544" s="8"/>
    </row>
    <row r="545" spans="1:7" ht="18.75" customHeight="1" x14ac:dyDescent="0.2">
      <c r="A545" s="8" t="s">
        <v>1093</v>
      </c>
      <c r="B545" s="9">
        <v>52624</v>
      </c>
      <c r="C545" s="9">
        <v>5902557397310</v>
      </c>
      <c r="D545" s="10" t="s">
        <v>1094</v>
      </c>
      <c r="E545" s="9">
        <v>116</v>
      </c>
      <c r="F545" s="11">
        <v>45343</v>
      </c>
      <c r="G545" s="8"/>
    </row>
    <row r="546" spans="1:7" ht="18.75" customHeight="1" x14ac:dyDescent="0.2">
      <c r="A546" s="8" t="s">
        <v>1095</v>
      </c>
      <c r="B546" s="9">
        <v>51102</v>
      </c>
      <c r="C546" s="9">
        <v>5902557393145</v>
      </c>
      <c r="D546" s="10" t="s">
        <v>1096</v>
      </c>
      <c r="E546" s="9">
        <v>90</v>
      </c>
      <c r="F546" s="11">
        <v>45265</v>
      </c>
      <c r="G546" s="8"/>
    </row>
    <row r="547" spans="1:7" ht="18.75" customHeight="1" x14ac:dyDescent="0.2">
      <c r="A547" s="8" t="s">
        <v>1097</v>
      </c>
      <c r="B547" s="9">
        <v>51110</v>
      </c>
      <c r="C547" s="9">
        <v>5902557393152</v>
      </c>
      <c r="D547" s="10" t="s">
        <v>1098</v>
      </c>
      <c r="E547" s="9">
        <v>106</v>
      </c>
      <c r="F547" s="11">
        <v>45265</v>
      </c>
      <c r="G547" s="8"/>
    </row>
    <row r="548" spans="1:7" ht="18.75" customHeight="1" x14ac:dyDescent="0.2">
      <c r="A548" s="8" t="s">
        <v>1099</v>
      </c>
      <c r="B548" s="9">
        <v>45063</v>
      </c>
      <c r="C548" s="9">
        <v>5902557369621</v>
      </c>
      <c r="D548" s="10" t="s">
        <v>1100</v>
      </c>
      <c r="E548" s="9">
        <v>97</v>
      </c>
      <c r="F548" s="11">
        <v>45357</v>
      </c>
      <c r="G548" s="8"/>
    </row>
    <row r="549" spans="1:7" ht="18.75" customHeight="1" x14ac:dyDescent="0.2">
      <c r="A549" s="8" t="s">
        <v>1101</v>
      </c>
      <c r="B549" s="9">
        <v>45061</v>
      </c>
      <c r="C549" s="9">
        <v>5902557369638</v>
      </c>
      <c r="D549" s="10" t="s">
        <v>1102</v>
      </c>
      <c r="E549" s="9">
        <v>113</v>
      </c>
      <c r="F549" s="11">
        <v>45265</v>
      </c>
      <c r="G549" s="8"/>
    </row>
    <row r="550" spans="1:7" ht="18.75" customHeight="1" x14ac:dyDescent="0.2">
      <c r="A550" s="8" t="s">
        <v>1103</v>
      </c>
      <c r="B550" s="9">
        <v>45064</v>
      </c>
      <c r="C550" s="9">
        <v>5902557369645</v>
      </c>
      <c r="D550" s="10" t="s">
        <v>1104</v>
      </c>
      <c r="E550" s="9">
        <v>127</v>
      </c>
      <c r="F550" s="11">
        <v>45357</v>
      </c>
      <c r="G550" s="8"/>
    </row>
    <row r="551" spans="1:7" ht="18.75" customHeight="1" x14ac:dyDescent="0.2">
      <c r="A551" s="8" t="s">
        <v>1105</v>
      </c>
      <c r="B551" s="9">
        <v>51079</v>
      </c>
      <c r="C551" s="9">
        <v>5902557394197</v>
      </c>
      <c r="D551" s="10" t="s">
        <v>1106</v>
      </c>
      <c r="E551" s="9">
        <v>259</v>
      </c>
      <c r="F551" s="11">
        <v>45478</v>
      </c>
      <c r="G551" s="8"/>
    </row>
    <row r="552" spans="1:7" ht="18.75" customHeight="1" x14ac:dyDescent="0.2">
      <c r="A552" s="8" t="s">
        <v>1107</v>
      </c>
      <c r="B552" s="9">
        <v>52212</v>
      </c>
      <c r="C552" s="8">
        <v>5902557392186</v>
      </c>
      <c r="D552" s="10" t="s">
        <v>1108</v>
      </c>
      <c r="E552" s="9">
        <v>207</v>
      </c>
      <c r="F552" s="12">
        <v>45266</v>
      </c>
      <c r="G552" s="8"/>
    </row>
    <row r="553" spans="1:7" ht="18.75" customHeight="1" x14ac:dyDescent="0.2">
      <c r="A553" s="8" t="s">
        <v>1109</v>
      </c>
      <c r="B553" s="9">
        <v>52172</v>
      </c>
      <c r="C553" s="8">
        <v>5902557392193</v>
      </c>
      <c r="D553" s="10" t="s">
        <v>1110</v>
      </c>
      <c r="E553" s="9">
        <v>221</v>
      </c>
      <c r="F553" s="12">
        <v>45266</v>
      </c>
      <c r="G553" s="8"/>
    </row>
    <row r="554" spans="1:7" ht="18.75" customHeight="1" x14ac:dyDescent="0.2">
      <c r="A554" s="8" t="s">
        <v>1111</v>
      </c>
      <c r="B554" s="9">
        <v>52181</v>
      </c>
      <c r="C554" s="8">
        <v>5902557392209</v>
      </c>
      <c r="D554" s="10" t="s">
        <v>1112</v>
      </c>
      <c r="E554" s="9">
        <v>273</v>
      </c>
      <c r="F554" s="11">
        <v>45562</v>
      </c>
      <c r="G554" s="8"/>
    </row>
    <row r="555" spans="1:7" ht="18.75" customHeight="1" x14ac:dyDescent="0.2">
      <c r="A555" s="8" t="s">
        <v>1113</v>
      </c>
      <c r="B555" s="9">
        <v>42508</v>
      </c>
      <c r="C555" s="9">
        <v>5902557363988</v>
      </c>
      <c r="D555" s="10" t="s">
        <v>1114</v>
      </c>
      <c r="E555" s="9">
        <v>348</v>
      </c>
      <c r="F555" s="11">
        <v>45265</v>
      </c>
      <c r="G555" s="8"/>
    </row>
    <row r="556" spans="1:7" ht="18.75" customHeight="1" x14ac:dyDescent="0.2">
      <c r="A556" s="8" t="s">
        <v>1115</v>
      </c>
      <c r="B556" s="9">
        <v>45066</v>
      </c>
      <c r="C556" s="9">
        <v>5902557374960</v>
      </c>
      <c r="D556" s="10" t="s">
        <v>1116</v>
      </c>
      <c r="E556" s="9">
        <v>431</v>
      </c>
      <c r="F556" s="11">
        <v>45265</v>
      </c>
      <c r="G556" s="8"/>
    </row>
    <row r="557" spans="1:7" ht="18.75" customHeight="1" x14ac:dyDescent="0.2">
      <c r="A557" s="8" t="s">
        <v>1117</v>
      </c>
      <c r="B557" s="9">
        <v>49447</v>
      </c>
      <c r="C557" s="9">
        <v>5902557377909</v>
      </c>
      <c r="D557" s="10" t="s">
        <v>1118</v>
      </c>
      <c r="E557" s="9">
        <v>355</v>
      </c>
      <c r="F557" s="11">
        <v>45372</v>
      </c>
      <c r="G557" s="8"/>
    </row>
    <row r="558" spans="1:7" ht="18.75" customHeight="1" x14ac:dyDescent="0.2">
      <c r="A558" s="8" t="s">
        <v>1119</v>
      </c>
      <c r="B558" s="9">
        <v>52201</v>
      </c>
      <c r="C558" s="8">
        <v>5902557392124</v>
      </c>
      <c r="D558" s="10" t="s">
        <v>1120</v>
      </c>
      <c r="E558" s="9">
        <v>230</v>
      </c>
      <c r="F558" s="11">
        <v>45266</v>
      </c>
      <c r="G558" s="8"/>
    </row>
    <row r="559" spans="1:7" ht="18.75" customHeight="1" x14ac:dyDescent="0.2">
      <c r="A559" s="8" t="s">
        <v>1121</v>
      </c>
      <c r="B559" s="9">
        <v>52161</v>
      </c>
      <c r="C559" s="8">
        <v>5902557392131</v>
      </c>
      <c r="D559" s="10" t="s">
        <v>1122</v>
      </c>
      <c r="E559" s="9">
        <v>226</v>
      </c>
      <c r="F559" s="11">
        <v>45562</v>
      </c>
      <c r="G559" s="8"/>
    </row>
    <row r="560" spans="1:7" ht="18.75" customHeight="1" x14ac:dyDescent="0.2">
      <c r="A560" s="8" t="s">
        <v>1123</v>
      </c>
      <c r="B560" s="9">
        <v>52162</v>
      </c>
      <c r="C560" s="8">
        <v>5902557392148</v>
      </c>
      <c r="D560" s="10" t="s">
        <v>1124</v>
      </c>
      <c r="E560" s="9">
        <v>276</v>
      </c>
      <c r="F560" s="12">
        <v>45266</v>
      </c>
      <c r="G560" s="8"/>
    </row>
    <row r="561" spans="1:7" ht="18.75" customHeight="1" x14ac:dyDescent="0.2">
      <c r="A561" s="8" t="s">
        <v>1125</v>
      </c>
      <c r="B561" s="9">
        <v>1786</v>
      </c>
      <c r="C561" s="9">
        <v>5902557314744</v>
      </c>
      <c r="D561" s="10" t="s">
        <v>1126</v>
      </c>
      <c r="E561" s="9">
        <v>267</v>
      </c>
      <c r="F561" s="11">
        <v>45265</v>
      </c>
      <c r="G561" s="8"/>
    </row>
    <row r="562" spans="1:7" ht="18.75" customHeight="1" x14ac:dyDescent="0.2">
      <c r="A562" s="8" t="s">
        <v>1127</v>
      </c>
      <c r="B562" s="9">
        <v>17396</v>
      </c>
      <c r="C562" s="9">
        <v>5902557331512</v>
      </c>
      <c r="D562" s="10" t="s">
        <v>1128</v>
      </c>
      <c r="E562" s="9">
        <v>259</v>
      </c>
      <c r="F562" s="11">
        <v>45538</v>
      </c>
      <c r="G562" s="8"/>
    </row>
    <row r="563" spans="1:7" ht="18.75" customHeight="1" x14ac:dyDescent="0.2">
      <c r="A563" s="8" t="s">
        <v>1129</v>
      </c>
      <c r="B563" s="9">
        <v>29268</v>
      </c>
      <c r="C563" s="9">
        <v>5902557338948</v>
      </c>
      <c r="D563" s="10" t="s">
        <v>1130</v>
      </c>
      <c r="E563" s="9">
        <v>259</v>
      </c>
      <c r="F563" s="11">
        <v>45729</v>
      </c>
      <c r="G563" s="8"/>
    </row>
    <row r="564" spans="1:7" ht="18.75" customHeight="1" x14ac:dyDescent="0.2">
      <c r="A564" s="8" t="s">
        <v>1131</v>
      </c>
      <c r="B564" s="9">
        <v>52164</v>
      </c>
      <c r="C564" s="8">
        <v>5902557392155</v>
      </c>
      <c r="D564" s="10" t="s">
        <v>1132</v>
      </c>
      <c r="E564" s="9">
        <v>202</v>
      </c>
      <c r="F564" s="11">
        <v>45562</v>
      </c>
      <c r="G564" s="8"/>
    </row>
    <row r="565" spans="1:7" ht="18.75" customHeight="1" x14ac:dyDescent="0.2">
      <c r="A565" s="8" t="s">
        <v>1133</v>
      </c>
      <c r="B565" s="9">
        <v>52113</v>
      </c>
      <c r="C565" s="8">
        <v>5902557392162</v>
      </c>
      <c r="D565" s="10" t="s">
        <v>1134</v>
      </c>
      <c r="E565" s="9">
        <v>198</v>
      </c>
      <c r="F565" s="12">
        <v>45266</v>
      </c>
      <c r="G565" s="8"/>
    </row>
    <row r="566" spans="1:7" ht="18.75" customHeight="1" x14ac:dyDescent="0.2">
      <c r="A566" s="9" t="s">
        <v>1135</v>
      </c>
      <c r="B566" s="9">
        <v>53892</v>
      </c>
      <c r="C566" s="8">
        <v>5906366002809</v>
      </c>
      <c r="D566" s="10" t="s">
        <v>1136</v>
      </c>
      <c r="E566" s="9">
        <v>235</v>
      </c>
      <c r="F566" s="11">
        <v>45562</v>
      </c>
      <c r="G566" s="8"/>
    </row>
    <row r="567" spans="1:7" ht="18.75" customHeight="1" x14ac:dyDescent="0.2">
      <c r="A567" s="8" t="s">
        <v>1137</v>
      </c>
      <c r="B567" s="9">
        <v>52163</v>
      </c>
      <c r="C567" s="8">
        <v>5902557392179</v>
      </c>
      <c r="D567" s="10" t="s">
        <v>1138</v>
      </c>
      <c r="E567" s="9">
        <v>235</v>
      </c>
      <c r="F567" s="11">
        <v>45562</v>
      </c>
      <c r="G567" s="8"/>
    </row>
    <row r="568" spans="1:7" ht="18.75" customHeight="1" x14ac:dyDescent="0.2">
      <c r="A568" s="8" t="s">
        <v>1139</v>
      </c>
      <c r="B568" s="9">
        <v>51076</v>
      </c>
      <c r="C568" s="9">
        <v>5902557394210</v>
      </c>
      <c r="D568" s="10" t="s">
        <v>1140</v>
      </c>
      <c r="E568" s="9">
        <v>201</v>
      </c>
      <c r="F568" s="11">
        <v>45265</v>
      </c>
      <c r="G568" s="8"/>
    </row>
    <row r="569" spans="1:7" ht="18.75" customHeight="1" x14ac:dyDescent="0.2">
      <c r="A569" s="8" t="s">
        <v>1141</v>
      </c>
      <c r="B569" s="9">
        <v>51075</v>
      </c>
      <c r="C569" s="9">
        <v>5902557394203</v>
      </c>
      <c r="D569" s="10" t="s">
        <v>1142</v>
      </c>
      <c r="E569" s="9">
        <v>194</v>
      </c>
      <c r="F569" s="11">
        <v>45265</v>
      </c>
      <c r="G569" s="8"/>
    </row>
    <row r="570" spans="1:7" ht="18.75" customHeight="1" x14ac:dyDescent="0.2">
      <c r="A570" s="8" t="s">
        <v>1143</v>
      </c>
      <c r="B570" s="9">
        <v>18990</v>
      </c>
      <c r="C570" s="9">
        <v>5902557331864</v>
      </c>
      <c r="D570" s="10" t="s">
        <v>1144</v>
      </c>
      <c r="E570" s="9">
        <v>263</v>
      </c>
      <c r="F570" s="11">
        <v>45265</v>
      </c>
      <c r="G570" s="8"/>
    </row>
    <row r="571" spans="1:7" ht="18.75" customHeight="1" x14ac:dyDescent="0.2">
      <c r="A571" s="8" t="s">
        <v>1145</v>
      </c>
      <c r="B571" s="9">
        <v>51174</v>
      </c>
      <c r="C571" s="9">
        <v>5902557391318</v>
      </c>
      <c r="D571" s="10" t="s">
        <v>1146</v>
      </c>
      <c r="E571" s="9">
        <v>235</v>
      </c>
      <c r="F571" s="11">
        <v>45387</v>
      </c>
      <c r="G571" s="8"/>
    </row>
    <row r="572" spans="1:7" ht="18.75" customHeight="1" x14ac:dyDescent="0.2">
      <c r="A572" s="8" t="s">
        <v>1147</v>
      </c>
      <c r="B572" s="9">
        <v>51369</v>
      </c>
      <c r="C572" s="9">
        <v>5902557391325</v>
      </c>
      <c r="D572" s="10" t="s">
        <v>1148</v>
      </c>
      <c r="E572" s="9">
        <v>242</v>
      </c>
      <c r="F572" s="11">
        <v>45341</v>
      </c>
      <c r="G572" s="8"/>
    </row>
    <row r="573" spans="1:7" ht="18.75" customHeight="1" x14ac:dyDescent="0.2">
      <c r="A573" s="8" t="s">
        <v>1149</v>
      </c>
      <c r="B573" s="9">
        <v>51367</v>
      </c>
      <c r="C573" s="9">
        <v>5902557391332</v>
      </c>
      <c r="D573" s="10" t="s">
        <v>1150</v>
      </c>
      <c r="E573" s="9">
        <v>263</v>
      </c>
      <c r="F573" s="11">
        <v>45387</v>
      </c>
      <c r="G573" s="8"/>
    </row>
    <row r="574" spans="1:7" ht="18.75" customHeight="1" x14ac:dyDescent="0.2">
      <c r="A574" s="8" t="s">
        <v>1151</v>
      </c>
      <c r="B574" s="9">
        <v>51366</v>
      </c>
      <c r="C574" s="9">
        <v>5902557391349</v>
      </c>
      <c r="D574" s="10" t="s">
        <v>1152</v>
      </c>
      <c r="E574" s="9">
        <v>275</v>
      </c>
      <c r="F574" s="11">
        <v>45645</v>
      </c>
      <c r="G574" s="8"/>
    </row>
    <row r="575" spans="1:7" ht="18.75" customHeight="1" x14ac:dyDescent="0.2">
      <c r="A575" s="8" t="s">
        <v>1153</v>
      </c>
      <c r="B575" s="9">
        <v>51180</v>
      </c>
      <c r="C575" s="9">
        <v>5902557391356</v>
      </c>
      <c r="D575" s="10" t="s">
        <v>1154</v>
      </c>
      <c r="E575" s="9">
        <v>231</v>
      </c>
      <c r="F575" s="11">
        <v>45265</v>
      </c>
      <c r="G575" s="8"/>
    </row>
    <row r="576" spans="1:7" ht="18.75" customHeight="1" x14ac:dyDescent="0.2">
      <c r="A576" s="8" t="s">
        <v>1155</v>
      </c>
      <c r="B576" s="9">
        <v>51176</v>
      </c>
      <c r="C576" s="9">
        <v>5902557391363</v>
      </c>
      <c r="D576" s="10" t="s">
        <v>1156</v>
      </c>
      <c r="E576" s="9">
        <v>242</v>
      </c>
      <c r="F576" s="11">
        <v>45387</v>
      </c>
      <c r="G576" s="8"/>
    </row>
    <row r="577" spans="1:7" ht="18.75" customHeight="1" x14ac:dyDescent="0.2">
      <c r="A577" s="8" t="s">
        <v>1157</v>
      </c>
      <c r="B577" s="9">
        <v>51365</v>
      </c>
      <c r="C577" s="9">
        <v>5902557391370</v>
      </c>
      <c r="D577" s="10" t="s">
        <v>1158</v>
      </c>
      <c r="E577" s="9">
        <v>252</v>
      </c>
      <c r="F577" s="11">
        <v>45341</v>
      </c>
      <c r="G577" s="8"/>
    </row>
    <row r="578" spans="1:7" ht="18.75" customHeight="1" x14ac:dyDescent="0.2">
      <c r="A578" s="8" t="s">
        <v>1159</v>
      </c>
      <c r="B578" s="9">
        <v>51364</v>
      </c>
      <c r="C578" s="9">
        <v>5902557391387</v>
      </c>
      <c r="D578" s="10" t="s">
        <v>1160</v>
      </c>
      <c r="E578" s="9">
        <v>270</v>
      </c>
      <c r="F578" s="11">
        <v>45387</v>
      </c>
      <c r="G578" s="8"/>
    </row>
    <row r="579" spans="1:7" ht="18.75" customHeight="1" x14ac:dyDescent="0.2">
      <c r="A579" s="8" t="s">
        <v>1161</v>
      </c>
      <c r="B579" s="9">
        <v>54094</v>
      </c>
      <c r="C579" s="8">
        <v>5906366008726</v>
      </c>
      <c r="D579" s="10" t="s">
        <v>1162</v>
      </c>
      <c r="E579" s="9">
        <v>176</v>
      </c>
      <c r="F579" s="11">
        <v>45618</v>
      </c>
      <c r="G579" s="8"/>
    </row>
    <row r="580" spans="1:7" ht="18.75" customHeight="1" x14ac:dyDescent="0.2">
      <c r="A580" s="8" t="s">
        <v>1163</v>
      </c>
      <c r="B580" s="9">
        <v>17822</v>
      </c>
      <c r="C580" s="9">
        <v>5902557331659</v>
      </c>
      <c r="D580" s="10" t="s">
        <v>1164</v>
      </c>
      <c r="E580" s="9">
        <v>134</v>
      </c>
      <c r="F580" s="11">
        <v>45337</v>
      </c>
      <c r="G580" s="8"/>
    </row>
    <row r="581" spans="1:7" ht="18.75" customHeight="1" x14ac:dyDescent="0.2">
      <c r="A581" s="8" t="s">
        <v>1165</v>
      </c>
      <c r="B581" s="9">
        <v>7484</v>
      </c>
      <c r="C581" s="9">
        <v>5902557302208</v>
      </c>
      <c r="D581" s="10" t="s">
        <v>1166</v>
      </c>
      <c r="E581" s="9">
        <v>119</v>
      </c>
      <c r="F581" s="11">
        <v>45602</v>
      </c>
      <c r="G581" s="8"/>
    </row>
    <row r="582" spans="1:7" ht="18.75" customHeight="1" x14ac:dyDescent="0.2">
      <c r="A582" s="8" t="s">
        <v>1167</v>
      </c>
      <c r="B582" s="9">
        <v>43277</v>
      </c>
      <c r="C582" s="9">
        <v>5902557366804</v>
      </c>
      <c r="D582" s="10" t="s">
        <v>1168</v>
      </c>
      <c r="E582" s="9">
        <v>117</v>
      </c>
      <c r="F582" s="11">
        <v>45581</v>
      </c>
      <c r="G582" s="8"/>
    </row>
    <row r="583" spans="1:7" ht="18.75" customHeight="1" x14ac:dyDescent="0.2">
      <c r="A583" s="8" t="s">
        <v>1169</v>
      </c>
      <c r="B583" s="9">
        <v>52179</v>
      </c>
      <c r="C583" s="9">
        <v>5902557396719</v>
      </c>
      <c r="D583" s="10" t="s">
        <v>1170</v>
      </c>
      <c r="E583" s="9">
        <v>129</v>
      </c>
      <c r="F583" s="11">
        <v>45341</v>
      </c>
      <c r="G583" s="8"/>
    </row>
    <row r="584" spans="1:7" ht="18.75" customHeight="1" x14ac:dyDescent="0.2">
      <c r="A584" s="8" t="s">
        <v>1171</v>
      </c>
      <c r="B584" s="9">
        <v>52180</v>
      </c>
      <c r="C584" s="9">
        <v>5902557395996</v>
      </c>
      <c r="D584" s="10" t="s">
        <v>1172</v>
      </c>
      <c r="E584" s="9">
        <v>132</v>
      </c>
      <c r="F584" s="11">
        <v>45581</v>
      </c>
      <c r="G584" s="8"/>
    </row>
    <row r="585" spans="1:7" ht="18.75" customHeight="1" x14ac:dyDescent="0.2">
      <c r="A585" s="8" t="s">
        <v>1173</v>
      </c>
      <c r="B585" s="9">
        <v>24376</v>
      </c>
      <c r="C585" s="9">
        <v>5902557335978</v>
      </c>
      <c r="D585" s="10" t="s">
        <v>1174</v>
      </c>
      <c r="E585" s="9">
        <v>123</v>
      </c>
      <c r="F585" s="11">
        <v>45265</v>
      </c>
      <c r="G585" s="8"/>
    </row>
    <row r="586" spans="1:7" ht="18.75" customHeight="1" x14ac:dyDescent="0.2">
      <c r="A586" s="8" t="s">
        <v>1175</v>
      </c>
      <c r="B586" s="9"/>
      <c r="C586" s="9">
        <v>5902557342068</v>
      </c>
      <c r="D586" s="10" t="s">
        <v>1176</v>
      </c>
      <c r="E586" s="9">
        <v>97</v>
      </c>
      <c r="F586" s="11">
        <v>45265</v>
      </c>
      <c r="G586" s="8"/>
    </row>
    <row r="587" spans="1:7" ht="18.75" customHeight="1" x14ac:dyDescent="0.2">
      <c r="A587" s="8" t="s">
        <v>1177</v>
      </c>
      <c r="B587" s="9">
        <v>53652</v>
      </c>
      <c r="C587" s="9">
        <v>5906366003578</v>
      </c>
      <c r="D587" s="10" t="s">
        <v>1178</v>
      </c>
      <c r="E587" s="9">
        <v>105</v>
      </c>
      <c r="F587" s="11">
        <v>45467</v>
      </c>
      <c r="G587" s="8"/>
    </row>
    <row r="588" spans="1:7" ht="18.75" customHeight="1" x14ac:dyDescent="0.2">
      <c r="A588" s="8" t="s">
        <v>1179</v>
      </c>
      <c r="B588" s="9">
        <v>46486</v>
      </c>
      <c r="C588" s="9">
        <v>5902557375462</v>
      </c>
      <c r="D588" s="10" t="s">
        <v>1180</v>
      </c>
      <c r="E588" s="9">
        <v>122</v>
      </c>
      <c r="F588" s="11">
        <v>45729</v>
      </c>
      <c r="G588" s="8"/>
    </row>
    <row r="589" spans="1:7" ht="18.75" customHeight="1" x14ac:dyDescent="0.2">
      <c r="A589" s="8" t="s">
        <v>1181</v>
      </c>
      <c r="B589" s="9">
        <v>41939</v>
      </c>
      <c r="C589" s="9">
        <v>5902557356935</v>
      </c>
      <c r="D589" s="10" t="s">
        <v>1182</v>
      </c>
      <c r="E589" s="9">
        <v>146</v>
      </c>
      <c r="F589" s="11">
        <v>45265</v>
      </c>
      <c r="G589" s="8"/>
    </row>
    <row r="590" spans="1:7" ht="18.75" customHeight="1" x14ac:dyDescent="0.2">
      <c r="A590" s="8" t="s">
        <v>1183</v>
      </c>
      <c r="B590" s="9"/>
      <c r="C590" s="9">
        <v>5902557349715</v>
      </c>
      <c r="D590" s="10" t="s">
        <v>1184</v>
      </c>
      <c r="E590" s="9">
        <v>43</v>
      </c>
      <c r="F590" s="11">
        <v>45265</v>
      </c>
      <c r="G590" s="8"/>
    </row>
    <row r="591" spans="1:7" ht="18.75" customHeight="1" x14ac:dyDescent="0.2">
      <c r="A591" s="8" t="s">
        <v>1185</v>
      </c>
      <c r="B591" s="9">
        <v>12602</v>
      </c>
      <c r="C591" s="9">
        <v>5902557330355</v>
      </c>
      <c r="D591" s="10" t="s">
        <v>1186</v>
      </c>
      <c r="E591" s="9">
        <v>124</v>
      </c>
      <c r="F591" s="11">
        <v>45265</v>
      </c>
      <c r="G591" s="8"/>
    </row>
    <row r="592" spans="1:7" ht="18.75" customHeight="1" x14ac:dyDescent="0.2">
      <c r="A592" s="8" t="s">
        <v>1187</v>
      </c>
      <c r="B592" s="9">
        <v>44412</v>
      </c>
      <c r="C592" s="9">
        <v>5902557366736</v>
      </c>
      <c r="D592" s="10" t="s">
        <v>1188</v>
      </c>
      <c r="E592" s="9">
        <v>188</v>
      </c>
      <c r="F592" s="11">
        <v>45265</v>
      </c>
      <c r="G592" s="8"/>
    </row>
    <row r="593" spans="1:7" ht="18.75" customHeight="1" x14ac:dyDescent="0.2">
      <c r="A593" s="8" t="s">
        <v>1189</v>
      </c>
      <c r="B593" s="9">
        <v>26769</v>
      </c>
      <c r="C593" s="9">
        <v>5902557334995</v>
      </c>
      <c r="D593" s="10" t="s">
        <v>1190</v>
      </c>
      <c r="E593" s="9">
        <v>200</v>
      </c>
      <c r="F593" s="11">
        <v>45352</v>
      </c>
      <c r="G593" s="8"/>
    </row>
    <row r="594" spans="1:7" ht="18.75" customHeight="1" x14ac:dyDescent="0.2">
      <c r="A594" s="8" t="s">
        <v>1191</v>
      </c>
      <c r="B594" s="9">
        <v>44829</v>
      </c>
      <c r="C594" s="9">
        <v>5902557370085</v>
      </c>
      <c r="D594" s="10" t="s">
        <v>1192</v>
      </c>
      <c r="E594" s="9">
        <v>232</v>
      </c>
      <c r="F594" s="11">
        <v>45406</v>
      </c>
      <c r="G594" s="8"/>
    </row>
    <row r="595" spans="1:7" ht="18.75" customHeight="1" x14ac:dyDescent="0.2">
      <c r="A595" s="8" t="s">
        <v>1193</v>
      </c>
      <c r="B595" s="9">
        <v>46281</v>
      </c>
      <c r="C595" s="9">
        <v>5902557375271</v>
      </c>
      <c r="D595" s="10" t="s">
        <v>1194</v>
      </c>
      <c r="E595" s="9">
        <v>167</v>
      </c>
      <c r="F595" s="11">
        <v>45467</v>
      </c>
      <c r="G595" s="8"/>
    </row>
    <row r="596" spans="1:7" ht="18.75" customHeight="1" x14ac:dyDescent="0.2">
      <c r="A596" s="8" t="s">
        <v>1195</v>
      </c>
      <c r="B596" s="9">
        <v>41920</v>
      </c>
      <c r="C596" s="9">
        <v>5902557356195</v>
      </c>
      <c r="D596" s="10" t="s">
        <v>1196</v>
      </c>
      <c r="E596" s="9">
        <v>123</v>
      </c>
      <c r="F596" s="11">
        <v>45265</v>
      </c>
      <c r="G596" s="8"/>
    </row>
    <row r="597" spans="1:7" ht="18.75" customHeight="1" x14ac:dyDescent="0.2">
      <c r="A597" s="8" t="s">
        <v>1197</v>
      </c>
      <c r="B597" s="9">
        <v>49819</v>
      </c>
      <c r="C597" s="9">
        <v>5902557383092</v>
      </c>
      <c r="D597" s="10" t="s">
        <v>1198</v>
      </c>
      <c r="E597" s="9">
        <v>125</v>
      </c>
      <c r="F597" s="11">
        <v>45265</v>
      </c>
      <c r="G597" s="8"/>
    </row>
    <row r="598" spans="1:7" ht="18.75" customHeight="1" x14ac:dyDescent="0.2">
      <c r="A598" s="8" t="s">
        <v>1199</v>
      </c>
      <c r="B598" s="9">
        <v>26230</v>
      </c>
      <c r="C598" s="9">
        <v>5902557334285</v>
      </c>
      <c r="D598" s="10" t="s">
        <v>1200</v>
      </c>
      <c r="E598" s="9">
        <v>90</v>
      </c>
      <c r="F598" s="11">
        <v>45265</v>
      </c>
      <c r="G598" s="8"/>
    </row>
    <row r="599" spans="1:7" ht="18.75" customHeight="1" x14ac:dyDescent="0.2">
      <c r="A599" s="8" t="s">
        <v>1201</v>
      </c>
      <c r="B599" s="9">
        <v>16933</v>
      </c>
      <c r="C599" s="9">
        <v>5902557330522</v>
      </c>
      <c r="D599" s="10" t="s">
        <v>1202</v>
      </c>
      <c r="E599" s="9">
        <v>82</v>
      </c>
      <c r="F599" s="11">
        <v>45265</v>
      </c>
      <c r="G599" s="8"/>
    </row>
    <row r="600" spans="1:7" ht="18.75" customHeight="1" x14ac:dyDescent="0.2">
      <c r="A600" s="8" t="s">
        <v>1203</v>
      </c>
      <c r="B600" s="9">
        <v>50933</v>
      </c>
      <c r="C600" s="9">
        <v>5902557387656</v>
      </c>
      <c r="D600" s="10" t="s">
        <v>1204</v>
      </c>
      <c r="E600" s="9">
        <v>173</v>
      </c>
      <c r="F600" s="11">
        <v>45265</v>
      </c>
      <c r="G600" s="8"/>
    </row>
    <row r="601" spans="1:7" ht="18.75" customHeight="1" x14ac:dyDescent="0.2">
      <c r="A601" s="8" t="s">
        <v>1205</v>
      </c>
      <c r="B601" s="9">
        <v>50934</v>
      </c>
      <c r="C601" s="9">
        <v>5902557387663</v>
      </c>
      <c r="D601" s="10" t="s">
        <v>1206</v>
      </c>
      <c r="E601" s="9">
        <v>196</v>
      </c>
      <c r="F601" s="11">
        <v>45265</v>
      </c>
      <c r="G601" s="8"/>
    </row>
    <row r="602" spans="1:7" ht="18.75" customHeight="1" x14ac:dyDescent="0.2">
      <c r="A602" s="8" t="s">
        <v>1207</v>
      </c>
      <c r="B602" s="9">
        <v>50935</v>
      </c>
      <c r="C602" s="9">
        <v>5902557387670</v>
      </c>
      <c r="D602" s="10" t="s">
        <v>1208</v>
      </c>
      <c r="E602" s="9">
        <v>219</v>
      </c>
      <c r="F602" s="11">
        <v>45265</v>
      </c>
      <c r="G602" s="8"/>
    </row>
    <row r="603" spans="1:7" ht="18.75" customHeight="1" x14ac:dyDescent="0.2">
      <c r="A603" s="8" t="s">
        <v>1209</v>
      </c>
      <c r="B603" s="9">
        <v>50913</v>
      </c>
      <c r="C603" s="9">
        <v>5902557387687</v>
      </c>
      <c r="D603" s="10" t="s">
        <v>1210</v>
      </c>
      <c r="E603" s="9">
        <v>176</v>
      </c>
      <c r="F603" s="11">
        <v>45404</v>
      </c>
      <c r="G603" s="8"/>
    </row>
    <row r="604" spans="1:7" ht="18.75" customHeight="1" x14ac:dyDescent="0.2">
      <c r="A604" s="8" t="s">
        <v>1211</v>
      </c>
      <c r="B604" s="9">
        <v>53444</v>
      </c>
      <c r="C604" s="9">
        <v>5906366005565</v>
      </c>
      <c r="D604" s="10" t="s">
        <v>1212</v>
      </c>
      <c r="E604" s="9">
        <v>213</v>
      </c>
      <c r="F604" s="11">
        <v>45432</v>
      </c>
      <c r="G604" s="8"/>
    </row>
    <row r="605" spans="1:7" ht="18.75" customHeight="1" x14ac:dyDescent="0.2">
      <c r="A605" s="8" t="s">
        <v>1213</v>
      </c>
      <c r="B605" s="9">
        <v>53442</v>
      </c>
      <c r="C605" s="9">
        <v>5906366005596</v>
      </c>
      <c r="D605" s="10" t="s">
        <v>1214</v>
      </c>
      <c r="E605" s="9">
        <v>195</v>
      </c>
      <c r="F605" s="11">
        <v>45432</v>
      </c>
      <c r="G605" s="8"/>
    </row>
    <row r="606" spans="1:7" ht="18.75" customHeight="1" x14ac:dyDescent="0.2">
      <c r="A606" s="8" t="s">
        <v>1215</v>
      </c>
      <c r="B606" s="9">
        <v>53443</v>
      </c>
      <c r="C606" s="9">
        <v>5906366005572</v>
      </c>
      <c r="D606" s="10" t="s">
        <v>1216</v>
      </c>
      <c r="E606" s="9">
        <v>249</v>
      </c>
      <c r="F606" s="11">
        <v>45432</v>
      </c>
      <c r="G606" s="8"/>
    </row>
    <row r="607" spans="1:7" ht="18.75" customHeight="1" x14ac:dyDescent="0.2">
      <c r="A607" s="8" t="s">
        <v>1217</v>
      </c>
      <c r="B607" s="9">
        <v>53441</v>
      </c>
      <c r="C607" s="9">
        <v>5906366005589</v>
      </c>
      <c r="D607" s="10" t="s">
        <v>1218</v>
      </c>
      <c r="E607" s="9">
        <v>188</v>
      </c>
      <c r="F607" s="11">
        <v>45432</v>
      </c>
      <c r="G607" s="8"/>
    </row>
    <row r="608" spans="1:7" ht="18.75" customHeight="1" x14ac:dyDescent="0.2">
      <c r="A608" s="8" t="s">
        <v>1219</v>
      </c>
      <c r="B608" s="9">
        <v>53028</v>
      </c>
      <c r="C608" s="9">
        <v>5906366004025</v>
      </c>
      <c r="D608" s="10" t="s">
        <v>1220</v>
      </c>
      <c r="E608" s="9">
        <v>179</v>
      </c>
      <c r="F608" s="11">
        <v>45432</v>
      </c>
      <c r="G608" s="8"/>
    </row>
    <row r="609" spans="1:7" ht="18.75" customHeight="1" x14ac:dyDescent="0.2">
      <c r="A609" s="8" t="s">
        <v>1221</v>
      </c>
      <c r="B609" s="9">
        <v>50914</v>
      </c>
      <c r="C609" s="9">
        <v>5902557387649</v>
      </c>
      <c r="D609" s="10" t="s">
        <v>1222</v>
      </c>
      <c r="E609" s="9">
        <v>173</v>
      </c>
      <c r="F609" s="11">
        <v>45265</v>
      </c>
      <c r="G609" s="8"/>
    </row>
    <row r="610" spans="1:7" ht="18.75" customHeight="1" x14ac:dyDescent="0.2">
      <c r="A610" s="8" t="s">
        <v>1223</v>
      </c>
      <c r="B610" s="9">
        <v>50919</v>
      </c>
      <c r="C610" s="9">
        <v>5902557387632</v>
      </c>
      <c r="D610" s="10" t="s">
        <v>1224</v>
      </c>
      <c r="E610" s="9">
        <v>196</v>
      </c>
      <c r="F610" s="11">
        <v>45265</v>
      </c>
      <c r="G610" s="8"/>
    </row>
    <row r="611" spans="1:7" ht="18.75" customHeight="1" x14ac:dyDescent="0.2">
      <c r="A611" s="8" t="s">
        <v>1225</v>
      </c>
      <c r="B611" s="9">
        <v>50921</v>
      </c>
      <c r="C611" s="9">
        <v>5902557387625</v>
      </c>
      <c r="D611" s="10" t="s">
        <v>1226</v>
      </c>
      <c r="E611" s="9">
        <v>219</v>
      </c>
      <c r="F611" s="11">
        <v>45265</v>
      </c>
      <c r="G611" s="8"/>
    </row>
    <row r="612" spans="1:7" ht="18.75" customHeight="1" x14ac:dyDescent="0.2">
      <c r="A612" s="8" t="s">
        <v>1227</v>
      </c>
      <c r="B612" s="9">
        <v>50923</v>
      </c>
      <c r="C612" s="9">
        <v>5902557387595</v>
      </c>
      <c r="D612" s="10" t="s">
        <v>1228</v>
      </c>
      <c r="E612" s="9">
        <v>161</v>
      </c>
      <c r="F612" s="11">
        <v>45265</v>
      </c>
      <c r="G612" s="8"/>
    </row>
    <row r="613" spans="1:7" ht="18.75" customHeight="1" x14ac:dyDescent="0.2">
      <c r="A613" s="8" t="s">
        <v>1229</v>
      </c>
      <c r="B613" s="9">
        <v>50925</v>
      </c>
      <c r="C613" s="9">
        <v>5902557387601</v>
      </c>
      <c r="D613" s="10" t="s">
        <v>1230</v>
      </c>
      <c r="E613" s="9">
        <v>184</v>
      </c>
      <c r="F613" s="11">
        <v>45265</v>
      </c>
      <c r="G613" s="8"/>
    </row>
    <row r="614" spans="1:7" ht="18.75" customHeight="1" x14ac:dyDescent="0.2">
      <c r="A614" s="8" t="s">
        <v>1231</v>
      </c>
      <c r="B614" s="9">
        <v>50927</v>
      </c>
      <c r="C614" s="9">
        <v>5902557387618</v>
      </c>
      <c r="D614" s="10" t="s">
        <v>1232</v>
      </c>
      <c r="E614" s="9">
        <v>207</v>
      </c>
      <c r="F614" s="11">
        <v>45265</v>
      </c>
      <c r="G614" s="8"/>
    </row>
    <row r="615" spans="1:7" ht="18.75" customHeight="1" x14ac:dyDescent="0.2">
      <c r="A615" s="8" t="s">
        <v>1233</v>
      </c>
      <c r="B615" s="9">
        <v>50930</v>
      </c>
      <c r="C615" s="9">
        <v>5902557387724</v>
      </c>
      <c r="D615" s="10" t="s">
        <v>1234</v>
      </c>
      <c r="E615" s="9">
        <v>167</v>
      </c>
      <c r="F615" s="11">
        <v>45404</v>
      </c>
      <c r="G615" s="8"/>
    </row>
    <row r="616" spans="1:7" ht="18.75" customHeight="1" x14ac:dyDescent="0.2">
      <c r="A616" s="8" t="s">
        <v>1235</v>
      </c>
      <c r="B616" s="9">
        <v>50931</v>
      </c>
      <c r="C616" s="9">
        <v>5902557387717</v>
      </c>
      <c r="D616" s="10" t="s">
        <v>1236</v>
      </c>
      <c r="E616" s="9">
        <v>184</v>
      </c>
      <c r="F616" s="11">
        <v>45265</v>
      </c>
      <c r="G616" s="8"/>
    </row>
    <row r="617" spans="1:7" ht="18.75" customHeight="1" x14ac:dyDescent="0.2">
      <c r="A617" s="8" t="s">
        <v>1237</v>
      </c>
      <c r="B617" s="9">
        <v>50932</v>
      </c>
      <c r="C617" s="9">
        <v>5902557387700</v>
      </c>
      <c r="D617" s="10" t="s">
        <v>1238</v>
      </c>
      <c r="E617" s="9">
        <v>216</v>
      </c>
      <c r="F617" s="11">
        <v>45404</v>
      </c>
      <c r="G617" s="8"/>
    </row>
    <row r="618" spans="1:7" ht="18.75" customHeight="1" x14ac:dyDescent="0.2">
      <c r="A618" s="8" t="s">
        <v>1239</v>
      </c>
      <c r="B618" s="9">
        <v>50929</v>
      </c>
      <c r="C618" s="9">
        <v>5902557387694</v>
      </c>
      <c r="D618" s="10" t="s">
        <v>1240</v>
      </c>
      <c r="E618" s="9">
        <v>169</v>
      </c>
      <c r="F618" s="11">
        <v>45432</v>
      </c>
      <c r="G618" s="8"/>
    </row>
    <row r="619" spans="1:7" ht="18.75" customHeight="1" x14ac:dyDescent="0.2">
      <c r="A619" s="8" t="s">
        <v>1241</v>
      </c>
      <c r="B619" s="9">
        <v>7376</v>
      </c>
      <c r="C619" s="9">
        <v>5902557325078</v>
      </c>
      <c r="D619" s="10" t="s">
        <v>1242</v>
      </c>
      <c r="E619" s="9">
        <v>92</v>
      </c>
      <c r="F619" s="11">
        <v>45265</v>
      </c>
      <c r="G619" s="8"/>
    </row>
    <row r="620" spans="1:7" ht="18.75" customHeight="1" x14ac:dyDescent="0.2">
      <c r="A620" s="8" t="s">
        <v>1243</v>
      </c>
      <c r="B620" s="9">
        <v>7487</v>
      </c>
      <c r="C620" s="9">
        <v>5902557325085</v>
      </c>
      <c r="D620" s="10" t="s">
        <v>1244</v>
      </c>
      <c r="E620" s="9">
        <v>82</v>
      </c>
      <c r="F620" s="11">
        <v>45265</v>
      </c>
      <c r="G620" s="8"/>
    </row>
    <row r="621" spans="1:7" ht="18.75" customHeight="1" x14ac:dyDescent="0.2">
      <c r="A621" s="8" t="s">
        <v>1245</v>
      </c>
      <c r="B621" s="9">
        <v>7377</v>
      </c>
      <c r="C621" s="9">
        <v>5902557325061</v>
      </c>
      <c r="D621" s="10" t="s">
        <v>1246</v>
      </c>
      <c r="E621" s="9">
        <v>82</v>
      </c>
      <c r="F621" s="11">
        <v>45265</v>
      </c>
      <c r="G621" s="8"/>
    </row>
    <row r="622" spans="1:7" ht="18.75" customHeight="1" x14ac:dyDescent="0.2">
      <c r="A622" s="8" t="s">
        <v>1247</v>
      </c>
      <c r="B622" s="9">
        <v>7488</v>
      </c>
      <c r="C622" s="9">
        <v>5902557325092</v>
      </c>
      <c r="D622" s="10" t="s">
        <v>1248</v>
      </c>
      <c r="E622" s="9">
        <v>91</v>
      </c>
      <c r="F622" s="11">
        <v>45265</v>
      </c>
      <c r="G622" s="8"/>
    </row>
    <row r="623" spans="1:7" ht="18.75" customHeight="1" x14ac:dyDescent="0.2">
      <c r="A623" s="8" t="s">
        <v>1249</v>
      </c>
      <c r="B623" s="9">
        <v>7378</v>
      </c>
      <c r="C623" s="9">
        <v>5902557325054</v>
      </c>
      <c r="D623" s="10" t="s">
        <v>1250</v>
      </c>
      <c r="E623" s="9">
        <v>87</v>
      </c>
      <c r="F623" s="11">
        <v>45265</v>
      </c>
      <c r="G623" s="8"/>
    </row>
    <row r="624" spans="1:7" ht="18.75" customHeight="1" x14ac:dyDescent="0.2">
      <c r="A624" s="8" t="s">
        <v>1251</v>
      </c>
      <c r="B624" s="9">
        <v>17800</v>
      </c>
      <c r="C624" s="9">
        <v>5902557324958</v>
      </c>
      <c r="D624" s="10" t="s">
        <v>1252</v>
      </c>
      <c r="E624" s="9">
        <v>86</v>
      </c>
      <c r="F624" s="11">
        <v>45265</v>
      </c>
      <c r="G624" s="8"/>
    </row>
    <row r="625" spans="1:7" ht="18.75" customHeight="1" x14ac:dyDescent="0.2">
      <c r="A625" s="8" t="s">
        <v>1253</v>
      </c>
      <c r="B625" s="9">
        <v>17809</v>
      </c>
      <c r="C625" s="9">
        <v>5902557324965</v>
      </c>
      <c r="D625" s="10" t="s">
        <v>1254</v>
      </c>
      <c r="E625" s="9">
        <v>89</v>
      </c>
      <c r="F625" s="11">
        <v>45265</v>
      </c>
      <c r="G625" s="8"/>
    </row>
    <row r="626" spans="1:7" ht="18.75" customHeight="1" x14ac:dyDescent="0.2">
      <c r="A626" s="8" t="s">
        <v>1255</v>
      </c>
      <c r="B626" s="9">
        <v>7369</v>
      </c>
      <c r="C626" s="9">
        <v>5902557324989</v>
      </c>
      <c r="D626" s="10" t="s">
        <v>1256</v>
      </c>
      <c r="E626" s="9">
        <v>78</v>
      </c>
      <c r="F626" s="11">
        <v>45265</v>
      </c>
      <c r="G626" s="8"/>
    </row>
    <row r="627" spans="1:7" ht="18.75" customHeight="1" x14ac:dyDescent="0.2">
      <c r="A627" s="8" t="s">
        <v>1257</v>
      </c>
      <c r="B627" s="9">
        <v>17791</v>
      </c>
      <c r="C627" s="9">
        <v>5902557324972</v>
      </c>
      <c r="D627" s="10" t="s">
        <v>1258</v>
      </c>
      <c r="E627" s="9">
        <v>86</v>
      </c>
      <c r="F627" s="11">
        <v>45265</v>
      </c>
      <c r="G627" s="8"/>
    </row>
    <row r="628" spans="1:7" ht="18.75" customHeight="1" x14ac:dyDescent="0.2">
      <c r="A628" s="8" t="s">
        <v>1259</v>
      </c>
      <c r="B628" s="9">
        <v>42238</v>
      </c>
      <c r="C628" s="9">
        <v>5902557360192</v>
      </c>
      <c r="D628" s="10" t="s">
        <v>1260</v>
      </c>
      <c r="E628" s="9">
        <v>153</v>
      </c>
      <c r="F628" s="11">
        <v>45376</v>
      </c>
      <c r="G628" s="8"/>
    </row>
    <row r="629" spans="1:7" ht="18.75" customHeight="1" x14ac:dyDescent="0.2">
      <c r="A629" s="8" t="s">
        <v>1261</v>
      </c>
      <c r="B629" s="9">
        <v>42237</v>
      </c>
      <c r="C629" s="9">
        <v>5902557360215</v>
      </c>
      <c r="D629" s="10" t="s">
        <v>1262</v>
      </c>
      <c r="E629" s="9">
        <v>139</v>
      </c>
      <c r="F629" s="11">
        <v>45376</v>
      </c>
      <c r="G629" s="8"/>
    </row>
    <row r="630" spans="1:7" ht="18.75" customHeight="1" x14ac:dyDescent="0.2">
      <c r="A630" s="8" t="s">
        <v>1263</v>
      </c>
      <c r="B630" s="9">
        <v>42236</v>
      </c>
      <c r="C630" s="9">
        <v>5902557360208</v>
      </c>
      <c r="D630" s="10" t="s">
        <v>1264</v>
      </c>
      <c r="E630" s="9">
        <v>148</v>
      </c>
      <c r="F630" s="11">
        <v>45506</v>
      </c>
      <c r="G630" s="8"/>
    </row>
    <row r="631" spans="1:7" ht="18.75" customHeight="1" x14ac:dyDescent="0.2">
      <c r="A631" s="8" t="s">
        <v>1265</v>
      </c>
      <c r="B631" s="9">
        <v>42777</v>
      </c>
      <c r="C631" s="9">
        <v>5902557363575</v>
      </c>
      <c r="D631" s="10" t="s">
        <v>1266</v>
      </c>
      <c r="E631" s="9">
        <v>206</v>
      </c>
      <c r="F631" s="11">
        <v>45265</v>
      </c>
      <c r="G631" s="8"/>
    </row>
    <row r="632" spans="1:7" ht="18.75" customHeight="1" x14ac:dyDescent="0.2">
      <c r="A632" s="8" t="s">
        <v>1267</v>
      </c>
      <c r="B632" s="9">
        <v>42778</v>
      </c>
      <c r="C632" s="9">
        <v>5902557363582</v>
      </c>
      <c r="D632" s="10" t="s">
        <v>1268</v>
      </c>
      <c r="E632" s="9">
        <v>283</v>
      </c>
      <c r="F632" s="11">
        <v>45265</v>
      </c>
      <c r="G632" s="8"/>
    </row>
    <row r="633" spans="1:7" ht="18.75" customHeight="1" x14ac:dyDescent="0.2">
      <c r="A633" s="8" t="s">
        <v>1269</v>
      </c>
      <c r="B633" s="9">
        <v>42779</v>
      </c>
      <c r="C633" s="9">
        <v>5902557363599</v>
      </c>
      <c r="D633" s="10" t="s">
        <v>1270</v>
      </c>
      <c r="E633" s="9">
        <v>222</v>
      </c>
      <c r="F633" s="11">
        <v>45265</v>
      </c>
      <c r="G633" s="8"/>
    </row>
    <row r="634" spans="1:7" ht="18.75" customHeight="1" x14ac:dyDescent="0.2">
      <c r="A634" s="8" t="s">
        <v>1271</v>
      </c>
      <c r="B634" s="9">
        <v>42774</v>
      </c>
      <c r="C634" s="9">
        <v>5902557363544</v>
      </c>
      <c r="D634" s="10" t="s">
        <v>1272</v>
      </c>
      <c r="E634" s="9">
        <v>203</v>
      </c>
      <c r="F634" s="11">
        <v>45265</v>
      </c>
      <c r="G634" s="8"/>
    </row>
    <row r="635" spans="1:7" ht="18.75" customHeight="1" x14ac:dyDescent="0.2">
      <c r="A635" s="8" t="s">
        <v>1273</v>
      </c>
      <c r="B635" s="9">
        <v>42775</v>
      </c>
      <c r="C635" s="9">
        <v>5902557363551</v>
      </c>
      <c r="D635" s="10" t="s">
        <v>1274</v>
      </c>
      <c r="E635" s="9">
        <v>277</v>
      </c>
      <c r="F635" s="11">
        <v>45265</v>
      </c>
      <c r="G635" s="8"/>
    </row>
    <row r="636" spans="1:7" ht="18.75" customHeight="1" x14ac:dyDescent="0.2">
      <c r="A636" s="8" t="s">
        <v>1275</v>
      </c>
      <c r="B636" s="9">
        <v>42776</v>
      </c>
      <c r="C636" s="9">
        <v>5902557363568</v>
      </c>
      <c r="D636" s="10" t="s">
        <v>1276</v>
      </c>
      <c r="E636" s="9">
        <v>202</v>
      </c>
      <c r="F636" s="11">
        <v>45265</v>
      </c>
      <c r="G636" s="8"/>
    </row>
    <row r="637" spans="1:7" ht="18.75" customHeight="1" x14ac:dyDescent="0.2">
      <c r="A637" s="8" t="s">
        <v>1277</v>
      </c>
      <c r="B637" s="9">
        <v>49659</v>
      </c>
      <c r="C637" s="9">
        <v>5902557380480</v>
      </c>
      <c r="D637" s="10" t="s">
        <v>1278</v>
      </c>
      <c r="E637" s="9">
        <v>99</v>
      </c>
      <c r="F637" s="11">
        <v>45553</v>
      </c>
      <c r="G637" s="8"/>
    </row>
    <row r="638" spans="1:7" ht="18.75" customHeight="1" x14ac:dyDescent="0.2">
      <c r="A638" s="8" t="s">
        <v>1279</v>
      </c>
      <c r="B638" s="9">
        <v>49660</v>
      </c>
      <c r="C638" s="9">
        <v>5902557384624</v>
      </c>
      <c r="D638" s="10" t="s">
        <v>1280</v>
      </c>
      <c r="E638" s="9">
        <v>92</v>
      </c>
      <c r="F638" s="11">
        <v>45265</v>
      </c>
      <c r="G638" s="8"/>
    </row>
    <row r="639" spans="1:7" ht="18.75" customHeight="1" x14ac:dyDescent="0.2">
      <c r="A639" s="8" t="s">
        <v>1281</v>
      </c>
      <c r="B639" s="9">
        <v>49662</v>
      </c>
      <c r="C639" s="9">
        <v>5902557380466</v>
      </c>
      <c r="D639" s="10" t="s">
        <v>1282</v>
      </c>
      <c r="E639" s="9">
        <v>85</v>
      </c>
      <c r="F639" s="11">
        <v>45265</v>
      </c>
      <c r="G639" s="8"/>
    </row>
    <row r="640" spans="1:7" ht="18.75" customHeight="1" x14ac:dyDescent="0.2">
      <c r="A640" s="8" t="s">
        <v>1283</v>
      </c>
      <c r="B640" s="9">
        <v>49663</v>
      </c>
      <c r="C640" s="9">
        <v>5902557380473</v>
      </c>
      <c r="D640" s="10" t="s">
        <v>1284</v>
      </c>
      <c r="E640" s="9">
        <v>90</v>
      </c>
      <c r="F640" s="11">
        <v>45265</v>
      </c>
      <c r="G640" s="8"/>
    </row>
    <row r="641" spans="1:7" ht="18.75" customHeight="1" x14ac:dyDescent="0.2">
      <c r="A641" s="8" t="s">
        <v>1285</v>
      </c>
      <c r="B641" s="9">
        <v>50916</v>
      </c>
      <c r="C641" s="9">
        <v>5902557387809</v>
      </c>
      <c r="D641" s="10" t="s">
        <v>1286</v>
      </c>
      <c r="E641" s="9">
        <v>153</v>
      </c>
      <c r="F641" s="11">
        <v>45432</v>
      </c>
      <c r="G641" s="8"/>
    </row>
    <row r="642" spans="1:7" ht="18.75" customHeight="1" x14ac:dyDescent="0.2">
      <c r="A642" s="8" t="s">
        <v>1287</v>
      </c>
      <c r="B642" s="9">
        <v>50917</v>
      </c>
      <c r="C642" s="9">
        <v>5902557387793</v>
      </c>
      <c r="D642" s="10" t="s">
        <v>1288</v>
      </c>
      <c r="E642" s="9">
        <v>171</v>
      </c>
      <c r="F642" s="11">
        <v>45265</v>
      </c>
      <c r="G642" s="8"/>
    </row>
    <row r="643" spans="1:7" ht="18.75" customHeight="1" x14ac:dyDescent="0.2">
      <c r="A643" s="8" t="s">
        <v>1289</v>
      </c>
      <c r="B643" s="9">
        <v>50918</v>
      </c>
      <c r="C643" s="9">
        <v>5902557387786</v>
      </c>
      <c r="D643" s="10" t="s">
        <v>1290</v>
      </c>
      <c r="E643" s="9">
        <v>176</v>
      </c>
      <c r="F643" s="11">
        <v>45404</v>
      </c>
      <c r="G643" s="8"/>
    </row>
    <row r="644" spans="1:7" ht="18.75" customHeight="1" x14ac:dyDescent="0.2">
      <c r="A644" s="8" t="s">
        <v>1291</v>
      </c>
      <c r="B644" s="9">
        <v>50915</v>
      </c>
      <c r="C644" s="9">
        <v>5902557387779</v>
      </c>
      <c r="D644" s="10" t="s">
        <v>1292</v>
      </c>
      <c r="E644" s="9">
        <v>153</v>
      </c>
      <c r="F644" s="11">
        <v>45432</v>
      </c>
      <c r="G644" s="8"/>
    </row>
    <row r="645" spans="1:7" ht="18.75" customHeight="1" x14ac:dyDescent="0.2">
      <c r="A645" s="8" t="s">
        <v>1293</v>
      </c>
      <c r="B645" s="9">
        <v>53439</v>
      </c>
      <c r="C645" s="9">
        <v>5906366005503</v>
      </c>
      <c r="D645" s="10" t="s">
        <v>1294</v>
      </c>
      <c r="E645" s="9">
        <v>146</v>
      </c>
      <c r="F645" s="11">
        <v>45432</v>
      </c>
      <c r="G645" s="8"/>
    </row>
    <row r="646" spans="1:7" ht="18.75" customHeight="1" x14ac:dyDescent="0.2">
      <c r="A646" s="8" t="s">
        <v>1295</v>
      </c>
      <c r="B646" s="9">
        <v>53438</v>
      </c>
      <c r="C646" s="9">
        <v>5906366005534</v>
      </c>
      <c r="D646" s="10" t="s">
        <v>1296</v>
      </c>
      <c r="E646" s="9">
        <v>193</v>
      </c>
      <c r="F646" s="11">
        <v>45432</v>
      </c>
      <c r="G646" s="8"/>
    </row>
    <row r="647" spans="1:7" ht="18.75" customHeight="1" x14ac:dyDescent="0.2">
      <c r="A647" s="8" t="s">
        <v>1297</v>
      </c>
      <c r="B647" s="9">
        <v>53437</v>
      </c>
      <c r="C647" s="9">
        <v>5906366005510</v>
      </c>
      <c r="D647" s="10" t="s">
        <v>1298</v>
      </c>
      <c r="E647" s="9">
        <v>146</v>
      </c>
      <c r="F647" s="11">
        <v>45432</v>
      </c>
      <c r="G647" s="8"/>
    </row>
    <row r="648" spans="1:7" ht="18.75" customHeight="1" x14ac:dyDescent="0.2">
      <c r="A648" s="8" t="s">
        <v>1299</v>
      </c>
      <c r="B648" s="9">
        <v>53436</v>
      </c>
      <c r="C648" s="9">
        <v>5906366005541</v>
      </c>
      <c r="D648" s="10" t="s">
        <v>1300</v>
      </c>
      <c r="E648" s="9">
        <v>141</v>
      </c>
      <c r="F648" s="11">
        <v>45432</v>
      </c>
      <c r="G648" s="8"/>
    </row>
    <row r="649" spans="1:7" ht="18.75" customHeight="1" x14ac:dyDescent="0.2">
      <c r="A649" s="8" t="s">
        <v>1301</v>
      </c>
      <c r="B649" s="9">
        <v>53435</v>
      </c>
      <c r="C649" s="9">
        <v>5906366005527</v>
      </c>
      <c r="D649" s="10" t="s">
        <v>1302</v>
      </c>
      <c r="E649" s="9">
        <v>188</v>
      </c>
      <c r="F649" s="11">
        <v>45432</v>
      </c>
      <c r="G649" s="8"/>
    </row>
    <row r="650" spans="1:7" ht="18.75" customHeight="1" x14ac:dyDescent="0.2">
      <c r="A650" s="8" t="s">
        <v>1303</v>
      </c>
      <c r="B650" s="9">
        <v>53434</v>
      </c>
      <c r="C650" s="9">
        <v>5906366005558</v>
      </c>
      <c r="D650" s="10" t="s">
        <v>1304</v>
      </c>
      <c r="E650" s="9">
        <v>141</v>
      </c>
      <c r="F650" s="11">
        <v>45432</v>
      </c>
      <c r="G650" s="8"/>
    </row>
    <row r="651" spans="1:7" ht="18.75" customHeight="1" x14ac:dyDescent="0.2">
      <c r="A651" s="8" t="s">
        <v>1305</v>
      </c>
      <c r="B651" s="9">
        <v>53029</v>
      </c>
      <c r="C651" s="9">
        <v>5906366004032</v>
      </c>
      <c r="D651" s="10" t="s">
        <v>1306</v>
      </c>
      <c r="E651" s="9">
        <v>153</v>
      </c>
      <c r="F651" s="11">
        <v>45404</v>
      </c>
      <c r="G651" s="8"/>
    </row>
    <row r="652" spans="1:7" ht="18.75" customHeight="1" x14ac:dyDescent="0.2">
      <c r="A652" s="8" t="s">
        <v>1307</v>
      </c>
      <c r="B652" s="9">
        <v>53031</v>
      </c>
      <c r="C652" s="9">
        <v>5906366004056</v>
      </c>
      <c r="D652" s="10" t="s">
        <v>1308</v>
      </c>
      <c r="E652" s="9">
        <v>176</v>
      </c>
      <c r="F652" s="11">
        <v>45404</v>
      </c>
      <c r="G652" s="8"/>
    </row>
    <row r="653" spans="1:7" ht="18.75" customHeight="1" x14ac:dyDescent="0.2">
      <c r="A653" s="8" t="s">
        <v>1309</v>
      </c>
      <c r="B653" s="9">
        <v>53030</v>
      </c>
      <c r="C653" s="9">
        <v>5906366004049</v>
      </c>
      <c r="D653" s="10" t="s">
        <v>1310</v>
      </c>
      <c r="E653" s="9">
        <v>153</v>
      </c>
      <c r="F653" s="11">
        <v>45404</v>
      </c>
      <c r="G653" s="8"/>
    </row>
    <row r="654" spans="1:7" ht="18.75" customHeight="1" x14ac:dyDescent="0.2">
      <c r="A654" s="8" t="s">
        <v>1311</v>
      </c>
      <c r="B654" s="9">
        <v>50924</v>
      </c>
      <c r="C654" s="9">
        <v>5902557387731</v>
      </c>
      <c r="D654" s="10" t="s">
        <v>1312</v>
      </c>
      <c r="E654" s="9">
        <v>146</v>
      </c>
      <c r="F654" s="11">
        <v>45432</v>
      </c>
      <c r="G654" s="8"/>
    </row>
    <row r="655" spans="1:7" ht="18.75" customHeight="1" x14ac:dyDescent="0.2">
      <c r="A655" s="8" t="s">
        <v>1313</v>
      </c>
      <c r="B655" s="9">
        <v>50926</v>
      </c>
      <c r="C655" s="9">
        <v>5902557387748</v>
      </c>
      <c r="D655" s="10" t="s">
        <v>1314</v>
      </c>
      <c r="E655" s="9">
        <v>161</v>
      </c>
      <c r="F655" s="11">
        <v>45265</v>
      </c>
      <c r="G655" s="8"/>
    </row>
    <row r="656" spans="1:7" ht="18.75" customHeight="1" x14ac:dyDescent="0.2">
      <c r="A656" s="8" t="s">
        <v>1315</v>
      </c>
      <c r="B656" s="9">
        <v>50928</v>
      </c>
      <c r="C656" s="9">
        <v>5902557387755</v>
      </c>
      <c r="D656" s="10" t="s">
        <v>1316</v>
      </c>
      <c r="E656" s="9">
        <v>167</v>
      </c>
      <c r="F656" s="11">
        <v>45404</v>
      </c>
      <c r="G656" s="8"/>
    </row>
    <row r="657" spans="1:7" ht="18.75" customHeight="1" x14ac:dyDescent="0.2">
      <c r="A657" s="8" t="s">
        <v>1317</v>
      </c>
      <c r="B657" s="9">
        <v>50922</v>
      </c>
      <c r="C657" s="9">
        <v>5902557387762</v>
      </c>
      <c r="D657" s="10" t="s">
        <v>1318</v>
      </c>
      <c r="E657" s="9">
        <v>146</v>
      </c>
      <c r="F657" s="11">
        <v>45432</v>
      </c>
      <c r="G657" s="8"/>
    </row>
    <row r="658" spans="1:7" ht="18.75" customHeight="1" x14ac:dyDescent="0.2">
      <c r="A658" s="8" t="s">
        <v>1319</v>
      </c>
      <c r="B658" s="9">
        <v>7403</v>
      </c>
      <c r="C658" s="9">
        <v>5902557325115</v>
      </c>
      <c r="D658" s="10" t="s">
        <v>1320</v>
      </c>
      <c r="E658" s="9">
        <v>85</v>
      </c>
      <c r="F658" s="11">
        <v>45265</v>
      </c>
      <c r="G658" s="8"/>
    </row>
    <row r="659" spans="1:7" ht="18.75" customHeight="1" x14ac:dyDescent="0.2">
      <c r="A659" s="8" t="s">
        <v>1321</v>
      </c>
      <c r="B659" s="9"/>
      <c r="C659" s="9">
        <v>5902557325108</v>
      </c>
      <c r="D659" s="10" t="s">
        <v>1322</v>
      </c>
      <c r="E659" s="9">
        <v>89</v>
      </c>
      <c r="F659" s="11">
        <v>45265</v>
      </c>
      <c r="G659" s="8"/>
    </row>
    <row r="660" spans="1:7" ht="18.75" customHeight="1" x14ac:dyDescent="0.2">
      <c r="A660" s="8" t="s">
        <v>1323</v>
      </c>
      <c r="B660" s="9">
        <v>7362</v>
      </c>
      <c r="C660" s="9">
        <v>5902557325047</v>
      </c>
      <c r="D660" s="10" t="s">
        <v>1324</v>
      </c>
      <c r="E660" s="9">
        <v>89</v>
      </c>
      <c r="F660" s="11">
        <v>45265</v>
      </c>
      <c r="G660" s="8"/>
    </row>
    <row r="661" spans="1:7" ht="18.75" customHeight="1" x14ac:dyDescent="0.2">
      <c r="A661" s="8" t="s">
        <v>1325</v>
      </c>
      <c r="B661" s="9">
        <v>7363</v>
      </c>
      <c r="C661" s="9">
        <v>5902557325030</v>
      </c>
      <c r="D661" s="10" t="s">
        <v>1326</v>
      </c>
      <c r="E661" s="9">
        <v>89</v>
      </c>
      <c r="F661" s="11">
        <v>45265</v>
      </c>
      <c r="G661" s="8"/>
    </row>
    <row r="662" spans="1:7" ht="18.75" customHeight="1" x14ac:dyDescent="0.2">
      <c r="A662" s="8" t="s">
        <v>1327</v>
      </c>
      <c r="B662" s="9">
        <v>24192</v>
      </c>
      <c r="C662" s="9">
        <v>5902557333189</v>
      </c>
      <c r="D662" s="10" t="s">
        <v>1328</v>
      </c>
      <c r="E662" s="9">
        <v>99</v>
      </c>
      <c r="F662" s="11">
        <v>45265</v>
      </c>
      <c r="G662" s="8"/>
    </row>
    <row r="663" spans="1:7" ht="18.75" customHeight="1" x14ac:dyDescent="0.2">
      <c r="A663" s="8" t="s">
        <v>1329</v>
      </c>
      <c r="B663" s="9">
        <v>24193</v>
      </c>
      <c r="C663" s="9">
        <v>5902557333196</v>
      </c>
      <c r="D663" s="10" t="s">
        <v>1330</v>
      </c>
      <c r="E663" s="9">
        <v>99</v>
      </c>
      <c r="F663" s="11">
        <v>45265</v>
      </c>
      <c r="G663" s="8"/>
    </row>
    <row r="664" spans="1:7" ht="18.75" customHeight="1" x14ac:dyDescent="0.2">
      <c r="A664" s="8" t="s">
        <v>1331</v>
      </c>
      <c r="B664" s="9">
        <v>24188</v>
      </c>
      <c r="C664" s="9">
        <v>5902557333219</v>
      </c>
      <c r="D664" s="10" t="s">
        <v>1332</v>
      </c>
      <c r="E664" s="9">
        <v>111</v>
      </c>
      <c r="F664" s="11">
        <v>45265</v>
      </c>
      <c r="G664" s="8"/>
    </row>
    <row r="665" spans="1:7" ht="18.75" customHeight="1" x14ac:dyDescent="0.2">
      <c r="A665" s="8" t="s">
        <v>1333</v>
      </c>
      <c r="B665" s="9">
        <v>40066</v>
      </c>
      <c r="C665" s="9">
        <v>5902557355389</v>
      </c>
      <c r="D665" s="10" t="s">
        <v>1334</v>
      </c>
      <c r="E665" s="9">
        <v>179</v>
      </c>
      <c r="F665" s="11">
        <v>45265</v>
      </c>
      <c r="G665" s="8"/>
    </row>
    <row r="666" spans="1:7" ht="18.75" customHeight="1" x14ac:dyDescent="0.2">
      <c r="A666" s="8" t="s">
        <v>1335</v>
      </c>
      <c r="B666" s="9">
        <v>40065</v>
      </c>
      <c r="C666" s="9">
        <v>5902557355396</v>
      </c>
      <c r="D666" s="10" t="s">
        <v>1336</v>
      </c>
      <c r="E666" s="9">
        <v>220</v>
      </c>
      <c r="F666" s="11">
        <v>45265</v>
      </c>
      <c r="G666" s="8"/>
    </row>
    <row r="667" spans="1:7" ht="18.75" customHeight="1" x14ac:dyDescent="0.2">
      <c r="A667" s="8" t="s">
        <v>1337</v>
      </c>
      <c r="B667" s="9">
        <v>40064</v>
      </c>
      <c r="C667" s="9">
        <v>5902557355402</v>
      </c>
      <c r="D667" s="10" t="s">
        <v>1338</v>
      </c>
      <c r="E667" s="9">
        <v>247</v>
      </c>
      <c r="F667" s="11">
        <v>45265</v>
      </c>
      <c r="G667" s="8"/>
    </row>
    <row r="668" spans="1:7" ht="18.75" customHeight="1" x14ac:dyDescent="0.2">
      <c r="A668" s="8" t="s">
        <v>1339</v>
      </c>
      <c r="B668" s="9">
        <v>40063</v>
      </c>
      <c r="C668" s="9">
        <v>5902557355419</v>
      </c>
      <c r="D668" s="10" t="s">
        <v>1340</v>
      </c>
      <c r="E668" s="9">
        <v>204</v>
      </c>
      <c r="F668" s="11">
        <v>45265</v>
      </c>
      <c r="G668" s="8"/>
    </row>
    <row r="669" spans="1:7" ht="18.75" customHeight="1" x14ac:dyDescent="0.2">
      <c r="A669" s="8" t="s">
        <v>1341</v>
      </c>
      <c r="B669" s="9">
        <v>40067</v>
      </c>
      <c r="C669" s="9">
        <v>5902557355433</v>
      </c>
      <c r="D669" s="10" t="s">
        <v>1342</v>
      </c>
      <c r="E669" s="9">
        <v>179</v>
      </c>
      <c r="F669" s="11">
        <v>45265</v>
      </c>
      <c r="G669" s="8"/>
    </row>
    <row r="670" spans="1:7" ht="18.75" customHeight="1" x14ac:dyDescent="0.2">
      <c r="A670" s="8" t="s">
        <v>1343</v>
      </c>
      <c r="B670" s="9">
        <v>40068</v>
      </c>
      <c r="C670" s="9">
        <v>5902557355440</v>
      </c>
      <c r="D670" s="10" t="s">
        <v>1344</v>
      </c>
      <c r="E670" s="9">
        <v>220</v>
      </c>
      <c r="F670" s="11">
        <v>45265</v>
      </c>
      <c r="G670" s="8"/>
    </row>
    <row r="671" spans="1:7" ht="18.75" customHeight="1" x14ac:dyDescent="0.2">
      <c r="A671" s="8" t="s">
        <v>1345</v>
      </c>
      <c r="B671" s="9">
        <v>40069</v>
      </c>
      <c r="C671" s="9">
        <v>5902557355457</v>
      </c>
      <c r="D671" s="10" t="s">
        <v>1346</v>
      </c>
      <c r="E671" s="9">
        <v>265</v>
      </c>
      <c r="F671" s="11">
        <v>45265</v>
      </c>
      <c r="G671" s="8"/>
    </row>
    <row r="672" spans="1:7" ht="18.75" customHeight="1" x14ac:dyDescent="0.2">
      <c r="A672" s="8" t="s">
        <v>1347</v>
      </c>
      <c r="B672" s="9">
        <v>40070</v>
      </c>
      <c r="C672" s="9">
        <v>5902557355426</v>
      </c>
      <c r="D672" s="10" t="s">
        <v>1348</v>
      </c>
      <c r="E672" s="9">
        <v>189</v>
      </c>
      <c r="F672" s="11">
        <v>45265</v>
      </c>
      <c r="G672" s="8"/>
    </row>
    <row r="673" spans="1:7" ht="18.75" customHeight="1" x14ac:dyDescent="0.2">
      <c r="A673" s="8" t="s">
        <v>1349</v>
      </c>
      <c r="B673" s="9">
        <v>43729</v>
      </c>
      <c r="C673" s="9">
        <v>5902557367283</v>
      </c>
      <c r="D673" s="10" t="s">
        <v>1350</v>
      </c>
      <c r="E673" s="9">
        <v>179</v>
      </c>
      <c r="F673" s="11">
        <v>45265</v>
      </c>
      <c r="G673" s="8"/>
    </row>
    <row r="674" spans="1:7" ht="18.75" customHeight="1" x14ac:dyDescent="0.2">
      <c r="A674" s="8" t="s">
        <v>1351</v>
      </c>
      <c r="B674" s="9">
        <v>43730</v>
      </c>
      <c r="C674" s="9">
        <v>5902557367290</v>
      </c>
      <c r="D674" s="10" t="s">
        <v>1352</v>
      </c>
      <c r="E674" s="9">
        <v>247</v>
      </c>
      <c r="F674" s="11">
        <v>45265</v>
      </c>
      <c r="G674" s="8"/>
    </row>
    <row r="675" spans="1:7" ht="18.75" customHeight="1" x14ac:dyDescent="0.2">
      <c r="A675" s="8" t="s">
        <v>1353</v>
      </c>
      <c r="B675" s="9">
        <v>43732</v>
      </c>
      <c r="C675" s="9">
        <v>5902557367276</v>
      </c>
      <c r="D675" s="10" t="s">
        <v>1354</v>
      </c>
      <c r="E675" s="9">
        <v>189</v>
      </c>
      <c r="F675" s="11">
        <v>45265</v>
      </c>
      <c r="G675" s="8"/>
    </row>
    <row r="676" spans="1:7" ht="18.75" customHeight="1" x14ac:dyDescent="0.2">
      <c r="A676" s="8" t="s">
        <v>1355</v>
      </c>
      <c r="B676" s="9">
        <v>43245</v>
      </c>
      <c r="C676" s="9">
        <v>5902557354740</v>
      </c>
      <c r="D676" s="10" t="s">
        <v>1356</v>
      </c>
      <c r="E676" s="9">
        <v>126</v>
      </c>
      <c r="F676" s="11">
        <v>45265</v>
      </c>
      <c r="G676" s="8"/>
    </row>
    <row r="677" spans="1:7" ht="18.75" customHeight="1" x14ac:dyDescent="0.2">
      <c r="A677" s="8" t="s">
        <v>1357</v>
      </c>
      <c r="B677" s="9">
        <v>46410</v>
      </c>
      <c r="C677" s="9">
        <v>5902557350766</v>
      </c>
      <c r="D677" s="10" t="s">
        <v>1358</v>
      </c>
      <c r="E677" s="9">
        <v>110</v>
      </c>
      <c r="F677" s="11">
        <v>45366</v>
      </c>
      <c r="G677" s="8"/>
    </row>
    <row r="678" spans="1:7" ht="18.75" customHeight="1" x14ac:dyDescent="0.2">
      <c r="A678" s="8" t="s">
        <v>1359</v>
      </c>
      <c r="B678" s="9">
        <v>46411</v>
      </c>
      <c r="C678" s="9">
        <v>5902557350773</v>
      </c>
      <c r="D678" s="10" t="s">
        <v>1360</v>
      </c>
      <c r="E678" s="9">
        <v>117</v>
      </c>
      <c r="F678" s="11">
        <v>45366</v>
      </c>
      <c r="G678" s="8"/>
    </row>
    <row r="679" spans="1:7" ht="18.75" customHeight="1" x14ac:dyDescent="0.2">
      <c r="A679" s="8" t="s">
        <v>1361</v>
      </c>
      <c r="B679" s="9">
        <v>42310</v>
      </c>
      <c r="C679" s="9">
        <v>5902557362769</v>
      </c>
      <c r="D679" s="10" t="s">
        <v>1362</v>
      </c>
      <c r="E679" s="9">
        <v>110</v>
      </c>
      <c r="F679" s="11">
        <v>45306</v>
      </c>
      <c r="G679" s="8"/>
    </row>
    <row r="680" spans="1:7" ht="18.75" customHeight="1" x14ac:dyDescent="0.2">
      <c r="A680" s="8" t="s">
        <v>1363</v>
      </c>
      <c r="B680" s="9">
        <v>51655</v>
      </c>
      <c r="C680" s="9">
        <v>5902557329663</v>
      </c>
      <c r="D680" s="10" t="s">
        <v>1364</v>
      </c>
      <c r="E680" s="9">
        <v>106</v>
      </c>
      <c r="F680" s="11">
        <v>45553</v>
      </c>
      <c r="G680" s="8"/>
    </row>
    <row r="681" spans="1:7" ht="18.75" customHeight="1" x14ac:dyDescent="0.2">
      <c r="A681" s="8" t="s">
        <v>1365</v>
      </c>
      <c r="B681" s="9">
        <v>51654</v>
      </c>
      <c r="C681" s="9">
        <v>5902557329670</v>
      </c>
      <c r="D681" s="10" t="s">
        <v>1366</v>
      </c>
      <c r="E681" s="9">
        <v>100</v>
      </c>
      <c r="F681" s="11">
        <v>45511</v>
      </c>
      <c r="G681" s="8"/>
    </row>
    <row r="682" spans="1:7" ht="18.75" customHeight="1" x14ac:dyDescent="0.2">
      <c r="A682" s="8" t="s">
        <v>1367</v>
      </c>
      <c r="B682" s="9">
        <v>40060</v>
      </c>
      <c r="C682" s="9">
        <v>5902557332977</v>
      </c>
      <c r="D682" s="10" t="s">
        <v>1368</v>
      </c>
      <c r="E682" s="9">
        <v>256</v>
      </c>
      <c r="F682" s="11">
        <v>45265</v>
      </c>
      <c r="G682" s="8"/>
    </row>
    <row r="683" spans="1:7" ht="18.75" customHeight="1" x14ac:dyDescent="0.2">
      <c r="A683" s="8" t="s">
        <v>1369</v>
      </c>
      <c r="B683" s="9">
        <v>40061</v>
      </c>
      <c r="C683" s="9">
        <v>5902557319978</v>
      </c>
      <c r="D683" s="10" t="s">
        <v>1370</v>
      </c>
      <c r="E683" s="9">
        <v>321</v>
      </c>
      <c r="F683" s="11">
        <v>45265</v>
      </c>
      <c r="G683" s="8"/>
    </row>
    <row r="684" spans="1:7" ht="18.75" customHeight="1" x14ac:dyDescent="0.2">
      <c r="A684" s="8" t="s">
        <v>1371</v>
      </c>
      <c r="B684" s="9">
        <v>40062</v>
      </c>
      <c r="C684" s="9">
        <v>5902557319961</v>
      </c>
      <c r="D684" s="10" t="s">
        <v>1372</v>
      </c>
      <c r="E684" s="9">
        <v>361</v>
      </c>
      <c r="F684" s="11">
        <v>45265</v>
      </c>
      <c r="G684" s="8"/>
    </row>
    <row r="685" spans="1:7" ht="18.75" customHeight="1" x14ac:dyDescent="0.2">
      <c r="A685" s="8" t="s">
        <v>1373</v>
      </c>
      <c r="B685" s="9">
        <v>40059</v>
      </c>
      <c r="C685" s="9">
        <v>5902557319954</v>
      </c>
      <c r="D685" s="10" t="s">
        <v>1374</v>
      </c>
      <c r="E685" s="9">
        <v>251</v>
      </c>
      <c r="F685" s="11">
        <v>45265</v>
      </c>
      <c r="G685" s="8"/>
    </row>
    <row r="686" spans="1:7" ht="18.75" customHeight="1" x14ac:dyDescent="0.2">
      <c r="A686" s="8" t="s">
        <v>1375</v>
      </c>
      <c r="B686" s="9">
        <v>50787</v>
      </c>
      <c r="C686" s="9">
        <v>5902557395552</v>
      </c>
      <c r="D686" s="10" t="s">
        <v>1376</v>
      </c>
      <c r="E686" s="9">
        <v>34</v>
      </c>
      <c r="F686" s="11">
        <v>45265</v>
      </c>
      <c r="G686" s="8"/>
    </row>
    <row r="687" spans="1:7" ht="18.75" customHeight="1" x14ac:dyDescent="0.2">
      <c r="A687" s="8" t="s">
        <v>1377</v>
      </c>
      <c r="B687" s="9">
        <v>43317</v>
      </c>
      <c r="C687" s="9">
        <v>5902557380077</v>
      </c>
      <c r="D687" s="10" t="s">
        <v>1378</v>
      </c>
      <c r="E687" s="9">
        <v>71</v>
      </c>
      <c r="F687" s="11">
        <v>45265</v>
      </c>
      <c r="G687" s="8"/>
    </row>
    <row r="688" spans="1:7" ht="18.75" customHeight="1" x14ac:dyDescent="0.2">
      <c r="A688" s="8" t="s">
        <v>1379</v>
      </c>
      <c r="B688" s="9">
        <v>52155</v>
      </c>
      <c r="C688" s="8">
        <v>5902557398607</v>
      </c>
      <c r="D688" s="10" t="s">
        <v>1380</v>
      </c>
      <c r="E688" s="9">
        <v>37</v>
      </c>
      <c r="F688" s="11">
        <v>45274</v>
      </c>
      <c r="G688" s="8"/>
    </row>
    <row r="689" spans="1:7" ht="18.75" customHeight="1" x14ac:dyDescent="0.2">
      <c r="A689" s="8" t="s">
        <v>1381</v>
      </c>
      <c r="B689" s="9">
        <v>52151</v>
      </c>
      <c r="C689" s="8">
        <v>5902557398614</v>
      </c>
      <c r="D689" s="10" t="s">
        <v>1382</v>
      </c>
      <c r="E689" s="9">
        <v>39</v>
      </c>
      <c r="F689" s="11">
        <v>45274</v>
      </c>
      <c r="G689" s="8"/>
    </row>
    <row r="690" spans="1:7" ht="18.75" customHeight="1" x14ac:dyDescent="0.2">
      <c r="A690" s="8" t="s">
        <v>1383</v>
      </c>
      <c r="B690" s="9">
        <v>45266</v>
      </c>
      <c r="C690" s="9">
        <v>5902557375059</v>
      </c>
      <c r="D690" s="10" t="s">
        <v>1384</v>
      </c>
      <c r="E690" s="9">
        <v>16</v>
      </c>
      <c r="F690" s="11">
        <v>45265</v>
      </c>
      <c r="G690" s="8"/>
    </row>
    <row r="691" spans="1:7" ht="18.75" customHeight="1" x14ac:dyDescent="0.2">
      <c r="A691" s="8" t="s">
        <v>1385</v>
      </c>
      <c r="B691" s="9">
        <v>45265</v>
      </c>
      <c r="C691" s="9">
        <v>5902557375066</v>
      </c>
      <c r="D691" s="10" t="s">
        <v>1386</v>
      </c>
      <c r="E691" s="9">
        <v>36</v>
      </c>
      <c r="F691" s="11">
        <v>45265</v>
      </c>
      <c r="G691" s="8"/>
    </row>
    <row r="692" spans="1:7" ht="18.75" customHeight="1" x14ac:dyDescent="0.2">
      <c r="A692" s="8" t="s">
        <v>1387</v>
      </c>
      <c r="B692" s="9">
        <v>45263</v>
      </c>
      <c r="C692" s="9">
        <v>5902557375042</v>
      </c>
      <c r="D692" s="10" t="s">
        <v>1388</v>
      </c>
      <c r="E692" s="9">
        <v>37</v>
      </c>
      <c r="F692" s="11">
        <v>45352</v>
      </c>
      <c r="G692" s="8"/>
    </row>
    <row r="693" spans="1:7" ht="18.75" customHeight="1" x14ac:dyDescent="0.2">
      <c r="A693" s="8" t="s">
        <v>1389</v>
      </c>
      <c r="B693" s="9"/>
      <c r="C693" s="9"/>
      <c r="D693" s="10" t="s">
        <v>1390</v>
      </c>
      <c r="E693" s="9">
        <v>33</v>
      </c>
      <c r="F693" s="11">
        <v>45341</v>
      </c>
      <c r="G693" s="8"/>
    </row>
    <row r="694" spans="1:7" ht="18.75" customHeight="1" x14ac:dyDescent="0.2">
      <c r="A694" s="8" t="s">
        <v>1391</v>
      </c>
      <c r="B694" s="9">
        <v>11149</v>
      </c>
      <c r="C694" s="9">
        <v>5902557303007</v>
      </c>
      <c r="D694" s="10" t="s">
        <v>1392</v>
      </c>
      <c r="E694" s="9">
        <v>14</v>
      </c>
      <c r="F694" s="11">
        <v>45265</v>
      </c>
      <c r="G694" s="8"/>
    </row>
    <row r="695" spans="1:7" ht="18.75" customHeight="1" x14ac:dyDescent="0.2">
      <c r="A695" s="8" t="s">
        <v>1393</v>
      </c>
      <c r="B695" s="9">
        <v>11151</v>
      </c>
      <c r="C695" s="9">
        <v>5902557302994</v>
      </c>
      <c r="D695" s="10" t="s">
        <v>1394</v>
      </c>
      <c r="E695" s="9">
        <v>19</v>
      </c>
      <c r="F695" s="11">
        <v>45265</v>
      </c>
      <c r="G695" s="8"/>
    </row>
    <row r="696" spans="1:7" ht="18.75" customHeight="1" x14ac:dyDescent="0.2">
      <c r="A696" s="8" t="s">
        <v>1395</v>
      </c>
      <c r="B696" s="9"/>
      <c r="C696" s="9">
        <v>5902557302987</v>
      </c>
      <c r="D696" s="10" t="s">
        <v>1396</v>
      </c>
      <c r="E696" s="9">
        <v>26</v>
      </c>
      <c r="F696" s="11">
        <v>45265</v>
      </c>
      <c r="G696" s="8"/>
    </row>
    <row r="697" spans="1:7" ht="18.75" customHeight="1" x14ac:dyDescent="0.2">
      <c r="A697" s="8" t="s">
        <v>1397</v>
      </c>
      <c r="B697" s="9"/>
      <c r="C697" s="9">
        <v>5902557314720</v>
      </c>
      <c r="D697" s="10" t="s">
        <v>1398</v>
      </c>
      <c r="E697" s="9">
        <v>32</v>
      </c>
      <c r="F697" s="11">
        <v>45265</v>
      </c>
      <c r="G697" s="8"/>
    </row>
    <row r="698" spans="1:7" ht="18.75" customHeight="1" x14ac:dyDescent="0.2">
      <c r="A698" s="8" t="s">
        <v>1399</v>
      </c>
      <c r="B698" s="9">
        <v>13586</v>
      </c>
      <c r="C698" s="9">
        <v>5902557303014</v>
      </c>
      <c r="D698" s="10" t="s">
        <v>1400</v>
      </c>
      <c r="E698" s="9">
        <v>30</v>
      </c>
      <c r="F698" s="11">
        <v>45265</v>
      </c>
      <c r="G698" s="8"/>
    </row>
    <row r="699" spans="1:7" ht="18.75" customHeight="1" x14ac:dyDescent="0.2">
      <c r="A699" s="8" t="s">
        <v>1401</v>
      </c>
      <c r="B699" s="9">
        <v>37983</v>
      </c>
      <c r="C699" s="9">
        <v>5902557349685</v>
      </c>
      <c r="D699" s="10" t="s">
        <v>1402</v>
      </c>
      <c r="E699" s="9">
        <v>93</v>
      </c>
      <c r="F699" s="11">
        <v>45265</v>
      </c>
      <c r="G699" s="8"/>
    </row>
    <row r="700" spans="1:7" ht="18.75" customHeight="1" x14ac:dyDescent="0.2">
      <c r="A700" s="8" t="s">
        <v>1403</v>
      </c>
      <c r="B700" s="9">
        <v>37984</v>
      </c>
      <c r="C700" s="9">
        <v>5902557349678</v>
      </c>
      <c r="D700" s="10" t="s">
        <v>1404</v>
      </c>
      <c r="E700" s="9">
        <v>64</v>
      </c>
      <c r="F700" s="11">
        <v>45265</v>
      </c>
      <c r="G700" s="8"/>
    </row>
    <row r="701" spans="1:7" ht="18.75" customHeight="1" x14ac:dyDescent="0.2">
      <c r="A701" s="8" t="s">
        <v>1405</v>
      </c>
      <c r="B701" s="9">
        <v>9206</v>
      </c>
      <c r="C701" s="9">
        <v>5902557376476</v>
      </c>
      <c r="D701" s="10" t="s">
        <v>1406</v>
      </c>
      <c r="E701" s="9">
        <v>11</v>
      </c>
      <c r="F701" s="11">
        <v>45265</v>
      </c>
      <c r="G701" s="8"/>
    </row>
    <row r="702" spans="1:7" ht="18.75" customHeight="1" x14ac:dyDescent="0.2">
      <c r="A702" s="8" t="s">
        <v>1407</v>
      </c>
      <c r="B702" s="9"/>
      <c r="C702" s="9">
        <v>5902557319770</v>
      </c>
      <c r="D702" s="10" t="s">
        <v>1408</v>
      </c>
      <c r="E702" s="9">
        <v>11</v>
      </c>
      <c r="F702" s="11">
        <v>45265</v>
      </c>
      <c r="G702" s="8"/>
    </row>
    <row r="703" spans="1:7" ht="18.75" customHeight="1" x14ac:dyDescent="0.2">
      <c r="A703" s="8" t="s">
        <v>1409</v>
      </c>
      <c r="B703" s="9">
        <v>47615</v>
      </c>
      <c r="C703" s="9">
        <v>5902557376469</v>
      </c>
      <c r="D703" s="10" t="s">
        <v>1410</v>
      </c>
      <c r="E703" s="9">
        <v>16</v>
      </c>
      <c r="F703" s="11">
        <v>45393</v>
      </c>
      <c r="G703" s="8"/>
    </row>
    <row r="704" spans="1:7" ht="18.75" customHeight="1" x14ac:dyDescent="0.2">
      <c r="A704" s="8" t="s">
        <v>1411</v>
      </c>
      <c r="B704" s="9">
        <v>48730</v>
      </c>
      <c r="C704" s="9">
        <v>5902557376490</v>
      </c>
      <c r="D704" s="10" t="s">
        <v>1412</v>
      </c>
      <c r="E704" s="9">
        <v>19</v>
      </c>
      <c r="F704" s="11">
        <v>45393</v>
      </c>
      <c r="G704" s="8"/>
    </row>
    <row r="705" spans="1:7" ht="18.75" customHeight="1" x14ac:dyDescent="0.2">
      <c r="A705" s="8" t="s">
        <v>1413</v>
      </c>
      <c r="B705" s="9">
        <v>48728</v>
      </c>
      <c r="C705" s="9">
        <v>5902557376506</v>
      </c>
      <c r="D705" s="10" t="s">
        <v>1414</v>
      </c>
      <c r="E705" s="9">
        <v>19</v>
      </c>
      <c r="F705" s="11">
        <v>45393</v>
      </c>
      <c r="G705" s="8"/>
    </row>
    <row r="706" spans="1:7" ht="18.75" customHeight="1" x14ac:dyDescent="0.2">
      <c r="A706" s="8" t="s">
        <v>1415</v>
      </c>
      <c r="B706" s="9">
        <v>50656</v>
      </c>
      <c r="C706" s="9">
        <v>5902557354580</v>
      </c>
      <c r="D706" s="10" t="s">
        <v>1416</v>
      </c>
      <c r="E706" s="9">
        <v>231</v>
      </c>
      <c r="F706" s="11">
        <v>45293</v>
      </c>
      <c r="G706" s="8"/>
    </row>
    <row r="707" spans="1:7" ht="18.75" customHeight="1" x14ac:dyDescent="0.2">
      <c r="A707" s="8" t="s">
        <v>1417</v>
      </c>
      <c r="B707" s="9">
        <v>50655</v>
      </c>
      <c r="C707" s="9">
        <v>5902557354573</v>
      </c>
      <c r="D707" s="10" t="s">
        <v>1418</v>
      </c>
      <c r="E707" s="9">
        <v>221</v>
      </c>
      <c r="F707" s="11">
        <v>45469</v>
      </c>
      <c r="G707" s="8"/>
    </row>
    <row r="708" spans="1:7" ht="18.75" customHeight="1" x14ac:dyDescent="0.2">
      <c r="A708" s="9" t="s">
        <v>1419</v>
      </c>
      <c r="B708" s="9">
        <v>54046</v>
      </c>
      <c r="C708" s="8">
        <v>5906366007514</v>
      </c>
      <c r="D708" s="10" t="s">
        <v>1420</v>
      </c>
      <c r="E708" s="9">
        <v>254</v>
      </c>
      <c r="F708" s="11">
        <v>45679</v>
      </c>
      <c r="G708" s="8"/>
    </row>
    <row r="709" spans="1:7" ht="18.75" customHeight="1" x14ac:dyDescent="0.2">
      <c r="A709" s="8" t="s">
        <v>1421</v>
      </c>
      <c r="B709" s="9">
        <v>46147</v>
      </c>
      <c r="C709" s="9">
        <v>5902557308224</v>
      </c>
      <c r="D709" s="10" t="s">
        <v>1422</v>
      </c>
      <c r="E709" s="9">
        <v>208</v>
      </c>
      <c r="F709" s="11">
        <v>45341</v>
      </c>
      <c r="G709" s="8"/>
    </row>
    <row r="710" spans="1:7" ht="18.75" customHeight="1" x14ac:dyDescent="0.2">
      <c r="A710" s="8" t="s">
        <v>1423</v>
      </c>
      <c r="B710" s="9">
        <v>46148</v>
      </c>
      <c r="C710" s="9">
        <v>5902557307500</v>
      </c>
      <c r="D710" s="10" t="s">
        <v>1424</v>
      </c>
      <c r="E710" s="9">
        <v>244</v>
      </c>
      <c r="F710" s="11">
        <v>45490</v>
      </c>
      <c r="G710" s="8"/>
    </row>
    <row r="711" spans="1:7" ht="18.75" customHeight="1" x14ac:dyDescent="0.2">
      <c r="A711" s="8" t="s">
        <v>1425</v>
      </c>
      <c r="B711" s="9">
        <v>46149</v>
      </c>
      <c r="C711" s="9">
        <v>5902557308064</v>
      </c>
      <c r="D711" s="10" t="s">
        <v>1426</v>
      </c>
      <c r="E711" s="9">
        <v>249</v>
      </c>
      <c r="F711" s="11">
        <v>45420</v>
      </c>
      <c r="G711" s="8"/>
    </row>
    <row r="712" spans="1:7" ht="18.75" customHeight="1" x14ac:dyDescent="0.2">
      <c r="A712" s="8" t="s">
        <v>1427</v>
      </c>
      <c r="B712" s="9">
        <v>1904</v>
      </c>
      <c r="C712" s="9">
        <v>5902557307470</v>
      </c>
      <c r="D712" s="10" t="s">
        <v>1428</v>
      </c>
      <c r="E712" s="9">
        <v>219</v>
      </c>
      <c r="F712" s="11">
        <v>45265</v>
      </c>
      <c r="G712" s="8"/>
    </row>
    <row r="713" spans="1:7" ht="18.75" customHeight="1" x14ac:dyDescent="0.2">
      <c r="A713" s="8" t="s">
        <v>1429</v>
      </c>
      <c r="B713" s="9">
        <v>46141</v>
      </c>
      <c r="C713" s="9">
        <v>5902557319350</v>
      </c>
      <c r="D713" s="10" t="s">
        <v>1430</v>
      </c>
      <c r="E713" s="9">
        <v>197</v>
      </c>
      <c r="F713" s="11">
        <v>45679</v>
      </c>
      <c r="G713" s="8"/>
    </row>
    <row r="714" spans="1:7" ht="18.75" customHeight="1" x14ac:dyDescent="0.2">
      <c r="A714" s="8" t="s">
        <v>1431</v>
      </c>
      <c r="B714" s="9">
        <v>46142</v>
      </c>
      <c r="C714" s="9">
        <v>5902557307432</v>
      </c>
      <c r="D714" s="10" t="s">
        <v>1432</v>
      </c>
      <c r="E714" s="9">
        <v>204</v>
      </c>
      <c r="F714" s="11">
        <v>45679</v>
      </c>
      <c r="G714" s="8"/>
    </row>
    <row r="715" spans="1:7" ht="18.75" customHeight="1" x14ac:dyDescent="0.2">
      <c r="A715" s="8" t="s">
        <v>1433</v>
      </c>
      <c r="B715" s="9">
        <v>53358</v>
      </c>
      <c r="C715" s="9">
        <v>5902557398850</v>
      </c>
      <c r="D715" s="10" t="s">
        <v>1434</v>
      </c>
      <c r="E715" s="9">
        <v>270</v>
      </c>
      <c r="F715" s="11">
        <v>45469</v>
      </c>
      <c r="G715" s="8"/>
    </row>
    <row r="716" spans="1:7" ht="18.75" customHeight="1" x14ac:dyDescent="0.2">
      <c r="A716" s="8" t="s">
        <v>1435</v>
      </c>
      <c r="B716" s="9">
        <v>53367</v>
      </c>
      <c r="C716" s="9">
        <v>5902557398843</v>
      </c>
      <c r="D716" s="10" t="s">
        <v>1436</v>
      </c>
      <c r="E716" s="9">
        <v>270</v>
      </c>
      <c r="F716" s="11">
        <v>45420</v>
      </c>
      <c r="G716" s="8"/>
    </row>
    <row r="717" spans="1:7" ht="18.75" customHeight="1" x14ac:dyDescent="0.2">
      <c r="A717" s="8" t="s">
        <v>1437</v>
      </c>
      <c r="B717" s="9">
        <v>30762</v>
      </c>
      <c r="C717" s="9">
        <v>5902557342181</v>
      </c>
      <c r="D717" s="10" t="s">
        <v>1438</v>
      </c>
      <c r="E717" s="9">
        <v>289</v>
      </c>
      <c r="F717" s="11">
        <v>45265</v>
      </c>
      <c r="G717" s="8"/>
    </row>
    <row r="718" spans="1:7" ht="18.75" customHeight="1" x14ac:dyDescent="0.2">
      <c r="A718" s="8" t="s">
        <v>1439</v>
      </c>
      <c r="B718" s="9">
        <v>30764</v>
      </c>
      <c r="C718" s="9">
        <v>5902557342198</v>
      </c>
      <c r="D718" s="10" t="s">
        <v>1440</v>
      </c>
      <c r="E718" s="9">
        <v>277</v>
      </c>
      <c r="F718" s="11">
        <v>45321</v>
      </c>
      <c r="G718" s="8"/>
    </row>
    <row r="719" spans="1:7" ht="18.75" customHeight="1" x14ac:dyDescent="0.2">
      <c r="A719" s="8" t="s">
        <v>1441</v>
      </c>
      <c r="B719" s="9">
        <v>30763</v>
      </c>
      <c r="C719" s="9">
        <v>5902557342204</v>
      </c>
      <c r="D719" s="10" t="s">
        <v>1442</v>
      </c>
      <c r="E719" s="9">
        <v>309</v>
      </c>
      <c r="F719" s="11">
        <v>45265</v>
      </c>
      <c r="G719" s="8"/>
    </row>
    <row r="720" spans="1:7" ht="18.75" customHeight="1" x14ac:dyDescent="0.2">
      <c r="A720" s="8" t="s">
        <v>1443</v>
      </c>
      <c r="B720" s="9">
        <v>49823</v>
      </c>
      <c r="C720" s="9">
        <v>5902557376612</v>
      </c>
      <c r="D720" s="10" t="s">
        <v>1444</v>
      </c>
      <c r="E720" s="9">
        <v>252</v>
      </c>
      <c r="F720" s="11">
        <v>45387</v>
      </c>
      <c r="G720" s="8"/>
    </row>
    <row r="721" spans="1:7" ht="18.75" customHeight="1" x14ac:dyDescent="0.2">
      <c r="A721" s="8" t="s">
        <v>1445</v>
      </c>
      <c r="B721" s="9">
        <v>49821</v>
      </c>
      <c r="C721" s="9">
        <v>5902557376599</v>
      </c>
      <c r="D721" s="10" t="s">
        <v>1446</v>
      </c>
      <c r="E721" s="9">
        <v>252</v>
      </c>
      <c r="F721" s="11">
        <v>45575</v>
      </c>
      <c r="G721" s="8"/>
    </row>
    <row r="722" spans="1:7" ht="18.75" customHeight="1" x14ac:dyDescent="0.2">
      <c r="A722" s="8" t="s">
        <v>1447</v>
      </c>
      <c r="B722" s="9">
        <v>49822</v>
      </c>
      <c r="C722" s="9">
        <v>5902557376605</v>
      </c>
      <c r="D722" s="10" t="s">
        <v>1448</v>
      </c>
      <c r="E722" s="9">
        <v>259</v>
      </c>
      <c r="F722" s="11">
        <v>45579</v>
      </c>
      <c r="G722" s="8"/>
    </row>
    <row r="723" spans="1:7" ht="18.75" customHeight="1" x14ac:dyDescent="0.2">
      <c r="A723" s="8" t="s">
        <v>1449</v>
      </c>
      <c r="B723" s="9">
        <v>49833</v>
      </c>
      <c r="C723" s="9">
        <v>5902557376711</v>
      </c>
      <c r="D723" s="10" t="s">
        <v>1450</v>
      </c>
      <c r="E723" s="9">
        <v>291</v>
      </c>
      <c r="F723" s="11">
        <v>45321</v>
      </c>
      <c r="G723" s="8"/>
    </row>
    <row r="724" spans="1:7" ht="18.75" customHeight="1" x14ac:dyDescent="0.2">
      <c r="A724" s="8" t="s">
        <v>1451</v>
      </c>
      <c r="B724" s="9">
        <v>49831</v>
      </c>
      <c r="C724" s="9">
        <v>5902557376698</v>
      </c>
      <c r="D724" s="10" t="s">
        <v>1452</v>
      </c>
      <c r="E724" s="9">
        <v>282</v>
      </c>
      <c r="F724" s="11">
        <v>45575</v>
      </c>
      <c r="G724" s="8"/>
    </row>
    <row r="725" spans="1:7" ht="18.75" customHeight="1" x14ac:dyDescent="0.2">
      <c r="A725" s="8" t="s">
        <v>1453</v>
      </c>
      <c r="B725" s="9">
        <v>49832</v>
      </c>
      <c r="C725" s="9">
        <v>5902557376704</v>
      </c>
      <c r="D725" s="10" t="s">
        <v>1454</v>
      </c>
      <c r="E725" s="9">
        <v>292</v>
      </c>
      <c r="F725" s="11">
        <v>45679</v>
      </c>
      <c r="G725" s="8"/>
    </row>
    <row r="726" spans="1:7" ht="18.75" customHeight="1" x14ac:dyDescent="0.2">
      <c r="A726" s="8" t="s">
        <v>1455</v>
      </c>
      <c r="B726" s="9">
        <v>49732</v>
      </c>
      <c r="C726" s="9">
        <v>5902557357369</v>
      </c>
      <c r="D726" s="10" t="s">
        <v>1456</v>
      </c>
      <c r="E726" s="9">
        <v>226</v>
      </c>
      <c r="F726" s="11">
        <v>45679</v>
      </c>
      <c r="G726" s="8"/>
    </row>
    <row r="727" spans="1:7" ht="18.75" customHeight="1" x14ac:dyDescent="0.2">
      <c r="A727" s="8" t="s">
        <v>1457</v>
      </c>
      <c r="B727" s="9">
        <v>49733</v>
      </c>
      <c r="C727" s="9">
        <v>5902557386406</v>
      </c>
      <c r="D727" s="10" t="s">
        <v>1458</v>
      </c>
      <c r="E727" s="9">
        <v>231</v>
      </c>
      <c r="F727" s="11">
        <v>45293</v>
      </c>
      <c r="G727" s="8"/>
    </row>
    <row r="728" spans="1:7" ht="18.75" customHeight="1" x14ac:dyDescent="0.2">
      <c r="A728" s="8" t="s">
        <v>1459</v>
      </c>
      <c r="B728" s="9">
        <v>49730</v>
      </c>
      <c r="C728" s="9">
        <v>5902557357345</v>
      </c>
      <c r="D728" s="10" t="s">
        <v>1460</v>
      </c>
      <c r="E728" s="9">
        <v>206</v>
      </c>
      <c r="F728" s="11">
        <v>45596</v>
      </c>
      <c r="G728" s="8"/>
    </row>
    <row r="729" spans="1:7" ht="18.75" customHeight="1" x14ac:dyDescent="0.2">
      <c r="A729" s="8" t="s">
        <v>1461</v>
      </c>
      <c r="B729" s="9">
        <v>49731</v>
      </c>
      <c r="C729" s="9">
        <v>5902557357352</v>
      </c>
      <c r="D729" s="10" t="s">
        <v>1462</v>
      </c>
      <c r="E729" s="9">
        <v>219</v>
      </c>
      <c r="F729" s="11">
        <v>45679</v>
      </c>
      <c r="G729" s="8"/>
    </row>
    <row r="730" spans="1:7" ht="18.75" customHeight="1" x14ac:dyDescent="0.2">
      <c r="A730" s="8" t="s">
        <v>1463</v>
      </c>
      <c r="B730" s="9">
        <v>50268</v>
      </c>
      <c r="C730" s="9">
        <v>5902557357338</v>
      </c>
      <c r="D730" s="10" t="s">
        <v>1464</v>
      </c>
      <c r="E730" s="9">
        <v>212</v>
      </c>
      <c r="F730" s="11">
        <v>45596</v>
      </c>
      <c r="G730" s="8"/>
    </row>
    <row r="731" spans="1:7" ht="18.75" customHeight="1" x14ac:dyDescent="0.2">
      <c r="A731" s="8" t="s">
        <v>1465</v>
      </c>
      <c r="B731" s="9">
        <v>50266</v>
      </c>
      <c r="C731" s="9">
        <v>5902557357314</v>
      </c>
      <c r="D731" s="10" t="s">
        <v>1466</v>
      </c>
      <c r="E731" s="9">
        <v>187</v>
      </c>
      <c r="F731" s="11">
        <v>45610</v>
      </c>
      <c r="G731" s="8"/>
    </row>
    <row r="732" spans="1:7" ht="18.75" customHeight="1" x14ac:dyDescent="0.2">
      <c r="A732" s="8" t="s">
        <v>1467</v>
      </c>
      <c r="B732" s="9">
        <v>50267</v>
      </c>
      <c r="C732" s="9">
        <v>5902557357321</v>
      </c>
      <c r="D732" s="10" t="s">
        <v>1468</v>
      </c>
      <c r="E732" s="9">
        <v>202</v>
      </c>
      <c r="F732" s="11">
        <v>45679</v>
      </c>
      <c r="G732" s="8"/>
    </row>
    <row r="733" spans="1:7" ht="18.75" customHeight="1" x14ac:dyDescent="0.2">
      <c r="A733" s="8" t="s">
        <v>1469</v>
      </c>
      <c r="B733" s="9">
        <v>54191</v>
      </c>
      <c r="C733" s="8">
        <v>5906366006524</v>
      </c>
      <c r="D733" s="10" t="s">
        <v>1470</v>
      </c>
      <c r="E733" s="9">
        <v>259</v>
      </c>
      <c r="F733" s="11">
        <v>45679</v>
      </c>
      <c r="G733" s="8"/>
    </row>
    <row r="734" spans="1:7" ht="18.75" customHeight="1" x14ac:dyDescent="0.2">
      <c r="A734" s="8" t="s">
        <v>1471</v>
      </c>
      <c r="B734" s="9">
        <v>54192</v>
      </c>
      <c r="C734" s="8">
        <v>5906366006531</v>
      </c>
      <c r="D734" s="10" t="s">
        <v>1472</v>
      </c>
      <c r="E734" s="9">
        <v>263</v>
      </c>
      <c r="F734" s="11">
        <v>45615</v>
      </c>
      <c r="G734" s="8"/>
    </row>
    <row r="735" spans="1:7" ht="18.75" customHeight="1" x14ac:dyDescent="0.2">
      <c r="A735" s="8" t="s">
        <v>1473</v>
      </c>
      <c r="B735" s="9">
        <v>54193</v>
      </c>
      <c r="C735" s="8">
        <v>5906366006548</v>
      </c>
      <c r="D735" s="10" t="s">
        <v>1474</v>
      </c>
      <c r="E735" s="9">
        <v>280</v>
      </c>
      <c r="F735" s="11">
        <v>45679</v>
      </c>
      <c r="G735" s="8"/>
    </row>
    <row r="736" spans="1:7" ht="18.75" customHeight="1" x14ac:dyDescent="0.2">
      <c r="A736" s="8" t="s">
        <v>1475</v>
      </c>
      <c r="B736" s="9">
        <v>54194</v>
      </c>
      <c r="C736" s="8">
        <v>5906366006555</v>
      </c>
      <c r="D736" s="10" t="s">
        <v>1476</v>
      </c>
      <c r="E736" s="9">
        <v>283</v>
      </c>
      <c r="F736" s="11">
        <v>45615</v>
      </c>
      <c r="G736" s="8"/>
    </row>
    <row r="737" spans="1:7" ht="18.75" customHeight="1" x14ac:dyDescent="0.2">
      <c r="A737" s="8" t="s">
        <v>1477</v>
      </c>
      <c r="B737" s="9">
        <v>54195</v>
      </c>
      <c r="C737" s="8">
        <v>5906366006562</v>
      </c>
      <c r="D737" s="10" t="s">
        <v>1478</v>
      </c>
      <c r="E737" s="9">
        <v>292</v>
      </c>
      <c r="F737" s="11">
        <v>45615</v>
      </c>
      <c r="G737" s="8"/>
    </row>
    <row r="738" spans="1:7" ht="18.75" customHeight="1" x14ac:dyDescent="0.2">
      <c r="A738" s="8" t="s">
        <v>1479</v>
      </c>
      <c r="B738" s="9">
        <v>11111</v>
      </c>
      <c r="C738" s="9">
        <v>5902557308200</v>
      </c>
      <c r="D738" s="10" t="s">
        <v>1480</v>
      </c>
      <c r="E738" s="9">
        <v>244</v>
      </c>
      <c r="F738" s="11">
        <v>45265</v>
      </c>
      <c r="G738" s="8"/>
    </row>
    <row r="739" spans="1:7" ht="18.75" customHeight="1" x14ac:dyDescent="0.2">
      <c r="A739" s="8" t="s">
        <v>1481</v>
      </c>
      <c r="B739" s="9">
        <v>11112</v>
      </c>
      <c r="C739" s="9">
        <v>5902557308347</v>
      </c>
      <c r="D739" s="10" t="s">
        <v>1482</v>
      </c>
      <c r="E739" s="9">
        <v>244</v>
      </c>
      <c r="F739" s="11">
        <v>45265</v>
      </c>
      <c r="G739" s="8"/>
    </row>
    <row r="740" spans="1:7" ht="18.75" customHeight="1" x14ac:dyDescent="0.2">
      <c r="A740" s="8" t="s">
        <v>1483</v>
      </c>
      <c r="B740" s="9">
        <v>13270</v>
      </c>
      <c r="C740" s="9">
        <v>5902557329304</v>
      </c>
      <c r="D740" s="10" t="s">
        <v>1484</v>
      </c>
      <c r="E740" s="9">
        <v>314</v>
      </c>
      <c r="F740" s="11">
        <v>45265</v>
      </c>
      <c r="G740" s="8"/>
    </row>
    <row r="741" spans="1:7" ht="18.75" customHeight="1" x14ac:dyDescent="0.2">
      <c r="A741" s="8" t="s">
        <v>1485</v>
      </c>
      <c r="B741" s="9">
        <v>13271</v>
      </c>
      <c r="C741" s="9">
        <v>5902557329298</v>
      </c>
      <c r="D741" s="10" t="s">
        <v>1486</v>
      </c>
      <c r="E741" s="9">
        <v>314</v>
      </c>
      <c r="F741" s="11">
        <v>45265</v>
      </c>
      <c r="G741" s="8"/>
    </row>
    <row r="742" spans="1:7" ht="18.75" customHeight="1" x14ac:dyDescent="0.2">
      <c r="A742" s="8" t="s">
        <v>1487</v>
      </c>
      <c r="B742" s="9">
        <v>11114</v>
      </c>
      <c r="C742" s="9">
        <v>5902557308187</v>
      </c>
      <c r="D742" s="10" t="s">
        <v>1488</v>
      </c>
      <c r="E742" s="9">
        <v>287</v>
      </c>
      <c r="F742" s="11">
        <v>45387</v>
      </c>
      <c r="G742" s="8"/>
    </row>
    <row r="743" spans="1:7" ht="18.75" customHeight="1" x14ac:dyDescent="0.2">
      <c r="A743" s="8" t="s">
        <v>1489</v>
      </c>
      <c r="B743" s="9">
        <v>11115</v>
      </c>
      <c r="C743" s="9">
        <v>5902557308361</v>
      </c>
      <c r="D743" s="10" t="s">
        <v>1490</v>
      </c>
      <c r="E743" s="9">
        <v>287</v>
      </c>
      <c r="F743" s="11">
        <v>45387</v>
      </c>
      <c r="G743" s="8"/>
    </row>
    <row r="744" spans="1:7" ht="18.75" customHeight="1" x14ac:dyDescent="0.2">
      <c r="A744" s="8" t="s">
        <v>1491</v>
      </c>
      <c r="B744" s="9">
        <v>11118</v>
      </c>
      <c r="C744" s="9">
        <v>5902557308293</v>
      </c>
      <c r="D744" s="10" t="s">
        <v>1492</v>
      </c>
      <c r="E744" s="9">
        <v>346</v>
      </c>
      <c r="F744" s="11">
        <v>45265</v>
      </c>
      <c r="G744" s="8"/>
    </row>
    <row r="745" spans="1:7" ht="18.75" customHeight="1" x14ac:dyDescent="0.2">
      <c r="A745" s="8" t="s">
        <v>1493</v>
      </c>
      <c r="B745" s="9">
        <v>11119</v>
      </c>
      <c r="C745" s="9">
        <v>5902557308248</v>
      </c>
      <c r="D745" s="10" t="s">
        <v>1494</v>
      </c>
      <c r="E745" s="9">
        <v>346</v>
      </c>
      <c r="F745" s="11">
        <v>45265</v>
      </c>
      <c r="G745" s="8"/>
    </row>
    <row r="746" spans="1:7" ht="18.75" customHeight="1" x14ac:dyDescent="0.2">
      <c r="A746" s="8" t="s">
        <v>1495</v>
      </c>
      <c r="B746" s="9">
        <v>11122</v>
      </c>
      <c r="C746" s="9">
        <v>5902557308231</v>
      </c>
      <c r="D746" s="10" t="s">
        <v>1496</v>
      </c>
      <c r="E746" s="9">
        <v>296</v>
      </c>
      <c r="F746" s="11">
        <v>45469</v>
      </c>
      <c r="G746" s="8"/>
    </row>
    <row r="747" spans="1:7" ht="18.75" customHeight="1" x14ac:dyDescent="0.2">
      <c r="A747" s="8" t="s">
        <v>1497</v>
      </c>
      <c r="B747" s="9">
        <v>11123</v>
      </c>
      <c r="C747" s="9">
        <v>5902557308422</v>
      </c>
      <c r="D747" s="10" t="s">
        <v>1498</v>
      </c>
      <c r="E747" s="9">
        <v>296</v>
      </c>
      <c r="F747" s="11">
        <v>45469</v>
      </c>
      <c r="G747" s="8"/>
    </row>
    <row r="748" spans="1:7" ht="18.75" customHeight="1" x14ac:dyDescent="0.2">
      <c r="A748" s="8" t="s">
        <v>1499</v>
      </c>
      <c r="B748" s="9">
        <v>11126</v>
      </c>
      <c r="C748" s="9">
        <v>5902557308194</v>
      </c>
      <c r="D748" s="10" t="s">
        <v>1500</v>
      </c>
      <c r="E748" s="9">
        <v>314</v>
      </c>
      <c r="F748" s="11">
        <v>45293</v>
      </c>
      <c r="G748" s="8"/>
    </row>
    <row r="749" spans="1:7" ht="18.75" customHeight="1" x14ac:dyDescent="0.2">
      <c r="A749" s="8" t="s">
        <v>1501</v>
      </c>
      <c r="B749" s="9">
        <v>11127</v>
      </c>
      <c r="C749" s="9">
        <v>5902557308255</v>
      </c>
      <c r="D749" s="10" t="s">
        <v>1502</v>
      </c>
      <c r="E749" s="9">
        <v>314</v>
      </c>
      <c r="F749" s="11">
        <v>45293</v>
      </c>
      <c r="G749" s="8"/>
    </row>
    <row r="750" spans="1:7" ht="18.75" customHeight="1" x14ac:dyDescent="0.2">
      <c r="A750" s="8" t="s">
        <v>1503</v>
      </c>
      <c r="B750" s="9">
        <v>33697</v>
      </c>
      <c r="C750" s="9">
        <v>5902557342525</v>
      </c>
      <c r="D750" s="10" t="s">
        <v>1504</v>
      </c>
      <c r="E750" s="9">
        <v>233</v>
      </c>
      <c r="F750" s="11">
        <v>45615</v>
      </c>
      <c r="G750" s="8"/>
    </row>
    <row r="751" spans="1:7" ht="18.75" customHeight="1" x14ac:dyDescent="0.2">
      <c r="A751" s="8" t="s">
        <v>1505</v>
      </c>
      <c r="B751" s="9">
        <v>33695</v>
      </c>
      <c r="C751" s="9">
        <v>5902557342518</v>
      </c>
      <c r="D751" s="10" t="s">
        <v>1506</v>
      </c>
      <c r="E751" s="9">
        <v>199</v>
      </c>
      <c r="F751" s="11">
        <v>45615</v>
      </c>
      <c r="G751" s="8"/>
    </row>
    <row r="752" spans="1:7" ht="18.75" customHeight="1" x14ac:dyDescent="0.2">
      <c r="A752" s="8" t="s">
        <v>1507</v>
      </c>
      <c r="B752" s="9">
        <v>33696</v>
      </c>
      <c r="C752" s="9">
        <v>5902557342532</v>
      </c>
      <c r="D752" s="10" t="s">
        <v>1508</v>
      </c>
      <c r="E752" s="9">
        <v>205</v>
      </c>
      <c r="F752" s="11">
        <v>45615</v>
      </c>
      <c r="G752" s="8"/>
    </row>
    <row r="753" spans="1:7" ht="18.75" customHeight="1" x14ac:dyDescent="0.2">
      <c r="A753" s="8" t="s">
        <v>1509</v>
      </c>
      <c r="B753" s="9">
        <v>50651</v>
      </c>
      <c r="C753" s="9">
        <v>5902557387168</v>
      </c>
      <c r="D753" s="10" t="s">
        <v>1510</v>
      </c>
      <c r="E753" s="9">
        <v>282</v>
      </c>
      <c r="F753" s="11">
        <v>45546</v>
      </c>
      <c r="G753" s="8"/>
    </row>
    <row r="754" spans="1:7" ht="18.75" customHeight="1" x14ac:dyDescent="0.2">
      <c r="A754" s="8" t="s">
        <v>1511</v>
      </c>
      <c r="B754" s="9">
        <v>50646</v>
      </c>
      <c r="C754" s="9">
        <v>5902557387144</v>
      </c>
      <c r="D754" s="10" t="s">
        <v>1512</v>
      </c>
      <c r="E754" s="9">
        <v>251</v>
      </c>
      <c r="F754" s="11">
        <v>45615</v>
      </c>
      <c r="G754" s="8"/>
    </row>
    <row r="755" spans="1:7" ht="18.75" customHeight="1" x14ac:dyDescent="0.2">
      <c r="A755" s="8" t="s">
        <v>1513</v>
      </c>
      <c r="B755" s="9">
        <v>50650</v>
      </c>
      <c r="C755" s="9">
        <v>5902557387151</v>
      </c>
      <c r="D755" s="10" t="s">
        <v>1514</v>
      </c>
      <c r="E755" s="9">
        <v>263</v>
      </c>
      <c r="F755" s="11">
        <v>45615</v>
      </c>
      <c r="G755" s="8"/>
    </row>
    <row r="756" spans="1:7" ht="18.75" customHeight="1" x14ac:dyDescent="0.2">
      <c r="A756" s="8" t="s">
        <v>1515</v>
      </c>
      <c r="B756" s="9">
        <v>33534</v>
      </c>
      <c r="C756" s="9">
        <v>5902557342341</v>
      </c>
      <c r="D756" s="10" t="s">
        <v>1516</v>
      </c>
      <c r="E756" s="9">
        <v>212</v>
      </c>
      <c r="F756" s="11">
        <v>45736</v>
      </c>
      <c r="G756" s="8"/>
    </row>
    <row r="757" spans="1:7" ht="18.75" customHeight="1" x14ac:dyDescent="0.2">
      <c r="A757" s="8" t="s">
        <v>1517</v>
      </c>
      <c r="B757" s="9">
        <v>33535</v>
      </c>
      <c r="C757" s="9">
        <v>5902557342358</v>
      </c>
      <c r="D757" s="10" t="s">
        <v>1518</v>
      </c>
      <c r="E757" s="9">
        <v>221</v>
      </c>
      <c r="F757" s="11">
        <v>45667</v>
      </c>
      <c r="G757" s="8"/>
    </row>
    <row r="758" spans="1:7" ht="18.75" customHeight="1" x14ac:dyDescent="0.2">
      <c r="A758" s="8" t="s">
        <v>1519</v>
      </c>
      <c r="B758" s="9">
        <v>33536</v>
      </c>
      <c r="C758" s="9">
        <v>5902557342365</v>
      </c>
      <c r="D758" s="10" t="s">
        <v>1520</v>
      </c>
      <c r="E758" s="9">
        <v>228</v>
      </c>
      <c r="F758" s="11">
        <v>45667</v>
      </c>
      <c r="G758" s="8"/>
    </row>
    <row r="759" spans="1:7" ht="18.75" customHeight="1" x14ac:dyDescent="0.2">
      <c r="A759" s="8" t="s">
        <v>1521</v>
      </c>
      <c r="B759" s="9">
        <v>33537</v>
      </c>
      <c r="C759" s="9">
        <v>5902557342372</v>
      </c>
      <c r="D759" s="10" t="s">
        <v>1522</v>
      </c>
      <c r="E759" s="9">
        <v>235</v>
      </c>
      <c r="F759" s="11">
        <v>45736</v>
      </c>
      <c r="G759" s="8"/>
    </row>
    <row r="760" spans="1:7" ht="18.75" customHeight="1" x14ac:dyDescent="0.2">
      <c r="A760" s="8" t="s">
        <v>1523</v>
      </c>
      <c r="B760" s="9">
        <v>33538</v>
      </c>
      <c r="C760" s="9">
        <v>5902557342389</v>
      </c>
      <c r="D760" s="10" t="s">
        <v>1524</v>
      </c>
      <c r="E760" s="9">
        <v>242</v>
      </c>
      <c r="F760" s="11">
        <v>45265</v>
      </c>
      <c r="G760" s="8"/>
    </row>
    <row r="761" spans="1:7" ht="18.75" customHeight="1" x14ac:dyDescent="0.2">
      <c r="A761" s="8" t="s">
        <v>1525</v>
      </c>
      <c r="B761" s="9">
        <v>33539</v>
      </c>
      <c r="C761" s="9">
        <v>5902557342396</v>
      </c>
      <c r="D761" s="10" t="s">
        <v>1526</v>
      </c>
      <c r="E761" s="9">
        <v>244</v>
      </c>
      <c r="F761" s="11">
        <v>45615</v>
      </c>
      <c r="G761" s="8"/>
    </row>
    <row r="762" spans="1:7" ht="18.75" customHeight="1" x14ac:dyDescent="0.2">
      <c r="A762" s="8" t="s">
        <v>1527</v>
      </c>
      <c r="B762" s="9">
        <v>33540</v>
      </c>
      <c r="C762" s="9">
        <v>5902557342402</v>
      </c>
      <c r="D762" s="10" t="s">
        <v>1528</v>
      </c>
      <c r="E762" s="9">
        <v>259</v>
      </c>
      <c r="F762" s="11">
        <v>45667</v>
      </c>
      <c r="G762" s="8"/>
    </row>
    <row r="763" spans="1:7" ht="18.75" customHeight="1" x14ac:dyDescent="0.2">
      <c r="A763" s="8" t="s">
        <v>1529</v>
      </c>
      <c r="B763" s="9">
        <v>53740</v>
      </c>
      <c r="C763" s="9">
        <v>5906366003165</v>
      </c>
      <c r="D763" s="10" t="s">
        <v>1530</v>
      </c>
      <c r="E763" s="9">
        <v>296</v>
      </c>
      <c r="F763" s="11">
        <v>45506</v>
      </c>
      <c r="G763" s="8"/>
    </row>
    <row r="764" spans="1:7" ht="18.75" customHeight="1" x14ac:dyDescent="0.2">
      <c r="A764" s="8" t="s">
        <v>1531</v>
      </c>
      <c r="B764" s="9">
        <v>53742</v>
      </c>
      <c r="C764" s="9">
        <v>5906366003172</v>
      </c>
      <c r="D764" s="10" t="s">
        <v>1532</v>
      </c>
      <c r="E764" s="9">
        <v>306</v>
      </c>
      <c r="F764" s="11">
        <v>45506</v>
      </c>
      <c r="G764" s="8"/>
    </row>
    <row r="765" spans="1:7" ht="18.75" customHeight="1" x14ac:dyDescent="0.2">
      <c r="A765" s="8" t="s">
        <v>1533</v>
      </c>
      <c r="B765" s="9">
        <v>49309</v>
      </c>
      <c r="C765" s="9">
        <v>5902557376926</v>
      </c>
      <c r="D765" s="10" t="s">
        <v>1534</v>
      </c>
      <c r="E765" s="9">
        <v>197</v>
      </c>
      <c r="F765" s="11">
        <v>45667</v>
      </c>
      <c r="G765" s="8"/>
    </row>
    <row r="766" spans="1:7" ht="18.75" customHeight="1" x14ac:dyDescent="0.2">
      <c r="A766" s="8" t="s">
        <v>1535</v>
      </c>
      <c r="B766" s="9">
        <v>49310</v>
      </c>
      <c r="C766" s="9">
        <v>5902557376933</v>
      </c>
      <c r="D766" s="10" t="s">
        <v>1536</v>
      </c>
      <c r="E766" s="9">
        <v>205</v>
      </c>
      <c r="F766" s="11">
        <v>45615</v>
      </c>
      <c r="G766" s="8"/>
    </row>
    <row r="767" spans="1:7" ht="18.75" customHeight="1" x14ac:dyDescent="0.2">
      <c r="A767" s="8" t="s">
        <v>1537</v>
      </c>
      <c r="B767" s="9">
        <v>49311</v>
      </c>
      <c r="C767" s="9">
        <v>5902557376940</v>
      </c>
      <c r="D767" s="10" t="s">
        <v>1538</v>
      </c>
      <c r="E767" s="9">
        <v>211</v>
      </c>
      <c r="F767" s="11">
        <v>45376</v>
      </c>
      <c r="G767" s="8"/>
    </row>
    <row r="768" spans="1:7" ht="18.75" customHeight="1" x14ac:dyDescent="0.2">
      <c r="A768" s="8" t="s">
        <v>1539</v>
      </c>
      <c r="B768" s="9">
        <v>49312</v>
      </c>
      <c r="C768" s="9">
        <v>5902557376957</v>
      </c>
      <c r="D768" s="10" t="s">
        <v>1540</v>
      </c>
      <c r="E768" s="9">
        <v>215</v>
      </c>
      <c r="F768" s="11">
        <v>45376</v>
      </c>
      <c r="G768" s="8"/>
    </row>
    <row r="769" spans="1:7" ht="18.75" customHeight="1" x14ac:dyDescent="0.2">
      <c r="A769" s="8" t="s">
        <v>1541</v>
      </c>
      <c r="B769" s="9">
        <v>49313</v>
      </c>
      <c r="C769" s="9">
        <v>5902557376964</v>
      </c>
      <c r="D769" s="10" t="s">
        <v>1542</v>
      </c>
      <c r="E769" s="9">
        <v>224</v>
      </c>
      <c r="F769" s="11">
        <v>45615</v>
      </c>
      <c r="G769" s="8"/>
    </row>
    <row r="770" spans="1:7" ht="18.75" customHeight="1" x14ac:dyDescent="0.2">
      <c r="A770" s="8" t="s">
        <v>1543</v>
      </c>
      <c r="B770" s="9">
        <v>49314</v>
      </c>
      <c r="C770" s="9">
        <v>5902557376971</v>
      </c>
      <c r="D770" s="10" t="s">
        <v>1544</v>
      </c>
      <c r="E770" s="9">
        <v>235</v>
      </c>
      <c r="F770" s="11">
        <v>45667</v>
      </c>
      <c r="G770" s="8"/>
    </row>
    <row r="771" spans="1:7" ht="18.75" customHeight="1" x14ac:dyDescent="0.2">
      <c r="A771" s="8" t="s">
        <v>1545</v>
      </c>
      <c r="B771" s="9">
        <v>49308</v>
      </c>
      <c r="C771" s="9">
        <v>5902557377046</v>
      </c>
      <c r="D771" s="10" t="s">
        <v>1546</v>
      </c>
      <c r="E771" s="9">
        <v>259</v>
      </c>
      <c r="F771" s="11">
        <v>45506</v>
      </c>
      <c r="G771" s="8"/>
    </row>
    <row r="772" spans="1:7" ht="18.75" customHeight="1" x14ac:dyDescent="0.2">
      <c r="A772" s="8" t="s">
        <v>1547</v>
      </c>
      <c r="B772" s="9">
        <v>49307</v>
      </c>
      <c r="C772" s="9">
        <v>5902557377053</v>
      </c>
      <c r="D772" s="10" t="s">
        <v>1548</v>
      </c>
      <c r="E772" s="9">
        <v>238</v>
      </c>
      <c r="F772" s="11">
        <v>45736</v>
      </c>
      <c r="G772" s="8"/>
    </row>
    <row r="773" spans="1:7" ht="18.75" customHeight="1" x14ac:dyDescent="0.2">
      <c r="A773" s="8" t="s">
        <v>1549</v>
      </c>
      <c r="B773" s="9">
        <v>49306</v>
      </c>
      <c r="C773" s="9">
        <v>5902557377060</v>
      </c>
      <c r="D773" s="10" t="s">
        <v>1550</v>
      </c>
      <c r="E773" s="9">
        <v>278</v>
      </c>
      <c r="F773" s="11">
        <v>45376</v>
      </c>
      <c r="G773" s="8"/>
    </row>
    <row r="774" spans="1:7" ht="18.75" customHeight="1" x14ac:dyDescent="0.2">
      <c r="A774" s="8" t="s">
        <v>1551</v>
      </c>
      <c r="B774" s="9">
        <v>49305</v>
      </c>
      <c r="C774" s="9">
        <v>5902557377077</v>
      </c>
      <c r="D774" s="10" t="s">
        <v>1552</v>
      </c>
      <c r="E774" s="9">
        <v>242</v>
      </c>
      <c r="F774" s="11">
        <v>45736</v>
      </c>
      <c r="G774" s="8"/>
    </row>
    <row r="775" spans="1:7" ht="18.75" customHeight="1" x14ac:dyDescent="0.2">
      <c r="A775" s="8" t="s">
        <v>1553</v>
      </c>
      <c r="B775" s="9">
        <v>49304</v>
      </c>
      <c r="C775" s="9">
        <v>5902557377084</v>
      </c>
      <c r="D775" s="10" t="s">
        <v>1554</v>
      </c>
      <c r="E775" s="9">
        <v>292</v>
      </c>
      <c r="F775" s="11">
        <v>45359</v>
      </c>
      <c r="G775" s="8"/>
    </row>
    <row r="776" spans="1:7" ht="18.75" customHeight="1" x14ac:dyDescent="0.2">
      <c r="A776" s="8" t="s">
        <v>1555</v>
      </c>
      <c r="B776" s="9">
        <v>49298</v>
      </c>
      <c r="C776" s="9">
        <v>5902557377091</v>
      </c>
      <c r="D776" s="10" t="s">
        <v>1556</v>
      </c>
      <c r="E776" s="9">
        <v>301</v>
      </c>
      <c r="F776" s="11">
        <v>45667</v>
      </c>
      <c r="G776" s="8"/>
    </row>
    <row r="777" spans="1:7" ht="18.75" customHeight="1" x14ac:dyDescent="0.2">
      <c r="A777" s="8" t="s">
        <v>1557</v>
      </c>
      <c r="B777" s="9">
        <v>50103</v>
      </c>
      <c r="C777" s="9">
        <v>5902557385188</v>
      </c>
      <c r="D777" s="10" t="s">
        <v>1558</v>
      </c>
      <c r="E777" s="9">
        <v>270</v>
      </c>
      <c r="F777" s="11">
        <v>45506</v>
      </c>
      <c r="G777" s="8"/>
    </row>
    <row r="778" spans="1:7" ht="18.75" customHeight="1" x14ac:dyDescent="0.2">
      <c r="A778" s="8" t="s">
        <v>1559</v>
      </c>
      <c r="B778" s="9">
        <v>50149</v>
      </c>
      <c r="C778" s="9">
        <v>5902557385195</v>
      </c>
      <c r="D778" s="10" t="s">
        <v>1560</v>
      </c>
      <c r="E778" s="9">
        <v>272</v>
      </c>
      <c r="F778" s="11">
        <v>45615</v>
      </c>
      <c r="G778" s="8"/>
    </row>
    <row r="779" spans="1:7" ht="18.75" customHeight="1" x14ac:dyDescent="0.2">
      <c r="A779" s="8" t="s">
        <v>1561</v>
      </c>
      <c r="B779" s="9">
        <v>50151</v>
      </c>
      <c r="C779" s="9">
        <v>5902557385201</v>
      </c>
      <c r="D779" s="10" t="s">
        <v>1562</v>
      </c>
      <c r="E779" s="9">
        <v>289</v>
      </c>
      <c r="F779" s="11">
        <v>45506</v>
      </c>
      <c r="G779" s="8"/>
    </row>
    <row r="780" spans="1:7" ht="18.75" customHeight="1" x14ac:dyDescent="0.2">
      <c r="A780" s="8" t="s">
        <v>1563</v>
      </c>
      <c r="B780" s="9">
        <v>45016</v>
      </c>
      <c r="C780" s="9">
        <v>5902557342440</v>
      </c>
      <c r="D780" s="10" t="s">
        <v>1564</v>
      </c>
      <c r="E780" s="9">
        <v>213</v>
      </c>
      <c r="F780" s="11">
        <v>45376</v>
      </c>
      <c r="G780" s="8"/>
    </row>
    <row r="781" spans="1:7" ht="18.75" customHeight="1" x14ac:dyDescent="0.2">
      <c r="A781" s="8" t="s">
        <v>1565</v>
      </c>
      <c r="B781" s="9">
        <v>52910</v>
      </c>
      <c r="C781" s="9">
        <v>5902557342464</v>
      </c>
      <c r="D781" s="10" t="s">
        <v>1566</v>
      </c>
      <c r="E781" s="9">
        <v>235</v>
      </c>
      <c r="F781" s="11">
        <v>45506</v>
      </c>
      <c r="G781" s="8"/>
    </row>
    <row r="782" spans="1:7" ht="18.75" customHeight="1" x14ac:dyDescent="0.2">
      <c r="A782" s="8" t="s">
        <v>1567</v>
      </c>
      <c r="B782" s="9">
        <v>45013</v>
      </c>
      <c r="C782" s="9">
        <v>5902557342419</v>
      </c>
      <c r="D782" s="10" t="s">
        <v>1568</v>
      </c>
      <c r="E782" s="9">
        <v>195</v>
      </c>
      <c r="F782" s="11">
        <v>45387</v>
      </c>
      <c r="G782" s="8"/>
    </row>
    <row r="783" spans="1:7" ht="18.75" customHeight="1" x14ac:dyDescent="0.2">
      <c r="A783" s="8" t="s">
        <v>1569</v>
      </c>
      <c r="B783" s="9">
        <v>45014</v>
      </c>
      <c r="C783" s="9">
        <v>5902557342426</v>
      </c>
      <c r="D783" s="10" t="s">
        <v>1570</v>
      </c>
      <c r="E783" s="9">
        <v>199</v>
      </c>
      <c r="F783" s="11">
        <v>45376</v>
      </c>
      <c r="G783" s="8"/>
    </row>
    <row r="784" spans="1:7" ht="18.75" customHeight="1" x14ac:dyDescent="0.2">
      <c r="A784" s="8" t="s">
        <v>1571</v>
      </c>
      <c r="B784" s="9">
        <v>45015</v>
      </c>
      <c r="C784" s="9">
        <v>5902557342433</v>
      </c>
      <c r="D784" s="10" t="s">
        <v>1572</v>
      </c>
      <c r="E784" s="9">
        <v>206</v>
      </c>
      <c r="F784" s="11">
        <v>45376</v>
      </c>
      <c r="G784" s="8"/>
    </row>
    <row r="785" spans="1:7" ht="18.75" customHeight="1" x14ac:dyDescent="0.2">
      <c r="A785" s="8" t="s">
        <v>1573</v>
      </c>
      <c r="B785" s="9">
        <v>49143</v>
      </c>
      <c r="C785" s="9">
        <v>5902557376995</v>
      </c>
      <c r="D785" s="10" t="s">
        <v>1574</v>
      </c>
      <c r="E785" s="9">
        <v>216</v>
      </c>
      <c r="F785" s="11">
        <v>45679</v>
      </c>
      <c r="G785" s="8"/>
    </row>
    <row r="786" spans="1:7" ht="18.75" customHeight="1" x14ac:dyDescent="0.2">
      <c r="A786" s="8" t="s">
        <v>1575</v>
      </c>
      <c r="B786" s="9">
        <v>49142</v>
      </c>
      <c r="C786" s="9">
        <v>5902557376988</v>
      </c>
      <c r="D786" s="10" t="s">
        <v>1576</v>
      </c>
      <c r="E786" s="9">
        <v>202</v>
      </c>
      <c r="F786" s="11">
        <v>45679</v>
      </c>
      <c r="G786" s="8"/>
    </row>
    <row r="787" spans="1:7" ht="18.75" customHeight="1" x14ac:dyDescent="0.2">
      <c r="A787" s="8" t="s">
        <v>1577</v>
      </c>
      <c r="B787" s="9">
        <v>49128</v>
      </c>
      <c r="C787" s="9">
        <v>5902557377114</v>
      </c>
      <c r="D787" s="10" t="s">
        <v>1578</v>
      </c>
      <c r="E787" s="9">
        <v>274</v>
      </c>
      <c r="F787" s="11">
        <v>45615</v>
      </c>
      <c r="G787" s="8"/>
    </row>
    <row r="788" spans="1:7" ht="18.75" customHeight="1" x14ac:dyDescent="0.2">
      <c r="A788" s="8" t="s">
        <v>1579</v>
      </c>
      <c r="B788" s="9">
        <v>49129</v>
      </c>
      <c r="C788" s="9">
        <v>5902557377107</v>
      </c>
      <c r="D788" s="10" t="s">
        <v>1580</v>
      </c>
      <c r="E788" s="9">
        <v>267</v>
      </c>
      <c r="F788" s="11">
        <v>45615</v>
      </c>
      <c r="G788" s="8"/>
    </row>
    <row r="789" spans="1:7" ht="18.75" customHeight="1" x14ac:dyDescent="0.2">
      <c r="A789" s="8" t="s">
        <v>1581</v>
      </c>
      <c r="B789" s="9">
        <v>53356</v>
      </c>
      <c r="C789" s="9">
        <v>5902557398867</v>
      </c>
      <c r="D789" s="10" t="s">
        <v>1582</v>
      </c>
      <c r="E789" s="9">
        <v>274</v>
      </c>
      <c r="F789" s="11">
        <v>45615</v>
      </c>
      <c r="G789" s="8"/>
    </row>
    <row r="790" spans="1:7" ht="18.75" customHeight="1" x14ac:dyDescent="0.2">
      <c r="A790" s="8" t="s">
        <v>1583</v>
      </c>
      <c r="B790" s="9">
        <v>53357</v>
      </c>
      <c r="C790" s="9">
        <v>5902557398874</v>
      </c>
      <c r="D790" s="10" t="s">
        <v>1584</v>
      </c>
      <c r="E790" s="9">
        <v>270</v>
      </c>
      <c r="F790" s="11">
        <v>45615</v>
      </c>
      <c r="G790" s="8"/>
    </row>
    <row r="791" spans="1:7" ht="18.75" customHeight="1" x14ac:dyDescent="0.2">
      <c r="A791" s="8" t="s">
        <v>1585</v>
      </c>
      <c r="B791" s="9"/>
      <c r="C791" s="9">
        <v>5902557307494</v>
      </c>
      <c r="D791" s="10" t="s">
        <v>1586</v>
      </c>
      <c r="E791" s="9">
        <v>110</v>
      </c>
      <c r="F791" s="11">
        <v>45265</v>
      </c>
      <c r="G791" s="8"/>
    </row>
    <row r="792" spans="1:7" ht="18.75" customHeight="1" x14ac:dyDescent="0.2">
      <c r="A792" s="8" t="s">
        <v>1587</v>
      </c>
      <c r="B792" s="9">
        <v>46324</v>
      </c>
      <c r="C792" s="9">
        <v>5902557336791</v>
      </c>
      <c r="D792" s="10" t="s">
        <v>1588</v>
      </c>
      <c r="E792" s="9">
        <v>134</v>
      </c>
      <c r="F792" s="11">
        <v>45265</v>
      </c>
      <c r="G792" s="8"/>
    </row>
    <row r="793" spans="1:7" ht="18.75" customHeight="1" x14ac:dyDescent="0.2">
      <c r="A793" s="8" t="s">
        <v>1589</v>
      </c>
      <c r="B793" s="9">
        <v>46391</v>
      </c>
      <c r="C793" s="9">
        <v>5902557329786</v>
      </c>
      <c r="D793" s="10" t="s">
        <v>1590</v>
      </c>
      <c r="E793" s="9">
        <v>152</v>
      </c>
      <c r="F793" s="11">
        <v>45265</v>
      </c>
      <c r="G793" s="8"/>
    </row>
    <row r="794" spans="1:7" ht="18.75" customHeight="1" x14ac:dyDescent="0.2">
      <c r="A794" s="8" t="s">
        <v>1591</v>
      </c>
      <c r="B794" s="9">
        <v>46393</v>
      </c>
      <c r="C794" s="9">
        <v>5902557329809</v>
      </c>
      <c r="D794" s="10" t="s">
        <v>1592</v>
      </c>
      <c r="E794" s="9">
        <v>167</v>
      </c>
      <c r="F794" s="11">
        <v>45265</v>
      </c>
      <c r="G794" s="8"/>
    </row>
    <row r="795" spans="1:7" ht="18.75" customHeight="1" x14ac:dyDescent="0.2">
      <c r="A795" s="8" t="s">
        <v>1593</v>
      </c>
      <c r="B795" s="9"/>
      <c r="C795" s="9">
        <v>5902557329816</v>
      </c>
      <c r="D795" s="10" t="s">
        <v>1594</v>
      </c>
      <c r="E795" s="9">
        <v>174</v>
      </c>
      <c r="F795" s="11">
        <v>45265</v>
      </c>
      <c r="G795" s="8"/>
    </row>
    <row r="796" spans="1:7" ht="18.75" customHeight="1" x14ac:dyDescent="0.2">
      <c r="A796" s="8" t="s">
        <v>1595</v>
      </c>
      <c r="B796" s="9">
        <v>46395</v>
      </c>
      <c r="C796" s="9">
        <v>5902557329823</v>
      </c>
      <c r="D796" s="10" t="s">
        <v>1596</v>
      </c>
      <c r="E796" s="9">
        <v>168</v>
      </c>
      <c r="F796" s="11">
        <v>45265</v>
      </c>
      <c r="G796" s="8"/>
    </row>
    <row r="797" spans="1:7" ht="18.75" customHeight="1" x14ac:dyDescent="0.2">
      <c r="A797" s="8" t="s">
        <v>1597</v>
      </c>
      <c r="B797" s="9">
        <v>46396</v>
      </c>
      <c r="C797" s="9">
        <v>5902557329830</v>
      </c>
      <c r="D797" s="10" t="s">
        <v>1598</v>
      </c>
      <c r="E797" s="9">
        <v>175</v>
      </c>
      <c r="F797" s="11">
        <v>45265</v>
      </c>
      <c r="G797" s="8"/>
    </row>
    <row r="798" spans="1:7" ht="18.75" customHeight="1" x14ac:dyDescent="0.2">
      <c r="A798" s="8" t="s">
        <v>1599</v>
      </c>
      <c r="B798" s="9">
        <v>42487</v>
      </c>
      <c r="C798" s="9">
        <v>5902557337477</v>
      </c>
      <c r="D798" s="10" t="s">
        <v>1600</v>
      </c>
      <c r="E798" s="9">
        <v>219</v>
      </c>
      <c r="F798" s="11">
        <v>45265</v>
      </c>
      <c r="G798" s="8"/>
    </row>
    <row r="799" spans="1:7" ht="18.75" customHeight="1" x14ac:dyDescent="0.2">
      <c r="A799" s="8" t="s">
        <v>1601</v>
      </c>
      <c r="B799" s="9">
        <v>42491</v>
      </c>
      <c r="C799" s="9">
        <v>5902557333035</v>
      </c>
      <c r="D799" s="10" t="s">
        <v>1602</v>
      </c>
      <c r="E799" s="9">
        <v>228</v>
      </c>
      <c r="F799" s="11">
        <v>45679</v>
      </c>
      <c r="G799" s="8"/>
    </row>
    <row r="800" spans="1:7" ht="18.75" customHeight="1" x14ac:dyDescent="0.2">
      <c r="A800" s="8" t="s">
        <v>1603</v>
      </c>
      <c r="B800" s="9">
        <v>33684</v>
      </c>
      <c r="C800" s="9">
        <v>5902557344956</v>
      </c>
      <c r="D800" s="10" t="s">
        <v>1604</v>
      </c>
      <c r="E800" s="9">
        <v>259</v>
      </c>
      <c r="F800" s="11">
        <v>45679</v>
      </c>
      <c r="G800" s="8"/>
    </row>
    <row r="801" spans="1:7" ht="18.75" customHeight="1" x14ac:dyDescent="0.2">
      <c r="A801" s="8" t="s">
        <v>1605</v>
      </c>
      <c r="B801" s="9">
        <v>33685</v>
      </c>
      <c r="C801" s="9">
        <v>5902557344963</v>
      </c>
      <c r="D801" s="10" t="s">
        <v>1606</v>
      </c>
      <c r="E801" s="9">
        <v>249</v>
      </c>
      <c r="F801" s="11">
        <v>45679</v>
      </c>
      <c r="G801" s="8"/>
    </row>
    <row r="802" spans="1:7" ht="18.75" customHeight="1" x14ac:dyDescent="0.2">
      <c r="A802" s="8" t="s">
        <v>1607</v>
      </c>
      <c r="B802" s="9">
        <v>33686</v>
      </c>
      <c r="C802" s="9">
        <v>5902557344970</v>
      </c>
      <c r="D802" s="10" t="s">
        <v>1608</v>
      </c>
      <c r="E802" s="9">
        <v>259</v>
      </c>
      <c r="F802" s="11">
        <v>45679</v>
      </c>
      <c r="G802" s="8"/>
    </row>
    <row r="803" spans="1:7" ht="18.75" customHeight="1" x14ac:dyDescent="0.2">
      <c r="A803" s="8" t="s">
        <v>1609</v>
      </c>
      <c r="B803" s="9">
        <v>42486</v>
      </c>
      <c r="C803" s="9">
        <v>5902557337484</v>
      </c>
      <c r="D803" s="10" t="s">
        <v>1610</v>
      </c>
      <c r="E803" s="9">
        <v>218</v>
      </c>
      <c r="F803" s="11">
        <v>45610</v>
      </c>
      <c r="G803" s="8"/>
    </row>
    <row r="804" spans="1:7" ht="18.75" customHeight="1" x14ac:dyDescent="0.2">
      <c r="A804" s="8" t="s">
        <v>1611</v>
      </c>
      <c r="B804" s="9">
        <v>42877</v>
      </c>
      <c r="C804" s="9">
        <v>5902557364169</v>
      </c>
      <c r="D804" s="10" t="s">
        <v>1612</v>
      </c>
      <c r="E804" s="9">
        <v>267</v>
      </c>
      <c r="F804" s="11">
        <v>45265</v>
      </c>
      <c r="G804" s="8"/>
    </row>
    <row r="805" spans="1:7" ht="18.75" customHeight="1" x14ac:dyDescent="0.2">
      <c r="A805" s="8" t="s">
        <v>1613</v>
      </c>
      <c r="B805" s="9">
        <v>42879</v>
      </c>
      <c r="C805" s="9">
        <v>5902557364176</v>
      </c>
      <c r="D805" s="10" t="s">
        <v>1614</v>
      </c>
      <c r="E805" s="9">
        <v>277</v>
      </c>
      <c r="F805" s="11">
        <v>45265</v>
      </c>
      <c r="G805" s="8"/>
    </row>
    <row r="806" spans="1:7" ht="18.75" customHeight="1" x14ac:dyDescent="0.2">
      <c r="A806" s="8" t="s">
        <v>1615</v>
      </c>
      <c r="B806" s="9">
        <v>1996</v>
      </c>
      <c r="C806" s="9">
        <v>5902557308507</v>
      </c>
      <c r="D806" s="10" t="s">
        <v>1616</v>
      </c>
      <c r="E806" s="9">
        <v>184</v>
      </c>
      <c r="F806" s="11">
        <v>45265</v>
      </c>
      <c r="G806" s="8"/>
    </row>
    <row r="807" spans="1:7" ht="18.75" customHeight="1" x14ac:dyDescent="0.2">
      <c r="A807" s="8" t="s">
        <v>1617</v>
      </c>
      <c r="B807" s="9">
        <v>29467</v>
      </c>
      <c r="C807" s="9">
        <v>5902557329335</v>
      </c>
      <c r="D807" s="10" t="s">
        <v>1618</v>
      </c>
      <c r="E807" s="9">
        <v>180</v>
      </c>
      <c r="F807" s="11">
        <v>45265</v>
      </c>
      <c r="G807" s="8"/>
    </row>
    <row r="808" spans="1:7" ht="18.75" customHeight="1" x14ac:dyDescent="0.2">
      <c r="A808" s="8" t="s">
        <v>1619</v>
      </c>
      <c r="B808" s="9">
        <v>40351</v>
      </c>
      <c r="C808" s="9">
        <v>5902557329311</v>
      </c>
      <c r="D808" s="10" t="s">
        <v>1620</v>
      </c>
      <c r="E808" s="9">
        <v>258</v>
      </c>
      <c r="F808" s="11">
        <v>45265</v>
      </c>
      <c r="G808" s="8"/>
    </row>
    <row r="809" spans="1:7" ht="18.75" customHeight="1" x14ac:dyDescent="0.2">
      <c r="A809" s="8" t="s">
        <v>1621</v>
      </c>
      <c r="B809" s="9">
        <v>40352</v>
      </c>
      <c r="C809" s="9">
        <v>5902557329328</v>
      </c>
      <c r="D809" s="10" t="s">
        <v>1622</v>
      </c>
      <c r="E809" s="9">
        <v>178</v>
      </c>
      <c r="F809" s="11">
        <v>45265</v>
      </c>
      <c r="G809" s="8"/>
    </row>
    <row r="810" spans="1:7" ht="18.75" customHeight="1" x14ac:dyDescent="0.2">
      <c r="A810" s="8" t="s">
        <v>1623</v>
      </c>
      <c r="B810" s="9"/>
      <c r="C810" s="9">
        <v>5902557316823</v>
      </c>
      <c r="D810" s="10" t="s">
        <v>1624</v>
      </c>
      <c r="E810" s="9">
        <v>308</v>
      </c>
      <c r="F810" s="11">
        <v>45265</v>
      </c>
      <c r="G810" s="8"/>
    </row>
    <row r="811" spans="1:7" ht="18.75" customHeight="1" x14ac:dyDescent="0.2">
      <c r="A811" s="8" t="s">
        <v>1625</v>
      </c>
      <c r="B811" s="9">
        <v>2127</v>
      </c>
      <c r="C811" s="9">
        <v>5902557306084</v>
      </c>
      <c r="D811" s="10" t="s">
        <v>1626</v>
      </c>
      <c r="E811" s="9">
        <v>313</v>
      </c>
      <c r="F811" s="11">
        <v>45265</v>
      </c>
      <c r="G811" s="8"/>
    </row>
    <row r="812" spans="1:7" ht="18.75" customHeight="1" x14ac:dyDescent="0.2">
      <c r="A812" s="8" t="s">
        <v>1627</v>
      </c>
      <c r="B812" s="9"/>
      <c r="C812" s="9">
        <v>5902557324385</v>
      </c>
      <c r="D812" s="10" t="s">
        <v>1628</v>
      </c>
      <c r="E812" s="9">
        <v>319</v>
      </c>
      <c r="F812" s="11">
        <v>45265</v>
      </c>
      <c r="G812" s="8"/>
    </row>
    <row r="813" spans="1:7" ht="18.75" customHeight="1" x14ac:dyDescent="0.2">
      <c r="A813" s="8" t="s">
        <v>1629</v>
      </c>
      <c r="B813" s="9"/>
      <c r="C813" s="9">
        <v>5902557351725</v>
      </c>
      <c r="D813" s="10" t="s">
        <v>1630</v>
      </c>
      <c r="E813" s="9">
        <v>257</v>
      </c>
      <c r="F813" s="11">
        <v>45265</v>
      </c>
      <c r="G813" s="8"/>
    </row>
    <row r="814" spans="1:7" ht="18.75" customHeight="1" x14ac:dyDescent="0.2">
      <c r="A814" s="8" t="s">
        <v>1631</v>
      </c>
      <c r="B814" s="9"/>
      <c r="C814" s="9">
        <v>5902557351701</v>
      </c>
      <c r="D814" s="10" t="s">
        <v>1632</v>
      </c>
      <c r="E814" s="9">
        <v>293</v>
      </c>
      <c r="F814" s="11">
        <v>45265</v>
      </c>
      <c r="G814" s="8"/>
    </row>
    <row r="815" spans="1:7" ht="18.75" customHeight="1" x14ac:dyDescent="0.2">
      <c r="A815" s="8" t="s">
        <v>1633</v>
      </c>
      <c r="B815" s="9">
        <v>51619</v>
      </c>
      <c r="C815" s="9">
        <v>5902557351718</v>
      </c>
      <c r="D815" s="10" t="s">
        <v>1634</v>
      </c>
      <c r="E815" s="9">
        <v>346</v>
      </c>
      <c r="F815" s="11">
        <v>45265</v>
      </c>
      <c r="G815" s="8"/>
    </row>
    <row r="816" spans="1:7" ht="18.75" customHeight="1" x14ac:dyDescent="0.2">
      <c r="A816" s="8" t="s">
        <v>1635</v>
      </c>
      <c r="B816" s="9">
        <v>43296</v>
      </c>
      <c r="C816" s="9">
        <v>5902557367085</v>
      </c>
      <c r="D816" s="10" t="s">
        <v>1636</v>
      </c>
      <c r="E816" s="9">
        <v>273</v>
      </c>
      <c r="F816" s="11">
        <v>45469</v>
      </c>
      <c r="G816" s="8"/>
    </row>
    <row r="817" spans="1:7" ht="18.75" customHeight="1" x14ac:dyDescent="0.2">
      <c r="A817" s="8" t="s">
        <v>1637</v>
      </c>
      <c r="B817" s="9">
        <v>43292</v>
      </c>
      <c r="C817" s="9">
        <v>5902557367092</v>
      </c>
      <c r="D817" s="10" t="s">
        <v>1638</v>
      </c>
      <c r="E817" s="9">
        <v>236</v>
      </c>
      <c r="F817" s="11">
        <v>45736</v>
      </c>
      <c r="G817" s="8"/>
    </row>
    <row r="818" spans="1:7" ht="18.75" customHeight="1" x14ac:dyDescent="0.2">
      <c r="A818" s="8" t="s">
        <v>1639</v>
      </c>
      <c r="B818" s="9">
        <v>52397</v>
      </c>
      <c r="C818" s="9">
        <v>5902557396597</v>
      </c>
      <c r="D818" s="10" t="s">
        <v>1640</v>
      </c>
      <c r="E818" s="9">
        <v>206</v>
      </c>
      <c r="F818" s="11">
        <v>45357</v>
      </c>
      <c r="G818" s="8"/>
    </row>
    <row r="819" spans="1:7" ht="18.75" customHeight="1" x14ac:dyDescent="0.2">
      <c r="A819" s="8" t="s">
        <v>1641</v>
      </c>
      <c r="B819" s="9">
        <v>52395</v>
      </c>
      <c r="C819" s="9">
        <v>5902557396580</v>
      </c>
      <c r="D819" s="10" t="s">
        <v>1642</v>
      </c>
      <c r="E819" s="9">
        <v>192</v>
      </c>
      <c r="F819" s="11">
        <v>45357</v>
      </c>
      <c r="G819" s="8"/>
    </row>
    <row r="820" spans="1:7" ht="18.75" customHeight="1" x14ac:dyDescent="0.2">
      <c r="A820" s="8" t="s">
        <v>1643</v>
      </c>
      <c r="B820" s="9">
        <v>52392</v>
      </c>
      <c r="C820" s="9">
        <v>5902557396603</v>
      </c>
      <c r="D820" s="10" t="s">
        <v>1644</v>
      </c>
      <c r="E820" s="9">
        <v>199</v>
      </c>
      <c r="F820" s="11">
        <v>45357</v>
      </c>
      <c r="G820" s="8"/>
    </row>
    <row r="821" spans="1:7" ht="18.75" customHeight="1" x14ac:dyDescent="0.2">
      <c r="A821" s="8" t="s">
        <v>1645</v>
      </c>
      <c r="B821" s="9">
        <v>52386</v>
      </c>
      <c r="C821" s="9">
        <v>5902557396566</v>
      </c>
      <c r="D821" s="10" t="s">
        <v>1646</v>
      </c>
      <c r="E821" s="9">
        <v>232</v>
      </c>
      <c r="F821" s="11">
        <v>45352</v>
      </c>
      <c r="G821" s="8"/>
    </row>
    <row r="822" spans="1:7" ht="18.75" customHeight="1" x14ac:dyDescent="0.2">
      <c r="A822" s="8" t="s">
        <v>1647</v>
      </c>
      <c r="B822" s="9">
        <v>52377</v>
      </c>
      <c r="C822" s="9">
        <v>5902557396559</v>
      </c>
      <c r="D822" s="10" t="s">
        <v>1648</v>
      </c>
      <c r="E822" s="9">
        <v>217</v>
      </c>
      <c r="F822" s="11">
        <v>45611</v>
      </c>
      <c r="G822" s="8"/>
    </row>
    <row r="823" spans="1:7" ht="18.75" customHeight="1" x14ac:dyDescent="0.2">
      <c r="A823" s="8" t="s">
        <v>1649</v>
      </c>
      <c r="B823" s="9">
        <v>52382</v>
      </c>
      <c r="C823" s="9">
        <v>5902557396573</v>
      </c>
      <c r="D823" s="10" t="s">
        <v>1650</v>
      </c>
      <c r="E823" s="9">
        <v>230</v>
      </c>
      <c r="F823" s="11">
        <v>45673</v>
      </c>
      <c r="G823" s="8"/>
    </row>
    <row r="824" spans="1:7" ht="18.75" customHeight="1" x14ac:dyDescent="0.2">
      <c r="A824" s="8" t="s">
        <v>1651</v>
      </c>
      <c r="B824" s="9">
        <v>43247</v>
      </c>
      <c r="C824" s="9">
        <v>5902557366989</v>
      </c>
      <c r="D824" s="10" t="s">
        <v>1652</v>
      </c>
      <c r="E824" s="9">
        <v>217</v>
      </c>
      <c r="F824" s="11">
        <v>45265</v>
      </c>
      <c r="G824" s="8"/>
    </row>
    <row r="825" spans="1:7" ht="18.75" customHeight="1" x14ac:dyDescent="0.2">
      <c r="A825" s="8" t="s">
        <v>1653</v>
      </c>
      <c r="B825" s="9">
        <v>43314</v>
      </c>
      <c r="C825" s="9">
        <v>5902557366965</v>
      </c>
      <c r="D825" s="10" t="s">
        <v>1654</v>
      </c>
      <c r="E825" s="9">
        <v>191</v>
      </c>
      <c r="F825" s="11">
        <v>45265</v>
      </c>
      <c r="G825" s="8"/>
    </row>
    <row r="826" spans="1:7" ht="18.75" customHeight="1" x14ac:dyDescent="0.2">
      <c r="A826" s="8" t="s">
        <v>1655</v>
      </c>
      <c r="B826" s="9">
        <v>43189</v>
      </c>
      <c r="C826" s="9">
        <v>5902557366972</v>
      </c>
      <c r="D826" s="10" t="s">
        <v>1656</v>
      </c>
      <c r="E826" s="9">
        <v>214</v>
      </c>
      <c r="F826" s="11">
        <v>45265</v>
      </c>
      <c r="G826" s="8"/>
    </row>
    <row r="827" spans="1:7" ht="18.75" customHeight="1" x14ac:dyDescent="0.2">
      <c r="A827" s="8" t="s">
        <v>1657</v>
      </c>
      <c r="B827" s="9">
        <v>30574</v>
      </c>
      <c r="C827" s="9">
        <v>5902557340675</v>
      </c>
      <c r="D827" s="10" t="s">
        <v>1658</v>
      </c>
      <c r="E827" s="9">
        <v>201</v>
      </c>
      <c r="F827" s="11">
        <v>45265</v>
      </c>
      <c r="G827" s="8"/>
    </row>
    <row r="828" spans="1:7" ht="18.75" customHeight="1" x14ac:dyDescent="0.2">
      <c r="A828" s="8" t="s">
        <v>1659</v>
      </c>
      <c r="B828" s="9">
        <v>36674</v>
      </c>
      <c r="C828" s="9">
        <v>5902557345229</v>
      </c>
      <c r="D828" s="10" t="s">
        <v>1660</v>
      </c>
      <c r="E828" s="9">
        <v>435</v>
      </c>
      <c r="F828" s="11">
        <v>45439</v>
      </c>
      <c r="G828" s="8"/>
    </row>
    <row r="829" spans="1:7" ht="18.75" customHeight="1" x14ac:dyDescent="0.2">
      <c r="A829" s="8" t="s">
        <v>1661</v>
      </c>
      <c r="B829" s="9">
        <v>42233</v>
      </c>
      <c r="C829" s="9">
        <v>5902557351800</v>
      </c>
      <c r="D829" s="10" t="s">
        <v>1662</v>
      </c>
      <c r="E829" s="9">
        <v>343</v>
      </c>
      <c r="F829" s="11">
        <v>45490</v>
      </c>
      <c r="G829" s="8"/>
    </row>
    <row r="830" spans="1:7" ht="18.75" customHeight="1" x14ac:dyDescent="0.2">
      <c r="A830" s="8" t="s">
        <v>1663</v>
      </c>
      <c r="B830" s="9">
        <v>42230</v>
      </c>
      <c r="C830" s="9">
        <v>5902557345212</v>
      </c>
      <c r="D830" s="10" t="s">
        <v>1664</v>
      </c>
      <c r="E830" s="9">
        <v>346</v>
      </c>
      <c r="F830" s="11">
        <v>45321</v>
      </c>
      <c r="G830" s="8"/>
    </row>
    <row r="831" spans="1:7" ht="18.75" customHeight="1" x14ac:dyDescent="0.2">
      <c r="A831" s="8" t="s">
        <v>1665</v>
      </c>
      <c r="B831" s="9">
        <v>48841</v>
      </c>
      <c r="C831" s="9">
        <v>5902557377251</v>
      </c>
      <c r="D831" s="10" t="s">
        <v>1666</v>
      </c>
      <c r="E831" s="9">
        <v>462</v>
      </c>
      <c r="F831" s="11">
        <v>45359</v>
      </c>
      <c r="G831" s="8"/>
    </row>
    <row r="832" spans="1:7" ht="18.75" customHeight="1" x14ac:dyDescent="0.2">
      <c r="A832" s="8" t="s">
        <v>1667</v>
      </c>
      <c r="B832" s="9">
        <v>48735</v>
      </c>
      <c r="C832" s="9">
        <v>5902557377244</v>
      </c>
      <c r="D832" s="10" t="s">
        <v>1668</v>
      </c>
      <c r="E832" s="9">
        <v>415</v>
      </c>
      <c r="F832" s="11">
        <v>45265</v>
      </c>
      <c r="G832" s="8"/>
    </row>
    <row r="833" spans="1:7" ht="18.75" customHeight="1" x14ac:dyDescent="0.2">
      <c r="A833" s="8" t="s">
        <v>1669</v>
      </c>
      <c r="B833" s="9">
        <v>42227</v>
      </c>
      <c r="C833" s="9">
        <v>5902557355822</v>
      </c>
      <c r="D833" s="10" t="s">
        <v>1670</v>
      </c>
      <c r="E833" s="9">
        <v>434</v>
      </c>
      <c r="F833" s="11">
        <v>45610</v>
      </c>
      <c r="G833" s="8"/>
    </row>
    <row r="834" spans="1:7" ht="18.75" customHeight="1" x14ac:dyDescent="0.2">
      <c r="A834" s="8" t="s">
        <v>1671</v>
      </c>
      <c r="B834" s="9">
        <v>52864</v>
      </c>
      <c r="C834" s="9">
        <v>5902557333271</v>
      </c>
      <c r="D834" s="10" t="s">
        <v>1672</v>
      </c>
      <c r="E834" s="9">
        <v>383</v>
      </c>
      <c r="F834" s="11">
        <v>45387</v>
      </c>
      <c r="G834" s="8"/>
    </row>
    <row r="835" spans="1:7" ht="18.75" customHeight="1" x14ac:dyDescent="0.2">
      <c r="A835" s="8" t="s">
        <v>1673</v>
      </c>
      <c r="B835" s="9">
        <v>39097</v>
      </c>
      <c r="C835" s="9">
        <v>5902557354603</v>
      </c>
      <c r="D835" s="10" t="s">
        <v>1674</v>
      </c>
      <c r="E835" s="9">
        <v>412</v>
      </c>
      <c r="F835" s="11">
        <v>45387</v>
      </c>
      <c r="G835" s="8"/>
    </row>
    <row r="836" spans="1:7" ht="18.75" customHeight="1" x14ac:dyDescent="0.2">
      <c r="A836" s="8" t="s">
        <v>1675</v>
      </c>
      <c r="B836" s="9">
        <v>52850</v>
      </c>
      <c r="C836" s="9">
        <v>5902557342174</v>
      </c>
      <c r="D836" s="10" t="s">
        <v>1676</v>
      </c>
      <c r="E836" s="9">
        <v>376</v>
      </c>
      <c r="F836" s="11">
        <v>45679</v>
      </c>
      <c r="G836" s="8"/>
    </row>
    <row r="837" spans="1:7" ht="18.75" customHeight="1" x14ac:dyDescent="0.2">
      <c r="A837" s="8" t="s">
        <v>1677</v>
      </c>
      <c r="B837" s="9">
        <v>52859</v>
      </c>
      <c r="C837" s="9">
        <v>5902557366217</v>
      </c>
      <c r="D837" s="10" t="s">
        <v>1678</v>
      </c>
      <c r="E837" s="9">
        <v>577</v>
      </c>
      <c r="F837" s="11">
        <v>45265</v>
      </c>
      <c r="G837" s="8"/>
    </row>
    <row r="838" spans="1:7" ht="18.75" customHeight="1" x14ac:dyDescent="0.2">
      <c r="A838" s="8" t="s">
        <v>1679</v>
      </c>
      <c r="B838" s="9">
        <v>48733</v>
      </c>
      <c r="C838" s="9">
        <v>5902557377428</v>
      </c>
      <c r="D838" s="10" t="s">
        <v>1680</v>
      </c>
      <c r="E838" s="9">
        <v>487</v>
      </c>
      <c r="F838" s="11">
        <v>45679</v>
      </c>
      <c r="G838" s="8"/>
    </row>
    <row r="839" spans="1:7" ht="18.75" customHeight="1" x14ac:dyDescent="0.2">
      <c r="A839" s="8" t="s">
        <v>1681</v>
      </c>
      <c r="B839" s="9">
        <v>52853</v>
      </c>
      <c r="C839" s="9">
        <v>5902557355815</v>
      </c>
      <c r="D839" s="10" t="s">
        <v>1682</v>
      </c>
      <c r="E839" s="9">
        <v>463</v>
      </c>
      <c r="F839" s="11">
        <v>45679</v>
      </c>
      <c r="G839" s="8"/>
    </row>
    <row r="840" spans="1:7" ht="18.75" customHeight="1" x14ac:dyDescent="0.2">
      <c r="A840" s="8" t="s">
        <v>1683</v>
      </c>
      <c r="B840" s="9">
        <v>13238</v>
      </c>
      <c r="C840" s="9">
        <v>5902557328895</v>
      </c>
      <c r="D840" s="10" t="s">
        <v>1684</v>
      </c>
      <c r="E840" s="9">
        <v>309</v>
      </c>
      <c r="F840" s="11">
        <v>45265</v>
      </c>
      <c r="G840" s="8"/>
    </row>
    <row r="841" spans="1:7" ht="18.75" customHeight="1" x14ac:dyDescent="0.2">
      <c r="A841" s="8" t="s">
        <v>1685</v>
      </c>
      <c r="B841" s="9">
        <v>1327</v>
      </c>
      <c r="C841" s="9">
        <v>5902557341528</v>
      </c>
      <c r="D841" s="10" t="s">
        <v>1686</v>
      </c>
      <c r="E841" s="9">
        <v>353</v>
      </c>
      <c r="F841" s="11">
        <v>45679</v>
      </c>
      <c r="G841" s="8"/>
    </row>
    <row r="842" spans="1:7" ht="18.75" customHeight="1" x14ac:dyDescent="0.2">
      <c r="A842" s="8" t="s">
        <v>1687</v>
      </c>
      <c r="B842" s="9">
        <v>1328</v>
      </c>
      <c r="C842" s="9">
        <v>5902557341535</v>
      </c>
      <c r="D842" s="10" t="s">
        <v>1688</v>
      </c>
      <c r="E842" s="9">
        <v>371</v>
      </c>
      <c r="F842" s="11">
        <v>45376</v>
      </c>
      <c r="G842" s="8"/>
    </row>
    <row r="843" spans="1:7" ht="18.75" customHeight="1" x14ac:dyDescent="0.2">
      <c r="A843" s="8" t="s">
        <v>1689</v>
      </c>
      <c r="B843" s="9">
        <v>43300</v>
      </c>
      <c r="C843" s="9">
        <v>5902557367061</v>
      </c>
      <c r="D843" s="10" t="s">
        <v>1690</v>
      </c>
      <c r="E843" s="9">
        <v>279</v>
      </c>
      <c r="F843" s="11">
        <v>45406</v>
      </c>
      <c r="G843" s="8"/>
    </row>
    <row r="844" spans="1:7" ht="18.75" customHeight="1" x14ac:dyDescent="0.2">
      <c r="A844" s="8" t="s">
        <v>1691</v>
      </c>
      <c r="B844" s="9">
        <v>43304</v>
      </c>
      <c r="C844" s="9">
        <v>5902557367078</v>
      </c>
      <c r="D844" s="10" t="s">
        <v>1692</v>
      </c>
      <c r="E844" s="9">
        <v>298</v>
      </c>
      <c r="F844" s="11">
        <v>45330</v>
      </c>
      <c r="G844" s="8"/>
    </row>
    <row r="845" spans="1:7" ht="18.75" customHeight="1" x14ac:dyDescent="0.2">
      <c r="A845" s="8" t="s">
        <v>1693</v>
      </c>
      <c r="B845" s="9">
        <v>51772</v>
      </c>
      <c r="C845" s="9">
        <v>5902557376582</v>
      </c>
      <c r="D845" s="10" t="s">
        <v>1694</v>
      </c>
      <c r="E845" s="9">
        <v>510</v>
      </c>
      <c r="F845" s="11">
        <v>45546</v>
      </c>
      <c r="G845" s="8"/>
    </row>
    <row r="846" spans="1:7" ht="18.75" customHeight="1" x14ac:dyDescent="0.2">
      <c r="A846" s="8" t="s">
        <v>1695</v>
      </c>
      <c r="B846" s="9">
        <v>51746</v>
      </c>
      <c r="C846" s="9">
        <v>5902557376568</v>
      </c>
      <c r="D846" s="10" t="s">
        <v>1696</v>
      </c>
      <c r="E846" s="9">
        <v>488</v>
      </c>
      <c r="F846" s="11">
        <v>45265</v>
      </c>
      <c r="G846" s="8"/>
    </row>
    <row r="847" spans="1:7" ht="18.75" customHeight="1" x14ac:dyDescent="0.2">
      <c r="A847" s="8" t="s">
        <v>1697</v>
      </c>
      <c r="B847" s="9">
        <v>51759</v>
      </c>
      <c r="C847" s="9">
        <v>5902557376575</v>
      </c>
      <c r="D847" s="10" t="s">
        <v>1698</v>
      </c>
      <c r="E847" s="9">
        <v>504</v>
      </c>
      <c r="F847" s="11">
        <v>45265</v>
      </c>
      <c r="G847" s="8"/>
    </row>
    <row r="848" spans="1:7" ht="18.75" customHeight="1" x14ac:dyDescent="0.2">
      <c r="A848" s="8" t="s">
        <v>1699</v>
      </c>
      <c r="B848" s="9">
        <v>51917</v>
      </c>
      <c r="C848" s="9">
        <v>5902557376681</v>
      </c>
      <c r="D848" s="10" t="s">
        <v>1700</v>
      </c>
      <c r="E848" s="9">
        <v>494</v>
      </c>
      <c r="F848" s="11">
        <v>45546</v>
      </c>
      <c r="G848" s="8"/>
    </row>
    <row r="849" spans="1:7" ht="18.75" customHeight="1" x14ac:dyDescent="0.2">
      <c r="A849" s="8" t="s">
        <v>1701</v>
      </c>
      <c r="B849" s="9">
        <v>51939</v>
      </c>
      <c r="C849" s="9">
        <v>5902557376667</v>
      </c>
      <c r="D849" s="10" t="s">
        <v>1702</v>
      </c>
      <c r="E849" s="9">
        <v>429</v>
      </c>
      <c r="F849" s="11">
        <v>45265</v>
      </c>
      <c r="G849" s="8"/>
    </row>
    <row r="850" spans="1:7" ht="18.75" customHeight="1" x14ac:dyDescent="0.2">
      <c r="A850" s="8" t="s">
        <v>1703</v>
      </c>
      <c r="B850" s="9">
        <v>51928</v>
      </c>
      <c r="C850" s="9">
        <v>5902557376674</v>
      </c>
      <c r="D850" s="10" t="s">
        <v>1704</v>
      </c>
      <c r="E850" s="9">
        <v>484</v>
      </c>
      <c r="F850" s="11">
        <v>45575</v>
      </c>
      <c r="G850" s="8"/>
    </row>
    <row r="851" spans="1:7" ht="18.75" customHeight="1" x14ac:dyDescent="0.2">
      <c r="A851" s="8" t="s">
        <v>1705</v>
      </c>
      <c r="B851" s="9">
        <v>49573</v>
      </c>
      <c r="C851" s="9">
        <v>5902557380428</v>
      </c>
      <c r="D851" s="10" t="s">
        <v>1706</v>
      </c>
      <c r="E851" s="9">
        <v>207</v>
      </c>
      <c r="F851" s="11">
        <v>45293</v>
      </c>
      <c r="G851" s="8"/>
    </row>
    <row r="852" spans="1:7" ht="18.75" customHeight="1" x14ac:dyDescent="0.2">
      <c r="A852" s="8" t="s">
        <v>1707</v>
      </c>
      <c r="B852" s="9">
        <v>49655</v>
      </c>
      <c r="C852" s="9">
        <v>5902557380404</v>
      </c>
      <c r="D852" s="10" t="s">
        <v>1708</v>
      </c>
      <c r="E852" s="9">
        <v>184</v>
      </c>
      <c r="F852" s="11">
        <v>45265</v>
      </c>
      <c r="G852" s="8"/>
    </row>
    <row r="853" spans="1:7" ht="18.75" customHeight="1" x14ac:dyDescent="0.2">
      <c r="A853" s="8" t="s">
        <v>1709</v>
      </c>
      <c r="B853" s="9">
        <v>49656</v>
      </c>
      <c r="C853" s="9">
        <v>5902557380411</v>
      </c>
      <c r="D853" s="10" t="s">
        <v>1710</v>
      </c>
      <c r="E853" s="9">
        <v>204</v>
      </c>
      <c r="F853" s="11">
        <v>45351</v>
      </c>
      <c r="G853" s="8"/>
    </row>
    <row r="854" spans="1:7" ht="18.75" customHeight="1" x14ac:dyDescent="0.2">
      <c r="A854" s="8" t="s">
        <v>1711</v>
      </c>
      <c r="B854" s="9">
        <v>49643</v>
      </c>
      <c r="C854" s="9">
        <v>5902557380459</v>
      </c>
      <c r="D854" s="10" t="s">
        <v>1712</v>
      </c>
      <c r="E854" s="9">
        <v>202</v>
      </c>
      <c r="F854" s="11">
        <v>45293</v>
      </c>
      <c r="G854" s="8"/>
    </row>
    <row r="855" spans="1:7" ht="18.75" customHeight="1" x14ac:dyDescent="0.2">
      <c r="A855" s="8" t="s">
        <v>1713</v>
      </c>
      <c r="B855" s="9">
        <v>49641</v>
      </c>
      <c r="C855" s="9">
        <v>5902557380435</v>
      </c>
      <c r="D855" s="10" t="s">
        <v>1714</v>
      </c>
      <c r="E855" s="9">
        <v>200</v>
      </c>
      <c r="F855" s="11">
        <v>45435</v>
      </c>
      <c r="G855" s="8"/>
    </row>
    <row r="856" spans="1:7" ht="18.75" customHeight="1" x14ac:dyDescent="0.2">
      <c r="A856" s="8" t="s">
        <v>1715</v>
      </c>
      <c r="B856" s="9">
        <v>49642</v>
      </c>
      <c r="C856" s="9">
        <v>5902557380442</v>
      </c>
      <c r="D856" s="10" t="s">
        <v>1716</v>
      </c>
      <c r="E856" s="9">
        <v>201</v>
      </c>
      <c r="F856" s="11">
        <v>45265</v>
      </c>
      <c r="G856" s="8"/>
    </row>
    <row r="857" spans="1:7" ht="18.75" customHeight="1" x14ac:dyDescent="0.2">
      <c r="A857" s="8" t="s">
        <v>1717</v>
      </c>
      <c r="B857" s="9">
        <v>39321</v>
      </c>
      <c r="C857" s="9">
        <v>5902557330492</v>
      </c>
      <c r="D857" s="10" t="s">
        <v>1718</v>
      </c>
      <c r="E857" s="9">
        <v>256</v>
      </c>
      <c r="F857" s="11">
        <v>45265</v>
      </c>
      <c r="G857" s="8"/>
    </row>
    <row r="858" spans="1:7" ht="18.75" customHeight="1" x14ac:dyDescent="0.2">
      <c r="A858" s="8" t="s">
        <v>1719</v>
      </c>
      <c r="B858" s="9">
        <v>39320</v>
      </c>
      <c r="C858" s="9">
        <v>5902557330485</v>
      </c>
      <c r="D858" s="10" t="s">
        <v>1720</v>
      </c>
      <c r="E858" s="9">
        <v>292</v>
      </c>
      <c r="F858" s="11">
        <v>45265</v>
      </c>
      <c r="G858" s="8"/>
    </row>
    <row r="859" spans="1:7" ht="18.75" customHeight="1" x14ac:dyDescent="0.2">
      <c r="A859" s="8" t="s">
        <v>1721</v>
      </c>
      <c r="B859" s="9">
        <v>39319</v>
      </c>
      <c r="C859" s="9">
        <v>5902557330478</v>
      </c>
      <c r="D859" s="10" t="s">
        <v>1722</v>
      </c>
      <c r="E859" s="9">
        <v>387</v>
      </c>
      <c r="F859" s="11">
        <v>45265</v>
      </c>
      <c r="G859" s="8"/>
    </row>
    <row r="860" spans="1:7" ht="18.75" customHeight="1" x14ac:dyDescent="0.2">
      <c r="A860" s="8" t="s">
        <v>1723</v>
      </c>
      <c r="B860" s="9">
        <v>27318</v>
      </c>
      <c r="C860" s="9">
        <v>5902557330430</v>
      </c>
      <c r="D860" s="10" t="s">
        <v>1724</v>
      </c>
      <c r="E860" s="9">
        <v>283</v>
      </c>
      <c r="F860" s="11">
        <v>45265</v>
      </c>
      <c r="G860" s="8"/>
    </row>
    <row r="861" spans="1:7" ht="18.75" customHeight="1" x14ac:dyDescent="0.2">
      <c r="A861" s="8" t="s">
        <v>1725</v>
      </c>
      <c r="B861" s="9">
        <v>27303</v>
      </c>
      <c r="C861" s="9">
        <v>5902557330447</v>
      </c>
      <c r="D861" s="10" t="s">
        <v>1726</v>
      </c>
      <c r="E861" s="9">
        <v>294</v>
      </c>
      <c r="F861" s="11">
        <v>45265</v>
      </c>
      <c r="G861" s="8"/>
    </row>
    <row r="862" spans="1:7" ht="18.75" customHeight="1" x14ac:dyDescent="0.2">
      <c r="A862" s="8" t="s">
        <v>1727</v>
      </c>
      <c r="B862" s="9">
        <v>14482</v>
      </c>
      <c r="C862" s="9">
        <v>5902557330423</v>
      </c>
      <c r="D862" s="10" t="s">
        <v>1728</v>
      </c>
      <c r="E862" s="9">
        <v>406</v>
      </c>
      <c r="F862" s="11">
        <v>45265</v>
      </c>
      <c r="G862" s="8"/>
    </row>
    <row r="863" spans="1:7" ht="18.75" customHeight="1" x14ac:dyDescent="0.2">
      <c r="A863" s="8" t="s">
        <v>1729</v>
      </c>
      <c r="B863" s="9">
        <v>26041</v>
      </c>
      <c r="C863" s="9">
        <v>5902557306268</v>
      </c>
      <c r="D863" s="10" t="s">
        <v>1730</v>
      </c>
      <c r="E863" s="9">
        <v>284</v>
      </c>
      <c r="F863" s="11">
        <v>45265</v>
      </c>
      <c r="G863" s="8"/>
    </row>
    <row r="864" spans="1:7" ht="18.75" customHeight="1" x14ac:dyDescent="0.2">
      <c r="A864" s="8" t="s">
        <v>1731</v>
      </c>
      <c r="B864" s="9">
        <v>26039</v>
      </c>
      <c r="C864" s="9">
        <v>5902557306329</v>
      </c>
      <c r="D864" s="10" t="s">
        <v>1732</v>
      </c>
      <c r="E864" s="9">
        <v>284</v>
      </c>
      <c r="F864" s="11">
        <v>45265</v>
      </c>
      <c r="G864" s="8"/>
    </row>
    <row r="865" spans="1:7" ht="18.75" customHeight="1" x14ac:dyDescent="0.2">
      <c r="A865" s="8" t="s">
        <v>1733</v>
      </c>
      <c r="B865" s="9">
        <v>1553</v>
      </c>
      <c r="C865" s="9">
        <v>5902557306060</v>
      </c>
      <c r="D865" s="10" t="s">
        <v>1734</v>
      </c>
      <c r="E865" s="9">
        <v>294</v>
      </c>
      <c r="F865" s="11">
        <v>45265</v>
      </c>
      <c r="G865" s="8"/>
    </row>
    <row r="866" spans="1:7" ht="18.75" customHeight="1" x14ac:dyDescent="0.2">
      <c r="A866" s="8" t="s">
        <v>1735</v>
      </c>
      <c r="B866" s="9">
        <v>1552</v>
      </c>
      <c r="C866" s="9">
        <v>5902557306077</v>
      </c>
      <c r="D866" s="10" t="s">
        <v>1736</v>
      </c>
      <c r="E866" s="9">
        <v>294</v>
      </c>
      <c r="F866" s="11">
        <v>45265</v>
      </c>
      <c r="G866" s="8"/>
    </row>
    <row r="867" spans="1:7" ht="18.75" customHeight="1" x14ac:dyDescent="0.2">
      <c r="A867" s="8" t="s">
        <v>1737</v>
      </c>
      <c r="B867" s="9">
        <v>54112</v>
      </c>
      <c r="C867" s="8">
        <v>5906366006517</v>
      </c>
      <c r="D867" s="10" t="s">
        <v>1738</v>
      </c>
      <c r="E867" s="9">
        <v>343</v>
      </c>
      <c r="F867" s="11">
        <v>45610</v>
      </c>
      <c r="G867" s="8"/>
    </row>
    <row r="868" spans="1:7" ht="18.75" customHeight="1" x14ac:dyDescent="0.2">
      <c r="A868" s="8" t="s">
        <v>1739</v>
      </c>
      <c r="B868" s="9">
        <v>54111</v>
      </c>
      <c r="C868" s="8">
        <v>5906366006500</v>
      </c>
      <c r="D868" s="10" t="s">
        <v>1740</v>
      </c>
      <c r="E868" s="9">
        <v>358</v>
      </c>
      <c r="F868" s="11">
        <v>45679</v>
      </c>
      <c r="G868" s="8"/>
    </row>
    <row r="869" spans="1:7" ht="18.75" customHeight="1" x14ac:dyDescent="0.2">
      <c r="A869" s="8" t="s">
        <v>1741</v>
      </c>
      <c r="B869" s="9"/>
      <c r="C869" s="9">
        <v>5902557325405</v>
      </c>
      <c r="D869" s="10" t="s">
        <v>1742</v>
      </c>
      <c r="E869" s="9">
        <v>343</v>
      </c>
      <c r="F869" s="11">
        <v>45265</v>
      </c>
      <c r="G869" s="8"/>
    </row>
    <row r="870" spans="1:7" ht="18.75" customHeight="1" x14ac:dyDescent="0.2">
      <c r="A870" s="8" t="s">
        <v>1743</v>
      </c>
      <c r="B870" s="9"/>
      <c r="C870" s="9">
        <v>5902557325399</v>
      </c>
      <c r="D870" s="10" t="s">
        <v>1744</v>
      </c>
      <c r="E870" s="9">
        <v>236</v>
      </c>
      <c r="F870" s="11">
        <v>45265</v>
      </c>
      <c r="G870" s="8"/>
    </row>
    <row r="871" spans="1:7" ht="18.75" customHeight="1" x14ac:dyDescent="0.2">
      <c r="A871" s="8" t="s">
        <v>1745</v>
      </c>
      <c r="B871" s="9"/>
      <c r="C871" s="9">
        <v>5902557325375</v>
      </c>
      <c r="D871" s="10" t="s">
        <v>1746</v>
      </c>
      <c r="E871" s="9">
        <v>329</v>
      </c>
      <c r="F871" s="11">
        <v>45265</v>
      </c>
      <c r="G871" s="8"/>
    </row>
    <row r="872" spans="1:7" ht="18.75" customHeight="1" x14ac:dyDescent="0.2">
      <c r="A872" s="8" t="s">
        <v>1747</v>
      </c>
      <c r="B872" s="9">
        <v>39580</v>
      </c>
      <c r="C872" s="9">
        <v>5902557354757</v>
      </c>
      <c r="D872" s="10" t="s">
        <v>1748</v>
      </c>
      <c r="E872" s="9">
        <v>209</v>
      </c>
      <c r="F872" s="11">
        <v>45351</v>
      </c>
      <c r="G872" s="8"/>
    </row>
    <row r="873" spans="1:7" ht="18.75" customHeight="1" x14ac:dyDescent="0.2">
      <c r="A873" s="8" t="s">
        <v>1749</v>
      </c>
      <c r="B873" s="9">
        <v>38014</v>
      </c>
      <c r="C873" s="9">
        <v>5902557350803</v>
      </c>
      <c r="D873" s="10" t="s">
        <v>1750</v>
      </c>
      <c r="E873" s="9">
        <v>181</v>
      </c>
      <c r="F873" s="11">
        <v>45366</v>
      </c>
      <c r="G873" s="8"/>
    </row>
    <row r="874" spans="1:7" ht="18.75" customHeight="1" x14ac:dyDescent="0.2">
      <c r="A874" s="8" t="s">
        <v>1751</v>
      </c>
      <c r="B874" s="9">
        <v>38020</v>
      </c>
      <c r="C874" s="9">
        <v>5902557350810</v>
      </c>
      <c r="D874" s="10" t="s">
        <v>1752</v>
      </c>
      <c r="E874" s="9">
        <v>207</v>
      </c>
      <c r="F874" s="11">
        <v>45511</v>
      </c>
      <c r="G874" s="8"/>
    </row>
    <row r="875" spans="1:7" ht="18.75" customHeight="1" x14ac:dyDescent="0.2">
      <c r="A875" s="8" t="s">
        <v>1753</v>
      </c>
      <c r="B875" s="9">
        <v>42660</v>
      </c>
      <c r="C875" s="9">
        <v>5902557362776</v>
      </c>
      <c r="D875" s="10" t="s">
        <v>1754</v>
      </c>
      <c r="E875" s="9">
        <v>209</v>
      </c>
      <c r="F875" s="11">
        <v>45511</v>
      </c>
      <c r="G875" s="8"/>
    </row>
    <row r="876" spans="1:7" ht="18.75" customHeight="1" x14ac:dyDescent="0.2">
      <c r="A876" s="8" t="s">
        <v>1755</v>
      </c>
      <c r="B876" s="9">
        <v>42667</v>
      </c>
      <c r="C876" s="9">
        <v>5902557325252</v>
      </c>
      <c r="D876" s="10" t="s">
        <v>1756</v>
      </c>
      <c r="E876" s="9">
        <v>184</v>
      </c>
      <c r="F876" s="11">
        <v>45265</v>
      </c>
      <c r="G876" s="8"/>
    </row>
    <row r="877" spans="1:7" ht="18.75" customHeight="1" x14ac:dyDescent="0.2">
      <c r="A877" s="8" t="s">
        <v>1757</v>
      </c>
      <c r="B877" s="9">
        <v>42665</v>
      </c>
      <c r="C877" s="9">
        <v>5902557350797</v>
      </c>
      <c r="D877" s="10" t="s">
        <v>1758</v>
      </c>
      <c r="E877" s="9">
        <v>200</v>
      </c>
      <c r="F877" s="11">
        <v>45351</v>
      </c>
      <c r="G877" s="8"/>
    </row>
    <row r="878" spans="1:7" ht="18.75" customHeight="1" x14ac:dyDescent="0.2">
      <c r="A878" s="8" t="s">
        <v>1759</v>
      </c>
      <c r="B878" s="9">
        <v>52368</v>
      </c>
      <c r="C878" s="9">
        <v>5902557399475</v>
      </c>
      <c r="D878" s="10" t="s">
        <v>1760</v>
      </c>
      <c r="E878" s="9">
        <v>233</v>
      </c>
      <c r="F878" s="11">
        <v>45387</v>
      </c>
      <c r="G878" s="8"/>
    </row>
    <row r="879" spans="1:7" ht="18.75" customHeight="1" x14ac:dyDescent="0.2">
      <c r="A879" s="8" t="s">
        <v>1761</v>
      </c>
      <c r="B879" s="9">
        <v>52371</v>
      </c>
      <c r="C879" s="9">
        <v>5902557399451</v>
      </c>
      <c r="D879" s="10" t="s">
        <v>1762</v>
      </c>
      <c r="E879" s="9">
        <v>221</v>
      </c>
      <c r="F879" s="11">
        <v>45387</v>
      </c>
      <c r="G879" s="8"/>
    </row>
    <row r="880" spans="1:7" ht="18.75" customHeight="1" x14ac:dyDescent="0.2">
      <c r="A880" s="8" t="s">
        <v>1763</v>
      </c>
      <c r="B880" s="9">
        <v>52365</v>
      </c>
      <c r="C880" s="9">
        <v>5902557399468</v>
      </c>
      <c r="D880" s="10" t="s">
        <v>1764</v>
      </c>
      <c r="E880" s="9">
        <v>228</v>
      </c>
      <c r="F880" s="11">
        <v>45387</v>
      </c>
      <c r="G880" s="8"/>
    </row>
    <row r="881" spans="1:7" ht="18.75" customHeight="1" x14ac:dyDescent="0.2">
      <c r="A881" s="8" t="s">
        <v>1765</v>
      </c>
      <c r="B881" s="9">
        <v>42872</v>
      </c>
      <c r="C881" s="9">
        <v>5902557329366</v>
      </c>
      <c r="D881" s="10" t="s">
        <v>1766</v>
      </c>
      <c r="E881" s="9">
        <v>290</v>
      </c>
      <c r="F881" s="11">
        <v>45265</v>
      </c>
      <c r="G881" s="8"/>
    </row>
    <row r="882" spans="1:7" ht="18.75" customHeight="1" x14ac:dyDescent="0.2">
      <c r="A882" s="8" t="s">
        <v>1767</v>
      </c>
      <c r="B882" s="9">
        <v>47297</v>
      </c>
      <c r="C882" s="9">
        <v>5902557351756</v>
      </c>
      <c r="D882" s="10" t="s">
        <v>1768</v>
      </c>
      <c r="E882" s="9">
        <v>316</v>
      </c>
      <c r="F882" s="11">
        <v>45265</v>
      </c>
      <c r="G882" s="8"/>
    </row>
    <row r="883" spans="1:7" ht="18.75" customHeight="1" x14ac:dyDescent="0.2">
      <c r="A883" s="8" t="s">
        <v>1769</v>
      </c>
      <c r="B883" s="9">
        <v>47298</v>
      </c>
      <c r="C883" s="9">
        <v>5902557351732</v>
      </c>
      <c r="D883" s="10" t="s">
        <v>1770</v>
      </c>
      <c r="E883" s="9">
        <v>330</v>
      </c>
      <c r="F883" s="11">
        <v>45265</v>
      </c>
      <c r="G883" s="8"/>
    </row>
    <row r="884" spans="1:7" ht="18.75" customHeight="1" x14ac:dyDescent="0.2">
      <c r="A884" s="8" t="s">
        <v>1771</v>
      </c>
      <c r="B884" s="9">
        <v>47296</v>
      </c>
      <c r="C884" s="9">
        <v>5902557351749</v>
      </c>
      <c r="D884" s="10" t="s">
        <v>1772</v>
      </c>
      <c r="E884" s="9">
        <v>369</v>
      </c>
      <c r="F884" s="11">
        <v>45265</v>
      </c>
      <c r="G884" s="8"/>
    </row>
    <row r="885" spans="1:7" ht="18.75" customHeight="1" x14ac:dyDescent="0.2">
      <c r="A885" s="8" t="s">
        <v>1773</v>
      </c>
      <c r="B885" s="9">
        <v>52838</v>
      </c>
      <c r="C885" s="9">
        <v>5902557333011</v>
      </c>
      <c r="D885" s="10" t="s">
        <v>1774</v>
      </c>
      <c r="E885" s="9">
        <v>276</v>
      </c>
      <c r="F885" s="11">
        <v>45376</v>
      </c>
      <c r="G885" s="8"/>
    </row>
    <row r="886" spans="1:7" ht="18.75" customHeight="1" x14ac:dyDescent="0.2">
      <c r="A886" s="8" t="s">
        <v>1775</v>
      </c>
      <c r="B886" s="9">
        <v>42240</v>
      </c>
      <c r="C886" s="9">
        <v>5902557333028</v>
      </c>
      <c r="D886" s="10" t="s">
        <v>1776</v>
      </c>
      <c r="E886" s="9">
        <v>297</v>
      </c>
      <c r="F886" s="11">
        <v>45376</v>
      </c>
      <c r="G886" s="8"/>
    </row>
    <row r="887" spans="1:7" ht="18.75" customHeight="1" x14ac:dyDescent="0.2">
      <c r="A887" s="8" t="s">
        <v>1777</v>
      </c>
      <c r="B887" s="9">
        <v>52841</v>
      </c>
      <c r="C887" s="9">
        <v>5902557337491</v>
      </c>
      <c r="D887" s="10" t="s">
        <v>1778</v>
      </c>
      <c r="E887" s="9">
        <v>277</v>
      </c>
      <c r="F887" s="11">
        <v>45506</v>
      </c>
      <c r="G887" s="8"/>
    </row>
    <row r="888" spans="1:7" ht="18.75" customHeight="1" x14ac:dyDescent="0.2">
      <c r="A888" s="8" t="s">
        <v>1779</v>
      </c>
      <c r="B888" s="9">
        <v>52847</v>
      </c>
      <c r="C888" s="9">
        <v>5902557355846</v>
      </c>
      <c r="D888" s="10" t="s">
        <v>1780</v>
      </c>
      <c r="E888" s="9">
        <v>301</v>
      </c>
      <c r="F888" s="11">
        <v>45359</v>
      </c>
      <c r="G888" s="8"/>
    </row>
    <row r="889" spans="1:7" ht="18.75" customHeight="1" x14ac:dyDescent="0.2">
      <c r="A889" s="8" t="s">
        <v>1781</v>
      </c>
      <c r="B889" s="9">
        <v>42488</v>
      </c>
      <c r="C889" s="9">
        <v>5902557355853</v>
      </c>
      <c r="D889" s="10" t="s">
        <v>1782</v>
      </c>
      <c r="E889" s="9">
        <v>341</v>
      </c>
      <c r="F889" s="11">
        <v>45679</v>
      </c>
      <c r="G889" s="8"/>
    </row>
    <row r="890" spans="1:7" ht="18.75" customHeight="1" x14ac:dyDescent="0.2">
      <c r="A890" s="8" t="s">
        <v>1783</v>
      </c>
      <c r="B890" s="9">
        <v>52844</v>
      </c>
      <c r="C890" s="9">
        <v>5902557355839</v>
      </c>
      <c r="D890" s="10" t="s">
        <v>1784</v>
      </c>
      <c r="E890" s="9">
        <v>306</v>
      </c>
      <c r="F890" s="11">
        <v>45679</v>
      </c>
      <c r="G890" s="8"/>
    </row>
    <row r="891" spans="1:7" ht="18.75" customHeight="1" x14ac:dyDescent="0.2">
      <c r="A891" s="8" t="s">
        <v>1785</v>
      </c>
      <c r="B891" s="9">
        <v>52835</v>
      </c>
      <c r="C891" s="9">
        <v>5902557367108</v>
      </c>
      <c r="D891" s="10" t="s">
        <v>1786</v>
      </c>
      <c r="E891" s="9">
        <v>390</v>
      </c>
      <c r="F891" s="11">
        <v>45265</v>
      </c>
      <c r="G891" s="8"/>
    </row>
    <row r="892" spans="1:7" ht="18.75" customHeight="1" x14ac:dyDescent="0.2">
      <c r="A892" s="8" t="s">
        <v>1787</v>
      </c>
      <c r="B892" s="9">
        <v>51376</v>
      </c>
      <c r="C892" s="9">
        <v>5902557367115</v>
      </c>
      <c r="D892" s="10" t="s">
        <v>1788</v>
      </c>
      <c r="E892" s="9">
        <v>346</v>
      </c>
      <c r="F892" s="11">
        <v>45265</v>
      </c>
      <c r="G892" s="8"/>
    </row>
    <row r="893" spans="1:7" ht="18.75" customHeight="1" x14ac:dyDescent="0.2">
      <c r="A893" s="8" t="s">
        <v>1789</v>
      </c>
      <c r="B893" s="9">
        <v>50299</v>
      </c>
      <c r="C893" s="9">
        <v>5902557386192</v>
      </c>
      <c r="D893" s="10" t="s">
        <v>1790</v>
      </c>
      <c r="E893" s="9">
        <v>23</v>
      </c>
      <c r="F893" s="11">
        <v>45552</v>
      </c>
      <c r="G893" s="8"/>
    </row>
    <row r="894" spans="1:7" ht="18.75" customHeight="1" x14ac:dyDescent="0.2">
      <c r="A894" s="8" t="s">
        <v>1791</v>
      </c>
      <c r="B894" s="9">
        <v>50300</v>
      </c>
      <c r="C894" s="9">
        <v>5902557386185</v>
      </c>
      <c r="D894" s="10" t="s">
        <v>1792</v>
      </c>
      <c r="E894" s="9">
        <v>30</v>
      </c>
      <c r="F894" s="11">
        <v>45552</v>
      </c>
      <c r="G894" s="8"/>
    </row>
    <row r="895" spans="1:7" ht="18.75" customHeight="1" x14ac:dyDescent="0.2">
      <c r="A895" s="8" t="s">
        <v>1793</v>
      </c>
      <c r="B895" s="9">
        <v>54327</v>
      </c>
      <c r="C895" s="8"/>
      <c r="D895" s="10" t="s">
        <v>1794</v>
      </c>
      <c r="E895" s="9">
        <v>22</v>
      </c>
      <c r="F895" s="11">
        <v>45644</v>
      </c>
      <c r="G895" s="8"/>
    </row>
    <row r="896" spans="1:7" ht="18.75" customHeight="1" x14ac:dyDescent="0.2">
      <c r="A896" s="8" t="s">
        <v>1795</v>
      </c>
      <c r="B896" s="9">
        <v>45305</v>
      </c>
      <c r="C896" s="9">
        <v>5902557376513</v>
      </c>
      <c r="D896" s="10" t="s">
        <v>1796</v>
      </c>
      <c r="E896" s="9">
        <v>37</v>
      </c>
      <c r="F896" s="11">
        <v>45265</v>
      </c>
      <c r="G896" s="8"/>
    </row>
    <row r="897" spans="1:7" ht="18.75" customHeight="1" x14ac:dyDescent="0.2">
      <c r="A897" s="8" t="s">
        <v>1797</v>
      </c>
      <c r="B897" s="9">
        <v>50443</v>
      </c>
      <c r="C897" s="9">
        <v>5902557392216</v>
      </c>
      <c r="D897" s="10" t="s">
        <v>1798</v>
      </c>
      <c r="E897" s="9">
        <v>35</v>
      </c>
      <c r="F897" s="11">
        <v>45642</v>
      </c>
      <c r="G897" s="8"/>
    </row>
    <row r="898" spans="1:7" ht="18.75" customHeight="1" x14ac:dyDescent="0.2">
      <c r="A898" s="8" t="s">
        <v>1799</v>
      </c>
      <c r="B898" s="9">
        <v>50507</v>
      </c>
      <c r="C898" s="9">
        <v>5902557386178</v>
      </c>
      <c r="D898" s="10" t="s">
        <v>1800</v>
      </c>
      <c r="E898" s="9">
        <v>35</v>
      </c>
      <c r="F898" s="11">
        <v>45351</v>
      </c>
      <c r="G898" s="8"/>
    </row>
    <row r="899" spans="1:7" ht="18.75" customHeight="1" x14ac:dyDescent="0.2">
      <c r="A899" s="8" t="s">
        <v>1801</v>
      </c>
      <c r="B899" s="9">
        <v>52203</v>
      </c>
      <c r="C899" s="8">
        <v>5902557396726</v>
      </c>
      <c r="D899" s="10" t="s">
        <v>1802</v>
      </c>
      <c r="E899" s="9">
        <v>23</v>
      </c>
      <c r="F899" s="11">
        <v>45293</v>
      </c>
      <c r="G899" s="8"/>
    </row>
    <row r="900" spans="1:7" ht="18.75" customHeight="1" x14ac:dyDescent="0.2">
      <c r="A900" s="8" t="s">
        <v>1803</v>
      </c>
      <c r="B900" s="9">
        <v>37968</v>
      </c>
      <c r="C900" s="9">
        <v>5902557349524</v>
      </c>
      <c r="D900" s="10" t="s">
        <v>1804</v>
      </c>
      <c r="E900" s="9">
        <v>23</v>
      </c>
      <c r="F900" s="11">
        <v>45293</v>
      </c>
      <c r="G900" s="8"/>
    </row>
    <row r="901" spans="1:7" ht="18.75" customHeight="1" x14ac:dyDescent="0.2">
      <c r="A901" s="8" t="s">
        <v>1805</v>
      </c>
      <c r="B901" s="9">
        <v>35488</v>
      </c>
      <c r="C901" s="9">
        <v>5902557344925</v>
      </c>
      <c r="D901" s="10" t="s">
        <v>1806</v>
      </c>
      <c r="E901" s="9">
        <v>16</v>
      </c>
      <c r="F901" s="11">
        <v>45562</v>
      </c>
      <c r="G901" s="8"/>
    </row>
    <row r="902" spans="1:7" ht="18.75" customHeight="1" x14ac:dyDescent="0.2">
      <c r="A902" s="8" t="s">
        <v>1807</v>
      </c>
      <c r="B902" s="9">
        <v>35292</v>
      </c>
      <c r="C902" s="9">
        <v>5902557344932</v>
      </c>
      <c r="D902" s="10" t="s">
        <v>1808</v>
      </c>
      <c r="E902" s="9">
        <v>23</v>
      </c>
      <c r="F902" s="11">
        <v>45293</v>
      </c>
      <c r="G902" s="8"/>
    </row>
    <row r="903" spans="1:7" ht="18.75" customHeight="1" x14ac:dyDescent="0.2">
      <c r="A903" s="8" t="s">
        <v>1809</v>
      </c>
      <c r="B903" s="9">
        <v>51029</v>
      </c>
      <c r="C903" s="9">
        <v>5902557391691</v>
      </c>
      <c r="D903" s="10" t="s">
        <v>1810</v>
      </c>
      <c r="E903" s="9">
        <v>32</v>
      </c>
      <c r="F903" s="11">
        <v>45265</v>
      </c>
      <c r="G903" s="8"/>
    </row>
    <row r="904" spans="1:7" ht="18.75" customHeight="1" x14ac:dyDescent="0.2">
      <c r="A904" s="8" t="s">
        <v>1811</v>
      </c>
      <c r="B904" s="9">
        <v>37481</v>
      </c>
      <c r="C904" s="9">
        <v>5902557349531</v>
      </c>
      <c r="D904" s="10" t="s">
        <v>1812</v>
      </c>
      <c r="E904" s="9">
        <v>23</v>
      </c>
      <c r="F904" s="11">
        <v>45321</v>
      </c>
      <c r="G904" s="8"/>
    </row>
    <row r="905" spans="1:7" ht="18.75" customHeight="1" x14ac:dyDescent="0.2">
      <c r="A905" s="8" t="s">
        <v>1813</v>
      </c>
      <c r="B905" s="9">
        <v>54114</v>
      </c>
      <c r="C905" s="8">
        <v>5906366008894</v>
      </c>
      <c r="D905" s="10" t="s">
        <v>1814</v>
      </c>
      <c r="E905" s="9">
        <v>23</v>
      </c>
      <c r="F905" s="11">
        <v>45644</v>
      </c>
      <c r="G905" s="8"/>
    </row>
    <row r="906" spans="1:7" ht="18.75" customHeight="1" x14ac:dyDescent="0.2">
      <c r="A906" s="8" t="s">
        <v>1815</v>
      </c>
      <c r="B906" s="8">
        <v>54353</v>
      </c>
      <c r="C906" s="8">
        <v>5906366008191</v>
      </c>
      <c r="D906" s="10" t="s">
        <v>1816</v>
      </c>
      <c r="E906" s="9">
        <v>23</v>
      </c>
      <c r="F906" s="11">
        <v>45656</v>
      </c>
      <c r="G906" s="8"/>
    </row>
    <row r="907" spans="1:7" ht="18.75" customHeight="1" x14ac:dyDescent="0.2">
      <c r="A907" s="8" t="s">
        <v>1817</v>
      </c>
      <c r="B907" s="9">
        <v>46334</v>
      </c>
      <c r="C907" s="9">
        <v>5902557375325</v>
      </c>
      <c r="D907" s="10" t="s">
        <v>1818</v>
      </c>
      <c r="E907" s="9">
        <v>23</v>
      </c>
      <c r="F907" s="11">
        <v>45365</v>
      </c>
      <c r="G907" s="8"/>
    </row>
    <row r="908" spans="1:7" ht="18.75" customHeight="1" x14ac:dyDescent="0.2">
      <c r="A908" s="8" t="s">
        <v>1819</v>
      </c>
      <c r="B908" s="9">
        <v>39734</v>
      </c>
      <c r="C908" s="9">
        <v>5902557356348</v>
      </c>
      <c r="D908" s="10" t="s">
        <v>1820</v>
      </c>
      <c r="E908" s="9">
        <v>23</v>
      </c>
      <c r="F908" s="11">
        <v>45337</v>
      </c>
      <c r="G908" s="8"/>
    </row>
    <row r="909" spans="1:7" ht="18.75" customHeight="1" x14ac:dyDescent="0.2">
      <c r="A909" s="8" t="s">
        <v>1821</v>
      </c>
      <c r="B909" s="9">
        <v>37978</v>
      </c>
      <c r="C909" s="9">
        <v>5902557349517</v>
      </c>
      <c r="D909" s="10" t="s">
        <v>1822</v>
      </c>
      <c r="E909" s="9">
        <v>23</v>
      </c>
      <c r="F909" s="11">
        <v>45644</v>
      </c>
      <c r="G909" s="8"/>
    </row>
    <row r="910" spans="1:7" ht="18.75" customHeight="1" x14ac:dyDescent="0.2">
      <c r="A910" s="8" t="s">
        <v>1823</v>
      </c>
      <c r="B910" s="9">
        <v>42902</v>
      </c>
      <c r="C910" s="9">
        <v>5902557364039</v>
      </c>
      <c r="D910" s="10" t="s">
        <v>1824</v>
      </c>
      <c r="E910" s="9">
        <v>23</v>
      </c>
      <c r="F910" s="11">
        <v>45265</v>
      </c>
      <c r="G910" s="8"/>
    </row>
    <row r="911" spans="1:7" ht="18.75" customHeight="1" x14ac:dyDescent="0.2">
      <c r="A911" s="8" t="s">
        <v>1825</v>
      </c>
      <c r="B911" s="9">
        <v>53671</v>
      </c>
      <c r="C911" s="9">
        <v>5906366002946</v>
      </c>
      <c r="D911" s="10" t="s">
        <v>1826</v>
      </c>
      <c r="E911" s="9">
        <v>28</v>
      </c>
      <c r="F911" s="11">
        <v>45469</v>
      </c>
      <c r="G911" s="8"/>
    </row>
    <row r="912" spans="1:7" ht="18.75" customHeight="1" x14ac:dyDescent="0.2">
      <c r="A912" s="8" t="s">
        <v>1827</v>
      </c>
      <c r="B912" s="9">
        <v>53677</v>
      </c>
      <c r="C912" s="9">
        <v>5906366002984</v>
      </c>
      <c r="D912" s="10" t="s">
        <v>1828</v>
      </c>
      <c r="E912" s="9">
        <v>30</v>
      </c>
      <c r="F912" s="11">
        <v>45469</v>
      </c>
      <c r="G912" s="8"/>
    </row>
    <row r="913" spans="1:7" ht="18.75" customHeight="1" x14ac:dyDescent="0.2">
      <c r="A913" s="8" t="s">
        <v>1829</v>
      </c>
      <c r="B913" s="9">
        <v>53673</v>
      </c>
      <c r="C913" s="9">
        <v>5906366002953</v>
      </c>
      <c r="D913" s="10" t="s">
        <v>1830</v>
      </c>
      <c r="E913" s="9">
        <v>30</v>
      </c>
      <c r="F913" s="11">
        <v>45495</v>
      </c>
      <c r="G913" s="8"/>
    </row>
    <row r="914" spans="1:7" ht="18.75" customHeight="1" x14ac:dyDescent="0.2">
      <c r="A914" s="8" t="s">
        <v>1831</v>
      </c>
      <c r="B914" s="9">
        <v>53679</v>
      </c>
      <c r="C914" s="9">
        <v>5906366003011</v>
      </c>
      <c r="D914" s="10" t="s">
        <v>1832</v>
      </c>
      <c r="E914" s="9">
        <v>33</v>
      </c>
      <c r="F914" s="11">
        <v>45469</v>
      </c>
      <c r="G914" s="8"/>
    </row>
    <row r="915" spans="1:7" ht="18.75" customHeight="1" x14ac:dyDescent="0.2">
      <c r="A915" s="8" t="s">
        <v>1833</v>
      </c>
      <c r="B915" s="9">
        <v>53666</v>
      </c>
      <c r="C915" s="9">
        <v>5906366002960</v>
      </c>
      <c r="D915" s="10" t="s">
        <v>1834</v>
      </c>
      <c r="E915" s="9">
        <v>33</v>
      </c>
      <c r="F915" s="11">
        <v>45469</v>
      </c>
      <c r="G915" s="8"/>
    </row>
    <row r="916" spans="1:7" ht="18.75" customHeight="1" x14ac:dyDescent="0.2">
      <c r="A916" s="8" t="s">
        <v>1835</v>
      </c>
      <c r="B916" s="9">
        <v>53674</v>
      </c>
      <c r="C916" s="9">
        <v>5906366003004</v>
      </c>
      <c r="D916" s="10" t="s">
        <v>1836</v>
      </c>
      <c r="E916" s="9">
        <v>35</v>
      </c>
      <c r="F916" s="11">
        <v>45469</v>
      </c>
      <c r="G916" s="8"/>
    </row>
    <row r="917" spans="1:7" ht="18.75" customHeight="1" x14ac:dyDescent="0.2">
      <c r="A917" s="8" t="s">
        <v>1837</v>
      </c>
      <c r="B917" s="9">
        <v>53672</v>
      </c>
      <c r="C917" s="9">
        <v>5906366002977</v>
      </c>
      <c r="D917" s="10" t="s">
        <v>1838</v>
      </c>
      <c r="E917" s="9">
        <v>35</v>
      </c>
      <c r="F917" s="11">
        <v>45469</v>
      </c>
      <c r="G917" s="8"/>
    </row>
    <row r="918" spans="1:7" ht="18.75" customHeight="1" x14ac:dyDescent="0.2">
      <c r="A918" s="8" t="s">
        <v>1839</v>
      </c>
      <c r="B918" s="9">
        <v>53678</v>
      </c>
      <c r="C918" s="9">
        <v>5906366002991</v>
      </c>
      <c r="D918" s="10" t="s">
        <v>1840</v>
      </c>
      <c r="E918" s="9">
        <v>37</v>
      </c>
      <c r="F918" s="11">
        <v>45469</v>
      </c>
      <c r="G918" s="8"/>
    </row>
    <row r="919" spans="1:7" ht="18.75" customHeight="1" x14ac:dyDescent="0.2">
      <c r="A919" s="8" t="s">
        <v>1841</v>
      </c>
      <c r="B919" s="9">
        <v>54161</v>
      </c>
      <c r="C919" s="8">
        <v>5906366006609</v>
      </c>
      <c r="D919" s="10" t="s">
        <v>1842</v>
      </c>
      <c r="E919" s="9">
        <v>30</v>
      </c>
      <c r="F919" s="11">
        <v>45615</v>
      </c>
      <c r="G919" s="8"/>
    </row>
    <row r="920" spans="1:7" ht="18.75" customHeight="1" x14ac:dyDescent="0.2">
      <c r="A920" s="8" t="s">
        <v>1843</v>
      </c>
      <c r="B920" s="9">
        <v>51399</v>
      </c>
      <c r="C920" s="9">
        <v>5902557385010</v>
      </c>
      <c r="D920" s="10" t="s">
        <v>1844</v>
      </c>
      <c r="E920" s="9">
        <v>25</v>
      </c>
      <c r="F920" s="11">
        <v>45467</v>
      </c>
      <c r="G920" s="8"/>
    </row>
    <row r="921" spans="1:7" ht="18.75" customHeight="1" x14ac:dyDescent="0.2">
      <c r="A921" s="8" t="s">
        <v>1845</v>
      </c>
      <c r="B921" s="9">
        <v>51400</v>
      </c>
      <c r="C921" s="9">
        <v>5902557395019</v>
      </c>
      <c r="D921" s="10" t="s">
        <v>1846</v>
      </c>
      <c r="E921" s="9">
        <v>25</v>
      </c>
      <c r="F921" s="11">
        <v>45467</v>
      </c>
      <c r="G921" s="8"/>
    </row>
    <row r="922" spans="1:7" ht="18.75" customHeight="1" x14ac:dyDescent="0.2">
      <c r="A922" s="8" t="s">
        <v>1847</v>
      </c>
      <c r="B922" s="9">
        <v>51397</v>
      </c>
      <c r="C922" s="9">
        <v>5902557395088</v>
      </c>
      <c r="D922" s="10" t="s">
        <v>1848</v>
      </c>
      <c r="E922" s="9">
        <v>27</v>
      </c>
      <c r="F922" s="11">
        <v>45467</v>
      </c>
      <c r="G922" s="8"/>
    </row>
    <row r="923" spans="1:7" ht="18.75" customHeight="1" x14ac:dyDescent="0.2">
      <c r="A923" s="8" t="s">
        <v>1849</v>
      </c>
      <c r="B923" s="9">
        <v>51398</v>
      </c>
      <c r="C923" s="9">
        <v>5902557395095</v>
      </c>
      <c r="D923" s="10" t="s">
        <v>1850</v>
      </c>
      <c r="E923" s="9">
        <v>27</v>
      </c>
      <c r="F923" s="11">
        <v>45467</v>
      </c>
      <c r="G923" s="8"/>
    </row>
    <row r="924" spans="1:7" ht="18.75" customHeight="1" x14ac:dyDescent="0.2">
      <c r="A924" s="8" t="s">
        <v>1851</v>
      </c>
      <c r="B924" s="9">
        <v>51395</v>
      </c>
      <c r="C924" s="9">
        <v>5902557395163</v>
      </c>
      <c r="D924" s="10" t="s">
        <v>1852</v>
      </c>
      <c r="E924" s="9">
        <v>30</v>
      </c>
      <c r="F924" s="11">
        <v>45467</v>
      </c>
      <c r="G924" s="8"/>
    </row>
    <row r="925" spans="1:7" ht="18.75" customHeight="1" x14ac:dyDescent="0.2">
      <c r="A925" s="8" t="s">
        <v>1853</v>
      </c>
      <c r="B925" s="9">
        <v>51396</v>
      </c>
      <c r="C925" s="9">
        <v>5902557395170</v>
      </c>
      <c r="D925" s="10" t="s">
        <v>1854</v>
      </c>
      <c r="E925" s="9">
        <v>30</v>
      </c>
      <c r="F925" s="11">
        <v>45467</v>
      </c>
      <c r="G925" s="8"/>
    </row>
    <row r="926" spans="1:7" ht="18.75" customHeight="1" x14ac:dyDescent="0.2">
      <c r="A926" s="8" t="s">
        <v>1855</v>
      </c>
      <c r="B926" s="9">
        <v>51414</v>
      </c>
      <c r="C926" s="9">
        <v>5902557395026</v>
      </c>
      <c r="D926" s="10" t="s">
        <v>1856</v>
      </c>
      <c r="E926" s="9">
        <v>25</v>
      </c>
      <c r="F926" s="11">
        <v>45467</v>
      </c>
      <c r="G926" s="8"/>
    </row>
    <row r="927" spans="1:7" ht="18.75" customHeight="1" x14ac:dyDescent="0.2">
      <c r="A927" s="8" t="s">
        <v>1857</v>
      </c>
      <c r="B927" s="9">
        <v>51415</v>
      </c>
      <c r="C927" s="9">
        <v>5902557395033</v>
      </c>
      <c r="D927" s="10" t="s">
        <v>1858</v>
      </c>
      <c r="E927" s="9">
        <v>25</v>
      </c>
      <c r="F927" s="11">
        <v>45467</v>
      </c>
      <c r="G927" s="8"/>
    </row>
    <row r="928" spans="1:7" ht="18.75" customHeight="1" x14ac:dyDescent="0.2">
      <c r="A928" s="8" t="s">
        <v>1859</v>
      </c>
      <c r="B928" s="9">
        <v>51417</v>
      </c>
      <c r="C928" s="9">
        <v>5902557395101</v>
      </c>
      <c r="D928" s="10" t="s">
        <v>1860</v>
      </c>
      <c r="E928" s="9">
        <v>27</v>
      </c>
      <c r="F928" s="11">
        <v>45623</v>
      </c>
      <c r="G928" s="8"/>
    </row>
    <row r="929" spans="1:7" ht="18.75" customHeight="1" x14ac:dyDescent="0.2">
      <c r="A929" s="8" t="s">
        <v>1861</v>
      </c>
      <c r="B929" s="9">
        <v>51418</v>
      </c>
      <c r="C929" s="9">
        <v>5902557395118</v>
      </c>
      <c r="D929" s="10" t="s">
        <v>1862</v>
      </c>
      <c r="E929" s="9">
        <v>27</v>
      </c>
      <c r="F929" s="11">
        <v>45623</v>
      </c>
      <c r="G929" s="8"/>
    </row>
    <row r="930" spans="1:7" ht="18.75" customHeight="1" x14ac:dyDescent="0.2">
      <c r="A930" s="8" t="s">
        <v>1863</v>
      </c>
      <c r="B930" s="9">
        <v>51420</v>
      </c>
      <c r="C930" s="9">
        <v>5902557395187</v>
      </c>
      <c r="D930" s="10" t="s">
        <v>1864</v>
      </c>
      <c r="E930" s="9">
        <v>30</v>
      </c>
      <c r="F930" s="11">
        <v>45467</v>
      </c>
      <c r="G930" s="8"/>
    </row>
    <row r="931" spans="1:7" ht="18.75" customHeight="1" x14ac:dyDescent="0.2">
      <c r="A931" s="8" t="s">
        <v>1865</v>
      </c>
      <c r="B931" s="9">
        <v>51421</v>
      </c>
      <c r="C931" s="9">
        <v>5902557395194</v>
      </c>
      <c r="D931" s="10" t="s">
        <v>1866</v>
      </c>
      <c r="E931" s="9">
        <v>30</v>
      </c>
      <c r="F931" s="11">
        <v>45467</v>
      </c>
      <c r="G931" s="8"/>
    </row>
    <row r="932" spans="1:7" ht="18.75" customHeight="1" x14ac:dyDescent="0.2">
      <c r="A932" s="8" t="s">
        <v>1867</v>
      </c>
      <c r="B932" s="9">
        <v>51391</v>
      </c>
      <c r="C932" s="9">
        <v>5902557395040</v>
      </c>
      <c r="D932" s="10" t="s">
        <v>1868</v>
      </c>
      <c r="E932" s="9">
        <v>34</v>
      </c>
      <c r="F932" s="11">
        <v>45467</v>
      </c>
      <c r="G932" s="8"/>
    </row>
    <row r="933" spans="1:7" ht="18.75" customHeight="1" x14ac:dyDescent="0.2">
      <c r="A933" s="8" t="s">
        <v>1869</v>
      </c>
      <c r="B933" s="9">
        <v>51392</v>
      </c>
      <c r="C933" s="9">
        <v>5902557395057</v>
      </c>
      <c r="D933" s="10" t="s">
        <v>1870</v>
      </c>
      <c r="E933" s="9">
        <v>34</v>
      </c>
      <c r="F933" s="11">
        <v>45467</v>
      </c>
      <c r="G933" s="8"/>
    </row>
    <row r="934" spans="1:7" ht="18.75" customHeight="1" x14ac:dyDescent="0.2">
      <c r="A934" s="8" t="s">
        <v>1871</v>
      </c>
      <c r="B934" s="9">
        <v>51393</v>
      </c>
      <c r="C934" s="9">
        <v>5902557395125</v>
      </c>
      <c r="D934" s="10" t="s">
        <v>1872</v>
      </c>
      <c r="E934" s="9">
        <v>37</v>
      </c>
      <c r="F934" s="11">
        <v>45467</v>
      </c>
      <c r="G934" s="8"/>
    </row>
    <row r="935" spans="1:7" ht="18.75" customHeight="1" x14ac:dyDescent="0.2">
      <c r="A935" s="8" t="s">
        <v>1873</v>
      </c>
      <c r="B935" s="9">
        <v>51394</v>
      </c>
      <c r="C935" s="9">
        <v>5902557395132</v>
      </c>
      <c r="D935" s="10" t="s">
        <v>1874</v>
      </c>
      <c r="E935" s="9">
        <v>37</v>
      </c>
      <c r="F935" s="11">
        <v>45467</v>
      </c>
      <c r="G935" s="8"/>
    </row>
    <row r="936" spans="1:7" ht="18.75" customHeight="1" x14ac:dyDescent="0.2">
      <c r="A936" s="8" t="s">
        <v>1875</v>
      </c>
      <c r="B936" s="9">
        <v>51402</v>
      </c>
      <c r="C936" s="9">
        <v>5902557395200</v>
      </c>
      <c r="D936" s="10" t="s">
        <v>1876</v>
      </c>
      <c r="E936" s="9">
        <v>39</v>
      </c>
      <c r="F936" s="11">
        <v>45623</v>
      </c>
      <c r="G936" s="8"/>
    </row>
    <row r="937" spans="1:7" ht="18.75" customHeight="1" x14ac:dyDescent="0.2">
      <c r="A937" s="8" t="s">
        <v>1877</v>
      </c>
      <c r="B937" s="9">
        <v>51403</v>
      </c>
      <c r="C937" s="9">
        <v>5902557395217</v>
      </c>
      <c r="D937" s="10" t="s">
        <v>1878</v>
      </c>
      <c r="E937" s="9">
        <v>39</v>
      </c>
      <c r="F937" s="11">
        <v>45623</v>
      </c>
      <c r="G937" s="8"/>
    </row>
    <row r="938" spans="1:7" ht="18.75" customHeight="1" x14ac:dyDescent="0.2">
      <c r="A938" s="8" t="s">
        <v>1879</v>
      </c>
      <c r="B938" s="9">
        <v>51405</v>
      </c>
      <c r="C938" s="9">
        <v>5902557395064</v>
      </c>
      <c r="D938" s="10" t="s">
        <v>1880</v>
      </c>
      <c r="E938" s="9">
        <v>34</v>
      </c>
      <c r="F938" s="11">
        <v>45467</v>
      </c>
      <c r="G938" s="8"/>
    </row>
    <row r="939" spans="1:7" ht="18.75" customHeight="1" x14ac:dyDescent="0.2">
      <c r="A939" s="8" t="s">
        <v>1881</v>
      </c>
      <c r="B939" s="9">
        <v>51406</v>
      </c>
      <c r="C939" s="9">
        <v>5902557395071</v>
      </c>
      <c r="D939" s="10" t="s">
        <v>1882</v>
      </c>
      <c r="E939" s="9">
        <v>34</v>
      </c>
      <c r="F939" s="11">
        <v>45467</v>
      </c>
      <c r="G939" s="8"/>
    </row>
    <row r="940" spans="1:7" ht="18.75" customHeight="1" x14ac:dyDescent="0.2">
      <c r="A940" s="8" t="s">
        <v>1883</v>
      </c>
      <c r="B940" s="9">
        <v>51408</v>
      </c>
      <c r="C940" s="9">
        <v>5902557395149</v>
      </c>
      <c r="D940" s="10" t="s">
        <v>1884</v>
      </c>
      <c r="E940" s="9">
        <v>37</v>
      </c>
      <c r="F940" s="11">
        <v>45467</v>
      </c>
      <c r="G940" s="8"/>
    </row>
    <row r="941" spans="1:7" ht="18.75" customHeight="1" x14ac:dyDescent="0.2">
      <c r="A941" s="8" t="s">
        <v>1885</v>
      </c>
      <c r="B941" s="9">
        <v>51409</v>
      </c>
      <c r="C941" s="9">
        <v>5902557395156</v>
      </c>
      <c r="D941" s="10" t="s">
        <v>1886</v>
      </c>
      <c r="E941" s="9">
        <v>37</v>
      </c>
      <c r="F941" s="11">
        <v>45467</v>
      </c>
      <c r="G941" s="8"/>
    </row>
    <row r="942" spans="1:7" ht="18.75" customHeight="1" x14ac:dyDescent="0.2">
      <c r="A942" s="8" t="s">
        <v>1887</v>
      </c>
      <c r="B942" s="9">
        <v>51411</v>
      </c>
      <c r="C942" s="9">
        <v>5902557395224</v>
      </c>
      <c r="D942" s="10" t="s">
        <v>1888</v>
      </c>
      <c r="E942" s="9">
        <v>39</v>
      </c>
      <c r="F942" s="11">
        <v>45467</v>
      </c>
      <c r="G942" s="8"/>
    </row>
    <row r="943" spans="1:7" ht="18.75" customHeight="1" x14ac:dyDescent="0.2">
      <c r="A943" s="8" t="s">
        <v>1889</v>
      </c>
      <c r="B943" s="9">
        <v>51412</v>
      </c>
      <c r="C943" s="9">
        <v>5902557395231</v>
      </c>
      <c r="D943" s="10" t="s">
        <v>1890</v>
      </c>
      <c r="E943" s="9">
        <v>39</v>
      </c>
      <c r="F943" s="11">
        <v>45467</v>
      </c>
      <c r="G943" s="8"/>
    </row>
    <row r="944" spans="1:7" ht="18.75" customHeight="1" x14ac:dyDescent="0.2">
      <c r="A944" s="8" t="s">
        <v>1891</v>
      </c>
      <c r="B944" s="9">
        <v>29798</v>
      </c>
      <c r="C944" s="9"/>
      <c r="D944" s="10" t="s">
        <v>1892</v>
      </c>
      <c r="E944" s="9">
        <v>10</v>
      </c>
      <c r="F944" s="11">
        <v>45265</v>
      </c>
      <c r="G944" s="8"/>
    </row>
    <row r="945" spans="1:7" ht="18.75" customHeight="1" x14ac:dyDescent="0.2">
      <c r="A945" s="8" t="s">
        <v>1893</v>
      </c>
      <c r="B945" s="9">
        <v>29351</v>
      </c>
      <c r="C945" s="9"/>
      <c r="D945" s="10" t="s">
        <v>1894</v>
      </c>
      <c r="E945" s="9">
        <v>10</v>
      </c>
      <c r="F945" s="11">
        <v>45265</v>
      </c>
      <c r="G945" s="8"/>
    </row>
    <row r="946" spans="1:7" ht="18.75" customHeight="1" x14ac:dyDescent="0.2">
      <c r="A946" s="8" t="s">
        <v>1895</v>
      </c>
      <c r="B946" s="9">
        <v>24461</v>
      </c>
      <c r="C946" s="9">
        <v>5902557333325</v>
      </c>
      <c r="D946" s="10" t="s">
        <v>1896</v>
      </c>
      <c r="E946" s="9">
        <v>201</v>
      </c>
      <c r="F946" s="11">
        <v>45376</v>
      </c>
      <c r="G946" s="8"/>
    </row>
    <row r="947" spans="1:7" ht="18.75" customHeight="1" x14ac:dyDescent="0.2">
      <c r="A947" s="8" t="s">
        <v>1897</v>
      </c>
      <c r="B947" s="9">
        <v>24463</v>
      </c>
      <c r="C947" s="9">
        <v>5902557333882</v>
      </c>
      <c r="D947" s="10" t="s">
        <v>1898</v>
      </c>
      <c r="E947" s="9">
        <v>209</v>
      </c>
      <c r="F947" s="11">
        <v>45406</v>
      </c>
      <c r="G947" s="8"/>
    </row>
    <row r="948" spans="1:7" ht="18.75" customHeight="1" x14ac:dyDescent="0.2">
      <c r="A948" s="8" t="s">
        <v>1899</v>
      </c>
      <c r="B948" s="9">
        <v>24465</v>
      </c>
      <c r="C948" s="9">
        <v>5902557333899</v>
      </c>
      <c r="D948" s="10" t="s">
        <v>1900</v>
      </c>
      <c r="E948" s="9">
        <v>217</v>
      </c>
      <c r="F948" s="11">
        <v>45679</v>
      </c>
      <c r="G948" s="8"/>
    </row>
    <row r="949" spans="1:7" ht="18.75" customHeight="1" x14ac:dyDescent="0.2">
      <c r="A949" s="8" t="s">
        <v>1901</v>
      </c>
      <c r="B949" s="9">
        <v>24423</v>
      </c>
      <c r="C949" s="9">
        <v>5902557333301</v>
      </c>
      <c r="D949" s="10" t="s">
        <v>1902</v>
      </c>
      <c r="E949" s="9">
        <v>183</v>
      </c>
      <c r="F949" s="11">
        <v>45679</v>
      </c>
      <c r="G949" s="8"/>
    </row>
    <row r="950" spans="1:7" ht="18.75" customHeight="1" x14ac:dyDescent="0.2">
      <c r="A950" s="8" t="s">
        <v>1903</v>
      </c>
      <c r="B950" s="9">
        <v>24425</v>
      </c>
      <c r="C950" s="9">
        <v>5902557333295</v>
      </c>
      <c r="D950" s="10" t="s">
        <v>1904</v>
      </c>
      <c r="E950" s="9">
        <v>186</v>
      </c>
      <c r="F950" s="11">
        <v>45679</v>
      </c>
      <c r="G950" s="8"/>
    </row>
    <row r="951" spans="1:7" ht="18.75" customHeight="1" x14ac:dyDescent="0.2">
      <c r="A951" s="8" t="s">
        <v>1905</v>
      </c>
      <c r="B951" s="9">
        <v>24459</v>
      </c>
      <c r="C951" s="9">
        <v>5902557333318</v>
      </c>
      <c r="D951" s="10" t="s">
        <v>1906</v>
      </c>
      <c r="E951" s="9">
        <v>202</v>
      </c>
      <c r="F951" s="11">
        <v>45667</v>
      </c>
      <c r="G951" s="8"/>
    </row>
    <row r="952" spans="1:7" ht="18.75" customHeight="1" x14ac:dyDescent="0.2">
      <c r="A952" s="8" t="s">
        <v>1907</v>
      </c>
      <c r="B952" s="9">
        <v>46073</v>
      </c>
      <c r="C952" s="9">
        <v>5902557323326</v>
      </c>
      <c r="D952" s="10" t="s">
        <v>1908</v>
      </c>
      <c r="E952" s="9">
        <v>68</v>
      </c>
      <c r="F952" s="11">
        <v>45265</v>
      </c>
      <c r="G952" s="8"/>
    </row>
    <row r="953" spans="1:7" ht="18.75" customHeight="1" x14ac:dyDescent="0.2">
      <c r="A953" s="8" t="s">
        <v>1909</v>
      </c>
      <c r="B953" s="9">
        <v>46072</v>
      </c>
      <c r="C953" s="9">
        <v>5902557323302</v>
      </c>
      <c r="D953" s="10" t="s">
        <v>1910</v>
      </c>
      <c r="E953" s="9">
        <v>62</v>
      </c>
      <c r="F953" s="11">
        <v>45265</v>
      </c>
      <c r="G953" s="8"/>
    </row>
    <row r="954" spans="1:7" ht="18.75" customHeight="1" x14ac:dyDescent="0.2">
      <c r="A954" s="8" t="s">
        <v>1911</v>
      </c>
      <c r="B954" s="9">
        <v>50970</v>
      </c>
      <c r="C954" s="9">
        <v>5902557387083</v>
      </c>
      <c r="D954" s="10" t="s">
        <v>1912</v>
      </c>
      <c r="E954" s="9">
        <v>37</v>
      </c>
      <c r="F954" s="11">
        <v>45265</v>
      </c>
      <c r="G954" s="8"/>
    </row>
    <row r="955" spans="1:7" ht="18.75" customHeight="1" x14ac:dyDescent="0.2">
      <c r="A955" s="8" t="s">
        <v>1913</v>
      </c>
      <c r="B955" s="9">
        <v>51004</v>
      </c>
      <c r="C955" s="9">
        <v>5902557387076</v>
      </c>
      <c r="D955" s="10" t="s">
        <v>1914</v>
      </c>
      <c r="E955" s="9">
        <v>39</v>
      </c>
      <c r="F955" s="11">
        <v>45265</v>
      </c>
      <c r="G955" s="8"/>
    </row>
    <row r="956" spans="1:7" ht="18.75" customHeight="1" x14ac:dyDescent="0.2">
      <c r="A956" s="8" t="s">
        <v>1915</v>
      </c>
      <c r="B956" s="9">
        <v>51000</v>
      </c>
      <c r="C956" s="9">
        <v>5902557387120</v>
      </c>
      <c r="D956" s="10" t="s">
        <v>1916</v>
      </c>
      <c r="E956" s="9">
        <v>37</v>
      </c>
      <c r="F956" s="11">
        <v>45265</v>
      </c>
      <c r="G956" s="8"/>
    </row>
    <row r="957" spans="1:7" ht="18.75" customHeight="1" x14ac:dyDescent="0.2">
      <c r="A957" s="8" t="s">
        <v>1917</v>
      </c>
      <c r="B957" s="9">
        <v>51005</v>
      </c>
      <c r="C957" s="9">
        <v>5902557387113</v>
      </c>
      <c r="D957" s="10" t="s">
        <v>1918</v>
      </c>
      <c r="E957" s="9">
        <v>39</v>
      </c>
      <c r="F957" s="11">
        <v>45265</v>
      </c>
      <c r="G957" s="8"/>
    </row>
    <row r="958" spans="1:7" ht="18.75" customHeight="1" x14ac:dyDescent="0.2">
      <c r="A958" s="8" t="s">
        <v>1919</v>
      </c>
      <c r="B958" s="9">
        <v>45387</v>
      </c>
      <c r="C958" s="9">
        <v>5902557301263</v>
      </c>
      <c r="D958" s="10" t="s">
        <v>1920</v>
      </c>
      <c r="E958" s="9">
        <v>39</v>
      </c>
      <c r="F958" s="11">
        <v>45265</v>
      </c>
      <c r="G958" s="8"/>
    </row>
    <row r="959" spans="1:7" ht="18.75" customHeight="1" x14ac:dyDescent="0.2">
      <c r="A959" s="8" t="s">
        <v>1921</v>
      </c>
      <c r="B959" s="9">
        <v>45498</v>
      </c>
      <c r="C959" s="9">
        <v>5902557301317</v>
      </c>
      <c r="D959" s="10" t="s">
        <v>1922</v>
      </c>
      <c r="E959" s="9">
        <v>68</v>
      </c>
      <c r="F959" s="11">
        <v>45265</v>
      </c>
      <c r="G959" s="8"/>
    </row>
    <row r="960" spans="1:7" ht="18.75" customHeight="1" x14ac:dyDescent="0.2">
      <c r="A960" s="8" t="s">
        <v>1923</v>
      </c>
      <c r="B960" s="9">
        <v>45434</v>
      </c>
      <c r="C960" s="9">
        <v>5902557301300</v>
      </c>
      <c r="D960" s="10" t="s">
        <v>1924</v>
      </c>
      <c r="E960" s="9">
        <v>61</v>
      </c>
      <c r="F960" s="11">
        <v>45265</v>
      </c>
      <c r="G960" s="8"/>
    </row>
    <row r="961" spans="1:7" ht="18.75" customHeight="1" x14ac:dyDescent="0.2">
      <c r="A961" s="8" t="s">
        <v>1925</v>
      </c>
      <c r="B961" s="9">
        <v>45766</v>
      </c>
      <c r="C961" s="9">
        <v>5902557375868</v>
      </c>
      <c r="D961" s="10" t="s">
        <v>1926</v>
      </c>
      <c r="E961" s="9">
        <v>74</v>
      </c>
      <c r="F961" s="11">
        <v>45265</v>
      </c>
      <c r="G961" s="8"/>
    </row>
    <row r="962" spans="1:7" ht="18.75" customHeight="1" x14ac:dyDescent="0.2">
      <c r="A962" s="8" t="s">
        <v>1927</v>
      </c>
      <c r="B962" s="9">
        <v>45767</v>
      </c>
      <c r="C962" s="9">
        <v>5902557375875</v>
      </c>
      <c r="D962" s="10" t="s">
        <v>1928</v>
      </c>
      <c r="E962" s="9">
        <v>81</v>
      </c>
      <c r="F962" s="11">
        <v>45265</v>
      </c>
      <c r="G962" s="8"/>
    </row>
    <row r="963" spans="1:7" ht="18.75" customHeight="1" x14ac:dyDescent="0.2">
      <c r="A963" s="8" t="s">
        <v>1929</v>
      </c>
      <c r="B963" s="9">
        <v>45768</v>
      </c>
      <c r="C963" s="9">
        <v>5902557375882</v>
      </c>
      <c r="D963" s="10" t="s">
        <v>1930</v>
      </c>
      <c r="E963" s="9">
        <v>90</v>
      </c>
      <c r="F963" s="11">
        <v>45265</v>
      </c>
      <c r="G963" s="8"/>
    </row>
    <row r="964" spans="1:7" ht="18.75" customHeight="1" x14ac:dyDescent="0.2">
      <c r="A964" s="8" t="s">
        <v>1931</v>
      </c>
      <c r="B964" s="9">
        <v>45769</v>
      </c>
      <c r="C964" s="9">
        <v>5902557375899</v>
      </c>
      <c r="D964" s="10" t="s">
        <v>1932</v>
      </c>
      <c r="E964" s="9">
        <v>94</v>
      </c>
      <c r="F964" s="11">
        <v>45265</v>
      </c>
      <c r="G964" s="8"/>
    </row>
    <row r="965" spans="1:7" ht="18.75" customHeight="1" x14ac:dyDescent="0.2">
      <c r="A965" s="8" t="s">
        <v>1933</v>
      </c>
      <c r="B965" s="9">
        <v>47650</v>
      </c>
      <c r="C965" s="9">
        <v>5902557375905</v>
      </c>
      <c r="D965" s="10" t="s">
        <v>1934</v>
      </c>
      <c r="E965" s="9">
        <v>88</v>
      </c>
      <c r="F965" s="11">
        <v>45265</v>
      </c>
      <c r="G965" s="8"/>
    </row>
    <row r="966" spans="1:7" ht="18.75" customHeight="1" x14ac:dyDescent="0.2">
      <c r="A966" s="8" t="s">
        <v>1935</v>
      </c>
      <c r="B966" s="9">
        <v>47649</v>
      </c>
      <c r="C966" s="9">
        <v>5902557375912</v>
      </c>
      <c r="D966" s="10" t="s">
        <v>1936</v>
      </c>
      <c r="E966" s="9">
        <v>101</v>
      </c>
      <c r="F966" s="11">
        <v>45265</v>
      </c>
      <c r="G966" s="8"/>
    </row>
    <row r="967" spans="1:7" ht="18.75" customHeight="1" x14ac:dyDescent="0.2">
      <c r="A967" s="8" t="s">
        <v>1937</v>
      </c>
      <c r="B967" s="9">
        <v>47648</v>
      </c>
      <c r="C967" s="9">
        <v>5902557375929</v>
      </c>
      <c r="D967" s="10" t="s">
        <v>1938</v>
      </c>
      <c r="E967" s="9">
        <v>108</v>
      </c>
      <c r="F967" s="11">
        <v>45265</v>
      </c>
      <c r="G967" s="8"/>
    </row>
    <row r="968" spans="1:7" ht="18.75" customHeight="1" x14ac:dyDescent="0.2">
      <c r="A968" s="8" t="s">
        <v>1939</v>
      </c>
      <c r="B968" s="9">
        <v>47647</v>
      </c>
      <c r="C968" s="9">
        <v>5902557375936</v>
      </c>
      <c r="D968" s="10" t="s">
        <v>1940</v>
      </c>
      <c r="E968" s="9">
        <v>117</v>
      </c>
      <c r="F968" s="11">
        <v>45265</v>
      </c>
      <c r="G968" s="8"/>
    </row>
    <row r="969" spans="1:7" ht="18.75" customHeight="1" x14ac:dyDescent="0.2">
      <c r="A969" s="8" t="s">
        <v>1941</v>
      </c>
      <c r="B969" s="9">
        <v>45765</v>
      </c>
      <c r="C969" s="9">
        <v>5902557357208</v>
      </c>
      <c r="D969" s="10" t="s">
        <v>1942</v>
      </c>
      <c r="E969" s="9">
        <v>39</v>
      </c>
      <c r="F969" s="11">
        <v>45265</v>
      </c>
      <c r="G969" s="8"/>
    </row>
    <row r="970" spans="1:7" ht="18.75" customHeight="1" x14ac:dyDescent="0.2">
      <c r="A970" s="8" t="s">
        <v>1943</v>
      </c>
      <c r="B970" s="9"/>
      <c r="C970" s="9">
        <v>5902557352289</v>
      </c>
      <c r="D970" s="10" t="s">
        <v>1944</v>
      </c>
      <c r="E970" s="9">
        <v>63</v>
      </c>
      <c r="F970" s="11">
        <v>45265</v>
      </c>
      <c r="G970" s="8"/>
    </row>
    <row r="971" spans="1:7" ht="18.75" customHeight="1" x14ac:dyDescent="0.2">
      <c r="A971" s="8" t="s">
        <v>1945</v>
      </c>
      <c r="B971" s="9">
        <v>45706</v>
      </c>
      <c r="C971" s="9">
        <v>5902557352241</v>
      </c>
      <c r="D971" s="10" t="s">
        <v>1946</v>
      </c>
      <c r="E971" s="9">
        <v>67</v>
      </c>
      <c r="F971" s="11">
        <v>45265</v>
      </c>
      <c r="G971" s="8"/>
    </row>
    <row r="972" spans="1:7" ht="18.75" customHeight="1" x14ac:dyDescent="0.2">
      <c r="A972" s="8" t="s">
        <v>1947</v>
      </c>
      <c r="B972" s="9">
        <v>45388</v>
      </c>
      <c r="C972" s="9">
        <v>5902557301270</v>
      </c>
      <c r="D972" s="10" t="s">
        <v>1948</v>
      </c>
      <c r="E972" s="9">
        <v>41</v>
      </c>
      <c r="F972" s="11">
        <v>45265</v>
      </c>
      <c r="G972" s="8"/>
    </row>
    <row r="973" spans="1:7" ht="18.75" customHeight="1" x14ac:dyDescent="0.2">
      <c r="A973" s="8" t="s">
        <v>1949</v>
      </c>
      <c r="B973" s="9"/>
      <c r="C973" s="9">
        <v>5902557352296</v>
      </c>
      <c r="D973" s="10" t="s">
        <v>1950</v>
      </c>
      <c r="E973" s="9">
        <v>70</v>
      </c>
      <c r="F973" s="11">
        <v>45265</v>
      </c>
      <c r="G973" s="8"/>
    </row>
    <row r="974" spans="1:7" ht="18.75" customHeight="1" x14ac:dyDescent="0.2">
      <c r="A974" s="8" t="s">
        <v>1951</v>
      </c>
      <c r="B974" s="9">
        <v>45707</v>
      </c>
      <c r="C974" s="9">
        <v>5902557352258</v>
      </c>
      <c r="D974" s="10" t="s">
        <v>1952</v>
      </c>
      <c r="E974" s="9">
        <v>73</v>
      </c>
      <c r="F974" s="11">
        <v>45265</v>
      </c>
      <c r="G974" s="8"/>
    </row>
    <row r="975" spans="1:7" ht="18.75" customHeight="1" x14ac:dyDescent="0.2">
      <c r="A975" s="8" t="s">
        <v>1953</v>
      </c>
      <c r="B975" s="9">
        <v>45389</v>
      </c>
      <c r="C975" s="9">
        <v>5902557301287</v>
      </c>
      <c r="D975" s="10" t="s">
        <v>1954</v>
      </c>
      <c r="E975" s="9">
        <v>46</v>
      </c>
      <c r="F975" s="11">
        <v>45265</v>
      </c>
      <c r="G975" s="8"/>
    </row>
    <row r="976" spans="1:7" ht="18.75" customHeight="1" x14ac:dyDescent="0.2">
      <c r="A976" s="8" t="s">
        <v>1955</v>
      </c>
      <c r="B976" s="9"/>
      <c r="C976" s="9">
        <v>5902557352302</v>
      </c>
      <c r="D976" s="10" t="s">
        <v>1956</v>
      </c>
      <c r="E976" s="9">
        <v>82</v>
      </c>
      <c r="F976" s="11">
        <v>45265</v>
      </c>
      <c r="G976" s="8"/>
    </row>
    <row r="977" spans="1:7" ht="18.75" customHeight="1" x14ac:dyDescent="0.2">
      <c r="A977" s="8" t="s">
        <v>1957</v>
      </c>
      <c r="B977" s="9">
        <v>45708</v>
      </c>
      <c r="C977" s="9">
        <v>5902557352265</v>
      </c>
      <c r="D977" s="10" t="s">
        <v>1958</v>
      </c>
      <c r="E977" s="9">
        <v>80</v>
      </c>
      <c r="F977" s="11">
        <v>45265</v>
      </c>
      <c r="G977" s="8"/>
    </row>
    <row r="978" spans="1:7" ht="18.75" customHeight="1" x14ac:dyDescent="0.2">
      <c r="A978" s="8" t="s">
        <v>1959</v>
      </c>
      <c r="B978" s="9">
        <v>45390</v>
      </c>
      <c r="C978" s="9">
        <v>5902557301294</v>
      </c>
      <c r="D978" s="10" t="s">
        <v>1960</v>
      </c>
      <c r="E978" s="9">
        <v>52</v>
      </c>
      <c r="F978" s="11">
        <v>45265</v>
      </c>
      <c r="G978" s="8"/>
    </row>
    <row r="979" spans="1:7" ht="18.75" customHeight="1" x14ac:dyDescent="0.2">
      <c r="A979" s="8" t="s">
        <v>1961</v>
      </c>
      <c r="B979" s="9"/>
      <c r="C979" s="9">
        <v>5902557352319</v>
      </c>
      <c r="D979" s="10" t="s">
        <v>1962</v>
      </c>
      <c r="E979" s="9">
        <v>88</v>
      </c>
      <c r="F979" s="11">
        <v>45265</v>
      </c>
      <c r="G979" s="8"/>
    </row>
    <row r="980" spans="1:7" ht="18.75" customHeight="1" x14ac:dyDescent="0.2">
      <c r="A980" s="8" t="s">
        <v>1963</v>
      </c>
      <c r="B980" s="9">
        <v>45709</v>
      </c>
      <c r="C980" s="9">
        <v>5902557352272</v>
      </c>
      <c r="D980" s="10" t="s">
        <v>1964</v>
      </c>
      <c r="E980" s="9">
        <v>92</v>
      </c>
      <c r="F980" s="11">
        <v>45265</v>
      </c>
      <c r="G980" s="8"/>
    </row>
    <row r="981" spans="1:7" ht="18.75" customHeight="1" x14ac:dyDescent="0.2">
      <c r="A981" s="8" t="s">
        <v>1965</v>
      </c>
      <c r="B981" s="9">
        <v>50997</v>
      </c>
      <c r="C981" s="9">
        <v>5902557387090</v>
      </c>
      <c r="D981" s="10" t="s">
        <v>1966</v>
      </c>
      <c r="E981" s="9">
        <v>37</v>
      </c>
      <c r="F981" s="11">
        <v>45265</v>
      </c>
      <c r="G981" s="8"/>
    </row>
    <row r="982" spans="1:7" ht="18.75" customHeight="1" x14ac:dyDescent="0.2">
      <c r="A982" s="8" t="s">
        <v>1967</v>
      </c>
      <c r="B982" s="9">
        <v>51002</v>
      </c>
      <c r="C982" s="9">
        <v>5902557387106</v>
      </c>
      <c r="D982" s="10" t="s">
        <v>1968</v>
      </c>
      <c r="E982" s="9">
        <v>39</v>
      </c>
      <c r="F982" s="11">
        <v>45265</v>
      </c>
      <c r="G982" s="8"/>
    </row>
    <row r="983" spans="1:7" ht="18.75" customHeight="1" x14ac:dyDescent="0.2">
      <c r="A983" s="8" t="s">
        <v>1969</v>
      </c>
      <c r="B983" s="9">
        <v>44308</v>
      </c>
      <c r="C983" s="9">
        <v>5902557301256</v>
      </c>
      <c r="D983" s="10" t="s">
        <v>1970</v>
      </c>
      <c r="E983" s="9">
        <v>66</v>
      </c>
      <c r="F983" s="11">
        <v>45265</v>
      </c>
      <c r="G983" s="8"/>
    </row>
    <row r="984" spans="1:7" ht="18.75" customHeight="1" x14ac:dyDescent="0.2">
      <c r="A984" s="8" t="s">
        <v>1971</v>
      </c>
      <c r="B984" s="9">
        <v>44305</v>
      </c>
      <c r="C984" s="9">
        <v>5902557301249</v>
      </c>
      <c r="D984" s="10" t="s">
        <v>1972</v>
      </c>
      <c r="E984" s="9">
        <v>60</v>
      </c>
      <c r="F984" s="11">
        <v>45265</v>
      </c>
      <c r="G984" s="8"/>
    </row>
    <row r="985" spans="1:7" ht="18.75" customHeight="1" x14ac:dyDescent="0.2">
      <c r="A985" s="8" t="s">
        <v>1973</v>
      </c>
      <c r="B985" s="9">
        <v>45569</v>
      </c>
      <c r="C985" s="9">
        <v>5902557323340</v>
      </c>
      <c r="D985" s="10" t="s">
        <v>1974</v>
      </c>
      <c r="E985" s="9">
        <v>44</v>
      </c>
      <c r="F985" s="11">
        <v>45265</v>
      </c>
      <c r="G985" s="8"/>
    </row>
    <row r="986" spans="1:7" ht="18.75" customHeight="1" x14ac:dyDescent="0.2">
      <c r="A986" s="8" t="s">
        <v>1975</v>
      </c>
      <c r="B986" s="9">
        <v>45570</v>
      </c>
      <c r="C986" s="9">
        <v>5902557323357</v>
      </c>
      <c r="D986" s="10" t="s">
        <v>1976</v>
      </c>
      <c r="E986" s="9">
        <v>48</v>
      </c>
      <c r="F986" s="11">
        <v>45265</v>
      </c>
      <c r="G986" s="8"/>
    </row>
    <row r="987" spans="1:7" ht="18.75" customHeight="1" x14ac:dyDescent="0.2">
      <c r="A987" s="8" t="s">
        <v>1977</v>
      </c>
      <c r="B987" s="9">
        <v>45432</v>
      </c>
      <c r="C987" s="9">
        <v>5902557366484</v>
      </c>
      <c r="D987" s="10" t="s">
        <v>1978</v>
      </c>
      <c r="E987" s="9">
        <v>92</v>
      </c>
      <c r="F987" s="11">
        <v>45265</v>
      </c>
      <c r="G987" s="8"/>
    </row>
    <row r="988" spans="1:7" ht="18.75" customHeight="1" x14ac:dyDescent="0.2">
      <c r="A988" s="8" t="s">
        <v>1979</v>
      </c>
      <c r="B988" s="9">
        <v>46008</v>
      </c>
      <c r="C988" s="9">
        <v>5902557342624</v>
      </c>
      <c r="D988" s="10" t="s">
        <v>1980</v>
      </c>
      <c r="E988" s="9">
        <v>109</v>
      </c>
      <c r="F988" s="11">
        <v>45265</v>
      </c>
      <c r="G988" s="8"/>
    </row>
    <row r="989" spans="1:7" ht="18.75" customHeight="1" x14ac:dyDescent="0.2">
      <c r="A989" s="8" t="s">
        <v>1981</v>
      </c>
      <c r="B989" s="9">
        <v>45946</v>
      </c>
      <c r="C989" s="9">
        <v>5902557368167</v>
      </c>
      <c r="D989" s="10" t="s">
        <v>1982</v>
      </c>
      <c r="E989" s="9">
        <v>65</v>
      </c>
      <c r="F989" s="11">
        <v>45265</v>
      </c>
      <c r="G989" s="8"/>
    </row>
    <row r="990" spans="1:7" ht="18.75" customHeight="1" x14ac:dyDescent="0.2">
      <c r="A990" s="8" t="s">
        <v>1983</v>
      </c>
      <c r="B990" s="9">
        <v>45948</v>
      </c>
      <c r="C990" s="9">
        <v>5902557342662</v>
      </c>
      <c r="D990" s="10" t="s">
        <v>1984</v>
      </c>
      <c r="E990" s="9">
        <v>72</v>
      </c>
      <c r="F990" s="11">
        <v>45265</v>
      </c>
      <c r="G990" s="8"/>
    </row>
    <row r="991" spans="1:7" ht="18.75" customHeight="1" x14ac:dyDescent="0.2">
      <c r="A991" s="8" t="s">
        <v>1985</v>
      </c>
      <c r="B991" s="9">
        <v>46003</v>
      </c>
      <c r="C991" s="9">
        <v>5902557342655</v>
      </c>
      <c r="D991" s="10" t="s">
        <v>1986</v>
      </c>
      <c r="E991" s="9">
        <v>87</v>
      </c>
      <c r="F991" s="11">
        <v>45265</v>
      </c>
      <c r="G991" s="8"/>
    </row>
    <row r="992" spans="1:7" ht="18.75" customHeight="1" x14ac:dyDescent="0.2">
      <c r="A992" s="8" t="s">
        <v>1987</v>
      </c>
      <c r="B992" s="9">
        <v>46005</v>
      </c>
      <c r="C992" s="9">
        <v>5902557342648</v>
      </c>
      <c r="D992" s="10" t="s">
        <v>1988</v>
      </c>
      <c r="E992" s="9">
        <v>94</v>
      </c>
      <c r="F992" s="11">
        <v>45265</v>
      </c>
      <c r="G992" s="8"/>
    </row>
    <row r="993" spans="1:7" ht="18.75" customHeight="1" x14ac:dyDescent="0.2">
      <c r="A993" s="8" t="s">
        <v>1989</v>
      </c>
      <c r="B993" s="9">
        <v>46006</v>
      </c>
      <c r="C993" s="9">
        <v>5902557342631</v>
      </c>
      <c r="D993" s="10" t="s">
        <v>1990</v>
      </c>
      <c r="E993" s="9">
        <v>102</v>
      </c>
      <c r="F993" s="11">
        <v>45265</v>
      </c>
      <c r="G993" s="8"/>
    </row>
    <row r="994" spans="1:7" ht="18.75" customHeight="1" x14ac:dyDescent="0.2">
      <c r="A994" s="8" t="s">
        <v>1991</v>
      </c>
      <c r="B994" s="9">
        <v>46013</v>
      </c>
      <c r="C994" s="9">
        <v>5902557313655</v>
      </c>
      <c r="D994" s="10" t="s">
        <v>1992</v>
      </c>
      <c r="E994" s="9">
        <v>77</v>
      </c>
      <c r="F994" s="11">
        <v>45265</v>
      </c>
      <c r="G994" s="8"/>
    </row>
    <row r="995" spans="1:7" ht="18.75" customHeight="1" x14ac:dyDescent="0.2">
      <c r="A995" s="8" t="s">
        <v>1993</v>
      </c>
      <c r="B995" s="9">
        <v>46004</v>
      </c>
      <c r="C995" s="9">
        <v>5902557313600</v>
      </c>
      <c r="D995" s="10" t="s">
        <v>1994</v>
      </c>
      <c r="E995" s="9">
        <v>53</v>
      </c>
      <c r="F995" s="11">
        <v>45265</v>
      </c>
      <c r="G995" s="8"/>
    </row>
    <row r="996" spans="1:7" ht="18.75" customHeight="1" x14ac:dyDescent="0.2">
      <c r="A996" s="8" t="s">
        <v>1995</v>
      </c>
      <c r="B996" s="9">
        <v>46007</v>
      </c>
      <c r="C996" s="9">
        <v>5902557313617</v>
      </c>
      <c r="D996" s="10" t="s">
        <v>1996</v>
      </c>
      <c r="E996" s="9">
        <v>58</v>
      </c>
      <c r="F996" s="11">
        <v>45265</v>
      </c>
      <c r="G996" s="8"/>
    </row>
    <row r="997" spans="1:7" ht="18.75" customHeight="1" x14ac:dyDescent="0.2">
      <c r="A997" s="8" t="s">
        <v>1997</v>
      </c>
      <c r="B997" s="9">
        <v>46009</v>
      </c>
      <c r="C997" s="9">
        <v>5902557313624</v>
      </c>
      <c r="D997" s="10" t="s">
        <v>1998</v>
      </c>
      <c r="E997" s="9">
        <v>63</v>
      </c>
      <c r="F997" s="11">
        <v>45265</v>
      </c>
      <c r="G997" s="8"/>
    </row>
    <row r="998" spans="1:7" ht="18.75" customHeight="1" x14ac:dyDescent="0.2">
      <c r="A998" s="8" t="s">
        <v>1999</v>
      </c>
      <c r="B998" s="9">
        <v>46010</v>
      </c>
      <c r="C998" s="9">
        <v>5902557313631</v>
      </c>
      <c r="D998" s="10" t="s">
        <v>2000</v>
      </c>
      <c r="E998" s="9">
        <v>67</v>
      </c>
      <c r="F998" s="11">
        <v>45265</v>
      </c>
      <c r="G998" s="8"/>
    </row>
    <row r="999" spans="1:7" ht="18.75" customHeight="1" x14ac:dyDescent="0.2">
      <c r="A999" s="8" t="s">
        <v>2001</v>
      </c>
      <c r="B999" s="9">
        <v>46012</v>
      </c>
      <c r="C999" s="9">
        <v>5902557313648</v>
      </c>
      <c r="D999" s="10" t="s">
        <v>2002</v>
      </c>
      <c r="E999" s="9">
        <v>72</v>
      </c>
      <c r="F999" s="11">
        <v>45265</v>
      </c>
      <c r="G999" s="8"/>
    </row>
    <row r="1000" spans="1:7" ht="18.75" customHeight="1" x14ac:dyDescent="0.2">
      <c r="A1000" s="8" t="s">
        <v>2003</v>
      </c>
      <c r="B1000" s="9">
        <v>45947</v>
      </c>
      <c r="C1000" s="9">
        <v>5902557301065</v>
      </c>
      <c r="D1000" s="10" t="s">
        <v>2004</v>
      </c>
      <c r="E1000" s="9">
        <v>77</v>
      </c>
      <c r="F1000" s="11">
        <v>45265</v>
      </c>
      <c r="G1000" s="8"/>
    </row>
    <row r="1001" spans="1:7" ht="18.75" customHeight="1" x14ac:dyDescent="0.2">
      <c r="A1001" s="8" t="s">
        <v>2005</v>
      </c>
      <c r="B1001" s="9">
        <v>45828</v>
      </c>
      <c r="C1001" s="9">
        <v>5902557301010</v>
      </c>
      <c r="D1001" s="10" t="s">
        <v>2006</v>
      </c>
      <c r="E1001" s="9">
        <v>46</v>
      </c>
      <c r="F1001" s="11">
        <v>45265</v>
      </c>
      <c r="G1001" s="8"/>
    </row>
    <row r="1002" spans="1:7" ht="18.75" customHeight="1" x14ac:dyDescent="0.2">
      <c r="A1002" s="8" t="s">
        <v>2007</v>
      </c>
      <c r="B1002" s="9">
        <v>45884</v>
      </c>
      <c r="C1002" s="9">
        <v>5902557301027</v>
      </c>
      <c r="D1002" s="10" t="s">
        <v>2008</v>
      </c>
      <c r="E1002" s="9">
        <v>58</v>
      </c>
      <c r="F1002" s="11">
        <v>45265</v>
      </c>
      <c r="G1002" s="8"/>
    </row>
    <row r="1003" spans="1:7" ht="18.75" customHeight="1" x14ac:dyDescent="0.2">
      <c r="A1003" s="8" t="s">
        <v>2009</v>
      </c>
      <c r="B1003" s="9">
        <v>45886</v>
      </c>
      <c r="C1003" s="9">
        <v>5902557301072</v>
      </c>
      <c r="D1003" s="10" t="s">
        <v>2010</v>
      </c>
      <c r="E1003" s="9">
        <v>63</v>
      </c>
      <c r="F1003" s="11">
        <v>45265</v>
      </c>
      <c r="G1003" s="8"/>
    </row>
    <row r="1004" spans="1:7" ht="18.75" customHeight="1" x14ac:dyDescent="0.2">
      <c r="A1004" s="8" t="s">
        <v>2011</v>
      </c>
      <c r="B1004" s="9">
        <v>45887</v>
      </c>
      <c r="C1004" s="9">
        <v>5902557301034</v>
      </c>
      <c r="D1004" s="10" t="s">
        <v>2012</v>
      </c>
      <c r="E1004" s="9">
        <v>67</v>
      </c>
      <c r="F1004" s="11">
        <v>45265</v>
      </c>
      <c r="G1004" s="8"/>
    </row>
    <row r="1005" spans="1:7" ht="18.75" customHeight="1" x14ac:dyDescent="0.2">
      <c r="A1005" s="8" t="s">
        <v>2013</v>
      </c>
      <c r="B1005" s="9">
        <v>45890</v>
      </c>
      <c r="C1005" s="9">
        <v>5902557301058</v>
      </c>
      <c r="D1005" s="10" t="s">
        <v>2014</v>
      </c>
      <c r="E1005" s="9">
        <v>72</v>
      </c>
      <c r="F1005" s="11">
        <v>45265</v>
      </c>
      <c r="G1005" s="8"/>
    </row>
    <row r="1006" spans="1:7" ht="18.75" customHeight="1" x14ac:dyDescent="0.2">
      <c r="A1006" s="8" t="s">
        <v>2015</v>
      </c>
      <c r="B1006" s="9">
        <v>47654</v>
      </c>
      <c r="C1006" s="9">
        <v>5902557375837</v>
      </c>
      <c r="D1006" s="10" t="s">
        <v>2016</v>
      </c>
      <c r="E1006" s="9">
        <v>87</v>
      </c>
      <c r="F1006" s="11">
        <v>45265</v>
      </c>
      <c r="G1006" s="8"/>
    </row>
    <row r="1007" spans="1:7" ht="18.75" customHeight="1" x14ac:dyDescent="0.2">
      <c r="A1007" s="8" t="s">
        <v>2017</v>
      </c>
      <c r="B1007" s="9">
        <v>47655</v>
      </c>
      <c r="C1007" s="9">
        <v>5902557375844</v>
      </c>
      <c r="D1007" s="10" t="s">
        <v>2018</v>
      </c>
      <c r="E1007" s="9">
        <v>97</v>
      </c>
      <c r="F1007" s="11">
        <v>45265</v>
      </c>
      <c r="G1007" s="8"/>
    </row>
    <row r="1008" spans="1:7" ht="18.75" customHeight="1" x14ac:dyDescent="0.2">
      <c r="A1008" s="8" t="s">
        <v>2019</v>
      </c>
      <c r="B1008" s="9">
        <v>47656</v>
      </c>
      <c r="C1008" s="9">
        <v>5902557375851</v>
      </c>
      <c r="D1008" s="10" t="s">
        <v>2020</v>
      </c>
      <c r="E1008" s="9">
        <v>104</v>
      </c>
      <c r="F1008" s="11">
        <v>45265</v>
      </c>
      <c r="G1008" s="8"/>
    </row>
    <row r="1009" spans="1:7" ht="18.75" customHeight="1" x14ac:dyDescent="0.2">
      <c r="A1009" s="8" t="s">
        <v>2021</v>
      </c>
      <c r="B1009" s="9">
        <v>45567</v>
      </c>
      <c r="C1009" s="9">
        <v>5902557368358</v>
      </c>
      <c r="D1009" s="10" t="s">
        <v>2022</v>
      </c>
      <c r="E1009" s="9">
        <v>115</v>
      </c>
      <c r="F1009" s="11">
        <v>45265</v>
      </c>
      <c r="G1009" s="8"/>
    </row>
    <row r="1010" spans="1:7" ht="18.75" customHeight="1" x14ac:dyDescent="0.2">
      <c r="A1010" s="8" t="s">
        <v>2023</v>
      </c>
      <c r="B1010" s="9">
        <v>45497</v>
      </c>
      <c r="C1010" s="9">
        <v>5902557368464</v>
      </c>
      <c r="D1010" s="10" t="s">
        <v>2024</v>
      </c>
      <c r="E1010" s="9">
        <v>78</v>
      </c>
      <c r="F1010" s="11">
        <v>45265</v>
      </c>
      <c r="G1010" s="8"/>
    </row>
    <row r="1011" spans="1:7" ht="18.75" customHeight="1" x14ac:dyDescent="0.2">
      <c r="A1011" s="8" t="s">
        <v>2025</v>
      </c>
      <c r="B1011" s="9">
        <v>45499</v>
      </c>
      <c r="C1011" s="9">
        <v>5902557368341</v>
      </c>
      <c r="D1011" s="10" t="s">
        <v>2026</v>
      </c>
      <c r="E1011" s="9">
        <v>88</v>
      </c>
      <c r="F1011" s="11">
        <v>45265</v>
      </c>
      <c r="G1011" s="8"/>
    </row>
    <row r="1012" spans="1:7" ht="18.75" customHeight="1" x14ac:dyDescent="0.2">
      <c r="A1012" s="8" t="s">
        <v>2027</v>
      </c>
      <c r="B1012" s="9">
        <v>45554</v>
      </c>
      <c r="C1012" s="9">
        <v>5902557357215</v>
      </c>
      <c r="D1012" s="10" t="s">
        <v>2028</v>
      </c>
      <c r="E1012" s="9">
        <v>85</v>
      </c>
      <c r="F1012" s="11">
        <v>45265</v>
      </c>
      <c r="G1012" s="8"/>
    </row>
    <row r="1013" spans="1:7" ht="18.75" customHeight="1" x14ac:dyDescent="0.2">
      <c r="A1013" s="8" t="s">
        <v>2029</v>
      </c>
      <c r="B1013" s="9">
        <v>45555</v>
      </c>
      <c r="C1013" s="9">
        <v>5902557357222</v>
      </c>
      <c r="D1013" s="10" t="s">
        <v>2030</v>
      </c>
      <c r="E1013" s="9">
        <v>95</v>
      </c>
      <c r="F1013" s="11">
        <v>45265</v>
      </c>
      <c r="G1013" s="8"/>
    </row>
    <row r="1014" spans="1:7" ht="18.75" customHeight="1" x14ac:dyDescent="0.2">
      <c r="A1014" s="8" t="s">
        <v>2031</v>
      </c>
      <c r="B1014" s="9">
        <v>45557</v>
      </c>
      <c r="C1014" s="9">
        <v>5902557357239</v>
      </c>
      <c r="D1014" s="10" t="s">
        <v>2032</v>
      </c>
      <c r="E1014" s="9">
        <v>105</v>
      </c>
      <c r="F1014" s="11">
        <v>45265</v>
      </c>
      <c r="G1014" s="8"/>
    </row>
    <row r="1015" spans="1:7" ht="18.75" customHeight="1" x14ac:dyDescent="0.2">
      <c r="A1015" s="8" t="s">
        <v>2033</v>
      </c>
      <c r="B1015" s="9">
        <v>45883</v>
      </c>
      <c r="C1015" s="9">
        <v>5902557352517</v>
      </c>
      <c r="D1015" s="10" t="s">
        <v>2034</v>
      </c>
      <c r="E1015" s="9">
        <v>78</v>
      </c>
      <c r="F1015" s="11">
        <v>45265</v>
      </c>
      <c r="G1015" s="8"/>
    </row>
    <row r="1016" spans="1:7" ht="18.75" customHeight="1" x14ac:dyDescent="0.2">
      <c r="A1016" s="8" t="s">
        <v>2035</v>
      </c>
      <c r="B1016" s="9">
        <v>45428</v>
      </c>
      <c r="C1016" s="9">
        <v>5902557366453</v>
      </c>
      <c r="D1016" s="10" t="s">
        <v>2036</v>
      </c>
      <c r="E1016" s="9">
        <v>85</v>
      </c>
      <c r="F1016" s="11">
        <v>45265</v>
      </c>
      <c r="G1016" s="8"/>
    </row>
    <row r="1017" spans="1:7" ht="18.75" customHeight="1" x14ac:dyDescent="0.2">
      <c r="A1017" s="8" t="s">
        <v>2037</v>
      </c>
      <c r="B1017" s="9">
        <v>45885</v>
      </c>
      <c r="C1017" s="9">
        <v>5902557352524</v>
      </c>
      <c r="D1017" s="10" t="s">
        <v>2038</v>
      </c>
      <c r="E1017" s="9">
        <v>85</v>
      </c>
      <c r="F1017" s="11">
        <v>45265</v>
      </c>
      <c r="G1017" s="8"/>
    </row>
    <row r="1018" spans="1:7" ht="18.75" customHeight="1" x14ac:dyDescent="0.2">
      <c r="A1018" s="8" t="s">
        <v>2039</v>
      </c>
      <c r="B1018" s="9">
        <v>45400</v>
      </c>
      <c r="C1018" s="9">
        <v>5902557366491</v>
      </c>
      <c r="D1018" s="10" t="s">
        <v>2040</v>
      </c>
      <c r="E1018" s="9">
        <v>90</v>
      </c>
      <c r="F1018" s="11">
        <v>45265</v>
      </c>
      <c r="G1018" s="8"/>
    </row>
    <row r="1019" spans="1:7" ht="18.75" customHeight="1" x14ac:dyDescent="0.2">
      <c r="A1019" s="8" t="s">
        <v>2041</v>
      </c>
      <c r="B1019" s="9">
        <v>45429</v>
      </c>
      <c r="C1019" s="9">
        <v>5902557366460</v>
      </c>
      <c r="D1019" s="10" t="s">
        <v>2042</v>
      </c>
      <c r="E1019" s="9">
        <v>87</v>
      </c>
      <c r="F1019" s="11">
        <v>45265</v>
      </c>
      <c r="G1019" s="8"/>
    </row>
    <row r="1020" spans="1:7" ht="18.75" customHeight="1" x14ac:dyDescent="0.2">
      <c r="A1020" s="8" t="s">
        <v>2043</v>
      </c>
      <c r="B1020" s="9">
        <v>45888</v>
      </c>
      <c r="C1020" s="9">
        <v>5902557352531</v>
      </c>
      <c r="D1020" s="10" t="s">
        <v>2044</v>
      </c>
      <c r="E1020" s="9">
        <v>94</v>
      </c>
      <c r="F1020" s="11">
        <v>45265</v>
      </c>
      <c r="G1020" s="8"/>
    </row>
    <row r="1021" spans="1:7" ht="18.75" customHeight="1" x14ac:dyDescent="0.2">
      <c r="A1021" s="8" t="s">
        <v>2045</v>
      </c>
      <c r="B1021" s="9">
        <v>45430</v>
      </c>
      <c r="C1021" s="9">
        <v>5902557366477</v>
      </c>
      <c r="D1021" s="10" t="s">
        <v>2046</v>
      </c>
      <c r="E1021" s="9">
        <v>90</v>
      </c>
      <c r="F1021" s="11">
        <v>45265</v>
      </c>
      <c r="G1021" s="8"/>
    </row>
    <row r="1022" spans="1:7" ht="18.75" customHeight="1" x14ac:dyDescent="0.2">
      <c r="A1022" s="8" t="s">
        <v>2047</v>
      </c>
      <c r="B1022" s="9">
        <v>45889</v>
      </c>
      <c r="C1022" s="9">
        <v>5902557352548</v>
      </c>
      <c r="D1022" s="10" t="s">
        <v>2048</v>
      </c>
      <c r="E1022" s="9">
        <v>99</v>
      </c>
      <c r="F1022" s="11">
        <v>45265</v>
      </c>
      <c r="G1022" s="8"/>
    </row>
    <row r="1023" spans="1:7" ht="18.75" customHeight="1" x14ac:dyDescent="0.2">
      <c r="A1023" s="8" t="s">
        <v>2049</v>
      </c>
      <c r="B1023" s="9">
        <v>50967</v>
      </c>
      <c r="C1023" s="9">
        <v>5902557387052</v>
      </c>
      <c r="D1023" s="10" t="s">
        <v>2050</v>
      </c>
      <c r="E1023" s="9">
        <v>37</v>
      </c>
      <c r="F1023" s="11">
        <v>45265</v>
      </c>
      <c r="G1023" s="8"/>
    </row>
    <row r="1024" spans="1:7" ht="18.75" customHeight="1" x14ac:dyDescent="0.2">
      <c r="A1024" s="8" t="s">
        <v>2051</v>
      </c>
      <c r="B1024" s="9">
        <v>50968</v>
      </c>
      <c r="C1024" s="9">
        <v>5902557387069</v>
      </c>
      <c r="D1024" s="10" t="s">
        <v>2052</v>
      </c>
      <c r="E1024" s="9">
        <v>39</v>
      </c>
      <c r="F1024" s="11">
        <v>45265</v>
      </c>
      <c r="G1024" s="8"/>
    </row>
    <row r="1025" spans="1:7" ht="18.75" customHeight="1" x14ac:dyDescent="0.2">
      <c r="A1025" s="8" t="s">
        <v>2053</v>
      </c>
      <c r="B1025" s="9">
        <v>46270</v>
      </c>
      <c r="C1025" s="9">
        <v>5902557342570</v>
      </c>
      <c r="D1025" s="10" t="s">
        <v>2054</v>
      </c>
      <c r="E1025" s="9">
        <v>106</v>
      </c>
      <c r="F1025" s="11">
        <v>45265</v>
      </c>
      <c r="G1025" s="8"/>
    </row>
    <row r="1026" spans="1:7" ht="18.75" customHeight="1" x14ac:dyDescent="0.2">
      <c r="A1026" s="8" t="s">
        <v>2055</v>
      </c>
      <c r="B1026" s="9">
        <v>46265</v>
      </c>
      <c r="C1026" s="9">
        <v>5902557368136</v>
      </c>
      <c r="D1026" s="10" t="s">
        <v>2056</v>
      </c>
      <c r="E1026" s="9">
        <v>57</v>
      </c>
      <c r="F1026" s="11">
        <v>45265</v>
      </c>
      <c r="G1026" s="8"/>
    </row>
    <row r="1027" spans="1:7" ht="18.75" customHeight="1" x14ac:dyDescent="0.2">
      <c r="A1027" s="8" t="s">
        <v>2057</v>
      </c>
      <c r="B1027" s="9">
        <v>46266</v>
      </c>
      <c r="C1027" s="9">
        <v>5902557342617</v>
      </c>
      <c r="D1027" s="10" t="s">
        <v>2058</v>
      </c>
      <c r="E1027" s="9">
        <v>69</v>
      </c>
      <c r="F1027" s="11">
        <v>45265</v>
      </c>
      <c r="G1027" s="8"/>
    </row>
    <row r="1028" spans="1:7" ht="18.75" customHeight="1" x14ac:dyDescent="0.2">
      <c r="A1028" s="8" t="s">
        <v>2059</v>
      </c>
      <c r="B1028" s="9">
        <v>46267</v>
      </c>
      <c r="C1028" s="9">
        <v>5902557342600</v>
      </c>
      <c r="D1028" s="10" t="s">
        <v>2060</v>
      </c>
      <c r="E1028" s="9">
        <v>74</v>
      </c>
      <c r="F1028" s="11">
        <v>45265</v>
      </c>
      <c r="G1028" s="8"/>
    </row>
    <row r="1029" spans="1:7" ht="18.75" customHeight="1" x14ac:dyDescent="0.2">
      <c r="A1029" s="8" t="s">
        <v>2061</v>
      </c>
      <c r="B1029" s="9">
        <v>46268</v>
      </c>
      <c r="C1029" s="9">
        <v>5902557342594</v>
      </c>
      <c r="D1029" s="10" t="s">
        <v>2062</v>
      </c>
      <c r="E1029" s="9">
        <v>94</v>
      </c>
      <c r="F1029" s="11">
        <v>45265</v>
      </c>
      <c r="G1029" s="8"/>
    </row>
    <row r="1030" spans="1:7" ht="18.75" customHeight="1" x14ac:dyDescent="0.2">
      <c r="A1030" s="8" t="s">
        <v>2063</v>
      </c>
      <c r="B1030" s="9">
        <v>46269</v>
      </c>
      <c r="C1030" s="9">
        <v>5902557342587</v>
      </c>
      <c r="D1030" s="10" t="s">
        <v>2064</v>
      </c>
      <c r="E1030" s="9">
        <v>102</v>
      </c>
      <c r="F1030" s="11">
        <v>45265</v>
      </c>
      <c r="G1030" s="8"/>
    </row>
    <row r="1031" spans="1:7" ht="18.75" customHeight="1" x14ac:dyDescent="0.2">
      <c r="A1031" s="8" t="s">
        <v>2065</v>
      </c>
      <c r="B1031" s="9">
        <v>49006</v>
      </c>
      <c r="C1031" s="9">
        <v>5902557375943</v>
      </c>
      <c r="D1031" s="10" t="s">
        <v>2066</v>
      </c>
      <c r="E1031" s="9">
        <v>83</v>
      </c>
      <c r="F1031" s="11">
        <v>45265</v>
      </c>
      <c r="G1031" s="8"/>
    </row>
    <row r="1032" spans="1:7" ht="18.75" customHeight="1" x14ac:dyDescent="0.2">
      <c r="A1032" s="8" t="s">
        <v>2067</v>
      </c>
      <c r="B1032" s="9">
        <v>49005</v>
      </c>
      <c r="C1032" s="9">
        <v>5902557375950</v>
      </c>
      <c r="D1032" s="10" t="s">
        <v>2068</v>
      </c>
      <c r="E1032" s="9">
        <v>91</v>
      </c>
      <c r="F1032" s="11">
        <v>45265</v>
      </c>
      <c r="G1032" s="8"/>
    </row>
    <row r="1033" spans="1:7" ht="18.75" customHeight="1" x14ac:dyDescent="0.2">
      <c r="A1033" s="8" t="s">
        <v>2069</v>
      </c>
      <c r="B1033" s="9">
        <v>49003</v>
      </c>
      <c r="C1033" s="9">
        <v>5902557375967</v>
      </c>
      <c r="D1033" s="10" t="s">
        <v>2070</v>
      </c>
      <c r="E1033" s="9">
        <v>99</v>
      </c>
      <c r="F1033" s="11">
        <v>45265</v>
      </c>
      <c r="G1033" s="8"/>
    </row>
    <row r="1034" spans="1:7" ht="18.75" customHeight="1" x14ac:dyDescent="0.2">
      <c r="A1034" s="8" t="s">
        <v>2071</v>
      </c>
      <c r="B1034" s="9">
        <v>46210</v>
      </c>
      <c r="C1034" s="9">
        <v>5902557330034</v>
      </c>
      <c r="D1034" s="10" t="s">
        <v>2072</v>
      </c>
      <c r="E1034" s="9">
        <v>71</v>
      </c>
      <c r="F1034" s="11">
        <v>45265</v>
      </c>
      <c r="G1034" s="8"/>
    </row>
    <row r="1035" spans="1:7" ht="18.75" customHeight="1" x14ac:dyDescent="0.2">
      <c r="A1035" s="8" t="s">
        <v>2073</v>
      </c>
      <c r="B1035" s="9">
        <v>46204</v>
      </c>
      <c r="C1035" s="9">
        <v>5902557368198</v>
      </c>
      <c r="D1035" s="10" t="s">
        <v>2074</v>
      </c>
      <c r="E1035" s="9">
        <v>44</v>
      </c>
      <c r="F1035" s="11">
        <v>45265</v>
      </c>
      <c r="G1035" s="8"/>
    </row>
    <row r="1036" spans="1:7" ht="18.75" customHeight="1" x14ac:dyDescent="0.2">
      <c r="A1036" s="8" t="s">
        <v>2075</v>
      </c>
      <c r="B1036" s="9">
        <v>46205</v>
      </c>
      <c r="C1036" s="9">
        <v>5902557330003</v>
      </c>
      <c r="D1036" s="10" t="s">
        <v>2076</v>
      </c>
      <c r="E1036" s="9">
        <v>48</v>
      </c>
      <c r="F1036" s="11">
        <v>45265</v>
      </c>
      <c r="G1036" s="8"/>
    </row>
    <row r="1037" spans="1:7" ht="18.75" customHeight="1" x14ac:dyDescent="0.2">
      <c r="A1037" s="8" t="s">
        <v>2077</v>
      </c>
      <c r="B1037" s="9">
        <v>46206</v>
      </c>
      <c r="C1037" s="9">
        <v>5902557330010</v>
      </c>
      <c r="D1037" s="10" t="s">
        <v>2078</v>
      </c>
      <c r="E1037" s="9">
        <v>55</v>
      </c>
      <c r="F1037" s="11">
        <v>45265</v>
      </c>
      <c r="G1037" s="8"/>
    </row>
    <row r="1038" spans="1:7" ht="18.75" customHeight="1" x14ac:dyDescent="0.2">
      <c r="A1038" s="8" t="s">
        <v>2079</v>
      </c>
      <c r="B1038" s="9">
        <v>46207</v>
      </c>
      <c r="C1038" s="9">
        <v>5902557330041</v>
      </c>
      <c r="D1038" s="10" t="s">
        <v>2080</v>
      </c>
      <c r="E1038" s="9">
        <v>57</v>
      </c>
      <c r="F1038" s="11">
        <v>45265</v>
      </c>
      <c r="G1038" s="8"/>
    </row>
    <row r="1039" spans="1:7" ht="18.75" customHeight="1" x14ac:dyDescent="0.2">
      <c r="A1039" s="8" t="s">
        <v>2081</v>
      </c>
      <c r="B1039" s="9">
        <v>46209</v>
      </c>
      <c r="C1039" s="9">
        <v>5902557330027</v>
      </c>
      <c r="D1039" s="10" t="s">
        <v>2082</v>
      </c>
      <c r="E1039" s="9">
        <v>67</v>
      </c>
      <c r="F1039" s="11">
        <v>45265</v>
      </c>
      <c r="G1039" s="8"/>
    </row>
    <row r="1040" spans="1:7" ht="18.75" customHeight="1" x14ac:dyDescent="0.2">
      <c r="A1040" s="8" t="s">
        <v>2083</v>
      </c>
      <c r="B1040" s="9">
        <v>45631</v>
      </c>
      <c r="C1040" s="9">
        <v>5902557368372</v>
      </c>
      <c r="D1040" s="10" t="s">
        <v>2084</v>
      </c>
      <c r="E1040" s="9">
        <v>111</v>
      </c>
      <c r="F1040" s="11">
        <v>45265</v>
      </c>
      <c r="G1040" s="8"/>
    </row>
    <row r="1041" spans="1:7" ht="18.75" customHeight="1" x14ac:dyDescent="0.2">
      <c r="A1041" s="8" t="s">
        <v>2085</v>
      </c>
      <c r="B1041" s="9">
        <v>45626</v>
      </c>
      <c r="C1041" s="9">
        <v>5902557368457</v>
      </c>
      <c r="D1041" s="10" t="s">
        <v>2086</v>
      </c>
      <c r="E1041" s="9">
        <v>67</v>
      </c>
      <c r="F1041" s="11">
        <v>45265</v>
      </c>
      <c r="G1041" s="8"/>
    </row>
    <row r="1042" spans="1:7" ht="18.75" customHeight="1" x14ac:dyDescent="0.2">
      <c r="A1042" s="8" t="s">
        <v>2087</v>
      </c>
      <c r="B1042" s="9">
        <v>45627</v>
      </c>
      <c r="C1042" s="9">
        <v>5902557368365</v>
      </c>
      <c r="D1042" s="10" t="s">
        <v>2088</v>
      </c>
      <c r="E1042" s="9">
        <v>71</v>
      </c>
      <c r="F1042" s="11">
        <v>45265</v>
      </c>
      <c r="G1042" s="8"/>
    </row>
    <row r="1043" spans="1:7" ht="18.75" customHeight="1" x14ac:dyDescent="0.2">
      <c r="A1043" s="8" t="s">
        <v>2089</v>
      </c>
      <c r="B1043" s="9">
        <v>45628</v>
      </c>
      <c r="C1043" s="9">
        <v>5902557357246</v>
      </c>
      <c r="D1043" s="10" t="s">
        <v>2090</v>
      </c>
      <c r="E1043" s="9">
        <v>81</v>
      </c>
      <c r="F1043" s="11">
        <v>45265</v>
      </c>
      <c r="G1043" s="8"/>
    </row>
    <row r="1044" spans="1:7" ht="18.75" customHeight="1" x14ac:dyDescent="0.2">
      <c r="A1044" s="8" t="s">
        <v>2091</v>
      </c>
      <c r="B1044" s="9">
        <v>45629</v>
      </c>
      <c r="C1044" s="9">
        <v>5902557357253</v>
      </c>
      <c r="D1044" s="10" t="s">
        <v>2092</v>
      </c>
      <c r="E1044" s="9">
        <v>90</v>
      </c>
      <c r="F1044" s="11">
        <v>45265</v>
      </c>
      <c r="G1044" s="8"/>
    </row>
    <row r="1045" spans="1:7" ht="18.75" customHeight="1" x14ac:dyDescent="0.2">
      <c r="A1045" s="8" t="s">
        <v>2093</v>
      </c>
      <c r="B1045" s="9">
        <v>45630</v>
      </c>
      <c r="C1045" s="9">
        <v>5902557357260</v>
      </c>
      <c r="D1045" s="10" t="s">
        <v>2094</v>
      </c>
      <c r="E1045" s="9">
        <v>104</v>
      </c>
      <c r="F1045" s="11">
        <v>45265</v>
      </c>
      <c r="G1045" s="8"/>
    </row>
    <row r="1046" spans="1:7" ht="18.75" customHeight="1" x14ac:dyDescent="0.2">
      <c r="A1046" s="8" t="s">
        <v>2095</v>
      </c>
      <c r="B1046" s="9"/>
      <c r="C1046" s="9">
        <v>5902557352555</v>
      </c>
      <c r="D1046" s="10" t="s">
        <v>2096</v>
      </c>
      <c r="E1046" s="9">
        <v>76</v>
      </c>
      <c r="F1046" s="11">
        <v>45265</v>
      </c>
      <c r="G1046" s="8"/>
    </row>
    <row r="1047" spans="1:7" ht="18.75" customHeight="1" x14ac:dyDescent="0.2">
      <c r="A1047" s="8" t="s">
        <v>2097</v>
      </c>
      <c r="B1047" s="9"/>
      <c r="C1047" s="9">
        <v>5902557352562</v>
      </c>
      <c r="D1047" s="10" t="s">
        <v>2098</v>
      </c>
      <c r="E1047" s="9">
        <v>87</v>
      </c>
      <c r="F1047" s="11">
        <v>45265</v>
      </c>
      <c r="G1047" s="8"/>
    </row>
    <row r="1048" spans="1:7" ht="18.75" customHeight="1" x14ac:dyDescent="0.2">
      <c r="A1048" s="8" t="s">
        <v>2099</v>
      </c>
      <c r="B1048" s="9"/>
      <c r="C1048" s="9">
        <v>5902557352579</v>
      </c>
      <c r="D1048" s="10" t="s">
        <v>2100</v>
      </c>
      <c r="E1048" s="9">
        <v>94</v>
      </c>
      <c r="F1048" s="11">
        <v>45265</v>
      </c>
      <c r="G1048" s="8"/>
    </row>
    <row r="1049" spans="1:7" ht="18.75" customHeight="1" x14ac:dyDescent="0.2">
      <c r="A1049" s="8" t="s">
        <v>2101</v>
      </c>
      <c r="B1049" s="9"/>
      <c r="C1049" s="9">
        <v>5902557352586</v>
      </c>
      <c r="D1049" s="10" t="s">
        <v>2102</v>
      </c>
      <c r="E1049" s="9">
        <v>100</v>
      </c>
      <c r="F1049" s="11">
        <v>45265</v>
      </c>
      <c r="G1049" s="8"/>
    </row>
    <row r="1050" spans="1:7" ht="18.75" customHeight="1" x14ac:dyDescent="0.2">
      <c r="A1050" s="8" t="s">
        <v>2103</v>
      </c>
      <c r="B1050" s="9">
        <v>51039</v>
      </c>
      <c r="C1050" s="9">
        <v>5902557386994</v>
      </c>
      <c r="D1050" s="10" t="s">
        <v>2104</v>
      </c>
      <c r="E1050" s="9">
        <v>69</v>
      </c>
      <c r="F1050" s="11">
        <v>45265</v>
      </c>
      <c r="G1050" s="8"/>
    </row>
    <row r="1051" spans="1:7" ht="18.75" customHeight="1" x14ac:dyDescent="0.2">
      <c r="A1051" s="8" t="s">
        <v>2105</v>
      </c>
      <c r="B1051" s="9">
        <v>51040</v>
      </c>
      <c r="C1051" s="9">
        <v>5902557387007</v>
      </c>
      <c r="D1051" s="10" t="s">
        <v>2106</v>
      </c>
      <c r="E1051" s="9">
        <v>74</v>
      </c>
      <c r="F1051" s="11">
        <v>45265</v>
      </c>
      <c r="G1051" s="8"/>
    </row>
    <row r="1052" spans="1:7" ht="18.75" customHeight="1" x14ac:dyDescent="0.2">
      <c r="A1052" s="8" t="s">
        <v>2107</v>
      </c>
      <c r="B1052" s="9">
        <v>51041</v>
      </c>
      <c r="C1052" s="9">
        <v>5902557387014</v>
      </c>
      <c r="D1052" s="10" t="s">
        <v>2108</v>
      </c>
      <c r="E1052" s="9">
        <v>78</v>
      </c>
      <c r="F1052" s="11">
        <v>45265</v>
      </c>
      <c r="G1052" s="8"/>
    </row>
    <row r="1053" spans="1:7" ht="18.75" customHeight="1" x14ac:dyDescent="0.2">
      <c r="A1053" s="8" t="s">
        <v>2109</v>
      </c>
      <c r="B1053" s="9">
        <v>51043</v>
      </c>
      <c r="C1053" s="9">
        <v>5902557387045</v>
      </c>
      <c r="D1053" s="10" t="s">
        <v>2110</v>
      </c>
      <c r="E1053" s="9">
        <v>78</v>
      </c>
      <c r="F1053" s="11">
        <v>45265</v>
      </c>
      <c r="G1053" s="8"/>
    </row>
    <row r="1054" spans="1:7" ht="18.75" customHeight="1" x14ac:dyDescent="0.2">
      <c r="A1054" s="8" t="s">
        <v>2111</v>
      </c>
      <c r="B1054" s="9">
        <v>51044</v>
      </c>
      <c r="C1054" s="9">
        <v>5902557387038</v>
      </c>
      <c r="D1054" s="10" t="s">
        <v>2112</v>
      </c>
      <c r="E1054" s="9">
        <v>83</v>
      </c>
      <c r="F1054" s="11">
        <v>45265</v>
      </c>
      <c r="G1054" s="8"/>
    </row>
    <row r="1055" spans="1:7" ht="18.75" customHeight="1" x14ac:dyDescent="0.2">
      <c r="A1055" s="8" t="s">
        <v>2113</v>
      </c>
      <c r="B1055" s="9">
        <v>51045</v>
      </c>
      <c r="C1055" s="9">
        <v>5902557387021</v>
      </c>
      <c r="D1055" s="10" t="s">
        <v>2114</v>
      </c>
      <c r="E1055" s="9">
        <v>87</v>
      </c>
      <c r="F1055" s="11">
        <v>45265</v>
      </c>
      <c r="G1055" s="8"/>
    </row>
    <row r="1056" spans="1:7" ht="18.75" customHeight="1" x14ac:dyDescent="0.2">
      <c r="A1056" s="8" t="s">
        <v>2115</v>
      </c>
      <c r="B1056" s="9">
        <v>51386</v>
      </c>
      <c r="C1056" s="9">
        <v>5902557394319</v>
      </c>
      <c r="D1056" s="10" t="s">
        <v>2116</v>
      </c>
      <c r="E1056" s="9">
        <v>71</v>
      </c>
      <c r="F1056" s="11">
        <v>45265</v>
      </c>
      <c r="G1056" s="8"/>
    </row>
    <row r="1057" spans="1:7" ht="18.75" customHeight="1" x14ac:dyDescent="0.2">
      <c r="A1057" s="8" t="s">
        <v>2117</v>
      </c>
      <c r="B1057" s="9">
        <v>51379</v>
      </c>
      <c r="C1057" s="9">
        <v>5902557394265</v>
      </c>
      <c r="D1057" s="10" t="s">
        <v>2118</v>
      </c>
      <c r="E1057" s="9">
        <v>51</v>
      </c>
      <c r="F1057" s="11">
        <v>45265</v>
      </c>
      <c r="G1057" s="8"/>
    </row>
    <row r="1058" spans="1:7" ht="18.75" customHeight="1" x14ac:dyDescent="0.2">
      <c r="A1058" s="8" t="s">
        <v>2119</v>
      </c>
      <c r="B1058" s="9">
        <v>51381</v>
      </c>
      <c r="C1058" s="9">
        <v>5902557394272</v>
      </c>
      <c r="D1058" s="10" t="s">
        <v>2120</v>
      </c>
      <c r="E1058" s="9">
        <v>55</v>
      </c>
      <c r="F1058" s="11">
        <v>45265</v>
      </c>
      <c r="G1058" s="8"/>
    </row>
    <row r="1059" spans="1:7" ht="18.75" customHeight="1" x14ac:dyDescent="0.2">
      <c r="A1059" s="8" t="s">
        <v>2121</v>
      </c>
      <c r="B1059" s="9">
        <v>51382</v>
      </c>
      <c r="C1059" s="9">
        <v>5902557394289</v>
      </c>
      <c r="D1059" s="10" t="s">
        <v>2122</v>
      </c>
      <c r="E1059" s="9">
        <v>60</v>
      </c>
      <c r="F1059" s="11">
        <v>45265</v>
      </c>
      <c r="G1059" s="8"/>
    </row>
    <row r="1060" spans="1:7" ht="18.75" customHeight="1" x14ac:dyDescent="0.2">
      <c r="A1060" s="8" t="s">
        <v>2123</v>
      </c>
      <c r="B1060" s="9">
        <v>51383</v>
      </c>
      <c r="C1060" s="9">
        <v>5902557394296</v>
      </c>
      <c r="D1060" s="10" t="s">
        <v>2124</v>
      </c>
      <c r="E1060" s="9">
        <v>64</v>
      </c>
      <c r="F1060" s="11">
        <v>45265</v>
      </c>
      <c r="G1060" s="8"/>
    </row>
    <row r="1061" spans="1:7" ht="18.75" customHeight="1" x14ac:dyDescent="0.2">
      <c r="A1061" s="8" t="s">
        <v>2125</v>
      </c>
      <c r="B1061" s="9">
        <v>51385</v>
      </c>
      <c r="C1061" s="9">
        <v>5902557394302</v>
      </c>
      <c r="D1061" s="10" t="s">
        <v>2126</v>
      </c>
      <c r="E1061" s="9">
        <v>69</v>
      </c>
      <c r="F1061" s="11">
        <v>45265</v>
      </c>
      <c r="G1061" s="8"/>
    </row>
    <row r="1062" spans="1:7" ht="18.75" customHeight="1" x14ac:dyDescent="0.2">
      <c r="A1062" s="8" t="s">
        <v>2127</v>
      </c>
      <c r="B1062" s="9">
        <v>51615</v>
      </c>
      <c r="C1062" s="9">
        <v>5902557394562</v>
      </c>
      <c r="D1062" s="10" t="s">
        <v>2128</v>
      </c>
      <c r="E1062" s="9">
        <v>71</v>
      </c>
      <c r="F1062" s="11">
        <v>45265</v>
      </c>
      <c r="G1062" s="8"/>
    </row>
    <row r="1063" spans="1:7" ht="18.75" customHeight="1" x14ac:dyDescent="0.2">
      <c r="A1063" s="8" t="s">
        <v>2129</v>
      </c>
      <c r="B1063" s="9">
        <v>54202</v>
      </c>
      <c r="C1063" s="8">
        <v>5902557394616</v>
      </c>
      <c r="D1063" s="10" t="s">
        <v>2130</v>
      </c>
      <c r="E1063" s="9">
        <v>45</v>
      </c>
      <c r="F1063" s="11">
        <v>45623</v>
      </c>
      <c r="G1063" s="8"/>
    </row>
    <row r="1064" spans="1:7" ht="18.75" customHeight="1" x14ac:dyDescent="0.2">
      <c r="A1064" s="8" t="s">
        <v>2131</v>
      </c>
      <c r="B1064" s="9">
        <v>51614</v>
      </c>
      <c r="C1064" s="9">
        <v>5902557394609</v>
      </c>
      <c r="D1064" s="10" t="s">
        <v>2132</v>
      </c>
      <c r="E1064" s="9">
        <v>57</v>
      </c>
      <c r="F1064" s="11">
        <v>45265</v>
      </c>
      <c r="G1064" s="8"/>
    </row>
    <row r="1065" spans="1:7" ht="18.75" customHeight="1" x14ac:dyDescent="0.2">
      <c r="A1065" s="8" t="s">
        <v>2133</v>
      </c>
      <c r="B1065" s="9">
        <v>51613</v>
      </c>
      <c r="C1065" s="9">
        <v>5902557394593</v>
      </c>
      <c r="D1065" s="10" t="s">
        <v>2134</v>
      </c>
      <c r="E1065" s="9">
        <v>62</v>
      </c>
      <c r="F1065" s="11">
        <v>45265</v>
      </c>
      <c r="G1065" s="8"/>
    </row>
    <row r="1066" spans="1:7" ht="18.75" customHeight="1" x14ac:dyDescent="0.2">
      <c r="A1066" s="8" t="s">
        <v>2135</v>
      </c>
      <c r="B1066" s="9">
        <v>51612</v>
      </c>
      <c r="C1066" s="8">
        <v>5902557394586</v>
      </c>
      <c r="D1066" s="10" t="s">
        <v>2136</v>
      </c>
      <c r="E1066" s="9">
        <v>64</v>
      </c>
      <c r="F1066" s="11">
        <v>45265</v>
      </c>
      <c r="G1066" s="8"/>
    </row>
    <row r="1067" spans="1:7" ht="18.75" customHeight="1" x14ac:dyDescent="0.2">
      <c r="A1067" s="8" t="s">
        <v>2137</v>
      </c>
      <c r="B1067" s="9">
        <v>51607</v>
      </c>
      <c r="C1067" s="8">
        <v>5902557394579</v>
      </c>
      <c r="D1067" s="10" t="s">
        <v>2138</v>
      </c>
      <c r="E1067" s="9">
        <v>69</v>
      </c>
      <c r="F1067" s="11">
        <v>45265</v>
      </c>
      <c r="G1067" s="8"/>
    </row>
    <row r="1068" spans="1:7" ht="18.75" customHeight="1" x14ac:dyDescent="0.2">
      <c r="A1068" s="8" t="s">
        <v>2139</v>
      </c>
      <c r="B1068" s="9">
        <v>53710</v>
      </c>
      <c r="C1068" s="9">
        <v>5906366000294</v>
      </c>
      <c r="D1068" s="10" t="s">
        <v>2140</v>
      </c>
      <c r="E1068" s="9">
        <v>73</v>
      </c>
      <c r="F1068" s="11">
        <v>45477</v>
      </c>
      <c r="G1068" s="8"/>
    </row>
    <row r="1069" spans="1:7" ht="18.75" customHeight="1" x14ac:dyDescent="0.2">
      <c r="A1069" s="8" t="s">
        <v>2141</v>
      </c>
      <c r="B1069" s="9">
        <v>53706</v>
      </c>
      <c r="C1069" s="9">
        <v>5906366000225</v>
      </c>
      <c r="D1069" s="10" t="s">
        <v>2142</v>
      </c>
      <c r="E1069" s="9">
        <v>52</v>
      </c>
      <c r="F1069" s="11">
        <v>45477</v>
      </c>
      <c r="G1069" s="8"/>
    </row>
    <row r="1070" spans="1:7" ht="18.75" customHeight="1" x14ac:dyDescent="0.2">
      <c r="A1070" s="8" t="s">
        <v>2143</v>
      </c>
      <c r="B1070" s="9">
        <v>53705</v>
      </c>
      <c r="C1070" s="9">
        <v>5906366000331</v>
      </c>
      <c r="D1070" s="10" t="s">
        <v>2144</v>
      </c>
      <c r="E1070" s="9">
        <v>54</v>
      </c>
      <c r="F1070" s="11">
        <v>45477</v>
      </c>
      <c r="G1070" s="8"/>
    </row>
    <row r="1071" spans="1:7" ht="18.75" customHeight="1" x14ac:dyDescent="0.2">
      <c r="A1071" s="8" t="s">
        <v>2145</v>
      </c>
      <c r="B1071" s="9">
        <v>53707</v>
      </c>
      <c r="C1071" s="9">
        <v>5906366000324</v>
      </c>
      <c r="D1071" s="10" t="s">
        <v>2146</v>
      </c>
      <c r="E1071" s="9">
        <v>56</v>
      </c>
      <c r="F1071" s="11">
        <v>45477</v>
      </c>
      <c r="G1071" s="8"/>
    </row>
    <row r="1072" spans="1:7" ht="18.75" customHeight="1" x14ac:dyDescent="0.2">
      <c r="A1072" s="8" t="s">
        <v>2147</v>
      </c>
      <c r="B1072" s="9">
        <v>53708</v>
      </c>
      <c r="C1072" s="9">
        <v>5906366000317</v>
      </c>
      <c r="D1072" s="10" t="s">
        <v>2148</v>
      </c>
      <c r="E1072" s="9">
        <v>61</v>
      </c>
      <c r="F1072" s="11">
        <v>45477</v>
      </c>
      <c r="G1072" s="8"/>
    </row>
    <row r="1073" spans="1:7" ht="18.75" customHeight="1" x14ac:dyDescent="0.2">
      <c r="A1073" s="8" t="s">
        <v>2149</v>
      </c>
      <c r="B1073" s="9">
        <v>53709</v>
      </c>
      <c r="C1073" s="9">
        <v>5906366000300</v>
      </c>
      <c r="D1073" s="10" t="s">
        <v>2150</v>
      </c>
      <c r="E1073" s="9">
        <v>68</v>
      </c>
      <c r="F1073" s="11">
        <v>45477</v>
      </c>
      <c r="G1073" s="8"/>
    </row>
    <row r="1074" spans="1:7" ht="18.75" customHeight="1" x14ac:dyDescent="0.2">
      <c r="A1074" s="8" t="s">
        <v>2151</v>
      </c>
      <c r="B1074" s="9">
        <v>54209</v>
      </c>
      <c r="C1074" s="8">
        <v>5906366007453</v>
      </c>
      <c r="D1074" s="10" t="s">
        <v>2152</v>
      </c>
      <c r="E1074" s="9">
        <v>73</v>
      </c>
      <c r="F1074" s="11">
        <v>45623</v>
      </c>
      <c r="G1074" s="8"/>
    </row>
    <row r="1075" spans="1:7" ht="18.75" customHeight="1" x14ac:dyDescent="0.2">
      <c r="A1075" s="8" t="s">
        <v>2153</v>
      </c>
      <c r="B1075" s="9">
        <v>54204</v>
      </c>
      <c r="C1075" s="8">
        <v>5906366007415</v>
      </c>
      <c r="D1075" s="10" t="s">
        <v>2154</v>
      </c>
      <c r="E1075" s="9">
        <v>55</v>
      </c>
      <c r="F1075" s="11">
        <v>45623</v>
      </c>
      <c r="G1075" s="8"/>
    </row>
    <row r="1076" spans="1:7" ht="18.75" customHeight="1" x14ac:dyDescent="0.2">
      <c r="A1076" s="8" t="s">
        <v>2155</v>
      </c>
      <c r="B1076" s="9">
        <v>54205</v>
      </c>
      <c r="C1076" s="8">
        <v>5906366007422</v>
      </c>
      <c r="D1076" s="10" t="s">
        <v>2156</v>
      </c>
      <c r="E1076" s="9">
        <v>59</v>
      </c>
      <c r="F1076" s="11">
        <v>45623</v>
      </c>
      <c r="G1076" s="8"/>
    </row>
    <row r="1077" spans="1:7" ht="18.75" customHeight="1" x14ac:dyDescent="0.2">
      <c r="A1077" s="8" t="s">
        <v>2157</v>
      </c>
      <c r="B1077" s="9">
        <v>54206</v>
      </c>
      <c r="C1077" s="8">
        <v>5906366007439</v>
      </c>
      <c r="D1077" s="10" t="s">
        <v>2158</v>
      </c>
      <c r="E1077" s="9">
        <v>64</v>
      </c>
      <c r="F1077" s="11">
        <v>45623</v>
      </c>
      <c r="G1077" s="8"/>
    </row>
    <row r="1078" spans="1:7" ht="18.75" customHeight="1" x14ac:dyDescent="0.2">
      <c r="A1078" s="8" t="s">
        <v>2159</v>
      </c>
      <c r="B1078" s="9">
        <v>54208</v>
      </c>
      <c r="C1078" s="8">
        <v>5906366007446</v>
      </c>
      <c r="D1078" s="10" t="s">
        <v>2160</v>
      </c>
      <c r="E1078" s="9">
        <v>68</v>
      </c>
      <c r="F1078" s="11">
        <v>45623</v>
      </c>
      <c r="G1078" s="8"/>
    </row>
    <row r="1079" spans="1:7" ht="18.75" customHeight="1" x14ac:dyDescent="0.2">
      <c r="A1079" s="8" t="s">
        <v>2161</v>
      </c>
      <c r="B1079" s="9">
        <v>54084</v>
      </c>
      <c r="C1079" s="8">
        <v>5902557394555</v>
      </c>
      <c r="D1079" s="10" t="s">
        <v>2162</v>
      </c>
      <c r="E1079" s="9">
        <v>80</v>
      </c>
      <c r="F1079" s="11">
        <v>45610</v>
      </c>
      <c r="G1079" s="8"/>
    </row>
    <row r="1080" spans="1:7" ht="18.75" customHeight="1" x14ac:dyDescent="0.2">
      <c r="A1080" s="8" t="s">
        <v>2163</v>
      </c>
      <c r="B1080" s="9">
        <v>52182</v>
      </c>
      <c r="C1080" s="8">
        <v>5902557394517</v>
      </c>
      <c r="D1080" s="10" t="s">
        <v>2164</v>
      </c>
      <c r="E1080" s="9">
        <v>66</v>
      </c>
      <c r="F1080" s="11">
        <v>45736</v>
      </c>
      <c r="G1080" s="8"/>
    </row>
    <row r="1081" spans="1:7" ht="18.75" customHeight="1" x14ac:dyDescent="0.2">
      <c r="A1081" s="8" t="s">
        <v>2165</v>
      </c>
      <c r="B1081" s="9">
        <v>52183</v>
      </c>
      <c r="C1081" s="8">
        <v>5902557394524</v>
      </c>
      <c r="D1081" s="10" t="s">
        <v>2166</v>
      </c>
      <c r="E1081" s="9">
        <v>68</v>
      </c>
      <c r="F1081" s="11">
        <v>45736</v>
      </c>
      <c r="G1081" s="8"/>
    </row>
    <row r="1082" spans="1:7" ht="18.75" customHeight="1" x14ac:dyDescent="0.2">
      <c r="A1082" s="8" t="s">
        <v>2167</v>
      </c>
      <c r="B1082" s="9">
        <v>52184</v>
      </c>
      <c r="C1082" s="8">
        <v>5902557394531</v>
      </c>
      <c r="D1082" s="10" t="s">
        <v>2168</v>
      </c>
      <c r="E1082" s="9">
        <v>73</v>
      </c>
      <c r="F1082" s="11">
        <v>45736</v>
      </c>
      <c r="G1082" s="8"/>
    </row>
    <row r="1083" spans="1:7" ht="18.75" customHeight="1" x14ac:dyDescent="0.2">
      <c r="A1083" s="8" t="s">
        <v>2169</v>
      </c>
      <c r="B1083" s="9">
        <v>52185</v>
      </c>
      <c r="C1083" s="8">
        <v>5902557394548</v>
      </c>
      <c r="D1083" s="10" t="s">
        <v>2170</v>
      </c>
      <c r="E1083" s="9">
        <v>75</v>
      </c>
      <c r="F1083" s="11">
        <v>45610</v>
      </c>
      <c r="G1083" s="8"/>
    </row>
    <row r="1084" spans="1:7" ht="18.75" customHeight="1" x14ac:dyDescent="0.2">
      <c r="A1084" s="8" t="s">
        <v>2171</v>
      </c>
      <c r="B1084" s="9">
        <v>52191</v>
      </c>
      <c r="C1084" s="8">
        <v>5902557394326</v>
      </c>
      <c r="D1084" s="10" t="s">
        <v>2172</v>
      </c>
      <c r="E1084" s="9">
        <v>62</v>
      </c>
      <c r="F1084" s="11">
        <v>45623</v>
      </c>
      <c r="G1084" s="8"/>
    </row>
    <row r="1085" spans="1:7" ht="18.75" customHeight="1" x14ac:dyDescent="0.2">
      <c r="A1085" s="8" t="s">
        <v>2173</v>
      </c>
      <c r="B1085" s="9">
        <v>54203</v>
      </c>
      <c r="C1085" s="8">
        <v>5902557394371</v>
      </c>
      <c r="D1085" s="10" t="s">
        <v>2174</v>
      </c>
      <c r="E1085" s="9">
        <v>41</v>
      </c>
      <c r="F1085" s="11">
        <v>45623</v>
      </c>
      <c r="G1085" s="8"/>
    </row>
    <row r="1086" spans="1:7" ht="18.75" customHeight="1" x14ac:dyDescent="0.2">
      <c r="A1086" s="8" t="s">
        <v>2175</v>
      </c>
      <c r="B1086" s="9">
        <v>52186</v>
      </c>
      <c r="C1086" s="8">
        <v>5902557394364</v>
      </c>
      <c r="D1086" s="10" t="s">
        <v>2176</v>
      </c>
      <c r="E1086" s="9">
        <v>52</v>
      </c>
      <c r="F1086" s="11">
        <v>45293</v>
      </c>
      <c r="G1086" s="8"/>
    </row>
    <row r="1087" spans="1:7" ht="18.75" customHeight="1" x14ac:dyDescent="0.2">
      <c r="A1087" s="8" t="s">
        <v>2177</v>
      </c>
      <c r="B1087" s="9">
        <v>52188</v>
      </c>
      <c r="C1087" s="8">
        <v>5902557394357</v>
      </c>
      <c r="D1087" s="10" t="s">
        <v>2178</v>
      </c>
      <c r="E1087" s="9">
        <v>52</v>
      </c>
      <c r="F1087" s="11">
        <v>45623</v>
      </c>
      <c r="G1087" s="8"/>
    </row>
    <row r="1088" spans="1:7" ht="18.75" customHeight="1" x14ac:dyDescent="0.2">
      <c r="A1088" s="8" t="s">
        <v>2179</v>
      </c>
      <c r="B1088" s="9">
        <v>52189</v>
      </c>
      <c r="C1088" s="8">
        <v>5902557394340</v>
      </c>
      <c r="D1088" s="10" t="s">
        <v>2180</v>
      </c>
      <c r="E1088" s="9">
        <v>56</v>
      </c>
      <c r="F1088" s="11">
        <v>45293</v>
      </c>
      <c r="G1088" s="8"/>
    </row>
    <row r="1089" spans="1:7" ht="18.75" customHeight="1" x14ac:dyDescent="0.2">
      <c r="A1089" s="8" t="s">
        <v>2181</v>
      </c>
      <c r="B1089" s="9">
        <v>52190</v>
      </c>
      <c r="C1089" s="8">
        <v>5902557394333</v>
      </c>
      <c r="D1089" s="10" t="s">
        <v>2182</v>
      </c>
      <c r="E1089" s="9">
        <v>59</v>
      </c>
      <c r="F1089" s="11">
        <v>45293</v>
      </c>
      <c r="G1089" s="8"/>
    </row>
    <row r="1090" spans="1:7" ht="18.75" customHeight="1" x14ac:dyDescent="0.2">
      <c r="A1090" s="8" t="s">
        <v>2183</v>
      </c>
      <c r="B1090" s="9">
        <v>53717</v>
      </c>
      <c r="C1090" s="9">
        <v>5906366000287</v>
      </c>
      <c r="D1090" s="10" t="s">
        <v>2184</v>
      </c>
      <c r="E1090" s="9">
        <v>59</v>
      </c>
      <c r="F1090" s="11">
        <v>45477</v>
      </c>
      <c r="G1090" s="8"/>
    </row>
    <row r="1091" spans="1:7" ht="18.75" customHeight="1" x14ac:dyDescent="0.2">
      <c r="A1091" s="8" t="s">
        <v>2185</v>
      </c>
      <c r="B1091" s="9">
        <v>53713</v>
      </c>
      <c r="C1091" s="9">
        <v>5906366000232</v>
      </c>
      <c r="D1091" s="10" t="s">
        <v>2186</v>
      </c>
      <c r="E1091" s="9">
        <v>47</v>
      </c>
      <c r="F1091" s="11">
        <v>45477</v>
      </c>
      <c r="G1091" s="8"/>
    </row>
    <row r="1092" spans="1:7" ht="18.75" customHeight="1" x14ac:dyDescent="0.2">
      <c r="A1092" s="8" t="s">
        <v>2187</v>
      </c>
      <c r="B1092" s="9">
        <v>53714</v>
      </c>
      <c r="C1092" s="9">
        <v>5906366000249</v>
      </c>
      <c r="D1092" s="10" t="s">
        <v>2188</v>
      </c>
      <c r="E1092" s="9">
        <v>49</v>
      </c>
      <c r="F1092" s="11">
        <v>45477</v>
      </c>
      <c r="G1092" s="8"/>
    </row>
    <row r="1093" spans="1:7" ht="18.75" customHeight="1" x14ac:dyDescent="0.2">
      <c r="A1093" s="8" t="s">
        <v>2189</v>
      </c>
      <c r="B1093" s="9">
        <v>53715</v>
      </c>
      <c r="C1093" s="9">
        <v>5906366000263</v>
      </c>
      <c r="D1093" s="10" t="s">
        <v>2190</v>
      </c>
      <c r="E1093" s="9">
        <v>54</v>
      </c>
      <c r="F1093" s="11">
        <v>45477</v>
      </c>
      <c r="G1093" s="8"/>
    </row>
    <row r="1094" spans="1:7" ht="18.75" customHeight="1" x14ac:dyDescent="0.2">
      <c r="A1094" s="8" t="s">
        <v>2191</v>
      </c>
      <c r="B1094" s="9">
        <v>53718</v>
      </c>
      <c r="C1094" s="9">
        <v>5902557394432</v>
      </c>
      <c r="D1094" s="10" t="s">
        <v>2192</v>
      </c>
      <c r="E1094" s="9">
        <v>73</v>
      </c>
      <c r="F1094" s="11">
        <v>45477</v>
      </c>
      <c r="G1094" s="8"/>
    </row>
    <row r="1095" spans="1:7" ht="18.75" customHeight="1" x14ac:dyDescent="0.2">
      <c r="A1095" s="8" t="s">
        <v>2193</v>
      </c>
      <c r="B1095" s="9">
        <v>52202</v>
      </c>
      <c r="C1095" s="8">
        <v>5902557394395</v>
      </c>
      <c r="D1095" s="10" t="s">
        <v>2194</v>
      </c>
      <c r="E1095" s="9">
        <v>55</v>
      </c>
      <c r="F1095" s="11">
        <v>45610</v>
      </c>
      <c r="G1095" s="8"/>
    </row>
    <row r="1096" spans="1:7" ht="18.75" customHeight="1" x14ac:dyDescent="0.2">
      <c r="A1096" s="8" t="s">
        <v>2195</v>
      </c>
      <c r="B1096" s="9">
        <v>52206</v>
      </c>
      <c r="C1096" s="8">
        <v>5902557394401</v>
      </c>
      <c r="D1096" s="10" t="s">
        <v>2196</v>
      </c>
      <c r="E1096" s="9">
        <v>61</v>
      </c>
      <c r="F1096" s="11">
        <v>45293</v>
      </c>
      <c r="G1096" s="8"/>
    </row>
    <row r="1097" spans="1:7" ht="18.75" customHeight="1" x14ac:dyDescent="0.2">
      <c r="A1097" s="8" t="s">
        <v>2197</v>
      </c>
      <c r="B1097" s="9">
        <v>52207</v>
      </c>
      <c r="C1097" s="8">
        <v>5902557394418</v>
      </c>
      <c r="D1097" s="10" t="s">
        <v>2198</v>
      </c>
      <c r="E1097" s="9">
        <v>63</v>
      </c>
      <c r="F1097" s="11">
        <v>45293</v>
      </c>
      <c r="G1097" s="8"/>
    </row>
    <row r="1098" spans="1:7" ht="18.75" customHeight="1" x14ac:dyDescent="0.2">
      <c r="A1098" s="8" t="s">
        <v>2199</v>
      </c>
      <c r="B1098" s="9">
        <v>53712</v>
      </c>
      <c r="C1098" s="9">
        <v>5902557394425</v>
      </c>
      <c r="D1098" s="10" t="s">
        <v>2200</v>
      </c>
      <c r="E1098" s="9">
        <v>68</v>
      </c>
      <c r="F1098" s="11">
        <v>45477</v>
      </c>
      <c r="G1098" s="8"/>
    </row>
    <row r="1099" spans="1:7" ht="18.75" customHeight="1" x14ac:dyDescent="0.2">
      <c r="A1099" s="8" t="s">
        <v>2201</v>
      </c>
      <c r="B1099" s="9">
        <v>54085</v>
      </c>
      <c r="C1099" s="8">
        <v>5902557394449</v>
      </c>
      <c r="D1099" s="10" t="s">
        <v>2202</v>
      </c>
      <c r="E1099" s="9">
        <v>71</v>
      </c>
      <c r="F1099" s="11">
        <v>45610</v>
      </c>
      <c r="G1099" s="8"/>
    </row>
    <row r="1100" spans="1:7" ht="18.75" customHeight="1" x14ac:dyDescent="0.2">
      <c r="A1100" s="8" t="s">
        <v>2203</v>
      </c>
      <c r="B1100" s="9">
        <v>52187</v>
      </c>
      <c r="C1100" s="8">
        <v>5902557394487</v>
      </c>
      <c r="D1100" s="10" t="s">
        <v>2204</v>
      </c>
      <c r="E1100" s="9">
        <v>59</v>
      </c>
      <c r="F1100" s="11">
        <v>45610</v>
      </c>
      <c r="G1100" s="8"/>
    </row>
    <row r="1101" spans="1:7" ht="18.75" customHeight="1" x14ac:dyDescent="0.2">
      <c r="A1101" s="8" t="s">
        <v>2205</v>
      </c>
      <c r="B1101" s="9">
        <v>52193</v>
      </c>
      <c r="C1101" s="8">
        <v>5902557394470</v>
      </c>
      <c r="D1101" s="10" t="s">
        <v>2206</v>
      </c>
      <c r="E1101" s="9">
        <v>62</v>
      </c>
      <c r="F1101" s="11">
        <v>45610</v>
      </c>
      <c r="G1101" s="8"/>
    </row>
    <row r="1102" spans="1:7" ht="18.75" customHeight="1" x14ac:dyDescent="0.2">
      <c r="A1102" s="8" t="s">
        <v>2207</v>
      </c>
      <c r="B1102" s="9">
        <v>52194</v>
      </c>
      <c r="C1102" s="8">
        <v>5902557394463</v>
      </c>
      <c r="D1102" s="10" t="s">
        <v>2208</v>
      </c>
      <c r="E1102" s="9">
        <v>64</v>
      </c>
      <c r="F1102" s="11">
        <v>45610</v>
      </c>
      <c r="G1102" s="8"/>
    </row>
    <row r="1103" spans="1:7" ht="18.75" customHeight="1" x14ac:dyDescent="0.2">
      <c r="A1103" s="8" t="s">
        <v>2209</v>
      </c>
      <c r="B1103" s="9">
        <v>52195</v>
      </c>
      <c r="C1103" s="8">
        <v>5902557394456</v>
      </c>
      <c r="D1103" s="10" t="s">
        <v>2210</v>
      </c>
      <c r="E1103" s="9">
        <v>66</v>
      </c>
      <c r="F1103" s="11">
        <v>45610</v>
      </c>
      <c r="G1103" s="8"/>
    </row>
    <row r="1104" spans="1:7" ht="18.75" customHeight="1" x14ac:dyDescent="0.2">
      <c r="A1104" s="13" t="s">
        <v>2211</v>
      </c>
      <c r="B1104" s="9">
        <v>51609</v>
      </c>
      <c r="C1104" s="9">
        <v>5902557394654</v>
      </c>
      <c r="D1104" s="10" t="s">
        <v>2212</v>
      </c>
      <c r="E1104" s="9">
        <v>84</v>
      </c>
      <c r="F1104" s="11">
        <v>45407</v>
      </c>
      <c r="G1104" s="8"/>
    </row>
    <row r="1105" spans="1:7" ht="18.75" customHeight="1" x14ac:dyDescent="0.2">
      <c r="A1105" s="8" t="s">
        <v>2213</v>
      </c>
      <c r="B1105" s="9">
        <v>51610</v>
      </c>
      <c r="C1105" s="8">
        <v>5902557394630</v>
      </c>
      <c r="D1105" s="10" t="s">
        <v>2214</v>
      </c>
      <c r="E1105" s="9">
        <v>69</v>
      </c>
      <c r="F1105" s="11">
        <v>45265</v>
      </c>
      <c r="G1105" s="8"/>
    </row>
    <row r="1106" spans="1:7" ht="18.75" customHeight="1" x14ac:dyDescent="0.2">
      <c r="A1106" s="8" t="s">
        <v>2215</v>
      </c>
      <c r="B1106" s="9">
        <v>51611</v>
      </c>
      <c r="C1106" s="8">
        <v>5902557394647</v>
      </c>
      <c r="D1106" s="10" t="s">
        <v>2216</v>
      </c>
      <c r="E1106" s="9">
        <v>76</v>
      </c>
      <c r="F1106" s="11">
        <v>45265</v>
      </c>
      <c r="G1106" s="8"/>
    </row>
    <row r="1107" spans="1:7" ht="18.75" customHeight="1" x14ac:dyDescent="0.2">
      <c r="A1107" s="8" t="s">
        <v>2217</v>
      </c>
      <c r="B1107" s="9">
        <v>51608</v>
      </c>
      <c r="C1107" s="8">
        <v>5902557394661</v>
      </c>
      <c r="D1107" s="10" t="s">
        <v>2218</v>
      </c>
      <c r="E1107" s="9">
        <v>87</v>
      </c>
      <c r="F1107" s="11">
        <v>45265</v>
      </c>
      <c r="G1107" s="8"/>
    </row>
    <row r="1108" spans="1:7" ht="18.75" customHeight="1" x14ac:dyDescent="0.2">
      <c r="A1108" s="8" t="s">
        <v>2219</v>
      </c>
      <c r="B1108" s="9">
        <v>52192</v>
      </c>
      <c r="C1108" s="8">
        <v>5902557394722</v>
      </c>
      <c r="D1108" s="10" t="s">
        <v>2220</v>
      </c>
      <c r="E1108" s="9">
        <v>56</v>
      </c>
      <c r="F1108" s="11">
        <v>45667</v>
      </c>
      <c r="G1108" s="8"/>
    </row>
    <row r="1109" spans="1:7" ht="18.75" customHeight="1" x14ac:dyDescent="0.2">
      <c r="A1109" s="8" t="s">
        <v>2221</v>
      </c>
      <c r="B1109" s="9">
        <v>52196</v>
      </c>
      <c r="C1109" s="8">
        <v>5902557394715</v>
      </c>
      <c r="D1109" s="10" t="s">
        <v>2222</v>
      </c>
      <c r="E1109" s="9">
        <v>59</v>
      </c>
      <c r="F1109" s="11">
        <v>45667</v>
      </c>
      <c r="G1109" s="8"/>
    </row>
    <row r="1110" spans="1:7" ht="18.75" customHeight="1" x14ac:dyDescent="0.2">
      <c r="A1110" s="8" t="s">
        <v>2223</v>
      </c>
      <c r="B1110" s="9">
        <v>52197</v>
      </c>
      <c r="C1110" s="8">
        <v>5902557394708</v>
      </c>
      <c r="D1110" s="10" t="s">
        <v>2224</v>
      </c>
      <c r="E1110" s="9">
        <v>63</v>
      </c>
      <c r="F1110" s="11">
        <v>45667</v>
      </c>
      <c r="G1110" s="8"/>
    </row>
    <row r="1111" spans="1:7" ht="18.75" customHeight="1" x14ac:dyDescent="0.2">
      <c r="A1111" s="8" t="s">
        <v>2225</v>
      </c>
      <c r="B1111" s="9">
        <v>52198</v>
      </c>
      <c r="C1111" s="8">
        <v>5902557394692</v>
      </c>
      <c r="D1111" s="10" t="s">
        <v>2226</v>
      </c>
      <c r="E1111" s="9">
        <v>66</v>
      </c>
      <c r="F1111" s="11">
        <v>45667</v>
      </c>
      <c r="G1111" s="8"/>
    </row>
    <row r="1112" spans="1:7" ht="18.75" customHeight="1" x14ac:dyDescent="0.2">
      <c r="A1112" s="8" t="s">
        <v>2227</v>
      </c>
      <c r="B1112" s="9">
        <v>53385</v>
      </c>
      <c r="C1112" s="9">
        <v>5906366000386</v>
      </c>
      <c r="D1112" s="10" t="s">
        <v>2228</v>
      </c>
      <c r="E1112" s="9">
        <v>59</v>
      </c>
      <c r="F1112" s="11">
        <v>45420</v>
      </c>
      <c r="G1112" s="8"/>
    </row>
    <row r="1113" spans="1:7" ht="18.75" customHeight="1" x14ac:dyDescent="0.2">
      <c r="A1113" s="8" t="s">
        <v>2229</v>
      </c>
      <c r="B1113" s="9">
        <v>53380</v>
      </c>
      <c r="C1113" s="9">
        <v>5906366000218</v>
      </c>
      <c r="D1113" s="10" t="s">
        <v>2230</v>
      </c>
      <c r="E1113" s="9">
        <v>44</v>
      </c>
      <c r="F1113" s="11">
        <v>45420</v>
      </c>
      <c r="G1113" s="8"/>
    </row>
    <row r="1114" spans="1:7" ht="18.75" customHeight="1" x14ac:dyDescent="0.2">
      <c r="A1114" s="8" t="s">
        <v>2231</v>
      </c>
      <c r="B1114" s="9">
        <v>53381</v>
      </c>
      <c r="C1114" s="9">
        <v>5906366000348</v>
      </c>
      <c r="D1114" s="10" t="s">
        <v>2232</v>
      </c>
      <c r="E1114" s="9">
        <v>47</v>
      </c>
      <c r="F1114" s="11">
        <v>45420</v>
      </c>
      <c r="G1114" s="8"/>
    </row>
    <row r="1115" spans="1:7" ht="18.75" customHeight="1" x14ac:dyDescent="0.2">
      <c r="A1115" s="8" t="s">
        <v>2233</v>
      </c>
      <c r="B1115" s="9">
        <v>53382</v>
      </c>
      <c r="C1115" s="9">
        <v>5906366000355</v>
      </c>
      <c r="D1115" s="10" t="s">
        <v>2234</v>
      </c>
      <c r="E1115" s="9">
        <v>49</v>
      </c>
      <c r="F1115" s="11">
        <v>45420</v>
      </c>
      <c r="G1115" s="8"/>
    </row>
    <row r="1116" spans="1:7" ht="18.75" customHeight="1" x14ac:dyDescent="0.2">
      <c r="A1116" s="8" t="s">
        <v>2235</v>
      </c>
      <c r="B1116" s="9">
        <v>53383</v>
      </c>
      <c r="C1116" s="9">
        <v>5906366000362</v>
      </c>
      <c r="D1116" s="10" t="s">
        <v>2236</v>
      </c>
      <c r="E1116" s="9">
        <v>52</v>
      </c>
      <c r="F1116" s="11">
        <v>45420</v>
      </c>
      <c r="G1116" s="8"/>
    </row>
    <row r="1117" spans="1:7" ht="18.75" customHeight="1" x14ac:dyDescent="0.2">
      <c r="A1117" s="8" t="s">
        <v>2237</v>
      </c>
      <c r="B1117" s="9">
        <v>53384</v>
      </c>
      <c r="C1117" s="9">
        <v>5906366000379</v>
      </c>
      <c r="D1117" s="10" t="s">
        <v>2238</v>
      </c>
      <c r="E1117" s="9">
        <v>54</v>
      </c>
      <c r="F1117" s="11">
        <v>45420</v>
      </c>
      <c r="G1117" s="8"/>
    </row>
    <row r="1118" spans="1:7" ht="18.75" customHeight="1" x14ac:dyDescent="0.2">
      <c r="A1118" s="8" t="s">
        <v>2239</v>
      </c>
      <c r="B1118" s="9">
        <v>45772</v>
      </c>
      <c r="C1118" s="9">
        <v>5902557301133</v>
      </c>
      <c r="D1118" s="10" t="s">
        <v>2240</v>
      </c>
      <c r="E1118" s="9">
        <v>62</v>
      </c>
      <c r="F1118" s="11">
        <v>45265</v>
      </c>
      <c r="G1118" s="8"/>
    </row>
    <row r="1119" spans="1:7" ht="18.75" customHeight="1" x14ac:dyDescent="0.2">
      <c r="A1119" s="8" t="s">
        <v>2241</v>
      </c>
      <c r="B1119" s="9">
        <v>45773</v>
      </c>
      <c r="C1119" s="9">
        <v>5902557301126</v>
      </c>
      <c r="D1119" s="10" t="s">
        <v>2242</v>
      </c>
      <c r="E1119" s="9">
        <v>68</v>
      </c>
      <c r="F1119" s="11">
        <v>45265</v>
      </c>
      <c r="G1119" s="8"/>
    </row>
    <row r="1120" spans="1:7" ht="18.75" customHeight="1" x14ac:dyDescent="0.2">
      <c r="A1120" s="8" t="s">
        <v>2243</v>
      </c>
      <c r="B1120" s="9">
        <v>7338</v>
      </c>
      <c r="C1120" s="9">
        <v>5902557308569</v>
      </c>
      <c r="D1120" s="10" t="s">
        <v>2244</v>
      </c>
      <c r="E1120" s="9">
        <v>141</v>
      </c>
      <c r="F1120" s="11">
        <v>45596</v>
      </c>
      <c r="G1120" s="8"/>
    </row>
    <row r="1121" spans="1:7" ht="18.75" customHeight="1" x14ac:dyDescent="0.2">
      <c r="A1121" s="8" t="s">
        <v>2245</v>
      </c>
      <c r="B1121" s="9">
        <v>7334</v>
      </c>
      <c r="C1121" s="9">
        <v>5902557313273</v>
      </c>
      <c r="D1121" s="10" t="s">
        <v>2246</v>
      </c>
      <c r="E1121" s="9">
        <v>164</v>
      </c>
      <c r="F1121" s="11">
        <v>45490</v>
      </c>
      <c r="G1121" s="8"/>
    </row>
    <row r="1122" spans="1:7" ht="18.75" customHeight="1" x14ac:dyDescent="0.2">
      <c r="A1122" s="8" t="s">
        <v>2247</v>
      </c>
      <c r="B1122" s="9">
        <v>7336</v>
      </c>
      <c r="C1122" s="9">
        <v>5902557313365</v>
      </c>
      <c r="D1122" s="10" t="s">
        <v>2248</v>
      </c>
      <c r="E1122" s="9">
        <v>138</v>
      </c>
      <c r="F1122" s="11">
        <v>45265</v>
      </c>
      <c r="G1122" s="8"/>
    </row>
    <row r="1123" spans="1:7" ht="18.75" customHeight="1" x14ac:dyDescent="0.2">
      <c r="A1123" s="8" t="s">
        <v>2249</v>
      </c>
      <c r="B1123" s="9">
        <v>52856</v>
      </c>
      <c r="C1123" s="9">
        <v>5902557398812</v>
      </c>
      <c r="D1123" s="10" t="s">
        <v>2250</v>
      </c>
      <c r="E1123" s="9">
        <v>157</v>
      </c>
      <c r="F1123" s="11">
        <v>45387</v>
      </c>
      <c r="G1123" s="8"/>
    </row>
    <row r="1124" spans="1:7" ht="18.75" customHeight="1" x14ac:dyDescent="0.2">
      <c r="A1124" s="8" t="s">
        <v>2251</v>
      </c>
      <c r="B1124" s="9">
        <v>53355</v>
      </c>
      <c r="C1124" s="9">
        <v>5902557398836</v>
      </c>
      <c r="D1124" s="10" t="s">
        <v>2252</v>
      </c>
      <c r="E1124" s="9">
        <v>188</v>
      </c>
      <c r="F1124" s="11">
        <v>45679</v>
      </c>
      <c r="G1124" s="8"/>
    </row>
    <row r="1125" spans="1:7" ht="18.75" customHeight="1" x14ac:dyDescent="0.2">
      <c r="A1125" s="8" t="s">
        <v>2253</v>
      </c>
      <c r="B1125" s="9">
        <v>53354</v>
      </c>
      <c r="C1125" s="9">
        <v>5902557398829</v>
      </c>
      <c r="D1125" s="10" t="s">
        <v>2254</v>
      </c>
      <c r="E1125" s="9">
        <v>160</v>
      </c>
      <c r="F1125" s="11">
        <v>45467</v>
      </c>
      <c r="G1125" s="8"/>
    </row>
    <row r="1126" spans="1:7" ht="18.75" customHeight="1" x14ac:dyDescent="0.2">
      <c r="A1126" s="8" t="s">
        <v>2255</v>
      </c>
      <c r="B1126" s="9">
        <v>39639</v>
      </c>
      <c r="C1126" s="9">
        <v>5902557355860</v>
      </c>
      <c r="D1126" s="10" t="s">
        <v>2256</v>
      </c>
      <c r="E1126" s="9">
        <v>113</v>
      </c>
      <c r="F1126" s="11">
        <v>45667</v>
      </c>
      <c r="G1126" s="8"/>
    </row>
    <row r="1127" spans="1:7" ht="18.75" customHeight="1" x14ac:dyDescent="0.2">
      <c r="A1127" s="8" t="s">
        <v>2257</v>
      </c>
      <c r="B1127" s="9">
        <v>39638</v>
      </c>
      <c r="C1127" s="9">
        <v>5902557355877</v>
      </c>
      <c r="D1127" s="10" t="s">
        <v>2258</v>
      </c>
      <c r="E1127" s="9">
        <v>117</v>
      </c>
      <c r="F1127" s="11">
        <v>45420</v>
      </c>
      <c r="G1127" s="8"/>
    </row>
    <row r="1128" spans="1:7" ht="18.75" customHeight="1" x14ac:dyDescent="0.2">
      <c r="A1128" s="8" t="s">
        <v>2259</v>
      </c>
      <c r="B1128" s="9">
        <v>50135</v>
      </c>
      <c r="C1128" s="9">
        <v>5902557385249</v>
      </c>
      <c r="D1128" s="10" t="s">
        <v>2260</v>
      </c>
      <c r="E1128" s="9">
        <v>115</v>
      </c>
      <c r="F1128" s="11">
        <v>45341</v>
      </c>
      <c r="G1128" s="8"/>
    </row>
    <row r="1129" spans="1:7" ht="18.75" customHeight="1" x14ac:dyDescent="0.2">
      <c r="A1129" s="8" t="s">
        <v>2261</v>
      </c>
      <c r="B1129" s="9">
        <v>50130</v>
      </c>
      <c r="C1129" s="9">
        <v>5902557385256</v>
      </c>
      <c r="D1129" s="10" t="s">
        <v>2262</v>
      </c>
      <c r="E1129" s="9">
        <v>120</v>
      </c>
      <c r="F1129" s="11">
        <v>45341</v>
      </c>
      <c r="G1129" s="8"/>
    </row>
    <row r="1130" spans="1:7" ht="18.75" customHeight="1" x14ac:dyDescent="0.2">
      <c r="A1130" s="8" t="s">
        <v>2263</v>
      </c>
      <c r="B1130" s="9">
        <v>51022</v>
      </c>
      <c r="C1130" s="9">
        <v>5902557392827</v>
      </c>
      <c r="D1130" s="10" t="s">
        <v>2264</v>
      </c>
      <c r="E1130" s="9">
        <v>197</v>
      </c>
      <c r="F1130" s="11">
        <v>45387</v>
      </c>
      <c r="G1130" s="8"/>
    </row>
    <row r="1131" spans="1:7" ht="18.75" customHeight="1" x14ac:dyDescent="0.2">
      <c r="A1131" s="8" t="s">
        <v>2265</v>
      </c>
      <c r="B1131" s="9">
        <v>51018</v>
      </c>
      <c r="C1131" s="8">
        <v>5902557392834</v>
      </c>
      <c r="D1131" s="10" t="s">
        <v>2266</v>
      </c>
      <c r="E1131" s="9">
        <v>194</v>
      </c>
      <c r="F1131" s="11">
        <v>45293</v>
      </c>
      <c r="G1131" s="8"/>
    </row>
    <row r="1132" spans="1:7" ht="18.75" customHeight="1" x14ac:dyDescent="0.2">
      <c r="A1132" s="8" t="s">
        <v>2267</v>
      </c>
      <c r="B1132" s="9">
        <v>29621</v>
      </c>
      <c r="C1132" s="9">
        <v>5902557340620</v>
      </c>
      <c r="D1132" s="10" t="s">
        <v>2268</v>
      </c>
      <c r="E1132" s="9">
        <v>183</v>
      </c>
      <c r="F1132" s="11">
        <v>45467</v>
      </c>
      <c r="G1132" s="8"/>
    </row>
    <row r="1133" spans="1:7" ht="18.75" customHeight="1" x14ac:dyDescent="0.2">
      <c r="A1133" s="8" t="s">
        <v>2269</v>
      </c>
      <c r="B1133" s="9">
        <v>36581</v>
      </c>
      <c r="C1133" s="9">
        <v>5902557345182</v>
      </c>
      <c r="D1133" s="10" t="s">
        <v>2270</v>
      </c>
      <c r="E1133" s="9">
        <v>78</v>
      </c>
      <c r="F1133" s="11">
        <v>45265</v>
      </c>
      <c r="G1133" s="8"/>
    </row>
    <row r="1134" spans="1:7" ht="18.75" customHeight="1" x14ac:dyDescent="0.2">
      <c r="A1134" s="8" t="s">
        <v>2271</v>
      </c>
      <c r="B1134" s="9">
        <v>36584</v>
      </c>
      <c r="C1134" s="9">
        <v>5902557345205</v>
      </c>
      <c r="D1134" s="10" t="s">
        <v>2272</v>
      </c>
      <c r="E1134" s="9">
        <v>92</v>
      </c>
      <c r="F1134" s="11">
        <v>45667</v>
      </c>
      <c r="G1134" s="8"/>
    </row>
    <row r="1135" spans="1:7" ht="18.75" customHeight="1" x14ac:dyDescent="0.2">
      <c r="A1135" s="8" t="s">
        <v>2273</v>
      </c>
      <c r="B1135" s="9">
        <v>53775</v>
      </c>
      <c r="C1135" s="9">
        <v>5906366003196</v>
      </c>
      <c r="D1135" s="10" t="s">
        <v>2274</v>
      </c>
      <c r="E1135" s="9">
        <v>92</v>
      </c>
      <c r="F1135" s="11">
        <v>45506</v>
      </c>
      <c r="G1135" s="8"/>
    </row>
    <row r="1136" spans="1:7" ht="18.75" customHeight="1" x14ac:dyDescent="0.2">
      <c r="A1136" s="8" t="s">
        <v>2275</v>
      </c>
      <c r="B1136" s="9">
        <v>53778</v>
      </c>
      <c r="C1136" s="9">
        <v>5906366003189</v>
      </c>
      <c r="D1136" s="10" t="s">
        <v>2276</v>
      </c>
      <c r="E1136" s="9">
        <v>89</v>
      </c>
      <c r="F1136" s="11">
        <v>45506</v>
      </c>
      <c r="G1136" s="8"/>
    </row>
    <row r="1137" spans="1:7" ht="18.75" customHeight="1" x14ac:dyDescent="0.2">
      <c r="A1137" s="8" t="s">
        <v>2277</v>
      </c>
      <c r="B1137" s="9">
        <v>36669</v>
      </c>
      <c r="C1137" s="9">
        <v>5902557345175</v>
      </c>
      <c r="D1137" s="10" t="s">
        <v>2278</v>
      </c>
      <c r="E1137" s="9">
        <v>108</v>
      </c>
      <c r="F1137" s="11">
        <v>45546</v>
      </c>
      <c r="G1137" s="8"/>
    </row>
    <row r="1138" spans="1:7" ht="18.75" customHeight="1" x14ac:dyDescent="0.2">
      <c r="A1138" s="8" t="s">
        <v>2279</v>
      </c>
      <c r="B1138" s="9">
        <v>36670</v>
      </c>
      <c r="C1138" s="9">
        <v>5902557345199</v>
      </c>
      <c r="D1138" s="10" t="s">
        <v>2280</v>
      </c>
      <c r="E1138" s="9">
        <v>117</v>
      </c>
      <c r="F1138" s="11">
        <v>45506</v>
      </c>
      <c r="G1138" s="8"/>
    </row>
    <row r="1139" spans="1:7" ht="18.75" customHeight="1" x14ac:dyDescent="0.2">
      <c r="A1139" s="8" t="s">
        <v>2281</v>
      </c>
      <c r="B1139" s="9">
        <v>38574</v>
      </c>
      <c r="C1139" s="9">
        <v>5902557351541</v>
      </c>
      <c r="D1139" s="10" t="s">
        <v>2282</v>
      </c>
      <c r="E1139" s="9">
        <v>89</v>
      </c>
      <c r="F1139" s="11">
        <v>45667</v>
      </c>
      <c r="G1139" s="8"/>
    </row>
    <row r="1140" spans="1:7" ht="18.75" customHeight="1" x14ac:dyDescent="0.2">
      <c r="A1140" s="8" t="s">
        <v>2283</v>
      </c>
      <c r="B1140" s="9">
        <v>38575</v>
      </c>
      <c r="C1140" s="9">
        <v>5902557351558</v>
      </c>
      <c r="D1140" s="10" t="s">
        <v>2284</v>
      </c>
      <c r="E1140" s="9">
        <v>92</v>
      </c>
      <c r="F1140" s="11">
        <v>45736</v>
      </c>
      <c r="G1140" s="8"/>
    </row>
    <row r="1141" spans="1:7" ht="18.75" customHeight="1" x14ac:dyDescent="0.2">
      <c r="A1141" s="8" t="s">
        <v>2285</v>
      </c>
      <c r="B1141" s="9">
        <v>39025</v>
      </c>
      <c r="C1141" s="9">
        <v>5902557351657</v>
      </c>
      <c r="D1141" s="10" t="s">
        <v>2286</v>
      </c>
      <c r="E1141" s="9">
        <v>116</v>
      </c>
      <c r="F1141" s="11">
        <v>45265</v>
      </c>
      <c r="G1141" s="8"/>
    </row>
    <row r="1142" spans="1:7" ht="18.75" customHeight="1" x14ac:dyDescent="0.2">
      <c r="A1142" s="8" t="s">
        <v>2287</v>
      </c>
      <c r="B1142" s="9">
        <v>39024</v>
      </c>
      <c r="C1142" s="9">
        <v>5902557351664</v>
      </c>
      <c r="D1142" s="10" t="s">
        <v>2288</v>
      </c>
      <c r="E1142" s="9">
        <v>115</v>
      </c>
      <c r="F1142" s="11">
        <v>45321</v>
      </c>
      <c r="G1142" s="8"/>
    </row>
    <row r="1143" spans="1:7" ht="18.75" customHeight="1" x14ac:dyDescent="0.2">
      <c r="A1143" s="8" t="s">
        <v>2289</v>
      </c>
      <c r="B1143" s="9">
        <v>12437</v>
      </c>
      <c r="C1143" s="9">
        <v>5902557313259</v>
      </c>
      <c r="D1143" s="10" t="s">
        <v>2290</v>
      </c>
      <c r="E1143" s="9">
        <v>125</v>
      </c>
      <c r="F1143" s="11">
        <v>45265</v>
      </c>
      <c r="G1143" s="8"/>
    </row>
    <row r="1144" spans="1:7" ht="18.75" customHeight="1" x14ac:dyDescent="0.2">
      <c r="A1144" s="8" t="s">
        <v>2291</v>
      </c>
      <c r="B1144" s="9">
        <v>51082</v>
      </c>
      <c r="C1144" s="9">
        <v>5902557386253</v>
      </c>
      <c r="D1144" s="10" t="s">
        <v>2292</v>
      </c>
      <c r="E1144" s="9">
        <v>217</v>
      </c>
      <c r="F1144" s="11">
        <v>45265</v>
      </c>
      <c r="G1144" s="8"/>
    </row>
    <row r="1145" spans="1:7" ht="18.75" customHeight="1" x14ac:dyDescent="0.2">
      <c r="A1145" s="8" t="s">
        <v>2293</v>
      </c>
      <c r="B1145" s="9"/>
      <c r="C1145" s="9">
        <v>5902557386253</v>
      </c>
      <c r="D1145" s="10" t="s">
        <v>2294</v>
      </c>
      <c r="E1145" s="9">
        <v>328</v>
      </c>
      <c r="F1145" s="11">
        <v>45265</v>
      </c>
      <c r="G1145" s="8"/>
    </row>
    <row r="1146" spans="1:7" ht="18.75" customHeight="1" x14ac:dyDescent="0.2">
      <c r="A1146" s="8" t="s">
        <v>2295</v>
      </c>
      <c r="B1146" s="9">
        <v>50896</v>
      </c>
      <c r="C1146" s="9">
        <v>5902557386260</v>
      </c>
      <c r="D1146" s="10" t="s">
        <v>2296</v>
      </c>
      <c r="E1146" s="9">
        <v>263</v>
      </c>
      <c r="F1146" s="11">
        <v>45265</v>
      </c>
      <c r="G1146" s="8"/>
    </row>
    <row r="1147" spans="1:7" ht="18.75" customHeight="1" x14ac:dyDescent="0.2">
      <c r="A1147" s="8" t="s">
        <v>2297</v>
      </c>
      <c r="B1147" s="9"/>
      <c r="C1147" s="9">
        <v>5902557386260</v>
      </c>
      <c r="D1147" s="10" t="s">
        <v>2298</v>
      </c>
      <c r="E1147" s="9">
        <v>380</v>
      </c>
      <c r="F1147" s="11">
        <v>45265</v>
      </c>
      <c r="G1147" s="8"/>
    </row>
    <row r="1148" spans="1:7" ht="18.75" customHeight="1" x14ac:dyDescent="0.2">
      <c r="A1148" s="8" t="s">
        <v>2299</v>
      </c>
      <c r="B1148" s="9">
        <v>52329</v>
      </c>
      <c r="C1148" s="8">
        <v>5902557396351</v>
      </c>
      <c r="D1148" s="10" t="s">
        <v>2300</v>
      </c>
      <c r="E1148" s="9">
        <v>59</v>
      </c>
      <c r="F1148" s="11">
        <v>45300</v>
      </c>
      <c r="G1148" s="8"/>
    </row>
    <row r="1149" spans="1:7" ht="18.75" customHeight="1" x14ac:dyDescent="0.2">
      <c r="A1149" s="8" t="s">
        <v>2301</v>
      </c>
      <c r="B1149" s="9">
        <v>52334</v>
      </c>
      <c r="C1149" s="8">
        <v>5902557396368</v>
      </c>
      <c r="D1149" s="10" t="s">
        <v>2302</v>
      </c>
      <c r="E1149" s="9">
        <v>69</v>
      </c>
      <c r="F1149" s="11">
        <v>45467</v>
      </c>
      <c r="G1149" s="8"/>
    </row>
    <row r="1150" spans="1:7" ht="18.75" customHeight="1" x14ac:dyDescent="0.2">
      <c r="A1150" s="8" t="s">
        <v>2303</v>
      </c>
      <c r="B1150" s="9">
        <v>52336</v>
      </c>
      <c r="C1150" s="8">
        <v>5902557396375</v>
      </c>
      <c r="D1150" s="10" t="s">
        <v>2304</v>
      </c>
      <c r="E1150" s="9">
        <v>82</v>
      </c>
      <c r="F1150" s="11">
        <v>45467</v>
      </c>
      <c r="G1150" s="8"/>
    </row>
    <row r="1151" spans="1:7" ht="18.75" customHeight="1" x14ac:dyDescent="0.2">
      <c r="A1151" s="8" t="s">
        <v>2305</v>
      </c>
      <c r="B1151" s="9">
        <v>52328</v>
      </c>
      <c r="C1151" s="8">
        <v>5902557396498</v>
      </c>
      <c r="D1151" s="10" t="s">
        <v>2306</v>
      </c>
      <c r="E1151" s="9">
        <v>68</v>
      </c>
      <c r="F1151" s="11">
        <v>45667</v>
      </c>
      <c r="G1151" s="8"/>
    </row>
    <row r="1152" spans="1:7" ht="18.75" customHeight="1" x14ac:dyDescent="0.2">
      <c r="A1152" s="8" t="s">
        <v>2307</v>
      </c>
      <c r="B1152" s="9">
        <v>52333</v>
      </c>
      <c r="C1152" s="8">
        <v>5902557396504</v>
      </c>
      <c r="D1152" s="10" t="s">
        <v>2308</v>
      </c>
      <c r="E1152" s="9">
        <v>76</v>
      </c>
      <c r="F1152" s="11">
        <v>45300</v>
      </c>
      <c r="G1152" s="8"/>
    </row>
    <row r="1153" spans="1:7" ht="18.75" customHeight="1" x14ac:dyDescent="0.2">
      <c r="A1153" s="8" t="s">
        <v>2309</v>
      </c>
      <c r="B1153" s="9">
        <v>52338</v>
      </c>
      <c r="C1153" s="8">
        <v>5902557396511</v>
      </c>
      <c r="D1153" s="10" t="s">
        <v>2310</v>
      </c>
      <c r="E1153" s="9">
        <v>89</v>
      </c>
      <c r="F1153" s="11">
        <v>45300</v>
      </c>
      <c r="G1153" s="8"/>
    </row>
    <row r="1154" spans="1:7" ht="18.75" customHeight="1" x14ac:dyDescent="0.2">
      <c r="A1154" s="8" t="s">
        <v>2311</v>
      </c>
      <c r="B1154" s="9">
        <v>52327</v>
      </c>
      <c r="C1154" s="8">
        <v>5902557396740</v>
      </c>
      <c r="D1154" s="10" t="s">
        <v>2312</v>
      </c>
      <c r="E1154" s="9">
        <v>80</v>
      </c>
      <c r="F1154" s="11">
        <v>45667</v>
      </c>
      <c r="G1154" s="8"/>
    </row>
    <row r="1155" spans="1:7" ht="18.75" customHeight="1" x14ac:dyDescent="0.2">
      <c r="A1155" s="8" t="s">
        <v>2313</v>
      </c>
      <c r="B1155" s="9">
        <v>52332</v>
      </c>
      <c r="C1155" s="8">
        <v>5902557396757</v>
      </c>
      <c r="D1155" s="10" t="s">
        <v>2314</v>
      </c>
      <c r="E1155" s="9">
        <v>89</v>
      </c>
      <c r="F1155" s="11">
        <v>45300</v>
      </c>
      <c r="G1155" s="8"/>
    </row>
    <row r="1156" spans="1:7" ht="18.75" customHeight="1" x14ac:dyDescent="0.2">
      <c r="A1156" s="8" t="s">
        <v>2315</v>
      </c>
      <c r="B1156" s="9">
        <v>52335</v>
      </c>
      <c r="C1156" s="8">
        <v>5902557396764</v>
      </c>
      <c r="D1156" s="10" t="s">
        <v>2316</v>
      </c>
      <c r="E1156" s="9">
        <v>108</v>
      </c>
      <c r="F1156" s="11">
        <v>45300</v>
      </c>
      <c r="G1156" s="8"/>
    </row>
    <row r="1157" spans="1:7" ht="18.75" customHeight="1" x14ac:dyDescent="0.2">
      <c r="A1157" s="8" t="s">
        <v>2317</v>
      </c>
      <c r="B1157" s="9">
        <v>48878</v>
      </c>
      <c r="C1157" s="9">
        <v>5902557375370</v>
      </c>
      <c r="D1157" s="10" t="s">
        <v>2318</v>
      </c>
      <c r="E1157" s="9">
        <v>40</v>
      </c>
      <c r="F1157" s="11">
        <v>45581</v>
      </c>
      <c r="G1157" s="8"/>
    </row>
    <row r="1158" spans="1:7" ht="18.75" customHeight="1" x14ac:dyDescent="0.2">
      <c r="A1158" s="8" t="s">
        <v>2319</v>
      </c>
      <c r="B1158" s="9">
        <v>49009</v>
      </c>
      <c r="C1158" s="9">
        <v>5902557375394</v>
      </c>
      <c r="D1158" s="10" t="s">
        <v>2320</v>
      </c>
      <c r="E1158" s="9">
        <v>52</v>
      </c>
      <c r="F1158" s="11">
        <v>45581</v>
      </c>
      <c r="G1158" s="8"/>
    </row>
    <row r="1159" spans="1:7" ht="18.75" customHeight="1" x14ac:dyDescent="0.2">
      <c r="A1159" s="8" t="s">
        <v>2321</v>
      </c>
      <c r="B1159" s="9">
        <v>49010</v>
      </c>
      <c r="C1159" s="9">
        <v>5902557375387</v>
      </c>
      <c r="D1159" s="10" t="s">
        <v>2322</v>
      </c>
      <c r="E1159" s="9">
        <v>44</v>
      </c>
      <c r="F1159" s="11">
        <v>45406</v>
      </c>
      <c r="G1159" s="8"/>
    </row>
    <row r="1160" spans="1:7" ht="18.75" customHeight="1" x14ac:dyDescent="0.2">
      <c r="A1160" s="8" t="s">
        <v>2323</v>
      </c>
      <c r="B1160" s="9">
        <v>46451</v>
      </c>
      <c r="C1160" s="9">
        <v>5036484500113</v>
      </c>
      <c r="D1160" s="10" t="s">
        <v>2324</v>
      </c>
      <c r="E1160" s="9">
        <v>6</v>
      </c>
      <c r="F1160" s="11">
        <v>45265</v>
      </c>
      <c r="G1160" s="8"/>
    </row>
    <row r="1161" spans="1:7" ht="18.75" customHeight="1" x14ac:dyDescent="0.2">
      <c r="A1161" s="8" t="s">
        <v>2325</v>
      </c>
      <c r="B1161" s="9">
        <v>50936</v>
      </c>
      <c r="C1161" s="9">
        <v>5902557395774</v>
      </c>
      <c r="D1161" s="10" t="s">
        <v>2326</v>
      </c>
      <c r="E1161" s="9">
        <v>15</v>
      </c>
      <c r="F1161" s="11">
        <v>45552</v>
      </c>
      <c r="G1161" s="8"/>
    </row>
    <row r="1162" spans="1:7" ht="18.75" customHeight="1" x14ac:dyDescent="0.2">
      <c r="A1162" s="8" t="s">
        <v>2327</v>
      </c>
      <c r="B1162" s="9">
        <v>50938</v>
      </c>
      <c r="C1162" s="9">
        <v>5902557395767</v>
      </c>
      <c r="D1162" s="10" t="s">
        <v>2328</v>
      </c>
      <c r="E1162" s="9">
        <v>18</v>
      </c>
      <c r="F1162" s="11">
        <v>45552</v>
      </c>
      <c r="G1162" s="8"/>
    </row>
    <row r="1163" spans="1:7" ht="18.75" customHeight="1" x14ac:dyDescent="0.2">
      <c r="A1163" s="8" t="s">
        <v>2329</v>
      </c>
      <c r="B1163" s="9">
        <v>50937</v>
      </c>
      <c r="C1163" s="9">
        <v>5902557395750</v>
      </c>
      <c r="D1163" s="10" t="s">
        <v>2330</v>
      </c>
      <c r="E1163" s="9">
        <v>20</v>
      </c>
      <c r="F1163" s="11">
        <v>45679</v>
      </c>
      <c r="G1163" s="8"/>
    </row>
    <row r="1164" spans="1:7" ht="18.75" customHeight="1" x14ac:dyDescent="0.2">
      <c r="A1164" s="8" t="s">
        <v>2331</v>
      </c>
      <c r="B1164" s="9">
        <v>50939</v>
      </c>
      <c r="C1164" s="9">
        <v>5902557395750</v>
      </c>
      <c r="D1164" s="10" t="s">
        <v>2332</v>
      </c>
      <c r="E1164" s="9">
        <v>20</v>
      </c>
      <c r="F1164" s="11">
        <v>45679</v>
      </c>
      <c r="G1164" s="8"/>
    </row>
    <row r="1165" spans="1:7" ht="18.75" customHeight="1" x14ac:dyDescent="0.2">
      <c r="A1165" s="8" t="s">
        <v>2333</v>
      </c>
      <c r="B1165" s="9">
        <v>49361</v>
      </c>
      <c r="C1165" s="9">
        <v>5902557383696</v>
      </c>
      <c r="D1165" s="10" t="s">
        <v>2334</v>
      </c>
      <c r="E1165" s="9">
        <v>16</v>
      </c>
      <c r="F1165" s="11">
        <v>45265</v>
      </c>
      <c r="G1165" s="8"/>
    </row>
    <row r="1166" spans="1:7" ht="18.75" customHeight="1" x14ac:dyDescent="0.2">
      <c r="A1166" s="8" t="s">
        <v>2335</v>
      </c>
      <c r="B1166" s="9">
        <v>49364</v>
      </c>
      <c r="C1166" s="9">
        <v>5902557383672</v>
      </c>
      <c r="D1166" s="10" t="s">
        <v>2336</v>
      </c>
      <c r="E1166" s="9">
        <v>18</v>
      </c>
      <c r="F1166" s="11">
        <v>45265</v>
      </c>
      <c r="G1166" s="8"/>
    </row>
    <row r="1167" spans="1:7" ht="18.75" customHeight="1" x14ac:dyDescent="0.2">
      <c r="A1167" s="8" t="s">
        <v>2337</v>
      </c>
      <c r="B1167" s="9">
        <v>49363</v>
      </c>
      <c r="C1167" s="9">
        <v>5902557383689</v>
      </c>
      <c r="D1167" s="10" t="s">
        <v>2338</v>
      </c>
      <c r="E1167" s="9">
        <v>21</v>
      </c>
      <c r="F1167" s="11">
        <v>45265</v>
      </c>
      <c r="G1167" s="8"/>
    </row>
    <row r="1168" spans="1:7" ht="18.75" customHeight="1" x14ac:dyDescent="0.2">
      <c r="A1168" s="8" t="s">
        <v>2339</v>
      </c>
      <c r="B1168" s="9">
        <v>50647</v>
      </c>
      <c r="C1168" s="9">
        <v>5902557393442</v>
      </c>
      <c r="D1168" s="10" t="s">
        <v>2340</v>
      </c>
      <c r="E1168" s="9">
        <v>21</v>
      </c>
      <c r="F1168" s="11">
        <v>45566</v>
      </c>
      <c r="G1168" s="8"/>
    </row>
    <row r="1169" spans="1:7" ht="18.75" customHeight="1" x14ac:dyDescent="0.2">
      <c r="A1169" s="8" t="s">
        <v>2341</v>
      </c>
      <c r="B1169" s="9">
        <v>50952</v>
      </c>
      <c r="C1169" s="9">
        <v>5902557391875</v>
      </c>
      <c r="D1169" s="10" t="s">
        <v>2342</v>
      </c>
      <c r="E1169" s="9">
        <v>14</v>
      </c>
      <c r="F1169" s="11">
        <v>45372</v>
      </c>
      <c r="G1169" s="8"/>
    </row>
    <row r="1170" spans="1:7" ht="18.75" customHeight="1" x14ac:dyDescent="0.2">
      <c r="A1170" s="8" t="s">
        <v>2343</v>
      </c>
      <c r="B1170" s="9">
        <v>49887</v>
      </c>
      <c r="C1170" s="9">
        <v>5036484012630</v>
      </c>
      <c r="D1170" s="10" t="s">
        <v>2344</v>
      </c>
      <c r="E1170" s="9">
        <v>9</v>
      </c>
      <c r="F1170" s="11">
        <v>45406</v>
      </c>
      <c r="G1170" s="8"/>
    </row>
    <row r="1171" spans="1:7" ht="18.75" customHeight="1" x14ac:dyDescent="0.2">
      <c r="A1171" s="8" t="s">
        <v>2345</v>
      </c>
      <c r="B1171" s="9">
        <v>39380</v>
      </c>
      <c r="C1171" s="9">
        <v>5902557356720</v>
      </c>
      <c r="D1171" s="10" t="s">
        <v>2346</v>
      </c>
      <c r="E1171" s="9">
        <v>30</v>
      </c>
      <c r="F1171" s="11">
        <v>45581</v>
      </c>
      <c r="G1171" s="8"/>
    </row>
    <row r="1172" spans="1:7" ht="18.75" customHeight="1" x14ac:dyDescent="0.2">
      <c r="A1172" s="8" t="s">
        <v>2347</v>
      </c>
      <c r="B1172" s="9">
        <v>41721</v>
      </c>
      <c r="C1172" s="9">
        <v>5902557376919</v>
      </c>
      <c r="D1172" s="10" t="s">
        <v>2348</v>
      </c>
      <c r="E1172" s="9">
        <v>30</v>
      </c>
      <c r="F1172" s="11">
        <v>45581</v>
      </c>
      <c r="G1172" s="8"/>
    </row>
    <row r="1173" spans="1:7" ht="18.75" customHeight="1" x14ac:dyDescent="0.2">
      <c r="A1173" s="8" t="s">
        <v>2349</v>
      </c>
      <c r="B1173" s="9">
        <v>39379</v>
      </c>
      <c r="C1173" s="9">
        <v>5902557356713</v>
      </c>
      <c r="D1173" s="10" t="s">
        <v>2350</v>
      </c>
      <c r="E1173" s="9">
        <v>54</v>
      </c>
      <c r="F1173" s="11">
        <v>45581</v>
      </c>
      <c r="G1173" s="8"/>
    </row>
    <row r="1174" spans="1:7" ht="18.75" customHeight="1" x14ac:dyDescent="0.2">
      <c r="A1174" s="8" t="s">
        <v>2351</v>
      </c>
      <c r="B1174" s="9">
        <v>49473</v>
      </c>
      <c r="C1174" s="9">
        <v>5902557383733</v>
      </c>
      <c r="D1174" s="10" t="s">
        <v>2352</v>
      </c>
      <c r="E1174" s="9">
        <v>30</v>
      </c>
      <c r="F1174" s="11">
        <v>45265</v>
      </c>
      <c r="G1174" s="8"/>
    </row>
    <row r="1175" spans="1:7" ht="18.75" customHeight="1" x14ac:dyDescent="0.2">
      <c r="A1175" s="8" t="s">
        <v>2353</v>
      </c>
      <c r="B1175" s="9">
        <v>41720</v>
      </c>
      <c r="C1175" s="9">
        <v>5902557368570</v>
      </c>
      <c r="D1175" s="10" t="s">
        <v>2354</v>
      </c>
      <c r="E1175" s="9">
        <v>30</v>
      </c>
      <c r="F1175" s="11">
        <v>45581</v>
      </c>
      <c r="G1175" s="8"/>
    </row>
    <row r="1176" spans="1:7" ht="18.75" customHeight="1" x14ac:dyDescent="0.2">
      <c r="A1176" s="8" t="s">
        <v>2355</v>
      </c>
      <c r="B1176" s="9">
        <v>41719</v>
      </c>
      <c r="C1176" s="9">
        <v>5902557366835</v>
      </c>
      <c r="D1176" s="10" t="s">
        <v>2356</v>
      </c>
      <c r="E1176" s="9">
        <v>30</v>
      </c>
      <c r="F1176" s="11">
        <v>45581</v>
      </c>
      <c r="G1176" s="8"/>
    </row>
    <row r="1177" spans="1:7" ht="18.75" customHeight="1" x14ac:dyDescent="0.2">
      <c r="A1177" s="8" t="s">
        <v>2357</v>
      </c>
      <c r="B1177" s="9">
        <v>41966</v>
      </c>
      <c r="C1177" s="9">
        <v>5902557368594</v>
      </c>
      <c r="D1177" s="10" t="s">
        <v>2358</v>
      </c>
      <c r="E1177" s="9">
        <v>54</v>
      </c>
      <c r="F1177" s="11">
        <v>45581</v>
      </c>
      <c r="G1177" s="8"/>
    </row>
    <row r="1178" spans="1:7" ht="18.75" customHeight="1" x14ac:dyDescent="0.2">
      <c r="A1178" s="8" t="s">
        <v>2359</v>
      </c>
      <c r="B1178" s="9">
        <v>49468</v>
      </c>
      <c r="C1178" s="9">
        <v>5902557383702</v>
      </c>
      <c r="D1178" s="10" t="s">
        <v>2360</v>
      </c>
      <c r="E1178" s="9">
        <v>30</v>
      </c>
      <c r="F1178" s="11">
        <v>45265</v>
      </c>
      <c r="G1178" s="8"/>
    </row>
    <row r="1179" spans="1:7" ht="18.75" customHeight="1" x14ac:dyDescent="0.2">
      <c r="A1179" s="8" t="s">
        <v>2361</v>
      </c>
      <c r="B1179" s="9">
        <v>43133</v>
      </c>
      <c r="C1179" s="9">
        <v>5902557363612</v>
      </c>
      <c r="D1179" s="10" t="s">
        <v>2362</v>
      </c>
      <c r="E1179" s="9">
        <v>74</v>
      </c>
      <c r="F1179" s="11">
        <v>45265</v>
      </c>
      <c r="G1179" s="8"/>
    </row>
    <row r="1180" spans="1:7" ht="18.75" customHeight="1" x14ac:dyDescent="0.2">
      <c r="A1180" s="8" t="s">
        <v>2363</v>
      </c>
      <c r="B1180" s="9">
        <v>43134</v>
      </c>
      <c r="C1180" s="9">
        <v>5902557363629</v>
      </c>
      <c r="D1180" s="10" t="s">
        <v>2364</v>
      </c>
      <c r="E1180" s="9">
        <v>81</v>
      </c>
      <c r="F1180" s="11">
        <v>45461</v>
      </c>
      <c r="G1180" s="8"/>
    </row>
    <row r="1181" spans="1:7" ht="18.75" customHeight="1" x14ac:dyDescent="0.2">
      <c r="A1181" s="8" t="s">
        <v>2365</v>
      </c>
      <c r="B1181" s="9">
        <v>43135</v>
      </c>
      <c r="C1181" s="9">
        <v>5902557363636</v>
      </c>
      <c r="D1181" s="10" t="s">
        <v>2366</v>
      </c>
      <c r="E1181" s="9">
        <v>89</v>
      </c>
      <c r="F1181" s="11">
        <v>45265</v>
      </c>
      <c r="G1181" s="8"/>
    </row>
    <row r="1182" spans="1:7" ht="18.75" customHeight="1" x14ac:dyDescent="0.2">
      <c r="A1182" s="8" t="s">
        <v>2367</v>
      </c>
      <c r="B1182" s="9">
        <v>2233</v>
      </c>
      <c r="C1182" s="9">
        <v>5902557320431</v>
      </c>
      <c r="D1182" s="10" t="s">
        <v>2368</v>
      </c>
      <c r="E1182" s="9">
        <v>19</v>
      </c>
      <c r="F1182" s="11">
        <v>45265</v>
      </c>
      <c r="G1182" s="8"/>
    </row>
    <row r="1183" spans="1:7" ht="18.75" customHeight="1" x14ac:dyDescent="0.2">
      <c r="A1183" s="8" t="s">
        <v>2369</v>
      </c>
      <c r="B1183" s="9">
        <v>50768</v>
      </c>
      <c r="C1183" s="9">
        <v>5902557394258</v>
      </c>
      <c r="D1183" s="10" t="s">
        <v>2370</v>
      </c>
      <c r="E1183" s="9">
        <v>23</v>
      </c>
      <c r="F1183" s="11">
        <v>45359</v>
      </c>
      <c r="G1183" s="8"/>
    </row>
    <row r="1184" spans="1:7" ht="18.75" customHeight="1" x14ac:dyDescent="0.2">
      <c r="A1184" s="8" t="s">
        <v>2371</v>
      </c>
      <c r="B1184" s="9">
        <v>50769</v>
      </c>
      <c r="C1184" s="9">
        <v>5902557394241</v>
      </c>
      <c r="D1184" s="10" t="s">
        <v>2372</v>
      </c>
      <c r="E1184" s="9">
        <v>23</v>
      </c>
      <c r="F1184" s="11">
        <v>45359</v>
      </c>
      <c r="G1184" s="8"/>
    </row>
    <row r="1185" spans="1:7" ht="18.75" customHeight="1" x14ac:dyDescent="0.2">
      <c r="A1185" s="8" t="s">
        <v>2373</v>
      </c>
      <c r="B1185" s="9">
        <v>52486</v>
      </c>
      <c r="C1185" s="8">
        <v>5902557398911</v>
      </c>
      <c r="D1185" s="10" t="s">
        <v>2374</v>
      </c>
      <c r="E1185" s="9">
        <v>33</v>
      </c>
      <c r="F1185" s="11">
        <v>45359</v>
      </c>
      <c r="G1185" s="8"/>
    </row>
    <row r="1186" spans="1:7" ht="18.75" customHeight="1" x14ac:dyDescent="0.2">
      <c r="A1186" s="8" t="s">
        <v>2375</v>
      </c>
      <c r="B1186" s="9">
        <v>52828</v>
      </c>
      <c r="C1186" s="14">
        <v>5906366004018</v>
      </c>
      <c r="D1186" s="10" t="s">
        <v>2376</v>
      </c>
      <c r="E1186" s="9">
        <v>33</v>
      </c>
      <c r="F1186" s="11">
        <v>45359</v>
      </c>
      <c r="G1186" s="8"/>
    </row>
    <row r="1187" spans="1:7" ht="18.75" customHeight="1" x14ac:dyDescent="0.2">
      <c r="A1187" s="9" t="s">
        <v>2377</v>
      </c>
      <c r="B1187" s="9"/>
      <c r="C1187" s="8"/>
      <c r="D1187" s="10" t="s">
        <v>2378</v>
      </c>
      <c r="E1187" s="9">
        <v>29</v>
      </c>
      <c r="F1187" s="11">
        <v>45546</v>
      </c>
      <c r="G1187" s="8"/>
    </row>
    <row r="1188" spans="1:7" ht="18.75" customHeight="1" x14ac:dyDescent="0.2">
      <c r="A1188" s="9" t="s">
        <v>2379</v>
      </c>
      <c r="B1188" s="9"/>
      <c r="C1188" s="8"/>
      <c r="D1188" s="10" t="s">
        <v>2380</v>
      </c>
      <c r="E1188" s="9">
        <v>33</v>
      </c>
      <c r="F1188" s="11">
        <v>45546</v>
      </c>
      <c r="G1188" s="8"/>
    </row>
    <row r="1189" spans="1:7" ht="18.75" customHeight="1" x14ac:dyDescent="0.2">
      <c r="A1189" s="9" t="s">
        <v>2381</v>
      </c>
      <c r="B1189" s="9"/>
      <c r="C1189" s="8"/>
      <c r="D1189" s="10" t="s">
        <v>2382</v>
      </c>
      <c r="E1189" s="9">
        <v>29</v>
      </c>
      <c r="F1189" s="11">
        <v>45546</v>
      </c>
      <c r="G1189" s="8"/>
    </row>
    <row r="1190" spans="1:7" ht="18.75" customHeight="1" x14ac:dyDescent="0.2">
      <c r="A1190" s="9" t="s">
        <v>2383</v>
      </c>
      <c r="B1190" s="9"/>
      <c r="C1190" s="8"/>
      <c r="D1190" s="10" t="s">
        <v>2384</v>
      </c>
      <c r="E1190" s="9">
        <v>33</v>
      </c>
      <c r="F1190" s="11">
        <v>45546</v>
      </c>
      <c r="G1190" s="8"/>
    </row>
    <row r="1191" spans="1:7" ht="18.75" customHeight="1" x14ac:dyDescent="0.2">
      <c r="A1191" s="8" t="s">
        <v>2385</v>
      </c>
      <c r="B1191" s="9">
        <v>7452</v>
      </c>
      <c r="C1191" s="9">
        <v>5902557307036</v>
      </c>
      <c r="D1191" s="10" t="s">
        <v>2386</v>
      </c>
      <c r="E1191" s="9">
        <v>2</v>
      </c>
      <c r="F1191" s="11">
        <v>45265</v>
      </c>
      <c r="G1191" s="8"/>
    </row>
    <row r="1192" spans="1:7" ht="18.75" customHeight="1" x14ac:dyDescent="0.2">
      <c r="A1192" s="8" t="s">
        <v>2387</v>
      </c>
      <c r="B1192" s="9">
        <v>13276</v>
      </c>
      <c r="C1192" s="9">
        <v>5902557307067</v>
      </c>
      <c r="D1192" s="10" t="s">
        <v>2388</v>
      </c>
      <c r="E1192" s="9">
        <v>1</v>
      </c>
      <c r="F1192" s="11">
        <v>45406</v>
      </c>
      <c r="G1192" s="8"/>
    </row>
    <row r="1193" spans="1:7" ht="18.75" customHeight="1" x14ac:dyDescent="0.2">
      <c r="A1193" s="8" t="s">
        <v>2389</v>
      </c>
      <c r="B1193" s="9">
        <v>13274</v>
      </c>
      <c r="C1193" s="9">
        <v>5902557341382</v>
      </c>
      <c r="D1193" s="10" t="s">
        <v>2390</v>
      </c>
      <c r="E1193" s="9">
        <v>10</v>
      </c>
      <c r="F1193" s="11">
        <v>45265</v>
      </c>
      <c r="G1193" s="8"/>
    </row>
    <row r="1194" spans="1:7" ht="18.75" customHeight="1" x14ac:dyDescent="0.2">
      <c r="A1194" s="8" t="s">
        <v>2391</v>
      </c>
      <c r="B1194" s="9">
        <v>42400</v>
      </c>
      <c r="C1194" s="9"/>
      <c r="D1194" s="10" t="s">
        <v>2392</v>
      </c>
      <c r="E1194" s="9">
        <v>11</v>
      </c>
      <c r="F1194" s="11">
        <v>45265</v>
      </c>
      <c r="G1194" s="8"/>
    </row>
    <row r="1195" spans="1:7" ht="18.75" customHeight="1" x14ac:dyDescent="0.2">
      <c r="A1195" s="8" t="s">
        <v>2393</v>
      </c>
      <c r="B1195" s="9">
        <v>41649</v>
      </c>
      <c r="C1195" s="9">
        <v>5902557357161</v>
      </c>
      <c r="D1195" s="10" t="s">
        <v>2394</v>
      </c>
      <c r="E1195" s="9">
        <v>16</v>
      </c>
      <c r="F1195" s="11">
        <v>45265</v>
      </c>
      <c r="G1195" s="8"/>
    </row>
    <row r="1196" spans="1:7" ht="18.75" customHeight="1" x14ac:dyDescent="0.2">
      <c r="A1196" s="8" t="s">
        <v>2395</v>
      </c>
      <c r="B1196" s="9">
        <v>37977</v>
      </c>
      <c r="C1196" s="9">
        <v>5902557349661</v>
      </c>
      <c r="D1196" s="10" t="s">
        <v>2396</v>
      </c>
      <c r="E1196" s="9">
        <v>16</v>
      </c>
      <c r="F1196" s="11">
        <v>45265</v>
      </c>
      <c r="G1196" s="8"/>
    </row>
    <row r="1197" spans="1:7" ht="18.75" customHeight="1" x14ac:dyDescent="0.2">
      <c r="A1197" s="8" t="s">
        <v>2397</v>
      </c>
      <c r="B1197" s="9">
        <v>41648</v>
      </c>
      <c r="C1197" s="9">
        <v>5902557357178</v>
      </c>
      <c r="D1197" s="10" t="s">
        <v>2398</v>
      </c>
      <c r="E1197" s="9">
        <v>18</v>
      </c>
      <c r="F1197" s="11">
        <v>45265</v>
      </c>
      <c r="G1197" s="8"/>
    </row>
    <row r="1198" spans="1:7" ht="18.75" customHeight="1" x14ac:dyDescent="0.2">
      <c r="A1198" s="8" t="s">
        <v>2399</v>
      </c>
      <c r="B1198" s="9">
        <v>37999</v>
      </c>
      <c r="C1198" s="9">
        <v>5902557349654</v>
      </c>
      <c r="D1198" s="10" t="s">
        <v>2400</v>
      </c>
      <c r="E1198" s="9">
        <v>18</v>
      </c>
      <c r="F1198" s="11">
        <v>45265</v>
      </c>
      <c r="G1198" s="8"/>
    </row>
    <row r="1199" spans="1:7" ht="18.75" customHeight="1" x14ac:dyDescent="0.2">
      <c r="A1199" s="8" t="s">
        <v>2401</v>
      </c>
      <c r="B1199" s="9">
        <v>38068</v>
      </c>
      <c r="C1199" s="9">
        <v>5902557343362</v>
      </c>
      <c r="D1199" s="10" t="s">
        <v>2402</v>
      </c>
      <c r="E1199" s="9">
        <v>88</v>
      </c>
      <c r="F1199" s="11">
        <v>45265</v>
      </c>
      <c r="G1199" s="8"/>
    </row>
    <row r="1200" spans="1:7" ht="18.75" customHeight="1" x14ac:dyDescent="0.2">
      <c r="A1200" s="8" t="s">
        <v>2403</v>
      </c>
      <c r="B1200" s="9">
        <v>51035</v>
      </c>
      <c r="C1200" s="9">
        <v>5902557396108</v>
      </c>
      <c r="D1200" s="10" t="s">
        <v>2404</v>
      </c>
      <c r="E1200" s="9">
        <v>153</v>
      </c>
      <c r="F1200" s="11">
        <v>45581</v>
      </c>
      <c r="G1200" s="8"/>
    </row>
    <row r="1201" spans="1:7" ht="18.75" customHeight="1" x14ac:dyDescent="0.2">
      <c r="A1201" s="8" t="s">
        <v>2405</v>
      </c>
      <c r="B1201" s="9">
        <v>35308</v>
      </c>
      <c r="C1201" s="9">
        <v>5902557345052</v>
      </c>
      <c r="D1201" s="10" t="s">
        <v>2406</v>
      </c>
      <c r="E1201" s="9">
        <v>182</v>
      </c>
      <c r="F1201" s="11">
        <v>45265</v>
      </c>
      <c r="G1201" s="8"/>
    </row>
    <row r="1202" spans="1:7" ht="18.75" customHeight="1" x14ac:dyDescent="0.2">
      <c r="A1202" s="8" t="s">
        <v>2407</v>
      </c>
      <c r="B1202" s="9"/>
      <c r="C1202" s="9">
        <v>5902557345076</v>
      </c>
      <c r="D1202" s="10" t="s">
        <v>2408</v>
      </c>
      <c r="E1202" s="9">
        <v>217</v>
      </c>
      <c r="F1202" s="11">
        <v>45265</v>
      </c>
      <c r="G1202" s="8"/>
    </row>
    <row r="1203" spans="1:7" ht="18.75" customHeight="1" x14ac:dyDescent="0.2">
      <c r="A1203" s="8" t="s">
        <v>2409</v>
      </c>
      <c r="B1203" s="9"/>
      <c r="C1203" s="9">
        <v>5902557330829</v>
      </c>
      <c r="D1203" s="10" t="s">
        <v>2410</v>
      </c>
      <c r="E1203" s="9">
        <v>194</v>
      </c>
      <c r="F1203" s="11">
        <v>45265</v>
      </c>
      <c r="G1203" s="8"/>
    </row>
    <row r="1204" spans="1:7" ht="18.75" customHeight="1" x14ac:dyDescent="0.2">
      <c r="A1204" s="8" t="s">
        <v>2411</v>
      </c>
      <c r="B1204" s="9"/>
      <c r="C1204" s="9">
        <v>5902557351671</v>
      </c>
      <c r="D1204" s="10" t="s">
        <v>2412</v>
      </c>
      <c r="E1204" s="9">
        <v>212</v>
      </c>
      <c r="F1204" s="11">
        <v>45387</v>
      </c>
      <c r="G1204" s="8"/>
    </row>
    <row r="1205" spans="1:7" ht="18.75" customHeight="1" x14ac:dyDescent="0.2">
      <c r="A1205" s="8" t="s">
        <v>2413</v>
      </c>
      <c r="B1205" s="9"/>
      <c r="C1205" s="9">
        <v>5902557345045</v>
      </c>
      <c r="D1205" s="10" t="s">
        <v>2414</v>
      </c>
      <c r="E1205" s="9">
        <v>188</v>
      </c>
      <c r="F1205" s="11">
        <v>45387</v>
      </c>
      <c r="G1205" s="8"/>
    </row>
    <row r="1206" spans="1:7" ht="18.75" customHeight="1" x14ac:dyDescent="0.2">
      <c r="A1206" s="8" t="s">
        <v>2415</v>
      </c>
      <c r="B1206" s="9"/>
      <c r="C1206" s="9">
        <v>5902557305605</v>
      </c>
      <c r="D1206" s="10" t="s">
        <v>2416</v>
      </c>
      <c r="E1206" s="9">
        <v>194</v>
      </c>
      <c r="F1206" s="11">
        <v>45265</v>
      </c>
      <c r="G1206" s="8"/>
    </row>
    <row r="1207" spans="1:7" ht="18.75" customHeight="1" x14ac:dyDescent="0.2">
      <c r="A1207" s="8" t="s">
        <v>2417</v>
      </c>
      <c r="B1207" s="9"/>
      <c r="C1207" s="9">
        <v>5902557357048</v>
      </c>
      <c r="D1207" s="10" t="s">
        <v>2418</v>
      </c>
      <c r="E1207" s="9">
        <v>238</v>
      </c>
      <c r="F1207" s="11">
        <v>45265</v>
      </c>
      <c r="G1207" s="8"/>
    </row>
    <row r="1208" spans="1:7" ht="18.75" customHeight="1" x14ac:dyDescent="0.2">
      <c r="A1208" s="8" t="s">
        <v>2419</v>
      </c>
      <c r="B1208" s="9">
        <v>47694</v>
      </c>
      <c r="C1208" s="9">
        <v>5902557378098</v>
      </c>
      <c r="D1208" s="10" t="s">
        <v>2420</v>
      </c>
      <c r="E1208" s="9">
        <v>45</v>
      </c>
      <c r="F1208" s="11">
        <v>45265</v>
      </c>
      <c r="G1208" s="8"/>
    </row>
    <row r="1209" spans="1:7" ht="18.75" customHeight="1" x14ac:dyDescent="0.2">
      <c r="A1209" s="8" t="s">
        <v>2421</v>
      </c>
      <c r="B1209" s="9">
        <v>47660</v>
      </c>
      <c r="C1209" s="9">
        <v>5902557378104</v>
      </c>
      <c r="D1209" s="10" t="s">
        <v>2422</v>
      </c>
      <c r="E1209" s="9">
        <v>74</v>
      </c>
      <c r="F1209" s="11">
        <v>45265</v>
      </c>
      <c r="G1209" s="8"/>
    </row>
    <row r="1210" spans="1:7" ht="18.75" customHeight="1" x14ac:dyDescent="0.2">
      <c r="A1210" s="8" t="s">
        <v>2423</v>
      </c>
      <c r="B1210" s="9">
        <v>26270</v>
      </c>
      <c r="C1210" s="9">
        <v>5902557335107</v>
      </c>
      <c r="D1210" s="10" t="s">
        <v>2424</v>
      </c>
      <c r="E1210" s="9">
        <v>46</v>
      </c>
      <c r="F1210" s="11">
        <v>45265</v>
      </c>
      <c r="G1210" s="8"/>
    </row>
    <row r="1211" spans="1:7" ht="18.75" customHeight="1" x14ac:dyDescent="0.2">
      <c r="A1211" s="8" t="s">
        <v>2425</v>
      </c>
      <c r="B1211" s="9">
        <v>43623</v>
      </c>
      <c r="C1211" s="9">
        <v>5902557368334</v>
      </c>
      <c r="D1211" s="10" t="s">
        <v>2426</v>
      </c>
      <c r="E1211" s="9">
        <v>55</v>
      </c>
      <c r="F1211" s="11">
        <v>45293</v>
      </c>
      <c r="G1211" s="8"/>
    </row>
    <row r="1212" spans="1:7" ht="18.75" customHeight="1" x14ac:dyDescent="0.2">
      <c r="A1212" s="8" t="s">
        <v>2427</v>
      </c>
      <c r="B1212" s="9">
        <v>37421</v>
      </c>
      <c r="C1212" s="9">
        <v>5902557349548</v>
      </c>
      <c r="D1212" s="10" t="s">
        <v>2428</v>
      </c>
      <c r="E1212" s="9">
        <v>40</v>
      </c>
      <c r="F1212" s="11">
        <v>45443</v>
      </c>
      <c r="G1212" s="8"/>
    </row>
    <row r="1213" spans="1:7" ht="18.75" customHeight="1" x14ac:dyDescent="0.2">
      <c r="A1213" s="8" t="s">
        <v>2429</v>
      </c>
      <c r="B1213" s="9">
        <v>35489</v>
      </c>
      <c r="C1213" s="9">
        <v>5902557345298</v>
      </c>
      <c r="D1213" s="10" t="s">
        <v>2430</v>
      </c>
      <c r="E1213" s="9">
        <v>46</v>
      </c>
      <c r="F1213" s="11">
        <v>45293</v>
      </c>
      <c r="G1213" s="8"/>
    </row>
    <row r="1214" spans="1:7" ht="18.75" customHeight="1" x14ac:dyDescent="0.2">
      <c r="A1214" s="8" t="s">
        <v>2431</v>
      </c>
      <c r="B1214" s="9">
        <v>40322</v>
      </c>
      <c r="C1214" s="9">
        <v>5902557356355</v>
      </c>
      <c r="D1214" s="10" t="s">
        <v>2432</v>
      </c>
      <c r="E1214" s="9">
        <v>66</v>
      </c>
      <c r="F1214" s="11">
        <v>45667</v>
      </c>
      <c r="G1214" s="8"/>
    </row>
    <row r="1215" spans="1:7" ht="18.75" customHeight="1" x14ac:dyDescent="0.2">
      <c r="A1215" s="8" t="s">
        <v>2433</v>
      </c>
      <c r="B1215" s="9">
        <v>52445</v>
      </c>
      <c r="C1215" s="9">
        <v>5902557396085</v>
      </c>
      <c r="D1215" s="10" t="s">
        <v>2434</v>
      </c>
      <c r="E1215" s="9">
        <v>61</v>
      </c>
      <c r="F1215" s="11">
        <v>45341</v>
      </c>
      <c r="G1215" s="8"/>
    </row>
    <row r="1216" spans="1:7" ht="18.75" customHeight="1" x14ac:dyDescent="0.2">
      <c r="A1216" s="8" t="s">
        <v>2435</v>
      </c>
      <c r="B1216" s="9">
        <v>35318</v>
      </c>
      <c r="C1216" s="9">
        <v>5902557345311</v>
      </c>
      <c r="D1216" s="10" t="s">
        <v>2436</v>
      </c>
      <c r="E1216" s="9">
        <v>55</v>
      </c>
      <c r="F1216" s="11">
        <v>45337</v>
      </c>
      <c r="G1216" s="8"/>
    </row>
    <row r="1217" spans="1:7" ht="18.75" customHeight="1" x14ac:dyDescent="0.2">
      <c r="A1217" s="8" t="s">
        <v>2437</v>
      </c>
      <c r="B1217" s="9">
        <v>35317</v>
      </c>
      <c r="C1217" s="9">
        <v>5902557345304</v>
      </c>
      <c r="D1217" s="10" t="s">
        <v>2438</v>
      </c>
      <c r="E1217" s="9">
        <v>64</v>
      </c>
      <c r="F1217" s="11">
        <v>45293</v>
      </c>
      <c r="G1217" s="8"/>
    </row>
    <row r="1218" spans="1:7" ht="18.75" customHeight="1" x14ac:dyDescent="0.2">
      <c r="A1218" s="8" t="s">
        <v>2439</v>
      </c>
      <c r="B1218" s="9">
        <v>42906</v>
      </c>
      <c r="C1218" s="9">
        <v>5902557364046</v>
      </c>
      <c r="D1218" s="10" t="s">
        <v>2440</v>
      </c>
      <c r="E1218" s="9">
        <v>69</v>
      </c>
      <c r="F1218" s="11">
        <v>45293</v>
      </c>
      <c r="G1218" s="8"/>
    </row>
    <row r="1219" spans="1:7" ht="18.75" customHeight="1" x14ac:dyDescent="0.2">
      <c r="A1219" s="8" t="s">
        <v>2441</v>
      </c>
      <c r="B1219" s="9">
        <v>50940</v>
      </c>
      <c r="C1219" s="9">
        <v>5902557395781</v>
      </c>
      <c r="D1219" s="10" t="s">
        <v>2442</v>
      </c>
      <c r="E1219" s="9">
        <v>11</v>
      </c>
      <c r="F1219" s="11">
        <v>45265</v>
      </c>
      <c r="G1219" s="8"/>
    </row>
    <row r="1220" spans="1:7" ht="18.75" customHeight="1" x14ac:dyDescent="0.2">
      <c r="A1220" s="8" t="s">
        <v>2443</v>
      </c>
      <c r="B1220" s="9"/>
      <c r="C1220" s="8"/>
      <c r="D1220" s="10" t="s">
        <v>2444</v>
      </c>
      <c r="E1220" s="9">
        <v>41</v>
      </c>
      <c r="F1220" s="11">
        <v>45645</v>
      </c>
      <c r="G1220" s="8"/>
    </row>
    <row r="1221" spans="1:7" ht="18.75" customHeight="1" x14ac:dyDescent="0.2">
      <c r="A1221" s="8" t="s">
        <v>2445</v>
      </c>
      <c r="B1221" s="9">
        <v>19416</v>
      </c>
      <c r="C1221" s="9">
        <v>5902557332410</v>
      </c>
      <c r="D1221" s="10" t="s">
        <v>2446</v>
      </c>
      <c r="E1221" s="9">
        <v>126</v>
      </c>
      <c r="F1221" s="11">
        <v>45265</v>
      </c>
      <c r="G1221" s="8"/>
    </row>
    <row r="1222" spans="1:7" ht="18.75" customHeight="1" x14ac:dyDescent="0.2">
      <c r="A1222" s="8" t="s">
        <v>2447</v>
      </c>
      <c r="B1222" s="9">
        <v>19411</v>
      </c>
      <c r="C1222" s="9">
        <v>5902557332397</v>
      </c>
      <c r="D1222" s="10" t="s">
        <v>2448</v>
      </c>
      <c r="E1222" s="9">
        <v>115</v>
      </c>
      <c r="F1222" s="11">
        <v>45265</v>
      </c>
      <c r="G1222" s="8"/>
    </row>
    <row r="1223" spans="1:7" ht="18.75" customHeight="1" x14ac:dyDescent="0.2">
      <c r="A1223" s="8" t="s">
        <v>2449</v>
      </c>
      <c r="B1223" s="9">
        <v>19415</v>
      </c>
      <c r="C1223" s="9">
        <v>5902557332403</v>
      </c>
      <c r="D1223" s="10" t="s">
        <v>2450</v>
      </c>
      <c r="E1223" s="9">
        <v>128</v>
      </c>
      <c r="F1223" s="11">
        <v>45265</v>
      </c>
      <c r="G1223" s="8"/>
    </row>
    <row r="1224" spans="1:7" ht="18.75" customHeight="1" x14ac:dyDescent="0.2">
      <c r="A1224" s="8" t="s">
        <v>2451</v>
      </c>
      <c r="B1224" s="9">
        <v>7116</v>
      </c>
      <c r="C1224" s="9">
        <v>5902557335152</v>
      </c>
      <c r="D1224" s="10" t="s">
        <v>2452</v>
      </c>
      <c r="E1224" s="9">
        <v>205</v>
      </c>
      <c r="F1224" s="11">
        <v>45265</v>
      </c>
      <c r="G1224" s="8"/>
    </row>
    <row r="1225" spans="1:7" ht="18.75" customHeight="1" x14ac:dyDescent="0.2">
      <c r="A1225" s="8" t="s">
        <v>2453</v>
      </c>
      <c r="B1225" s="9">
        <v>7114</v>
      </c>
      <c r="C1225" s="9">
        <v>5902557326648</v>
      </c>
      <c r="D1225" s="10" t="s">
        <v>2454</v>
      </c>
      <c r="E1225" s="9">
        <v>136</v>
      </c>
      <c r="F1225" s="11">
        <v>45387</v>
      </c>
      <c r="G1225" s="8"/>
    </row>
    <row r="1226" spans="1:7" ht="18.75" customHeight="1" x14ac:dyDescent="0.2">
      <c r="A1226" s="8" t="s">
        <v>2455</v>
      </c>
      <c r="B1226" s="9">
        <v>7115</v>
      </c>
      <c r="C1226" s="9">
        <v>5902557326655</v>
      </c>
      <c r="D1226" s="10" t="s">
        <v>2456</v>
      </c>
      <c r="E1226" s="9">
        <v>153</v>
      </c>
      <c r="F1226" s="11">
        <v>45387</v>
      </c>
      <c r="G1226" s="8"/>
    </row>
    <row r="1227" spans="1:7" ht="18.75" customHeight="1" x14ac:dyDescent="0.2">
      <c r="A1227" s="8" t="s">
        <v>2457</v>
      </c>
      <c r="B1227" s="9">
        <v>54167</v>
      </c>
      <c r="C1227" s="8">
        <v>5906366006593</v>
      </c>
      <c r="D1227" s="10" t="s">
        <v>2458</v>
      </c>
      <c r="E1227" s="9">
        <v>133</v>
      </c>
      <c r="F1227" s="11">
        <v>45615</v>
      </c>
      <c r="G1227" s="8"/>
    </row>
    <row r="1228" spans="1:7" ht="18.75" customHeight="1" x14ac:dyDescent="0.2">
      <c r="A1228" s="8" t="s">
        <v>2459</v>
      </c>
      <c r="B1228" s="9">
        <v>54165</v>
      </c>
      <c r="C1228" s="8">
        <v>5906366006579</v>
      </c>
      <c r="D1228" s="10" t="s">
        <v>2460</v>
      </c>
      <c r="E1228" s="9">
        <v>121</v>
      </c>
      <c r="F1228" s="11">
        <v>45615</v>
      </c>
      <c r="G1228" s="8"/>
    </row>
    <row r="1229" spans="1:7" ht="18.75" customHeight="1" x14ac:dyDescent="0.2">
      <c r="A1229" s="8" t="s">
        <v>2461</v>
      </c>
      <c r="B1229" s="9">
        <v>54166</v>
      </c>
      <c r="C1229" s="8">
        <v>5906366006586</v>
      </c>
      <c r="D1229" s="10" t="s">
        <v>2462</v>
      </c>
      <c r="E1229" s="9">
        <v>126</v>
      </c>
      <c r="F1229" s="11">
        <v>45615</v>
      </c>
      <c r="G1229" s="8"/>
    </row>
    <row r="1230" spans="1:7" ht="18.75" customHeight="1" x14ac:dyDescent="0.2">
      <c r="A1230" s="8" t="s">
        <v>2463</v>
      </c>
      <c r="B1230" s="9">
        <v>49180</v>
      </c>
      <c r="C1230" s="9">
        <v>5902557376629</v>
      </c>
      <c r="D1230" s="10" t="s">
        <v>2464</v>
      </c>
      <c r="E1230" s="9">
        <v>98</v>
      </c>
      <c r="F1230" s="11">
        <v>45265</v>
      </c>
      <c r="G1230" s="8"/>
    </row>
    <row r="1231" spans="1:7" ht="18.75" customHeight="1" x14ac:dyDescent="0.2">
      <c r="A1231" s="8" t="s">
        <v>2465</v>
      </c>
      <c r="B1231" s="9">
        <v>49105</v>
      </c>
      <c r="C1231" s="9">
        <v>5902557376728</v>
      </c>
      <c r="D1231" s="10" t="s">
        <v>2466</v>
      </c>
      <c r="E1231" s="9">
        <v>95</v>
      </c>
      <c r="F1231" s="11">
        <v>45265</v>
      </c>
      <c r="G1231" s="8"/>
    </row>
    <row r="1232" spans="1:7" ht="18.75" customHeight="1" x14ac:dyDescent="0.2">
      <c r="A1232" s="8" t="s">
        <v>2467</v>
      </c>
      <c r="B1232" s="9">
        <v>53665</v>
      </c>
      <c r="C1232" s="9">
        <v>5902557390885</v>
      </c>
      <c r="D1232" s="10" t="s">
        <v>2468</v>
      </c>
      <c r="E1232" s="9">
        <v>212</v>
      </c>
      <c r="F1232" s="11">
        <v>45568</v>
      </c>
      <c r="G1232" s="8"/>
    </row>
    <row r="1233" spans="1:7" ht="18.75" customHeight="1" x14ac:dyDescent="0.2">
      <c r="A1233" s="8" t="s">
        <v>2469</v>
      </c>
      <c r="B1233" s="9">
        <v>53667</v>
      </c>
      <c r="C1233" s="9">
        <v>5902557390892</v>
      </c>
      <c r="D1233" s="10" t="s">
        <v>2470</v>
      </c>
      <c r="E1233" s="9">
        <v>226</v>
      </c>
      <c r="F1233" s="11">
        <v>45568</v>
      </c>
      <c r="G1233" s="8"/>
    </row>
    <row r="1234" spans="1:7" ht="18.75" customHeight="1" x14ac:dyDescent="0.2">
      <c r="A1234" s="8" t="s">
        <v>2471</v>
      </c>
      <c r="B1234" s="9">
        <v>53668</v>
      </c>
      <c r="C1234" s="9">
        <v>5902557390908</v>
      </c>
      <c r="D1234" s="10" t="s">
        <v>2472</v>
      </c>
      <c r="E1234" s="9">
        <v>235</v>
      </c>
      <c r="F1234" s="11">
        <v>45568</v>
      </c>
      <c r="G1234" s="8"/>
    </row>
    <row r="1235" spans="1:7" ht="18.75" customHeight="1" x14ac:dyDescent="0.2">
      <c r="A1235" s="8" t="s">
        <v>2473</v>
      </c>
      <c r="B1235" s="9"/>
      <c r="C1235" s="9">
        <v>5902557343454</v>
      </c>
      <c r="D1235" s="10" t="s">
        <v>2474</v>
      </c>
      <c r="E1235" s="9">
        <v>200</v>
      </c>
      <c r="F1235" s="11">
        <v>45265</v>
      </c>
      <c r="G1235" s="8"/>
    </row>
    <row r="1236" spans="1:7" ht="18.75" customHeight="1" x14ac:dyDescent="0.2">
      <c r="A1236" s="8" t="s">
        <v>2475</v>
      </c>
      <c r="B1236" s="9"/>
      <c r="C1236" s="9">
        <v>5902557345014</v>
      </c>
      <c r="D1236" s="10" t="s">
        <v>2476</v>
      </c>
      <c r="E1236" s="9">
        <v>168</v>
      </c>
      <c r="F1236" s="11">
        <v>45265</v>
      </c>
      <c r="G1236" s="8"/>
    </row>
    <row r="1237" spans="1:7" ht="18.75" customHeight="1" x14ac:dyDescent="0.2">
      <c r="A1237" s="8" t="s">
        <v>2477</v>
      </c>
      <c r="B1237" s="9"/>
      <c r="C1237" s="9">
        <v>5902557343461</v>
      </c>
      <c r="D1237" s="10" t="s">
        <v>2478</v>
      </c>
      <c r="E1237" s="9">
        <v>226</v>
      </c>
      <c r="F1237" s="11">
        <v>45265</v>
      </c>
      <c r="G1237" s="8"/>
    </row>
    <row r="1238" spans="1:7" ht="18.75" customHeight="1" x14ac:dyDescent="0.2">
      <c r="A1238" s="8" t="s">
        <v>2479</v>
      </c>
      <c r="B1238" s="9"/>
      <c r="C1238" s="9">
        <v>5902557344987</v>
      </c>
      <c r="D1238" s="10" t="s">
        <v>2480</v>
      </c>
      <c r="E1238" s="9">
        <v>122</v>
      </c>
      <c r="F1238" s="11">
        <v>45265</v>
      </c>
      <c r="G1238" s="8"/>
    </row>
    <row r="1239" spans="1:7" ht="18.75" customHeight="1" x14ac:dyDescent="0.2">
      <c r="A1239" s="8" t="s">
        <v>2481</v>
      </c>
      <c r="B1239" s="9"/>
      <c r="C1239" s="9">
        <v>5902557343447</v>
      </c>
      <c r="D1239" s="10" t="s">
        <v>2482</v>
      </c>
      <c r="E1239" s="9">
        <v>177</v>
      </c>
      <c r="F1239" s="11">
        <v>45265</v>
      </c>
      <c r="G1239" s="8"/>
    </row>
    <row r="1240" spans="1:7" ht="18.75" customHeight="1" x14ac:dyDescent="0.2">
      <c r="A1240" s="8" t="s">
        <v>2483</v>
      </c>
      <c r="B1240" s="9">
        <v>1572</v>
      </c>
      <c r="C1240" s="9"/>
      <c r="D1240" s="10" t="s">
        <v>2484</v>
      </c>
      <c r="E1240" s="9">
        <v>209</v>
      </c>
      <c r="F1240" s="11">
        <v>45265</v>
      </c>
      <c r="G1240" s="8"/>
    </row>
    <row r="1241" spans="1:7" ht="18.75" customHeight="1" x14ac:dyDescent="0.2">
      <c r="A1241" s="8" t="s">
        <v>2485</v>
      </c>
      <c r="B1241" s="9">
        <v>38940</v>
      </c>
      <c r="C1241" s="9">
        <v>5902557351787</v>
      </c>
      <c r="D1241" s="10" t="s">
        <v>2486</v>
      </c>
      <c r="E1241" s="9">
        <v>195</v>
      </c>
      <c r="F1241" s="11">
        <v>45568</v>
      </c>
      <c r="G1241" s="8"/>
    </row>
    <row r="1242" spans="1:7" ht="18.75" customHeight="1" x14ac:dyDescent="0.2">
      <c r="A1242" s="8" t="s">
        <v>2487</v>
      </c>
      <c r="B1242" s="9">
        <v>38939</v>
      </c>
      <c r="C1242" s="9">
        <v>5902557351770</v>
      </c>
      <c r="D1242" s="10" t="s">
        <v>2488</v>
      </c>
      <c r="E1242" s="9">
        <v>204</v>
      </c>
      <c r="F1242" s="11">
        <v>45568</v>
      </c>
      <c r="G1242" s="8"/>
    </row>
    <row r="1243" spans="1:7" ht="18.75" customHeight="1" x14ac:dyDescent="0.2">
      <c r="A1243" s="8" t="s">
        <v>2489</v>
      </c>
      <c r="B1243" s="9">
        <v>38938</v>
      </c>
      <c r="C1243" s="9">
        <v>5902557351763</v>
      </c>
      <c r="D1243" s="10" t="s">
        <v>2490</v>
      </c>
      <c r="E1243" s="9">
        <v>212</v>
      </c>
      <c r="F1243" s="11">
        <v>45736</v>
      </c>
      <c r="G1243" s="8"/>
    </row>
    <row r="1244" spans="1:7" ht="18.75" customHeight="1" x14ac:dyDescent="0.2">
      <c r="A1244" s="8" t="s">
        <v>2491</v>
      </c>
      <c r="B1244" s="9">
        <v>44826</v>
      </c>
      <c r="C1244" s="9">
        <v>5902557373529</v>
      </c>
      <c r="D1244" s="10" t="s">
        <v>2492</v>
      </c>
      <c r="E1244" s="9">
        <v>188</v>
      </c>
      <c r="F1244" s="11">
        <v>45568</v>
      </c>
      <c r="G1244" s="8"/>
    </row>
    <row r="1245" spans="1:7" ht="18.75" customHeight="1" x14ac:dyDescent="0.2">
      <c r="A1245" s="8" t="s">
        <v>2493</v>
      </c>
      <c r="B1245" s="9">
        <v>38948</v>
      </c>
      <c r="C1245" s="9">
        <v>5902557351794</v>
      </c>
      <c r="D1245" s="10" t="s">
        <v>2494</v>
      </c>
      <c r="E1245" s="9">
        <v>193</v>
      </c>
      <c r="F1245" s="11">
        <v>45736</v>
      </c>
      <c r="G1245" s="8"/>
    </row>
    <row r="1246" spans="1:7" ht="18.75" customHeight="1" x14ac:dyDescent="0.2">
      <c r="A1246" s="8" t="s">
        <v>2495</v>
      </c>
      <c r="B1246" s="9">
        <v>48376</v>
      </c>
      <c r="C1246" s="9">
        <v>5902557306046</v>
      </c>
      <c r="D1246" s="10" t="s">
        <v>2496</v>
      </c>
      <c r="E1246" s="9">
        <v>214</v>
      </c>
      <c r="F1246" s="11">
        <v>45546</v>
      </c>
      <c r="G1246" s="8"/>
    </row>
    <row r="1247" spans="1:7" ht="18.75" customHeight="1" x14ac:dyDescent="0.2">
      <c r="A1247" s="8" t="s">
        <v>2497</v>
      </c>
      <c r="B1247" s="9">
        <v>43557</v>
      </c>
      <c r="C1247" s="9">
        <v>5902557306107</v>
      </c>
      <c r="D1247" s="10" t="s">
        <v>2498</v>
      </c>
      <c r="E1247" s="9">
        <v>230</v>
      </c>
      <c r="F1247" s="11">
        <v>45314</v>
      </c>
      <c r="G1247" s="8"/>
    </row>
    <row r="1248" spans="1:7" ht="18.75" customHeight="1" x14ac:dyDescent="0.2">
      <c r="A1248" s="8" t="s">
        <v>2499</v>
      </c>
      <c r="B1248" s="9">
        <v>38945</v>
      </c>
      <c r="C1248" s="9">
        <v>5902557306152</v>
      </c>
      <c r="D1248" s="10" t="s">
        <v>2500</v>
      </c>
      <c r="E1248" s="9">
        <v>219</v>
      </c>
      <c r="F1248" s="11">
        <v>45736</v>
      </c>
      <c r="G1248" s="8"/>
    </row>
    <row r="1249" spans="1:7" ht="18.75" customHeight="1" x14ac:dyDescent="0.2">
      <c r="A1249" s="8" t="s">
        <v>2501</v>
      </c>
      <c r="B1249" s="9">
        <v>32503</v>
      </c>
      <c r="C1249" s="9">
        <v>5902557345038</v>
      </c>
      <c r="D1249" s="10" t="s">
        <v>2502</v>
      </c>
      <c r="E1249" s="9">
        <v>189</v>
      </c>
      <c r="F1249" s="11">
        <v>45265</v>
      </c>
      <c r="G1249" s="8"/>
    </row>
    <row r="1250" spans="1:7" ht="18.75" customHeight="1" x14ac:dyDescent="0.2">
      <c r="A1250" s="8" t="s">
        <v>2503</v>
      </c>
      <c r="B1250" s="9">
        <v>44349</v>
      </c>
      <c r="C1250" s="9">
        <v>5902557306039</v>
      </c>
      <c r="D1250" s="10" t="s">
        <v>2504</v>
      </c>
      <c r="E1250" s="9">
        <v>179</v>
      </c>
      <c r="F1250" s="11">
        <v>45667</v>
      </c>
      <c r="G1250" s="8"/>
    </row>
    <row r="1251" spans="1:7" ht="18.75" customHeight="1" x14ac:dyDescent="0.2">
      <c r="A1251" s="8" t="s">
        <v>2505</v>
      </c>
      <c r="B1251" s="9">
        <v>48375</v>
      </c>
      <c r="C1251" s="9">
        <v>5902557306022</v>
      </c>
      <c r="D1251" s="10" t="s">
        <v>2506</v>
      </c>
      <c r="E1251" s="9">
        <v>188</v>
      </c>
      <c r="F1251" s="11">
        <v>45736</v>
      </c>
      <c r="G1251" s="8"/>
    </row>
    <row r="1252" spans="1:7" ht="18.75" customHeight="1" x14ac:dyDescent="0.2">
      <c r="A1252" s="8" t="s">
        <v>2507</v>
      </c>
      <c r="B1252" s="9">
        <v>38950</v>
      </c>
      <c r="C1252" s="9">
        <v>5902557352609</v>
      </c>
      <c r="D1252" s="10" t="s">
        <v>2508</v>
      </c>
      <c r="E1252" s="9">
        <v>230</v>
      </c>
      <c r="F1252" s="11">
        <v>45575</v>
      </c>
      <c r="G1252" s="8"/>
    </row>
    <row r="1253" spans="1:7" ht="18.75" customHeight="1" x14ac:dyDescent="0.2">
      <c r="A1253" s="8" t="s">
        <v>2509</v>
      </c>
      <c r="B1253" s="9">
        <v>38951</v>
      </c>
      <c r="C1253" s="9">
        <v>5902557352616</v>
      </c>
      <c r="D1253" s="10" t="s">
        <v>2510</v>
      </c>
      <c r="E1253" s="9">
        <v>259</v>
      </c>
      <c r="F1253" s="11">
        <v>45439</v>
      </c>
      <c r="G1253" s="8"/>
    </row>
    <row r="1254" spans="1:7" ht="18.75" customHeight="1" x14ac:dyDescent="0.2">
      <c r="A1254" s="8" t="s">
        <v>2511</v>
      </c>
      <c r="B1254" s="9">
        <v>39018</v>
      </c>
      <c r="C1254" s="9">
        <v>5902557352623</v>
      </c>
      <c r="D1254" s="10" t="s">
        <v>2512</v>
      </c>
      <c r="E1254" s="9">
        <v>278</v>
      </c>
      <c r="F1254" s="11">
        <v>45344</v>
      </c>
      <c r="G1254" s="8"/>
    </row>
    <row r="1255" spans="1:7" ht="18.75" customHeight="1" x14ac:dyDescent="0.2">
      <c r="A1255" s="8" t="s">
        <v>2513</v>
      </c>
      <c r="B1255" s="9">
        <v>43001</v>
      </c>
      <c r="C1255" s="9">
        <v>5902557366187</v>
      </c>
      <c r="D1255" s="10" t="s">
        <v>2514</v>
      </c>
      <c r="E1255" s="9">
        <v>228</v>
      </c>
      <c r="F1255" s="11">
        <v>45667</v>
      </c>
      <c r="G1255" s="8"/>
    </row>
    <row r="1256" spans="1:7" ht="18.75" customHeight="1" x14ac:dyDescent="0.2">
      <c r="A1256" s="8" t="s">
        <v>2515</v>
      </c>
      <c r="B1256" s="9">
        <v>38949</v>
      </c>
      <c r="C1256" s="9">
        <v>5902557352593</v>
      </c>
      <c r="D1256" s="10" t="s">
        <v>2516</v>
      </c>
      <c r="E1256" s="9">
        <v>228</v>
      </c>
      <c r="F1256" s="11">
        <v>45667</v>
      </c>
      <c r="G1256" s="8"/>
    </row>
    <row r="1257" spans="1:7" ht="18.75" customHeight="1" x14ac:dyDescent="0.2">
      <c r="A1257" s="8" t="s">
        <v>2517</v>
      </c>
      <c r="B1257" s="9">
        <v>50075</v>
      </c>
      <c r="C1257" s="9">
        <v>5902557385164</v>
      </c>
      <c r="D1257" s="10" t="s">
        <v>2518</v>
      </c>
      <c r="E1257" s="9">
        <v>227</v>
      </c>
      <c r="F1257" s="11">
        <v>45344</v>
      </c>
      <c r="G1257" s="8"/>
    </row>
    <row r="1258" spans="1:7" ht="18.75" customHeight="1" x14ac:dyDescent="0.2">
      <c r="A1258" s="15" t="s">
        <v>2519</v>
      </c>
      <c r="B1258" s="9">
        <v>52353</v>
      </c>
      <c r="C1258" s="9">
        <v>5902557396733</v>
      </c>
      <c r="D1258" s="10" t="s">
        <v>2520</v>
      </c>
      <c r="E1258" s="9">
        <v>235</v>
      </c>
      <c r="F1258" s="11">
        <v>45679</v>
      </c>
      <c r="G1258" s="8"/>
    </row>
    <row r="1259" spans="1:7" ht="18.75" customHeight="1" x14ac:dyDescent="0.2">
      <c r="A1259" s="8" t="s">
        <v>2521</v>
      </c>
      <c r="B1259" s="9">
        <v>50077</v>
      </c>
      <c r="C1259" s="9">
        <v>5902557385171</v>
      </c>
      <c r="D1259" s="10" t="s">
        <v>2522</v>
      </c>
      <c r="E1259" s="9">
        <v>249</v>
      </c>
      <c r="F1259" s="11">
        <v>45579</v>
      </c>
      <c r="G1259" s="8"/>
    </row>
    <row r="1260" spans="1:7" ht="18.75" customHeight="1" x14ac:dyDescent="0.2">
      <c r="A1260" s="8" t="s">
        <v>2523</v>
      </c>
      <c r="B1260" s="9">
        <v>50083</v>
      </c>
      <c r="C1260" s="9">
        <v>5902557385157</v>
      </c>
      <c r="D1260" s="10" t="s">
        <v>2524</v>
      </c>
      <c r="E1260" s="9">
        <v>221</v>
      </c>
      <c r="F1260" s="11">
        <v>45341</v>
      </c>
      <c r="G1260" s="8"/>
    </row>
    <row r="1261" spans="1:7" ht="18.75" customHeight="1" x14ac:dyDescent="0.2">
      <c r="A1261" s="8" t="s">
        <v>2525</v>
      </c>
      <c r="B1261" s="9">
        <v>50544</v>
      </c>
      <c r="C1261" s="9">
        <v>5902557386758</v>
      </c>
      <c r="D1261" s="10" t="s">
        <v>2526</v>
      </c>
      <c r="E1261" s="9">
        <v>221</v>
      </c>
      <c r="F1261" s="11">
        <v>45265</v>
      </c>
      <c r="G1261" s="8"/>
    </row>
    <row r="1262" spans="1:7" ht="18.75" customHeight="1" x14ac:dyDescent="0.2">
      <c r="A1262" s="8" t="s">
        <v>2527</v>
      </c>
      <c r="B1262" s="9">
        <v>50546</v>
      </c>
      <c r="C1262" s="9">
        <v>5902557386765</v>
      </c>
      <c r="D1262" s="10" t="s">
        <v>2528</v>
      </c>
      <c r="E1262" s="9">
        <v>249</v>
      </c>
      <c r="F1262" s="11">
        <v>45265</v>
      </c>
      <c r="G1262" s="8"/>
    </row>
    <row r="1263" spans="1:7" ht="18.75" customHeight="1" x14ac:dyDescent="0.2">
      <c r="A1263" s="8" t="s">
        <v>2529</v>
      </c>
      <c r="B1263" s="9">
        <v>50542</v>
      </c>
      <c r="C1263" s="9">
        <v>5902557386741</v>
      </c>
      <c r="D1263" s="10" t="s">
        <v>2530</v>
      </c>
      <c r="E1263" s="9">
        <v>207</v>
      </c>
      <c r="F1263" s="11">
        <v>45265</v>
      </c>
      <c r="G1263" s="8"/>
    </row>
    <row r="1264" spans="1:7" ht="18.75" customHeight="1" x14ac:dyDescent="0.2">
      <c r="A1264" s="8" t="s">
        <v>2531</v>
      </c>
      <c r="B1264" s="9">
        <v>50549</v>
      </c>
      <c r="C1264" s="9">
        <v>5902557386789</v>
      </c>
      <c r="D1264" s="10" t="s">
        <v>2532</v>
      </c>
      <c r="E1264" s="9">
        <v>254</v>
      </c>
      <c r="F1264" s="11">
        <v>45265</v>
      </c>
      <c r="G1264" s="8"/>
    </row>
    <row r="1265" spans="1:7" ht="18.75" customHeight="1" x14ac:dyDescent="0.2">
      <c r="A1265" s="8" t="s">
        <v>2533</v>
      </c>
      <c r="B1265" s="9">
        <v>50550</v>
      </c>
      <c r="C1265" s="9">
        <v>5902557386796</v>
      </c>
      <c r="D1265" s="10" t="s">
        <v>2534</v>
      </c>
      <c r="E1265" s="9">
        <v>277</v>
      </c>
      <c r="F1265" s="11">
        <v>45265</v>
      </c>
      <c r="G1265" s="8"/>
    </row>
    <row r="1266" spans="1:7" ht="18.75" customHeight="1" x14ac:dyDescent="0.2">
      <c r="A1266" s="8" t="s">
        <v>2535</v>
      </c>
      <c r="B1266" s="9">
        <v>50547</v>
      </c>
      <c r="C1266" s="9">
        <v>5902557386772</v>
      </c>
      <c r="D1266" s="10" t="s">
        <v>2536</v>
      </c>
      <c r="E1266" s="9">
        <v>231</v>
      </c>
      <c r="F1266" s="11">
        <v>45265</v>
      </c>
      <c r="G1266" s="8"/>
    </row>
    <row r="1267" spans="1:7" ht="18.75" customHeight="1" x14ac:dyDescent="0.2">
      <c r="A1267" s="8" t="s">
        <v>2537</v>
      </c>
      <c r="B1267" s="9">
        <v>53675</v>
      </c>
      <c r="C1267" s="9">
        <v>5902557390922</v>
      </c>
      <c r="D1267" s="10" t="s">
        <v>2538</v>
      </c>
      <c r="E1267" s="9">
        <v>223</v>
      </c>
      <c r="F1267" s="11">
        <v>45568</v>
      </c>
      <c r="G1267" s="8"/>
    </row>
    <row r="1268" spans="1:7" ht="18.75" customHeight="1" x14ac:dyDescent="0.2">
      <c r="A1268" s="8" t="s">
        <v>2539</v>
      </c>
      <c r="B1268" s="9">
        <v>53670</v>
      </c>
      <c r="C1268" s="9">
        <v>5902557390939</v>
      </c>
      <c r="D1268" s="10" t="s">
        <v>2540</v>
      </c>
      <c r="E1268" s="9">
        <v>235</v>
      </c>
      <c r="F1268" s="11">
        <v>45568</v>
      </c>
      <c r="G1268" s="8"/>
    </row>
    <row r="1269" spans="1:7" ht="18.75" customHeight="1" x14ac:dyDescent="0.2">
      <c r="A1269" s="8" t="s">
        <v>2541</v>
      </c>
      <c r="B1269" s="9">
        <v>53669</v>
      </c>
      <c r="C1269" s="9">
        <v>5902557390946</v>
      </c>
      <c r="D1269" s="10" t="s">
        <v>2542</v>
      </c>
      <c r="E1269" s="9">
        <v>235</v>
      </c>
      <c r="F1269" s="11">
        <v>45568</v>
      </c>
      <c r="G1269" s="8"/>
    </row>
    <row r="1270" spans="1:7" ht="18.75" customHeight="1" x14ac:dyDescent="0.2">
      <c r="A1270" s="8" t="s">
        <v>2543</v>
      </c>
      <c r="B1270" s="9">
        <v>53676</v>
      </c>
      <c r="C1270" s="9">
        <v>5902557390915</v>
      </c>
      <c r="D1270" s="10" t="s">
        <v>2544</v>
      </c>
      <c r="E1270" s="9">
        <v>212</v>
      </c>
      <c r="F1270" s="11">
        <v>45568</v>
      </c>
      <c r="G1270" s="8"/>
    </row>
    <row r="1271" spans="1:7" ht="18.75" customHeight="1" x14ac:dyDescent="0.2">
      <c r="A1271" s="8" t="s">
        <v>2545</v>
      </c>
      <c r="B1271" s="9">
        <v>53664</v>
      </c>
      <c r="C1271" s="9">
        <v>5902557390878</v>
      </c>
      <c r="D1271" s="10" t="s">
        <v>2546</v>
      </c>
      <c r="E1271" s="9">
        <v>212</v>
      </c>
      <c r="F1271" s="11">
        <v>45568</v>
      </c>
      <c r="G1271" s="8"/>
    </row>
    <row r="1272" spans="1:7" ht="18.75" customHeight="1" x14ac:dyDescent="0.2">
      <c r="A1272" s="8" t="s">
        <v>2547</v>
      </c>
      <c r="B1272" s="9">
        <v>29333</v>
      </c>
      <c r="C1272" s="9">
        <v>5902557337538</v>
      </c>
      <c r="D1272" s="10" t="s">
        <v>2548</v>
      </c>
      <c r="E1272" s="9">
        <v>212</v>
      </c>
      <c r="F1272" s="11">
        <v>45579</v>
      </c>
      <c r="G1272" s="8"/>
    </row>
    <row r="1273" spans="1:7" ht="18.75" customHeight="1" x14ac:dyDescent="0.2">
      <c r="A1273" s="8" t="s">
        <v>2549</v>
      </c>
      <c r="B1273" s="9">
        <v>29335</v>
      </c>
      <c r="C1273" s="9">
        <v>5902557337545</v>
      </c>
      <c r="D1273" s="10" t="s">
        <v>2550</v>
      </c>
      <c r="E1273" s="9">
        <v>223</v>
      </c>
      <c r="F1273" s="11">
        <v>45579</v>
      </c>
      <c r="G1273" s="8"/>
    </row>
    <row r="1274" spans="1:7" ht="18.75" customHeight="1" x14ac:dyDescent="0.2">
      <c r="A1274" s="8" t="s">
        <v>2551</v>
      </c>
      <c r="B1274" s="9">
        <v>51334</v>
      </c>
      <c r="C1274" s="9">
        <v>5902557337552</v>
      </c>
      <c r="D1274" s="10" t="s">
        <v>2552</v>
      </c>
      <c r="E1274" s="9">
        <v>235</v>
      </c>
      <c r="F1274" s="11">
        <v>45579</v>
      </c>
      <c r="G1274" s="8"/>
    </row>
    <row r="1275" spans="1:7" ht="18.75" customHeight="1" x14ac:dyDescent="0.2">
      <c r="A1275" s="8" t="s">
        <v>2553</v>
      </c>
      <c r="B1275" s="9">
        <v>29326</v>
      </c>
      <c r="C1275" s="9">
        <v>5902557337507</v>
      </c>
      <c r="D1275" s="10" t="s">
        <v>2554</v>
      </c>
      <c r="E1275" s="9">
        <v>164</v>
      </c>
      <c r="F1275" s="11">
        <v>45506</v>
      </c>
      <c r="G1275" s="8"/>
    </row>
    <row r="1276" spans="1:7" ht="18.75" customHeight="1" x14ac:dyDescent="0.2">
      <c r="A1276" s="8" t="s">
        <v>2555</v>
      </c>
      <c r="B1276" s="9">
        <v>29329</v>
      </c>
      <c r="C1276" s="9">
        <v>5902557337514</v>
      </c>
      <c r="D1276" s="10" t="s">
        <v>2556</v>
      </c>
      <c r="E1276" s="9">
        <v>188</v>
      </c>
      <c r="F1276" s="11">
        <v>45579</v>
      </c>
      <c r="G1276" s="8"/>
    </row>
    <row r="1277" spans="1:7" ht="18.75" customHeight="1" x14ac:dyDescent="0.2">
      <c r="A1277" s="8" t="s">
        <v>2557</v>
      </c>
      <c r="B1277" s="9">
        <v>29331</v>
      </c>
      <c r="C1277" s="9">
        <v>5902557337521</v>
      </c>
      <c r="D1277" s="10" t="s">
        <v>2558</v>
      </c>
      <c r="E1277" s="9">
        <v>197</v>
      </c>
      <c r="F1277" s="11">
        <v>45579</v>
      </c>
      <c r="G1277" s="8"/>
    </row>
    <row r="1278" spans="1:7" ht="18.75" customHeight="1" x14ac:dyDescent="0.2">
      <c r="A1278" s="8" t="s">
        <v>2559</v>
      </c>
      <c r="B1278" s="9">
        <v>32026</v>
      </c>
      <c r="C1278" s="9">
        <v>5902557343416</v>
      </c>
      <c r="D1278" s="10" t="s">
        <v>2560</v>
      </c>
      <c r="E1278" s="9">
        <v>221</v>
      </c>
      <c r="F1278" s="11">
        <v>45321</v>
      </c>
      <c r="G1278" s="8"/>
    </row>
    <row r="1279" spans="1:7" ht="18.75" customHeight="1" x14ac:dyDescent="0.2">
      <c r="A1279" s="8" t="s">
        <v>2561</v>
      </c>
      <c r="B1279" s="9">
        <v>32027</v>
      </c>
      <c r="C1279" s="9">
        <v>5902557345007</v>
      </c>
      <c r="D1279" s="10" t="s">
        <v>2562</v>
      </c>
      <c r="E1279" s="9">
        <v>270</v>
      </c>
      <c r="F1279" s="11">
        <v>45265</v>
      </c>
      <c r="G1279" s="8"/>
    </row>
    <row r="1280" spans="1:7" ht="18.75" customHeight="1" x14ac:dyDescent="0.2">
      <c r="A1280" s="8" t="s">
        <v>2563</v>
      </c>
      <c r="B1280" s="9">
        <v>32028</v>
      </c>
      <c r="C1280" s="9">
        <v>5902557343423</v>
      </c>
      <c r="D1280" s="10" t="s">
        <v>2564</v>
      </c>
      <c r="E1280" s="9">
        <v>287</v>
      </c>
      <c r="F1280" s="11">
        <v>45265</v>
      </c>
      <c r="G1280" s="8"/>
    </row>
    <row r="1281" spans="1:7" ht="18.75" customHeight="1" x14ac:dyDescent="0.2">
      <c r="A1281" s="8" t="s">
        <v>2565</v>
      </c>
      <c r="B1281" s="9">
        <v>32024</v>
      </c>
      <c r="C1281" s="9">
        <v>5902557343393</v>
      </c>
      <c r="D1281" s="10" t="s">
        <v>2566</v>
      </c>
      <c r="E1281" s="9">
        <v>222</v>
      </c>
      <c r="F1281" s="11">
        <v>45265</v>
      </c>
      <c r="G1281" s="8"/>
    </row>
    <row r="1282" spans="1:7" ht="18.75" customHeight="1" x14ac:dyDescent="0.2">
      <c r="A1282" s="8" t="s">
        <v>2567</v>
      </c>
      <c r="B1282" s="9">
        <v>32025</v>
      </c>
      <c r="C1282" s="9">
        <v>5902557343409</v>
      </c>
      <c r="D1282" s="10" t="s">
        <v>2568</v>
      </c>
      <c r="E1282" s="9">
        <v>217</v>
      </c>
      <c r="F1282" s="11">
        <v>45321</v>
      </c>
      <c r="G1282" s="8"/>
    </row>
    <row r="1283" spans="1:7" ht="18.75" customHeight="1" x14ac:dyDescent="0.2">
      <c r="A1283" s="8" t="s">
        <v>2569</v>
      </c>
      <c r="B1283" s="9">
        <v>42437</v>
      </c>
      <c r="C1283" s="9">
        <v>5902557362905</v>
      </c>
      <c r="D1283" s="10" t="s">
        <v>2570</v>
      </c>
      <c r="E1283" s="9">
        <v>277</v>
      </c>
      <c r="F1283" s="11">
        <v>45265</v>
      </c>
      <c r="G1283" s="8"/>
    </row>
    <row r="1284" spans="1:7" ht="18.75" customHeight="1" x14ac:dyDescent="0.2">
      <c r="A1284" s="8" t="s">
        <v>2571</v>
      </c>
      <c r="B1284" s="9">
        <v>39745</v>
      </c>
      <c r="C1284" s="9">
        <v>5902557355884</v>
      </c>
      <c r="D1284" s="10" t="s">
        <v>2572</v>
      </c>
      <c r="E1284" s="9">
        <v>265</v>
      </c>
      <c r="F1284" s="11">
        <v>45490</v>
      </c>
      <c r="G1284" s="8"/>
    </row>
    <row r="1285" spans="1:7" ht="18.75" customHeight="1" x14ac:dyDescent="0.2">
      <c r="A1285" s="8" t="s">
        <v>2573</v>
      </c>
      <c r="B1285" s="9">
        <v>33427</v>
      </c>
      <c r="C1285" s="9">
        <v>5902557343379</v>
      </c>
      <c r="D1285" s="10" t="s">
        <v>2574</v>
      </c>
      <c r="E1285" s="9">
        <v>242</v>
      </c>
      <c r="F1285" s="11">
        <v>45679</v>
      </c>
      <c r="G1285" s="8"/>
    </row>
    <row r="1286" spans="1:7" ht="18.75" customHeight="1" x14ac:dyDescent="0.2">
      <c r="A1286" s="8" t="s">
        <v>2575</v>
      </c>
      <c r="B1286" s="9">
        <v>33428</v>
      </c>
      <c r="C1286" s="9">
        <v>5902557343386</v>
      </c>
      <c r="D1286" s="10" t="s">
        <v>2576</v>
      </c>
      <c r="E1286" s="9">
        <v>259</v>
      </c>
      <c r="F1286" s="11">
        <v>45490</v>
      </c>
      <c r="G1286" s="8"/>
    </row>
    <row r="1287" spans="1:7" ht="18.75" customHeight="1" x14ac:dyDescent="0.2">
      <c r="A1287" s="8" t="s">
        <v>2577</v>
      </c>
      <c r="B1287" s="9">
        <v>47719</v>
      </c>
      <c r="C1287" s="9">
        <v>5902557376803</v>
      </c>
      <c r="D1287" s="10" t="s">
        <v>2578</v>
      </c>
      <c r="E1287" s="9">
        <v>277</v>
      </c>
      <c r="F1287" s="11">
        <v>45679</v>
      </c>
      <c r="G1287" s="8"/>
    </row>
    <row r="1288" spans="1:7" ht="18.75" customHeight="1" x14ac:dyDescent="0.2">
      <c r="A1288" s="8" t="s">
        <v>2579</v>
      </c>
      <c r="B1288" s="9">
        <v>47720</v>
      </c>
      <c r="C1288" s="9">
        <v>5902557376810</v>
      </c>
      <c r="D1288" s="10" t="s">
        <v>2580</v>
      </c>
      <c r="E1288" s="9">
        <v>289</v>
      </c>
      <c r="F1288" s="11">
        <v>45490</v>
      </c>
      <c r="G1288" s="8"/>
    </row>
    <row r="1289" spans="1:7" ht="18.75" customHeight="1" x14ac:dyDescent="0.2">
      <c r="A1289" s="8" t="s">
        <v>2581</v>
      </c>
      <c r="B1289" s="9"/>
      <c r="C1289" s="9">
        <v>5902557329892</v>
      </c>
      <c r="D1289" s="10" t="s">
        <v>2582</v>
      </c>
      <c r="E1289" s="9">
        <v>196</v>
      </c>
      <c r="F1289" s="11">
        <v>45265</v>
      </c>
      <c r="G1289" s="8"/>
    </row>
    <row r="1290" spans="1:7" ht="18.75" customHeight="1" x14ac:dyDescent="0.2">
      <c r="A1290" s="8" t="s">
        <v>2583</v>
      </c>
      <c r="B1290" s="9"/>
      <c r="C1290" s="9">
        <v>5902557329908</v>
      </c>
      <c r="D1290" s="10" t="s">
        <v>2584</v>
      </c>
      <c r="E1290" s="9">
        <v>210</v>
      </c>
      <c r="F1290" s="11">
        <v>45265</v>
      </c>
      <c r="G1290" s="8"/>
    </row>
    <row r="1291" spans="1:7" ht="18.75" customHeight="1" x14ac:dyDescent="0.2">
      <c r="A1291" s="8" t="s">
        <v>2585</v>
      </c>
      <c r="B1291" s="9">
        <v>51433</v>
      </c>
      <c r="C1291" s="9">
        <v>5902557329915</v>
      </c>
      <c r="D1291" s="10" t="s">
        <v>2586</v>
      </c>
      <c r="E1291" s="9">
        <v>181</v>
      </c>
      <c r="F1291" s="11">
        <v>45265</v>
      </c>
      <c r="G1291" s="8"/>
    </row>
    <row r="1292" spans="1:7" ht="18.75" customHeight="1" x14ac:dyDescent="0.2">
      <c r="A1292" s="8" t="s">
        <v>2587</v>
      </c>
      <c r="B1292" s="9"/>
      <c r="C1292" s="9">
        <v>5902557329861</v>
      </c>
      <c r="D1292" s="10" t="s">
        <v>2588</v>
      </c>
      <c r="E1292" s="9">
        <v>157</v>
      </c>
      <c r="F1292" s="11">
        <v>45265</v>
      </c>
      <c r="G1292" s="8"/>
    </row>
    <row r="1293" spans="1:7" ht="18.75" customHeight="1" x14ac:dyDescent="0.2">
      <c r="A1293" s="8" t="s">
        <v>2589</v>
      </c>
      <c r="B1293" s="9"/>
      <c r="C1293" s="9">
        <v>5902557329878</v>
      </c>
      <c r="D1293" s="10" t="s">
        <v>2590</v>
      </c>
      <c r="E1293" s="9">
        <v>170</v>
      </c>
      <c r="F1293" s="11">
        <v>45265</v>
      </c>
      <c r="G1293" s="8"/>
    </row>
    <row r="1294" spans="1:7" ht="18.75" customHeight="1" x14ac:dyDescent="0.2">
      <c r="A1294" s="8" t="s">
        <v>2591</v>
      </c>
      <c r="B1294" s="9"/>
      <c r="C1294" s="9">
        <v>5902557329885</v>
      </c>
      <c r="D1294" s="10" t="s">
        <v>2592</v>
      </c>
      <c r="E1294" s="9">
        <v>183</v>
      </c>
      <c r="F1294" s="11">
        <v>45265</v>
      </c>
      <c r="G1294" s="8"/>
    </row>
    <row r="1295" spans="1:7" ht="18.75" customHeight="1" x14ac:dyDescent="0.2">
      <c r="A1295" s="8" t="s">
        <v>2593</v>
      </c>
      <c r="B1295" s="9">
        <v>49216</v>
      </c>
      <c r="C1295" s="9">
        <v>5902557376636</v>
      </c>
      <c r="D1295" s="10" t="s">
        <v>2594</v>
      </c>
      <c r="E1295" s="9">
        <v>127</v>
      </c>
      <c r="F1295" s="11">
        <v>45321</v>
      </c>
      <c r="G1295" s="8"/>
    </row>
    <row r="1296" spans="1:7" ht="18.75" customHeight="1" x14ac:dyDescent="0.2">
      <c r="A1296" s="8" t="s">
        <v>2595</v>
      </c>
      <c r="B1296" s="9">
        <v>49217</v>
      </c>
      <c r="C1296" s="9">
        <v>5902557376643</v>
      </c>
      <c r="D1296" s="10" t="s">
        <v>2596</v>
      </c>
      <c r="E1296" s="9">
        <v>127</v>
      </c>
      <c r="F1296" s="11">
        <v>45321</v>
      </c>
      <c r="G1296" s="8"/>
    </row>
    <row r="1297" spans="1:7" ht="18.75" customHeight="1" x14ac:dyDescent="0.2">
      <c r="A1297" s="8" t="s">
        <v>2597</v>
      </c>
      <c r="B1297" s="9">
        <v>49035</v>
      </c>
      <c r="C1297" s="9">
        <v>5902557376735</v>
      </c>
      <c r="D1297" s="10" t="s">
        <v>2598</v>
      </c>
      <c r="E1297" s="9">
        <v>130</v>
      </c>
      <c r="F1297" s="11">
        <v>45579</v>
      </c>
      <c r="G1297" s="8"/>
    </row>
    <row r="1298" spans="1:7" ht="18.75" customHeight="1" x14ac:dyDescent="0.2">
      <c r="A1298" s="8" t="s">
        <v>2599</v>
      </c>
      <c r="B1298" s="9">
        <v>49036</v>
      </c>
      <c r="C1298" s="9">
        <v>5902557376742</v>
      </c>
      <c r="D1298" s="10" t="s">
        <v>2600</v>
      </c>
      <c r="E1298" s="9">
        <v>132</v>
      </c>
      <c r="F1298" s="11">
        <v>45341</v>
      </c>
      <c r="G1298" s="8"/>
    </row>
    <row r="1299" spans="1:7" ht="18.75" customHeight="1" x14ac:dyDescent="0.2">
      <c r="A1299" s="8" t="s">
        <v>2601</v>
      </c>
      <c r="B1299" s="9">
        <v>42135</v>
      </c>
      <c r="C1299" s="9">
        <v>5902557357420</v>
      </c>
      <c r="D1299" s="10" t="s">
        <v>2602</v>
      </c>
      <c r="E1299" s="9">
        <v>151</v>
      </c>
      <c r="F1299" s="11">
        <v>45265</v>
      </c>
      <c r="G1299" s="8"/>
    </row>
    <row r="1300" spans="1:7" ht="18.75" customHeight="1" x14ac:dyDescent="0.2">
      <c r="A1300" s="8" t="s">
        <v>2603</v>
      </c>
      <c r="B1300" s="9">
        <v>42131</v>
      </c>
      <c r="C1300" s="9">
        <v>5902557357390</v>
      </c>
      <c r="D1300" s="10" t="s">
        <v>2604</v>
      </c>
      <c r="E1300" s="9">
        <v>121</v>
      </c>
      <c r="F1300" s="11">
        <v>45265</v>
      </c>
      <c r="G1300" s="8"/>
    </row>
    <row r="1301" spans="1:7" ht="18.75" customHeight="1" x14ac:dyDescent="0.2">
      <c r="A1301" s="8" t="s">
        <v>2605</v>
      </c>
      <c r="B1301" s="9">
        <v>42133</v>
      </c>
      <c r="C1301" s="9">
        <v>5902557357406</v>
      </c>
      <c r="D1301" s="10" t="s">
        <v>2606</v>
      </c>
      <c r="E1301" s="9">
        <v>156</v>
      </c>
      <c r="F1301" s="11">
        <v>45265</v>
      </c>
      <c r="G1301" s="8"/>
    </row>
    <row r="1302" spans="1:7" ht="18.75" customHeight="1" x14ac:dyDescent="0.2">
      <c r="A1302" s="8" t="s">
        <v>2607</v>
      </c>
      <c r="B1302" s="9">
        <v>42134</v>
      </c>
      <c r="C1302" s="9">
        <v>5902557357413</v>
      </c>
      <c r="D1302" s="10" t="s">
        <v>2608</v>
      </c>
      <c r="E1302" s="9">
        <v>148</v>
      </c>
      <c r="F1302" s="11">
        <v>45387</v>
      </c>
      <c r="G1302" s="8"/>
    </row>
    <row r="1303" spans="1:7" ht="18.75" customHeight="1" x14ac:dyDescent="0.2">
      <c r="A1303" s="8" t="s">
        <v>2609</v>
      </c>
      <c r="B1303" s="9">
        <v>42129</v>
      </c>
      <c r="C1303" s="9">
        <v>5902557357376</v>
      </c>
      <c r="D1303" s="10" t="s">
        <v>2610</v>
      </c>
      <c r="E1303" s="9">
        <v>105</v>
      </c>
      <c r="F1303" s="11">
        <v>45610</v>
      </c>
      <c r="G1303" s="8"/>
    </row>
    <row r="1304" spans="1:7" ht="18.75" customHeight="1" x14ac:dyDescent="0.2">
      <c r="A1304" s="8" t="s">
        <v>2611</v>
      </c>
      <c r="B1304" s="9">
        <v>42130</v>
      </c>
      <c r="C1304" s="9">
        <v>5902557357383</v>
      </c>
      <c r="D1304" s="10" t="s">
        <v>2612</v>
      </c>
      <c r="E1304" s="9">
        <v>107</v>
      </c>
      <c r="F1304" s="11">
        <v>45610</v>
      </c>
      <c r="G1304" s="8"/>
    </row>
    <row r="1305" spans="1:7" ht="18.75" customHeight="1" x14ac:dyDescent="0.2">
      <c r="A1305" s="8" t="s">
        <v>2613</v>
      </c>
      <c r="B1305" s="9">
        <v>14149</v>
      </c>
      <c r="C1305" s="9">
        <v>5902557329847</v>
      </c>
      <c r="D1305" s="10" t="s">
        <v>2614</v>
      </c>
      <c r="E1305" s="9">
        <v>113</v>
      </c>
      <c r="F1305" s="11">
        <v>45265</v>
      </c>
      <c r="G1305" s="8"/>
    </row>
    <row r="1306" spans="1:7" ht="18.75" customHeight="1" x14ac:dyDescent="0.2">
      <c r="A1306" s="8" t="s">
        <v>2615</v>
      </c>
      <c r="B1306" s="9">
        <v>14150</v>
      </c>
      <c r="C1306" s="9">
        <v>5902557329854</v>
      </c>
      <c r="D1306" s="10" t="s">
        <v>2616</v>
      </c>
      <c r="E1306" s="9">
        <v>117</v>
      </c>
      <c r="F1306" s="11">
        <v>45265</v>
      </c>
      <c r="G1306" s="8"/>
    </row>
    <row r="1307" spans="1:7" ht="18.75" customHeight="1" x14ac:dyDescent="0.2">
      <c r="A1307" s="8" t="s">
        <v>2617</v>
      </c>
      <c r="B1307" s="9">
        <v>35281</v>
      </c>
      <c r="C1307" s="9">
        <v>5902557342563</v>
      </c>
      <c r="D1307" s="10" t="s">
        <v>2618</v>
      </c>
      <c r="E1307" s="9">
        <v>127</v>
      </c>
      <c r="F1307" s="11">
        <v>45615</v>
      </c>
      <c r="G1307" s="8"/>
    </row>
    <row r="1308" spans="1:7" ht="18.75" customHeight="1" x14ac:dyDescent="0.2">
      <c r="A1308" s="8" t="s">
        <v>2619</v>
      </c>
      <c r="B1308" s="9">
        <v>35279</v>
      </c>
      <c r="C1308" s="9">
        <v>5902557342549</v>
      </c>
      <c r="D1308" s="10" t="s">
        <v>2620</v>
      </c>
      <c r="E1308" s="9">
        <v>115</v>
      </c>
      <c r="F1308" s="11">
        <v>45359</v>
      </c>
      <c r="G1308" s="8"/>
    </row>
    <row r="1309" spans="1:7" ht="18.75" customHeight="1" x14ac:dyDescent="0.2">
      <c r="A1309" s="8" t="s">
        <v>2621</v>
      </c>
      <c r="B1309" s="9">
        <v>35280</v>
      </c>
      <c r="C1309" s="9">
        <v>5902557342556</v>
      </c>
      <c r="D1309" s="10" t="s">
        <v>2622</v>
      </c>
      <c r="E1309" s="9">
        <v>120</v>
      </c>
      <c r="F1309" s="11">
        <v>45615</v>
      </c>
      <c r="G1309" s="8"/>
    </row>
    <row r="1310" spans="1:7" ht="18.75" customHeight="1" x14ac:dyDescent="0.2">
      <c r="A1310" s="8" t="s">
        <v>2623</v>
      </c>
      <c r="B1310" s="9">
        <v>49267</v>
      </c>
      <c r="C1310" s="9">
        <v>5902557377022</v>
      </c>
      <c r="D1310" s="10" t="s">
        <v>2624</v>
      </c>
      <c r="E1310" s="9">
        <v>124</v>
      </c>
      <c r="F1310" s="11">
        <v>45615</v>
      </c>
      <c r="G1310" s="8"/>
    </row>
    <row r="1311" spans="1:7" ht="18.75" customHeight="1" x14ac:dyDescent="0.2">
      <c r="A1311" s="8" t="s">
        <v>2625</v>
      </c>
      <c r="B1311" s="9">
        <v>49265</v>
      </c>
      <c r="C1311" s="9">
        <v>5902557377008</v>
      </c>
      <c r="D1311" s="10" t="s">
        <v>2626</v>
      </c>
      <c r="E1311" s="9">
        <v>118</v>
      </c>
      <c r="F1311" s="11">
        <v>45469</v>
      </c>
      <c r="G1311" s="8"/>
    </row>
    <row r="1312" spans="1:7" ht="18.75" customHeight="1" x14ac:dyDescent="0.2">
      <c r="A1312" s="8" t="s">
        <v>2627</v>
      </c>
      <c r="B1312" s="9">
        <v>49266</v>
      </c>
      <c r="C1312" s="9">
        <v>5902557377015</v>
      </c>
      <c r="D1312" s="10" t="s">
        <v>2628</v>
      </c>
      <c r="E1312" s="9">
        <v>122</v>
      </c>
      <c r="F1312" s="11">
        <v>45546</v>
      </c>
      <c r="G1312" s="8"/>
    </row>
    <row r="1313" spans="1:7" ht="18.75" customHeight="1" x14ac:dyDescent="0.2">
      <c r="A1313" s="8" t="s">
        <v>2629</v>
      </c>
      <c r="B1313" s="9">
        <v>49225</v>
      </c>
      <c r="C1313" s="9">
        <v>5902557377145</v>
      </c>
      <c r="D1313" s="10" t="s">
        <v>2630</v>
      </c>
      <c r="E1313" s="9">
        <v>177</v>
      </c>
      <c r="F1313" s="11">
        <v>45736</v>
      </c>
      <c r="G1313" s="8"/>
    </row>
    <row r="1314" spans="1:7" ht="18.75" customHeight="1" x14ac:dyDescent="0.2">
      <c r="A1314" s="8" t="s">
        <v>2631</v>
      </c>
      <c r="B1314" s="9">
        <v>49223</v>
      </c>
      <c r="C1314" s="9">
        <v>5902557377121</v>
      </c>
      <c r="D1314" s="10" t="s">
        <v>2632</v>
      </c>
      <c r="E1314" s="9">
        <v>153</v>
      </c>
      <c r="F1314" s="11">
        <v>45679</v>
      </c>
      <c r="G1314" s="8"/>
    </row>
    <row r="1315" spans="1:7" ht="18.75" customHeight="1" x14ac:dyDescent="0.2">
      <c r="A1315" s="8" t="s">
        <v>2633</v>
      </c>
      <c r="B1315" s="9">
        <v>49224</v>
      </c>
      <c r="C1315" s="9">
        <v>5902557377138</v>
      </c>
      <c r="D1315" s="10" t="s">
        <v>2634</v>
      </c>
      <c r="E1315" s="9">
        <v>162</v>
      </c>
      <c r="F1315" s="11">
        <v>45615</v>
      </c>
      <c r="G1315" s="8"/>
    </row>
    <row r="1316" spans="1:7" ht="18.75" customHeight="1" x14ac:dyDescent="0.2">
      <c r="A1316" s="8" t="s">
        <v>2635</v>
      </c>
      <c r="B1316" s="9">
        <v>50109</v>
      </c>
      <c r="C1316" s="9">
        <v>5902557385232</v>
      </c>
      <c r="D1316" s="10" t="s">
        <v>2636</v>
      </c>
      <c r="E1316" s="9">
        <v>181</v>
      </c>
      <c r="F1316" s="11">
        <v>45615</v>
      </c>
      <c r="G1316" s="8"/>
    </row>
    <row r="1317" spans="1:7" ht="18.75" customHeight="1" x14ac:dyDescent="0.2">
      <c r="A1317" s="8" t="s">
        <v>2637</v>
      </c>
      <c r="B1317" s="9">
        <v>50107</v>
      </c>
      <c r="C1317" s="9">
        <v>5902557385218</v>
      </c>
      <c r="D1317" s="10" t="s">
        <v>2638</v>
      </c>
      <c r="E1317" s="9">
        <v>174</v>
      </c>
      <c r="F1317" s="11">
        <v>45736</v>
      </c>
      <c r="G1317" s="8"/>
    </row>
    <row r="1318" spans="1:7" ht="18.75" customHeight="1" x14ac:dyDescent="0.2">
      <c r="A1318" s="8" t="s">
        <v>2639</v>
      </c>
      <c r="B1318" s="9">
        <v>50108</v>
      </c>
      <c r="C1318" s="9">
        <v>5902557385225</v>
      </c>
      <c r="D1318" s="10" t="s">
        <v>2640</v>
      </c>
      <c r="E1318" s="9">
        <v>181</v>
      </c>
      <c r="F1318" s="11">
        <v>45679</v>
      </c>
      <c r="G1318" s="8"/>
    </row>
    <row r="1319" spans="1:7" ht="18.75" customHeight="1" x14ac:dyDescent="0.2">
      <c r="A1319" s="8" t="s">
        <v>2641</v>
      </c>
      <c r="B1319" s="9">
        <v>44920</v>
      </c>
      <c r="C1319" s="8">
        <v>5902557369683</v>
      </c>
      <c r="D1319" s="10" t="s">
        <v>2642</v>
      </c>
      <c r="E1319" s="9">
        <v>16</v>
      </c>
      <c r="F1319" s="11">
        <v>45644</v>
      </c>
      <c r="G1319" s="8"/>
    </row>
    <row r="1320" spans="1:7" ht="18.75" customHeight="1" x14ac:dyDescent="0.2">
      <c r="A1320" s="8" t="s">
        <v>2643</v>
      </c>
      <c r="B1320" s="9">
        <v>44919</v>
      </c>
      <c r="C1320" s="9">
        <v>5902557369690</v>
      </c>
      <c r="D1320" s="10" t="s">
        <v>2644</v>
      </c>
      <c r="E1320" s="9">
        <v>23</v>
      </c>
      <c r="F1320" s="11">
        <v>45321</v>
      </c>
      <c r="G1320" s="8"/>
    </row>
    <row r="1321" spans="1:7" ht="18.75" customHeight="1" x14ac:dyDescent="0.2">
      <c r="A1321" s="8" t="s">
        <v>2645</v>
      </c>
      <c r="B1321" s="9">
        <v>44918</v>
      </c>
      <c r="C1321" s="9">
        <v>5902557369706</v>
      </c>
      <c r="D1321" s="10" t="s">
        <v>2646</v>
      </c>
      <c r="E1321" s="9">
        <v>23</v>
      </c>
      <c r="F1321" s="11">
        <v>45552</v>
      </c>
      <c r="G1321" s="8"/>
    </row>
    <row r="1322" spans="1:7" ht="18.75" customHeight="1" x14ac:dyDescent="0.2">
      <c r="A1322" s="8" t="s">
        <v>2647</v>
      </c>
      <c r="B1322" s="9">
        <v>52756</v>
      </c>
      <c r="C1322" s="8">
        <v>5902557397747</v>
      </c>
      <c r="D1322" s="10" t="s">
        <v>2648</v>
      </c>
      <c r="E1322" s="9">
        <v>30</v>
      </c>
      <c r="F1322" s="11">
        <v>45644</v>
      </c>
      <c r="G1322" s="8"/>
    </row>
    <row r="1323" spans="1:7" ht="18.75" customHeight="1" x14ac:dyDescent="0.2">
      <c r="A1323" s="8" t="s">
        <v>2649</v>
      </c>
      <c r="B1323" s="9">
        <v>13378</v>
      </c>
      <c r="C1323" s="9">
        <v>5902557329564</v>
      </c>
      <c r="D1323" s="10" t="s">
        <v>2650</v>
      </c>
      <c r="E1323" s="9">
        <v>235</v>
      </c>
      <c r="F1323" s="11">
        <v>45646</v>
      </c>
      <c r="G1323" s="8"/>
    </row>
    <row r="1324" spans="1:7" ht="18.75" customHeight="1" x14ac:dyDescent="0.2">
      <c r="A1324" s="8" t="s">
        <v>2651</v>
      </c>
      <c r="B1324" s="9">
        <v>26982</v>
      </c>
      <c r="C1324" s="9">
        <v>5902557335756</v>
      </c>
      <c r="D1324" s="10" t="s">
        <v>2652</v>
      </c>
      <c r="E1324" s="9">
        <v>47</v>
      </c>
      <c r="F1324" s="11">
        <v>45490</v>
      </c>
      <c r="G1324" s="8"/>
    </row>
    <row r="1325" spans="1:7" ht="18.75" customHeight="1" x14ac:dyDescent="0.2">
      <c r="A1325" s="8" t="s">
        <v>2653</v>
      </c>
      <c r="B1325" s="9">
        <v>30378</v>
      </c>
      <c r="C1325" s="9">
        <v>5902557342143</v>
      </c>
      <c r="D1325" s="10" t="s">
        <v>2654</v>
      </c>
      <c r="E1325" s="9">
        <v>235</v>
      </c>
      <c r="F1325" s="11">
        <v>45646</v>
      </c>
      <c r="G1325" s="8"/>
    </row>
    <row r="1326" spans="1:7" ht="18.75" customHeight="1" x14ac:dyDescent="0.2">
      <c r="A1326" s="8" t="s">
        <v>2655</v>
      </c>
      <c r="B1326" s="9">
        <v>50958</v>
      </c>
      <c r="C1326" s="9">
        <v>5902557392353</v>
      </c>
      <c r="D1326" s="10" t="s">
        <v>2656</v>
      </c>
      <c r="E1326" s="9">
        <v>117</v>
      </c>
      <c r="F1326" s="11">
        <v>45449</v>
      </c>
      <c r="G1326" s="8"/>
    </row>
    <row r="1327" spans="1:7" ht="18.75" customHeight="1" x14ac:dyDescent="0.2">
      <c r="A1327" s="8" t="s">
        <v>2657</v>
      </c>
      <c r="B1327" s="9"/>
      <c r="C1327" s="9">
        <v>5902557336111</v>
      </c>
      <c r="D1327" s="10" t="s">
        <v>2658</v>
      </c>
      <c r="E1327" s="9">
        <v>86</v>
      </c>
      <c r="F1327" s="11">
        <v>45265</v>
      </c>
      <c r="G1327" s="8"/>
    </row>
    <row r="1328" spans="1:7" ht="18.75" customHeight="1" x14ac:dyDescent="0.2">
      <c r="A1328" s="8" t="s">
        <v>2659</v>
      </c>
      <c r="B1328" s="9">
        <v>51663</v>
      </c>
      <c r="C1328" s="9">
        <v>5902557395736</v>
      </c>
      <c r="D1328" s="10" t="s">
        <v>2660</v>
      </c>
      <c r="E1328" s="9">
        <v>138</v>
      </c>
      <c r="F1328" s="11">
        <v>45341</v>
      </c>
      <c r="G1328" s="8"/>
    </row>
    <row r="1329" spans="1:7" ht="18.75" customHeight="1" x14ac:dyDescent="0.2">
      <c r="A1329" s="8" t="s">
        <v>2661</v>
      </c>
      <c r="B1329" s="9">
        <v>52421</v>
      </c>
      <c r="C1329" s="9">
        <v>5902557398263</v>
      </c>
      <c r="D1329" s="10" t="s">
        <v>2662</v>
      </c>
      <c r="E1329" s="9">
        <v>53</v>
      </c>
      <c r="F1329" s="11">
        <v>45341</v>
      </c>
      <c r="G1329" s="8"/>
    </row>
    <row r="1330" spans="1:7" ht="18.75" customHeight="1" x14ac:dyDescent="0.2">
      <c r="A1330" s="8" t="s">
        <v>2663</v>
      </c>
      <c r="B1330" s="9">
        <v>1701</v>
      </c>
      <c r="C1330" s="9">
        <v>5902557319077</v>
      </c>
      <c r="D1330" s="10" t="s">
        <v>2664</v>
      </c>
      <c r="E1330" s="9">
        <v>61</v>
      </c>
      <c r="F1330" s="11">
        <v>45265</v>
      </c>
      <c r="G1330" s="8"/>
    </row>
    <row r="1331" spans="1:7" ht="18.75" customHeight="1" x14ac:dyDescent="0.2">
      <c r="A1331" s="8" t="s">
        <v>2665</v>
      </c>
      <c r="B1331" s="9"/>
      <c r="C1331" s="9">
        <v>5902557314010</v>
      </c>
      <c r="D1331" s="10" t="s">
        <v>2666</v>
      </c>
      <c r="E1331" s="9">
        <v>51</v>
      </c>
      <c r="F1331" s="11">
        <v>45265</v>
      </c>
      <c r="G1331" s="8"/>
    </row>
    <row r="1332" spans="1:7" ht="18.75" customHeight="1" x14ac:dyDescent="0.2">
      <c r="A1332" s="8" t="s">
        <v>2667</v>
      </c>
      <c r="B1332" s="9">
        <v>7507</v>
      </c>
      <c r="C1332" s="9">
        <v>5902557314003</v>
      </c>
      <c r="D1332" s="10" t="s">
        <v>2668</v>
      </c>
      <c r="E1332" s="9">
        <v>50</v>
      </c>
      <c r="F1332" s="11">
        <v>45602</v>
      </c>
      <c r="G1332" s="8"/>
    </row>
    <row r="1333" spans="1:7" ht="18.75" customHeight="1" x14ac:dyDescent="0.2">
      <c r="A1333" s="8" t="s">
        <v>2669</v>
      </c>
      <c r="B1333" s="9">
        <v>37981</v>
      </c>
      <c r="C1333" s="9">
        <v>5902557350292</v>
      </c>
      <c r="D1333" s="10" t="s">
        <v>2670</v>
      </c>
      <c r="E1333" s="9">
        <v>62</v>
      </c>
      <c r="F1333" s="11">
        <v>45265</v>
      </c>
      <c r="G1333" s="8"/>
    </row>
    <row r="1334" spans="1:7" ht="18.75" customHeight="1" x14ac:dyDescent="0.2">
      <c r="A1334" s="8" t="s">
        <v>2671</v>
      </c>
      <c r="B1334" s="9">
        <v>48046</v>
      </c>
      <c r="C1334" s="9">
        <v>5902557376544</v>
      </c>
      <c r="D1334" s="10" t="s">
        <v>2672</v>
      </c>
      <c r="E1334" s="9">
        <v>81</v>
      </c>
      <c r="F1334" s="11">
        <v>45265</v>
      </c>
      <c r="G1334" s="8"/>
    </row>
    <row r="1335" spans="1:7" ht="18.75" customHeight="1" x14ac:dyDescent="0.2">
      <c r="A1335" s="8" t="s">
        <v>2673</v>
      </c>
      <c r="B1335" s="9">
        <v>49130</v>
      </c>
      <c r="C1335" s="9">
        <v>5902557377459</v>
      </c>
      <c r="D1335" s="10" t="s">
        <v>2674</v>
      </c>
      <c r="E1335" s="9">
        <v>77</v>
      </c>
      <c r="F1335" s="11">
        <v>45722</v>
      </c>
      <c r="G1335" s="8"/>
    </row>
    <row r="1336" spans="1:7" ht="18.75" customHeight="1" x14ac:dyDescent="0.2">
      <c r="A1336" s="8" t="s">
        <v>2675</v>
      </c>
      <c r="B1336" s="9">
        <v>52330</v>
      </c>
      <c r="C1336" s="9">
        <v>5902557396269</v>
      </c>
      <c r="D1336" s="10" t="s">
        <v>2676</v>
      </c>
      <c r="E1336" s="9">
        <v>47</v>
      </c>
      <c r="F1336" s="11">
        <v>45575</v>
      </c>
      <c r="G1336" s="8"/>
    </row>
    <row r="1337" spans="1:7" ht="18.75" customHeight="1" x14ac:dyDescent="0.2">
      <c r="A1337" s="8" t="s">
        <v>2677</v>
      </c>
      <c r="B1337" s="9">
        <v>52489</v>
      </c>
      <c r="C1337" s="9">
        <v>5902557396276</v>
      </c>
      <c r="D1337" s="10" t="s">
        <v>2678</v>
      </c>
      <c r="E1337" s="9">
        <v>69</v>
      </c>
      <c r="F1337" s="11">
        <v>45328</v>
      </c>
      <c r="G1337" s="8"/>
    </row>
    <row r="1338" spans="1:7" ht="18.75" customHeight="1" x14ac:dyDescent="0.2">
      <c r="A1338" s="8" t="s">
        <v>2679</v>
      </c>
      <c r="B1338" s="9">
        <v>52636</v>
      </c>
      <c r="C1338" s="9">
        <v>5902557396283</v>
      </c>
      <c r="D1338" s="10" t="s">
        <v>2680</v>
      </c>
      <c r="E1338" s="9">
        <v>60</v>
      </c>
      <c r="F1338" s="11">
        <v>45341</v>
      </c>
      <c r="G1338" s="8"/>
    </row>
    <row r="1339" spans="1:7" ht="18.75" customHeight="1" x14ac:dyDescent="0.2">
      <c r="A1339" s="8" t="s">
        <v>2681</v>
      </c>
      <c r="B1339" s="9">
        <v>42900</v>
      </c>
      <c r="C1339" s="9">
        <v>5902557365845</v>
      </c>
      <c r="D1339" s="10" t="s">
        <v>2682</v>
      </c>
      <c r="E1339" s="9">
        <v>74</v>
      </c>
      <c r="F1339" s="11">
        <v>45265</v>
      </c>
      <c r="G1339" s="8"/>
    </row>
    <row r="1340" spans="1:7" ht="18.75" customHeight="1" x14ac:dyDescent="0.2">
      <c r="A1340" s="8" t="s">
        <v>2683</v>
      </c>
      <c r="B1340" s="9">
        <v>52271</v>
      </c>
      <c r="C1340" s="9">
        <v>5902557396184</v>
      </c>
      <c r="D1340" s="10" t="s">
        <v>2684</v>
      </c>
      <c r="E1340" s="9">
        <v>90</v>
      </c>
      <c r="F1340" s="11">
        <v>45722</v>
      </c>
      <c r="G1340" s="8"/>
    </row>
    <row r="1341" spans="1:7" ht="18.75" customHeight="1" x14ac:dyDescent="0.2">
      <c r="A1341" s="8" t="s">
        <v>2685</v>
      </c>
      <c r="B1341" s="9"/>
      <c r="C1341" s="9">
        <v>5902557300402</v>
      </c>
      <c r="D1341" s="10" t="s">
        <v>2686</v>
      </c>
      <c r="E1341" s="9">
        <v>52</v>
      </c>
      <c r="F1341" s="11">
        <v>45265</v>
      </c>
      <c r="G1341" s="8"/>
    </row>
    <row r="1342" spans="1:7" ht="18.75" customHeight="1" x14ac:dyDescent="0.2">
      <c r="A1342" s="8" t="s">
        <v>2687</v>
      </c>
      <c r="B1342" s="9">
        <v>40657</v>
      </c>
      <c r="C1342" s="9">
        <v>5902557355518</v>
      </c>
      <c r="D1342" s="10" t="s">
        <v>2688</v>
      </c>
      <c r="E1342" s="9">
        <v>68</v>
      </c>
      <c r="F1342" s="11">
        <v>45566</v>
      </c>
      <c r="G1342" s="8"/>
    </row>
    <row r="1343" spans="1:7" ht="18.75" customHeight="1" x14ac:dyDescent="0.2">
      <c r="A1343" s="8" t="s">
        <v>2689</v>
      </c>
      <c r="B1343" s="9"/>
      <c r="C1343" s="9">
        <v>5902557355495</v>
      </c>
      <c r="D1343" s="10" t="s">
        <v>2690</v>
      </c>
      <c r="E1343" s="9">
        <v>42</v>
      </c>
      <c r="F1343" s="11">
        <v>45265</v>
      </c>
      <c r="G1343" s="8"/>
    </row>
    <row r="1344" spans="1:7" ht="18.75" customHeight="1" x14ac:dyDescent="0.2">
      <c r="A1344" s="8" t="s">
        <v>2691</v>
      </c>
      <c r="B1344" s="9"/>
      <c r="C1344" s="9">
        <v>5902557355488</v>
      </c>
      <c r="D1344" s="10" t="s">
        <v>2692</v>
      </c>
      <c r="E1344" s="9">
        <v>97</v>
      </c>
      <c r="F1344" s="11">
        <v>45265</v>
      </c>
      <c r="G1344" s="8"/>
    </row>
    <row r="1345" spans="1:7" ht="18.75" customHeight="1" x14ac:dyDescent="0.2">
      <c r="A1345" s="8" t="s">
        <v>2693</v>
      </c>
      <c r="B1345" s="9">
        <v>50657</v>
      </c>
      <c r="C1345" s="9">
        <v>5902557387342</v>
      </c>
      <c r="D1345" s="10" t="s">
        <v>2694</v>
      </c>
      <c r="E1345" s="9">
        <v>64</v>
      </c>
      <c r="F1345" s="11">
        <v>45265</v>
      </c>
      <c r="G1345" s="8"/>
    </row>
    <row r="1346" spans="1:7" ht="18.75" customHeight="1" x14ac:dyDescent="0.2">
      <c r="A1346" s="8" t="s">
        <v>2695</v>
      </c>
      <c r="B1346" s="9">
        <v>1634</v>
      </c>
      <c r="C1346" s="9">
        <v>5902557332489</v>
      </c>
      <c r="D1346" s="10" t="s">
        <v>2696</v>
      </c>
      <c r="E1346" s="9">
        <v>50</v>
      </c>
      <c r="F1346" s="11">
        <v>45467</v>
      </c>
      <c r="G1346" s="8"/>
    </row>
    <row r="1347" spans="1:7" ht="18.75" customHeight="1" x14ac:dyDescent="0.2">
      <c r="A1347" s="8" t="s">
        <v>2697</v>
      </c>
      <c r="B1347" s="9">
        <v>41725</v>
      </c>
      <c r="C1347" s="9">
        <v>5902557358397</v>
      </c>
      <c r="D1347" s="10" t="s">
        <v>2698</v>
      </c>
      <c r="E1347" s="9">
        <v>51</v>
      </c>
      <c r="F1347" s="11">
        <v>45265</v>
      </c>
      <c r="G1347" s="8"/>
    </row>
    <row r="1348" spans="1:7" ht="18.75" customHeight="1" x14ac:dyDescent="0.2">
      <c r="A1348" s="8" t="s">
        <v>2699</v>
      </c>
      <c r="B1348" s="9">
        <v>49861</v>
      </c>
      <c r="C1348" s="9">
        <v>5902557382910</v>
      </c>
      <c r="D1348" s="10" t="s">
        <v>2700</v>
      </c>
      <c r="E1348" s="9">
        <v>277</v>
      </c>
      <c r="F1348" s="11">
        <v>45265</v>
      </c>
      <c r="G1348" s="8"/>
    </row>
    <row r="1349" spans="1:7" ht="18.75" customHeight="1" x14ac:dyDescent="0.2">
      <c r="A1349" s="8" t="s">
        <v>2701</v>
      </c>
      <c r="B1349" s="9">
        <v>50288</v>
      </c>
      <c r="C1349" s="9">
        <v>5902557382903</v>
      </c>
      <c r="D1349" s="10" t="s">
        <v>2702</v>
      </c>
      <c r="E1349" s="9">
        <v>354</v>
      </c>
      <c r="F1349" s="11">
        <v>45602</v>
      </c>
      <c r="G1349" s="8"/>
    </row>
    <row r="1350" spans="1:7" ht="18.75" customHeight="1" x14ac:dyDescent="0.2">
      <c r="A1350" s="8" t="s">
        <v>2703</v>
      </c>
      <c r="B1350" s="9">
        <v>50291</v>
      </c>
      <c r="C1350" s="9">
        <v>5902557382927</v>
      </c>
      <c r="D1350" s="10" t="s">
        <v>2704</v>
      </c>
      <c r="E1350" s="9">
        <v>343</v>
      </c>
      <c r="F1350" s="11">
        <v>45602</v>
      </c>
      <c r="G1350" s="8"/>
    </row>
    <row r="1351" spans="1:7" ht="18.75" customHeight="1" x14ac:dyDescent="0.2">
      <c r="A1351" s="9" t="s">
        <v>2705</v>
      </c>
      <c r="B1351" s="9">
        <v>53973</v>
      </c>
      <c r="C1351" s="8">
        <v>5906366005800</v>
      </c>
      <c r="D1351" s="10" t="s">
        <v>2706</v>
      </c>
      <c r="E1351" s="9">
        <v>200</v>
      </c>
      <c r="F1351" s="11">
        <v>45581</v>
      </c>
      <c r="G1351" s="8"/>
    </row>
    <row r="1352" spans="1:7" ht="18.75" customHeight="1" x14ac:dyDescent="0.2">
      <c r="A1352" s="9" t="s">
        <v>2707</v>
      </c>
      <c r="B1352" s="9">
        <v>53985</v>
      </c>
      <c r="C1352" s="8">
        <v>5906366005831</v>
      </c>
      <c r="D1352" s="10" t="s">
        <v>2708</v>
      </c>
      <c r="E1352" s="9">
        <v>244</v>
      </c>
      <c r="F1352" s="11">
        <v>45581</v>
      </c>
      <c r="G1352" s="8"/>
    </row>
    <row r="1353" spans="1:7" ht="18.75" customHeight="1" x14ac:dyDescent="0.2">
      <c r="A1353" s="9" t="s">
        <v>2709</v>
      </c>
      <c r="B1353" s="9">
        <v>53987</v>
      </c>
      <c r="C1353" s="8">
        <v>5906366005817</v>
      </c>
      <c r="D1353" s="10" t="s">
        <v>2710</v>
      </c>
      <c r="E1353" s="9">
        <v>230</v>
      </c>
      <c r="F1353" s="11">
        <v>45581</v>
      </c>
      <c r="G1353" s="8"/>
    </row>
    <row r="1354" spans="1:7" ht="18.75" customHeight="1" x14ac:dyDescent="0.2">
      <c r="A1354" s="9" t="s">
        <v>2711</v>
      </c>
      <c r="B1354" s="9">
        <v>53986</v>
      </c>
      <c r="C1354" s="8">
        <v>5906366005824</v>
      </c>
      <c r="D1354" s="10" t="s">
        <v>2712</v>
      </c>
      <c r="E1354" s="9">
        <v>289</v>
      </c>
      <c r="F1354" s="11">
        <v>45581</v>
      </c>
      <c r="G1354" s="8"/>
    </row>
    <row r="1355" spans="1:7" ht="18.75" customHeight="1" x14ac:dyDescent="0.2">
      <c r="A1355" s="8" t="s">
        <v>2713</v>
      </c>
      <c r="B1355" s="9">
        <v>50129</v>
      </c>
      <c r="C1355" s="9">
        <v>5902557382989</v>
      </c>
      <c r="D1355" s="10" t="s">
        <v>2714</v>
      </c>
      <c r="E1355" s="9">
        <v>173</v>
      </c>
      <c r="F1355" s="11">
        <v>45265</v>
      </c>
      <c r="G1355" s="8"/>
    </row>
    <row r="1356" spans="1:7" ht="18.75" customHeight="1" x14ac:dyDescent="0.2">
      <c r="A1356" s="8" t="s">
        <v>2715</v>
      </c>
      <c r="B1356" s="9">
        <v>37967</v>
      </c>
      <c r="C1356" s="9">
        <v>5902557351527</v>
      </c>
      <c r="D1356" s="10" t="s">
        <v>2716</v>
      </c>
      <c r="E1356" s="9">
        <v>88</v>
      </c>
      <c r="F1356" s="11">
        <v>45265</v>
      </c>
      <c r="G1356" s="8"/>
    </row>
    <row r="1357" spans="1:7" ht="18.75" customHeight="1" x14ac:dyDescent="0.2">
      <c r="A1357" s="8" t="s">
        <v>2717</v>
      </c>
      <c r="B1357" s="9">
        <v>37536</v>
      </c>
      <c r="C1357" s="9">
        <v>5902557350001</v>
      </c>
      <c r="D1357" s="10" t="s">
        <v>2718</v>
      </c>
      <c r="E1357" s="9">
        <v>235</v>
      </c>
      <c r="F1357" s="11">
        <v>45646</v>
      </c>
      <c r="G1357" s="8"/>
    </row>
    <row r="1358" spans="1:7" ht="18.75" customHeight="1" x14ac:dyDescent="0.2">
      <c r="A1358" s="8" t="s">
        <v>2719</v>
      </c>
      <c r="B1358" s="9">
        <v>42276</v>
      </c>
      <c r="C1358" s="9">
        <v>5902557365074</v>
      </c>
      <c r="D1358" s="10" t="s">
        <v>2720</v>
      </c>
      <c r="E1358" s="9">
        <v>353</v>
      </c>
      <c r="F1358" s="11">
        <v>45646</v>
      </c>
      <c r="G1358" s="8"/>
    </row>
    <row r="1359" spans="1:7" ht="18.75" customHeight="1" x14ac:dyDescent="0.2">
      <c r="A1359" s="8" t="s">
        <v>2721</v>
      </c>
      <c r="B1359" s="9">
        <v>29270</v>
      </c>
      <c r="C1359" s="9">
        <v>5902557337439</v>
      </c>
      <c r="D1359" s="10" t="s">
        <v>2722</v>
      </c>
      <c r="E1359" s="9">
        <v>66</v>
      </c>
      <c r="F1359" s="11">
        <v>45575</v>
      </c>
      <c r="G1359" s="8"/>
    </row>
    <row r="1360" spans="1:7" ht="18.75" customHeight="1" x14ac:dyDescent="0.2">
      <c r="A1360" s="8" t="s">
        <v>2723</v>
      </c>
      <c r="B1360" s="9">
        <v>42481</v>
      </c>
      <c r="C1360" s="9">
        <v>5902557365647</v>
      </c>
      <c r="D1360" s="10" t="s">
        <v>2724</v>
      </c>
      <c r="E1360" s="8">
        <v>104</v>
      </c>
      <c r="F1360" s="11">
        <v>45730</v>
      </c>
      <c r="G1360" s="8"/>
    </row>
    <row r="1361" spans="1:7" ht="18.75" customHeight="1" x14ac:dyDescent="0.2">
      <c r="A1361" s="8" t="s">
        <v>2725</v>
      </c>
      <c r="B1361" s="9">
        <v>47695</v>
      </c>
      <c r="C1361" s="9">
        <v>5902557376223</v>
      </c>
      <c r="D1361" s="10" t="s">
        <v>2726</v>
      </c>
      <c r="E1361" s="9">
        <v>92</v>
      </c>
      <c r="F1361" s="11">
        <v>45293</v>
      </c>
      <c r="G1361" s="8"/>
    </row>
    <row r="1362" spans="1:7" ht="18.75" customHeight="1" x14ac:dyDescent="0.2">
      <c r="A1362" s="8" t="s">
        <v>2727</v>
      </c>
      <c r="B1362" s="9">
        <v>40260</v>
      </c>
      <c r="C1362" s="9">
        <v>5902557356881</v>
      </c>
      <c r="D1362" s="10" t="s">
        <v>2728</v>
      </c>
      <c r="E1362" s="9">
        <v>120</v>
      </c>
      <c r="F1362" s="11">
        <v>45265</v>
      </c>
      <c r="G1362" s="8"/>
    </row>
    <row r="1363" spans="1:7" ht="18.75" customHeight="1" x14ac:dyDescent="0.2">
      <c r="A1363" s="8" t="s">
        <v>2729</v>
      </c>
      <c r="B1363" s="9">
        <v>52665</v>
      </c>
      <c r="C1363" s="9">
        <v>5902557396191</v>
      </c>
      <c r="D1363" s="10" t="s">
        <v>2730</v>
      </c>
      <c r="E1363" s="9">
        <v>129</v>
      </c>
      <c r="F1363" s="11">
        <v>45551</v>
      </c>
      <c r="G1363" s="8"/>
    </row>
    <row r="1364" spans="1:7" ht="18.75" customHeight="1" x14ac:dyDescent="0.2">
      <c r="A1364" s="8" t="s">
        <v>2731</v>
      </c>
      <c r="B1364" s="9">
        <v>39720</v>
      </c>
      <c r="C1364" s="9">
        <v>5902557355570</v>
      </c>
      <c r="D1364" s="10" t="s">
        <v>2732</v>
      </c>
      <c r="E1364" s="9">
        <v>108</v>
      </c>
      <c r="F1364" s="11">
        <v>45265</v>
      </c>
      <c r="G1364" s="8"/>
    </row>
    <row r="1365" spans="1:7" ht="18.75" customHeight="1" x14ac:dyDescent="0.2">
      <c r="A1365" s="8" t="s">
        <v>2733</v>
      </c>
      <c r="B1365" s="9">
        <v>54133</v>
      </c>
      <c r="C1365" s="8">
        <v>5906366006340</v>
      </c>
      <c r="D1365" s="10" t="s">
        <v>2734</v>
      </c>
      <c r="E1365" s="9">
        <v>45</v>
      </c>
      <c r="F1365" s="11">
        <v>45618</v>
      </c>
      <c r="G1365" s="8"/>
    </row>
    <row r="1366" spans="1:7" ht="18.75" customHeight="1" x14ac:dyDescent="0.2">
      <c r="A1366" s="8" t="s">
        <v>2735</v>
      </c>
      <c r="B1366" s="9">
        <v>53647</v>
      </c>
      <c r="C1366" s="9">
        <v>5906366002632</v>
      </c>
      <c r="D1366" s="10" t="s">
        <v>2736</v>
      </c>
      <c r="E1366" s="9">
        <v>63</v>
      </c>
      <c r="F1366" s="11">
        <v>45495</v>
      </c>
      <c r="G1366" s="8"/>
    </row>
    <row r="1367" spans="1:7" ht="18.75" customHeight="1" x14ac:dyDescent="0.2">
      <c r="A1367" s="8" t="s">
        <v>2737</v>
      </c>
      <c r="B1367" s="9">
        <v>31614</v>
      </c>
      <c r="C1367" s="9">
        <v>5902557340415</v>
      </c>
      <c r="D1367" s="10" t="s">
        <v>2738</v>
      </c>
      <c r="E1367" s="9">
        <v>69</v>
      </c>
      <c r="F1367" s="11">
        <v>45265</v>
      </c>
      <c r="G1367" s="8"/>
    </row>
    <row r="1368" spans="1:7" ht="18.75" customHeight="1" x14ac:dyDescent="0.2">
      <c r="A1368" s="8" t="s">
        <v>2739</v>
      </c>
      <c r="B1368" s="9">
        <v>54290</v>
      </c>
      <c r="C1368" s="8">
        <v>5906366006418</v>
      </c>
      <c r="D1368" s="10" t="s">
        <v>2740</v>
      </c>
      <c r="E1368" s="9">
        <v>94</v>
      </c>
      <c r="F1368" s="11">
        <v>45644</v>
      </c>
      <c r="G1368" s="8"/>
    </row>
    <row r="1369" spans="1:7" ht="18.75" customHeight="1" x14ac:dyDescent="0.2">
      <c r="A1369" s="9" t="s">
        <v>2741</v>
      </c>
      <c r="B1369" s="9">
        <v>54000</v>
      </c>
      <c r="C1369" s="8">
        <v>5906366005190</v>
      </c>
      <c r="D1369" s="10" t="s">
        <v>2742</v>
      </c>
      <c r="E1369" s="9">
        <v>127</v>
      </c>
      <c r="F1369" s="11">
        <v>45579</v>
      </c>
      <c r="G1369" s="8"/>
    </row>
    <row r="1370" spans="1:7" ht="18.75" customHeight="1" x14ac:dyDescent="0.2">
      <c r="A1370" s="8" t="s">
        <v>2743</v>
      </c>
      <c r="B1370" s="9">
        <v>54343</v>
      </c>
      <c r="C1370" s="8">
        <v>5906366006432</v>
      </c>
      <c r="D1370" s="10" t="s">
        <v>2744</v>
      </c>
      <c r="E1370" s="9">
        <v>94</v>
      </c>
      <c r="F1370" s="11">
        <v>45644</v>
      </c>
      <c r="G1370" s="8"/>
    </row>
    <row r="1371" spans="1:7" ht="18.75" customHeight="1" x14ac:dyDescent="0.2">
      <c r="A1371" s="8" t="s">
        <v>2745</v>
      </c>
      <c r="B1371" s="9">
        <v>54135</v>
      </c>
      <c r="C1371" s="8">
        <v>5906366006425</v>
      </c>
      <c r="D1371" s="10" t="s">
        <v>2746</v>
      </c>
      <c r="E1371" s="9">
        <v>91</v>
      </c>
      <c r="F1371" s="11">
        <v>45618</v>
      </c>
      <c r="G1371" s="8"/>
    </row>
    <row r="1372" spans="1:7" ht="18.75" customHeight="1" x14ac:dyDescent="0.2">
      <c r="A1372" s="8" t="s">
        <v>2747</v>
      </c>
      <c r="B1372" s="9">
        <v>49132</v>
      </c>
      <c r="C1372" s="9">
        <v>5902557377466</v>
      </c>
      <c r="D1372" s="10" t="s">
        <v>2748</v>
      </c>
      <c r="E1372" s="9">
        <v>97</v>
      </c>
      <c r="F1372" s="11">
        <v>45722</v>
      </c>
      <c r="G1372" s="8"/>
    </row>
    <row r="1373" spans="1:7" ht="18.75" customHeight="1" x14ac:dyDescent="0.2">
      <c r="A1373" s="8" t="s">
        <v>2749</v>
      </c>
      <c r="B1373" s="9">
        <v>54134</v>
      </c>
      <c r="C1373" s="8">
        <v>5906366005183</v>
      </c>
      <c r="D1373" s="10" t="s">
        <v>2750</v>
      </c>
      <c r="E1373" s="9">
        <v>89</v>
      </c>
      <c r="F1373" s="11">
        <v>45618</v>
      </c>
      <c r="G1373" s="8"/>
    </row>
    <row r="1374" spans="1:7" ht="18.75" customHeight="1" x14ac:dyDescent="0.2">
      <c r="A1374" s="8" t="s">
        <v>2751</v>
      </c>
      <c r="B1374" s="9">
        <v>44673</v>
      </c>
      <c r="C1374" s="9">
        <v>5902557370122</v>
      </c>
      <c r="D1374" s="10" t="s">
        <v>2752</v>
      </c>
      <c r="E1374" s="8">
        <v>106</v>
      </c>
      <c r="F1374" s="11">
        <v>45730</v>
      </c>
      <c r="G1374" s="8"/>
    </row>
    <row r="1375" spans="1:7" ht="18.75" customHeight="1" x14ac:dyDescent="0.2">
      <c r="A1375" s="8" t="s">
        <v>2753</v>
      </c>
      <c r="B1375" s="9"/>
      <c r="C1375" s="9">
        <v>5902557340422</v>
      </c>
      <c r="D1375" s="10" t="s">
        <v>2754</v>
      </c>
      <c r="E1375" s="9">
        <v>76</v>
      </c>
      <c r="F1375" s="11">
        <v>45265</v>
      </c>
      <c r="G1375" s="8"/>
    </row>
    <row r="1376" spans="1:7" ht="18.75" customHeight="1" x14ac:dyDescent="0.2">
      <c r="A1376" s="8" t="s">
        <v>2755</v>
      </c>
      <c r="B1376" s="9">
        <v>29273</v>
      </c>
      <c r="C1376" s="9">
        <v>5902557336845</v>
      </c>
      <c r="D1376" s="10" t="s">
        <v>2756</v>
      </c>
      <c r="E1376" s="9">
        <v>76</v>
      </c>
      <c r="F1376" s="11">
        <v>45511</v>
      </c>
      <c r="G1376" s="8"/>
    </row>
    <row r="1377" spans="1:7" ht="18.75" customHeight="1" x14ac:dyDescent="0.2">
      <c r="A1377" s="8" t="s">
        <v>2757</v>
      </c>
      <c r="B1377" s="9">
        <v>31477</v>
      </c>
      <c r="C1377" s="9">
        <v>5902557336852</v>
      </c>
      <c r="D1377" s="10" t="s">
        <v>2758</v>
      </c>
      <c r="E1377" s="9">
        <v>122</v>
      </c>
      <c r="F1377" s="11">
        <v>45265</v>
      </c>
      <c r="G1377" s="8"/>
    </row>
    <row r="1378" spans="1:7" ht="18.75" customHeight="1" x14ac:dyDescent="0.2">
      <c r="A1378" s="8" t="s">
        <v>2759</v>
      </c>
      <c r="B1378" s="9"/>
      <c r="C1378" s="9">
        <v>5902557336869</v>
      </c>
      <c r="D1378" s="10" t="s">
        <v>2760</v>
      </c>
      <c r="E1378" s="9">
        <v>96</v>
      </c>
      <c r="F1378" s="11">
        <v>45265</v>
      </c>
      <c r="G1378" s="8"/>
    </row>
    <row r="1379" spans="1:7" ht="18.75" customHeight="1" x14ac:dyDescent="0.2">
      <c r="A1379" s="8" t="s">
        <v>2761</v>
      </c>
      <c r="B1379" s="9"/>
      <c r="C1379" s="9">
        <v>5902557322541</v>
      </c>
      <c r="D1379" s="10" t="s">
        <v>2762</v>
      </c>
      <c r="E1379" s="9">
        <v>42</v>
      </c>
      <c r="F1379" s="11">
        <v>45265</v>
      </c>
      <c r="G1379" s="8"/>
    </row>
    <row r="1380" spans="1:7" ht="18.75" customHeight="1" x14ac:dyDescent="0.2">
      <c r="A1380" s="8" t="s">
        <v>2763</v>
      </c>
      <c r="B1380" s="9">
        <v>52666</v>
      </c>
      <c r="C1380" s="9">
        <v>5902557396245</v>
      </c>
      <c r="D1380" s="10" t="s">
        <v>2764</v>
      </c>
      <c r="E1380" s="9">
        <v>92</v>
      </c>
      <c r="F1380" s="11">
        <v>45376</v>
      </c>
      <c r="G1380" s="8"/>
    </row>
    <row r="1381" spans="1:7" ht="18.75" customHeight="1" x14ac:dyDescent="0.2">
      <c r="A1381" s="8" t="s">
        <v>2765</v>
      </c>
      <c r="B1381" s="9">
        <v>7509</v>
      </c>
      <c r="C1381" s="9">
        <v>5902557327706</v>
      </c>
      <c r="D1381" s="10" t="s">
        <v>2766</v>
      </c>
      <c r="E1381" s="9">
        <v>52</v>
      </c>
      <c r="F1381" s="11">
        <v>45602</v>
      </c>
      <c r="G1381" s="8"/>
    </row>
    <row r="1382" spans="1:7" ht="18.75" customHeight="1" x14ac:dyDescent="0.2">
      <c r="A1382" s="8" t="s">
        <v>2767</v>
      </c>
      <c r="B1382" s="9">
        <v>39774</v>
      </c>
      <c r="C1382" s="9">
        <v>5902557355792</v>
      </c>
      <c r="D1382" s="10" t="s">
        <v>2768</v>
      </c>
      <c r="E1382" s="9">
        <v>82</v>
      </c>
      <c r="F1382" s="11">
        <v>45644</v>
      </c>
      <c r="G1382" s="8"/>
    </row>
    <row r="1383" spans="1:7" ht="18.75" customHeight="1" x14ac:dyDescent="0.2">
      <c r="A1383" s="15" t="s">
        <v>2769</v>
      </c>
      <c r="B1383" s="9">
        <v>52443</v>
      </c>
      <c r="C1383" s="9">
        <v>5902557396672</v>
      </c>
      <c r="D1383" s="10" t="s">
        <v>2770</v>
      </c>
      <c r="E1383" s="9">
        <v>69</v>
      </c>
      <c r="F1383" s="11">
        <v>45314</v>
      </c>
      <c r="G1383" s="8"/>
    </row>
    <row r="1384" spans="1:7" ht="18.75" customHeight="1" x14ac:dyDescent="0.2">
      <c r="A1384" s="8" t="s">
        <v>2771</v>
      </c>
      <c r="B1384" s="9">
        <v>29936</v>
      </c>
      <c r="C1384" s="9">
        <v>5902557336807</v>
      </c>
      <c r="D1384" s="10" t="s">
        <v>2772</v>
      </c>
      <c r="E1384" s="9">
        <v>104</v>
      </c>
      <c r="F1384" s="11">
        <v>45265</v>
      </c>
      <c r="G1384" s="8"/>
    </row>
    <row r="1385" spans="1:7" ht="18.75" customHeight="1" x14ac:dyDescent="0.2">
      <c r="A1385" s="8" t="s">
        <v>2773</v>
      </c>
      <c r="B1385" s="9">
        <v>42989</v>
      </c>
      <c r="C1385" s="9">
        <v>5902557365807</v>
      </c>
      <c r="D1385" s="10" t="s">
        <v>2774</v>
      </c>
      <c r="E1385" s="9">
        <v>84</v>
      </c>
      <c r="F1385" s="11">
        <v>45575</v>
      </c>
      <c r="G1385" s="8"/>
    </row>
    <row r="1386" spans="1:7" ht="18.75" customHeight="1" x14ac:dyDescent="0.2">
      <c r="A1386" s="8" t="s">
        <v>2775</v>
      </c>
      <c r="B1386" s="9">
        <v>42988</v>
      </c>
      <c r="C1386" s="9">
        <v>5902557365814</v>
      </c>
      <c r="D1386" s="10" t="s">
        <v>2776</v>
      </c>
      <c r="E1386" s="9">
        <v>84</v>
      </c>
      <c r="F1386" s="11">
        <v>45575</v>
      </c>
      <c r="G1386" s="8"/>
    </row>
    <row r="1387" spans="1:7" ht="18.75" customHeight="1" x14ac:dyDescent="0.2">
      <c r="A1387" s="8" t="s">
        <v>2777</v>
      </c>
      <c r="B1387" s="9">
        <v>30434</v>
      </c>
      <c r="C1387" s="9">
        <v>5902557336814</v>
      </c>
      <c r="D1387" s="10" t="s">
        <v>2778</v>
      </c>
      <c r="E1387" s="9">
        <v>92</v>
      </c>
      <c r="F1387" s="11">
        <v>45314</v>
      </c>
      <c r="G1387" s="8"/>
    </row>
    <row r="1388" spans="1:7" ht="18.75" customHeight="1" x14ac:dyDescent="0.2">
      <c r="A1388" s="8" t="s">
        <v>2779</v>
      </c>
      <c r="B1388" s="9"/>
      <c r="C1388" s="9">
        <v>5902557356829</v>
      </c>
      <c r="D1388" s="10" t="s">
        <v>2780</v>
      </c>
      <c r="E1388" s="9">
        <v>129</v>
      </c>
      <c r="F1388" s="11">
        <v>45265</v>
      </c>
      <c r="G1388" s="8"/>
    </row>
    <row r="1389" spans="1:7" ht="18.75" customHeight="1" x14ac:dyDescent="0.2">
      <c r="A1389" s="8" t="s">
        <v>2781</v>
      </c>
      <c r="B1389" s="9">
        <v>50117</v>
      </c>
      <c r="C1389" s="9">
        <v>5902557375172</v>
      </c>
      <c r="D1389" s="10" t="s">
        <v>2782</v>
      </c>
      <c r="E1389" s="9">
        <v>92</v>
      </c>
      <c r="F1389" s="11">
        <v>45265</v>
      </c>
      <c r="G1389" s="8"/>
    </row>
    <row r="1390" spans="1:7" ht="18.75" customHeight="1" x14ac:dyDescent="0.2">
      <c r="A1390" s="8" t="s">
        <v>2783</v>
      </c>
      <c r="B1390" s="9">
        <v>41601</v>
      </c>
      <c r="C1390" s="9">
        <v>5902557356812</v>
      </c>
      <c r="D1390" s="10" t="s">
        <v>2784</v>
      </c>
      <c r="E1390" s="9">
        <v>91</v>
      </c>
      <c r="F1390" s="11">
        <v>45310</v>
      </c>
      <c r="G1390" s="8"/>
    </row>
    <row r="1391" spans="1:7" ht="18.75" customHeight="1" x14ac:dyDescent="0.2">
      <c r="A1391" s="8" t="s">
        <v>2785</v>
      </c>
      <c r="B1391" s="9">
        <v>37543</v>
      </c>
      <c r="C1391" s="9">
        <v>5902557349838</v>
      </c>
      <c r="D1391" s="10" t="s">
        <v>2786</v>
      </c>
      <c r="E1391" s="9">
        <v>94</v>
      </c>
      <c r="F1391" s="11">
        <v>45495</v>
      </c>
      <c r="G1391" s="8"/>
    </row>
    <row r="1392" spans="1:7" ht="18.75" customHeight="1" x14ac:dyDescent="0.2">
      <c r="A1392" s="8" t="s">
        <v>2787</v>
      </c>
      <c r="B1392" s="9">
        <v>39775</v>
      </c>
      <c r="C1392" s="9">
        <v>5902557355778</v>
      </c>
      <c r="D1392" s="10" t="s">
        <v>2788</v>
      </c>
      <c r="E1392" s="9">
        <v>82</v>
      </c>
      <c r="F1392" s="11">
        <v>45265</v>
      </c>
      <c r="G1392" s="8"/>
    </row>
    <row r="1393" spans="1:7" ht="18.75" customHeight="1" x14ac:dyDescent="0.2">
      <c r="A1393" s="8" t="s">
        <v>2789</v>
      </c>
      <c r="B1393" s="9">
        <v>54344</v>
      </c>
      <c r="C1393" s="8">
        <v>5906366007132</v>
      </c>
      <c r="D1393" s="10" t="s">
        <v>2790</v>
      </c>
      <c r="E1393" s="9">
        <v>113</v>
      </c>
      <c r="F1393" s="11">
        <v>45687</v>
      </c>
      <c r="G1393" s="8"/>
    </row>
    <row r="1394" spans="1:7" ht="18.75" customHeight="1" x14ac:dyDescent="0.2">
      <c r="A1394" s="8" t="s">
        <v>2791</v>
      </c>
      <c r="B1394" s="9">
        <v>44366</v>
      </c>
      <c r="C1394" s="9">
        <v>5902557367023</v>
      </c>
      <c r="D1394" s="10" t="s">
        <v>2792</v>
      </c>
      <c r="E1394" s="9">
        <v>96</v>
      </c>
      <c r="F1394" s="11">
        <v>45265</v>
      </c>
      <c r="G1394" s="8"/>
    </row>
    <row r="1395" spans="1:7" ht="18.75" customHeight="1" x14ac:dyDescent="0.2">
      <c r="A1395" s="8" t="s">
        <v>2793</v>
      </c>
      <c r="B1395" s="9">
        <v>51047</v>
      </c>
      <c r="C1395" s="9">
        <v>5902557387519</v>
      </c>
      <c r="D1395" s="10" t="s">
        <v>2794</v>
      </c>
      <c r="E1395" s="9">
        <v>110</v>
      </c>
      <c r="F1395" s="11">
        <v>45623</v>
      </c>
      <c r="G1395" s="8"/>
    </row>
    <row r="1396" spans="1:7" ht="18.75" customHeight="1" x14ac:dyDescent="0.2">
      <c r="A1396" s="8" t="s">
        <v>2795</v>
      </c>
      <c r="B1396" s="9">
        <v>51368</v>
      </c>
      <c r="C1396" s="9">
        <v>5902557394234</v>
      </c>
      <c r="D1396" s="10" t="s">
        <v>2796</v>
      </c>
      <c r="E1396" s="9">
        <v>106</v>
      </c>
      <c r="F1396" s="11">
        <v>45722</v>
      </c>
      <c r="G1396" s="8"/>
    </row>
    <row r="1397" spans="1:7" ht="18.75" customHeight="1" x14ac:dyDescent="0.2">
      <c r="A1397" s="8" t="s">
        <v>2797</v>
      </c>
      <c r="B1397" s="9">
        <v>37542</v>
      </c>
      <c r="C1397" s="9">
        <v>5902557349821</v>
      </c>
      <c r="D1397" s="10" t="s">
        <v>2798</v>
      </c>
      <c r="E1397" s="9">
        <v>82</v>
      </c>
      <c r="F1397" s="11">
        <v>45618</v>
      </c>
      <c r="G1397" s="8"/>
    </row>
    <row r="1398" spans="1:7" ht="18.75" customHeight="1" x14ac:dyDescent="0.2">
      <c r="A1398" s="8" t="s">
        <v>2799</v>
      </c>
      <c r="B1398" s="9">
        <v>29947</v>
      </c>
      <c r="C1398" s="9">
        <v>5902557336838</v>
      </c>
      <c r="D1398" s="10" t="s">
        <v>2800</v>
      </c>
      <c r="E1398" s="9">
        <v>82</v>
      </c>
      <c r="F1398" s="11">
        <v>45265</v>
      </c>
      <c r="G1398" s="8"/>
    </row>
    <row r="1399" spans="1:7" ht="18.75" customHeight="1" x14ac:dyDescent="0.2">
      <c r="A1399" s="8" t="s">
        <v>2801</v>
      </c>
      <c r="B1399" s="9">
        <v>39851</v>
      </c>
      <c r="C1399" s="9">
        <v>5902557356614</v>
      </c>
      <c r="D1399" s="10" t="s">
        <v>2802</v>
      </c>
      <c r="E1399" s="9">
        <v>84</v>
      </c>
      <c r="F1399" s="11">
        <v>45495</v>
      </c>
      <c r="G1399" s="8"/>
    </row>
    <row r="1400" spans="1:7" ht="18.75" customHeight="1" x14ac:dyDescent="0.2">
      <c r="A1400" s="8" t="s">
        <v>2803</v>
      </c>
      <c r="B1400" s="9">
        <v>43183</v>
      </c>
      <c r="C1400" s="9">
        <v>5902557366910</v>
      </c>
      <c r="D1400" s="10" t="s">
        <v>2804</v>
      </c>
      <c r="E1400" s="9">
        <v>47</v>
      </c>
      <c r="F1400" s="11">
        <v>45548</v>
      </c>
      <c r="G1400" s="8"/>
    </row>
    <row r="1401" spans="1:7" ht="18.75" customHeight="1" x14ac:dyDescent="0.2">
      <c r="A1401" s="8" t="s">
        <v>2805</v>
      </c>
      <c r="B1401" s="9">
        <v>49851</v>
      </c>
      <c r="C1401" s="9">
        <v>5902557381265</v>
      </c>
      <c r="D1401" s="10" t="s">
        <v>2806</v>
      </c>
      <c r="E1401" s="9">
        <v>62</v>
      </c>
      <c r="F1401" s="11">
        <v>45265</v>
      </c>
      <c r="G1401" s="8"/>
    </row>
    <row r="1402" spans="1:7" ht="18.75" customHeight="1" x14ac:dyDescent="0.2">
      <c r="A1402" s="8" t="s">
        <v>2807</v>
      </c>
      <c r="B1402" s="9">
        <v>49376</v>
      </c>
      <c r="C1402" s="9">
        <v>5902557376834</v>
      </c>
      <c r="D1402" s="10" t="s">
        <v>2808</v>
      </c>
      <c r="E1402" s="9">
        <v>56</v>
      </c>
      <c r="F1402" s="11">
        <v>45265</v>
      </c>
      <c r="G1402" s="8"/>
    </row>
    <row r="1403" spans="1:7" ht="18.75" customHeight="1" x14ac:dyDescent="0.2">
      <c r="A1403" s="8" t="s">
        <v>2809</v>
      </c>
      <c r="B1403" s="9">
        <v>52356</v>
      </c>
      <c r="C1403" s="9">
        <v>5902557396474</v>
      </c>
      <c r="D1403" s="10" t="s">
        <v>2810</v>
      </c>
      <c r="E1403" s="9">
        <v>66</v>
      </c>
      <c r="F1403" s="11">
        <v>45533</v>
      </c>
      <c r="G1403" s="8"/>
    </row>
    <row r="1404" spans="1:7" ht="18.75" customHeight="1" x14ac:dyDescent="0.2">
      <c r="A1404" s="8" t="s">
        <v>2811</v>
      </c>
      <c r="B1404" s="9"/>
      <c r="C1404" s="9">
        <v>5902557363933</v>
      </c>
      <c r="D1404" s="10" t="s">
        <v>2812</v>
      </c>
      <c r="E1404" s="9">
        <v>90</v>
      </c>
      <c r="F1404" s="11">
        <v>45265</v>
      </c>
      <c r="G1404" s="8"/>
    </row>
    <row r="1405" spans="1:7" ht="18.75" customHeight="1" x14ac:dyDescent="0.2">
      <c r="A1405" s="8" t="s">
        <v>2813</v>
      </c>
      <c r="B1405" s="9">
        <v>52487</v>
      </c>
      <c r="C1405" s="9">
        <v>5902557396689</v>
      </c>
      <c r="D1405" s="10" t="s">
        <v>2814</v>
      </c>
      <c r="E1405" s="9">
        <v>84</v>
      </c>
      <c r="F1405" s="11">
        <v>45575</v>
      </c>
      <c r="G1405" s="8"/>
    </row>
    <row r="1406" spans="1:7" ht="18.75" customHeight="1" x14ac:dyDescent="0.2">
      <c r="A1406" s="8" t="s">
        <v>2815</v>
      </c>
      <c r="B1406" s="9">
        <v>42873</v>
      </c>
      <c r="C1406" s="9">
        <v>5902557365067</v>
      </c>
      <c r="D1406" s="10" t="s">
        <v>2816</v>
      </c>
      <c r="E1406" s="9">
        <v>92</v>
      </c>
      <c r="F1406" s="11">
        <v>45265</v>
      </c>
      <c r="G1406" s="8"/>
    </row>
    <row r="1407" spans="1:7" ht="18.75" customHeight="1" x14ac:dyDescent="0.2">
      <c r="A1407" s="8" t="s">
        <v>2817</v>
      </c>
      <c r="B1407" s="9">
        <v>44363</v>
      </c>
      <c r="C1407" s="9">
        <v>5902557367047</v>
      </c>
      <c r="D1407" s="10" t="s">
        <v>2818</v>
      </c>
      <c r="E1407" s="9">
        <v>96</v>
      </c>
      <c r="F1407" s="11">
        <v>45265</v>
      </c>
      <c r="G1407" s="8"/>
    </row>
    <row r="1408" spans="1:7" ht="18.75" customHeight="1" x14ac:dyDescent="0.2">
      <c r="A1408" s="8" t="s">
        <v>2819</v>
      </c>
      <c r="B1408" s="9">
        <v>42995</v>
      </c>
      <c r="C1408" s="9">
        <v>5902557366620</v>
      </c>
      <c r="D1408" s="10" t="s">
        <v>2820</v>
      </c>
      <c r="E1408" s="9">
        <v>85</v>
      </c>
      <c r="F1408" s="11">
        <v>45265</v>
      </c>
      <c r="G1408" s="8"/>
    </row>
    <row r="1409" spans="1:7" ht="18.75" customHeight="1" x14ac:dyDescent="0.2">
      <c r="A1409" s="8" t="s">
        <v>2821</v>
      </c>
      <c r="B1409" s="9">
        <v>52712</v>
      </c>
      <c r="C1409" s="9">
        <v>5902557396221</v>
      </c>
      <c r="D1409" s="10" t="s">
        <v>2822</v>
      </c>
      <c r="E1409" s="9">
        <v>116</v>
      </c>
      <c r="F1409" s="11">
        <v>45376</v>
      </c>
      <c r="G1409" s="8"/>
    </row>
    <row r="1410" spans="1:7" ht="18.75" customHeight="1" x14ac:dyDescent="0.2">
      <c r="A1410" s="8" t="s">
        <v>2823</v>
      </c>
      <c r="B1410" s="9"/>
      <c r="C1410" s="9">
        <v>5902557340538</v>
      </c>
      <c r="D1410" s="10" t="s">
        <v>2822</v>
      </c>
      <c r="E1410" s="9">
        <v>56</v>
      </c>
      <c r="F1410" s="11">
        <v>45265</v>
      </c>
      <c r="G1410" s="8"/>
    </row>
    <row r="1411" spans="1:7" ht="18.75" customHeight="1" x14ac:dyDescent="0.2">
      <c r="A1411" s="8" t="s">
        <v>2824</v>
      </c>
      <c r="B1411" s="9"/>
      <c r="C1411" s="9">
        <v>5902557340545</v>
      </c>
      <c r="D1411" s="10" t="s">
        <v>2825</v>
      </c>
      <c r="E1411" s="9">
        <v>89</v>
      </c>
      <c r="F1411" s="11">
        <v>45265</v>
      </c>
      <c r="G1411" s="8"/>
    </row>
    <row r="1412" spans="1:7" ht="18.75" customHeight="1" x14ac:dyDescent="0.2">
      <c r="A1412" s="8" t="s">
        <v>2826</v>
      </c>
      <c r="B1412" s="9">
        <v>44654</v>
      </c>
      <c r="C1412" s="9">
        <v>5902557369713</v>
      </c>
      <c r="D1412" s="10" t="s">
        <v>2827</v>
      </c>
      <c r="E1412" s="9">
        <v>64</v>
      </c>
      <c r="F1412" s="11">
        <v>45265</v>
      </c>
      <c r="G1412" s="8"/>
    </row>
    <row r="1413" spans="1:7" ht="18.75" customHeight="1" x14ac:dyDescent="0.2">
      <c r="A1413" s="8" t="s">
        <v>2828</v>
      </c>
      <c r="B1413" s="9">
        <v>44371</v>
      </c>
      <c r="C1413" s="9">
        <v>5902557369720</v>
      </c>
      <c r="D1413" s="10" t="s">
        <v>2829</v>
      </c>
      <c r="E1413" s="9">
        <v>87</v>
      </c>
      <c r="F1413" s="11">
        <v>45265</v>
      </c>
      <c r="G1413" s="8"/>
    </row>
    <row r="1414" spans="1:7" ht="18.75" customHeight="1" x14ac:dyDescent="0.2">
      <c r="A1414" s="8" t="s">
        <v>2830</v>
      </c>
      <c r="B1414" s="9">
        <v>53516</v>
      </c>
      <c r="C1414" s="9">
        <v>5902557329731</v>
      </c>
      <c r="D1414" s="10" t="s">
        <v>2831</v>
      </c>
      <c r="E1414" s="9">
        <v>106</v>
      </c>
      <c r="F1414" s="11">
        <v>45449</v>
      </c>
      <c r="G1414" s="8"/>
    </row>
    <row r="1415" spans="1:7" ht="18.75" customHeight="1" x14ac:dyDescent="0.2">
      <c r="A1415" s="8" t="s">
        <v>2832</v>
      </c>
      <c r="B1415" s="9">
        <v>37477</v>
      </c>
      <c r="C1415" s="9">
        <v>5902557349883</v>
      </c>
      <c r="D1415" s="10" t="s">
        <v>2833</v>
      </c>
      <c r="E1415" s="9">
        <v>231</v>
      </c>
      <c r="F1415" s="11">
        <v>45265</v>
      </c>
      <c r="G1415" s="8"/>
    </row>
    <row r="1416" spans="1:7" ht="18.75" customHeight="1" x14ac:dyDescent="0.2">
      <c r="A1416" s="8" t="s">
        <v>2834</v>
      </c>
      <c r="B1416" s="9">
        <v>37766</v>
      </c>
      <c r="C1416" s="9">
        <v>5902557349890</v>
      </c>
      <c r="D1416" s="10" t="s">
        <v>2835</v>
      </c>
      <c r="E1416" s="9">
        <v>327</v>
      </c>
      <c r="F1416" s="11">
        <v>45579</v>
      </c>
      <c r="G1416" s="8"/>
    </row>
    <row r="1417" spans="1:7" ht="18.75" customHeight="1" x14ac:dyDescent="0.2">
      <c r="A1417" s="8" t="s">
        <v>2836</v>
      </c>
      <c r="B1417" s="9">
        <v>39849</v>
      </c>
      <c r="C1417" s="9">
        <v>5902557356270</v>
      </c>
      <c r="D1417" s="10" t="s">
        <v>2837</v>
      </c>
      <c r="E1417" s="9">
        <v>376</v>
      </c>
      <c r="F1417" s="11">
        <v>45568</v>
      </c>
      <c r="G1417" s="8"/>
    </row>
    <row r="1418" spans="1:7" ht="18.75" customHeight="1" x14ac:dyDescent="0.2">
      <c r="A1418" s="8" t="s">
        <v>2838</v>
      </c>
      <c r="B1418" s="9">
        <v>39723</v>
      </c>
      <c r="C1418" s="9">
        <v>5902557356287</v>
      </c>
      <c r="D1418" s="10" t="s">
        <v>2839</v>
      </c>
      <c r="E1418" s="9">
        <v>353</v>
      </c>
      <c r="F1418" s="11">
        <v>45667</v>
      </c>
      <c r="G1418" s="8"/>
    </row>
    <row r="1419" spans="1:7" ht="18.75" customHeight="1" x14ac:dyDescent="0.2">
      <c r="A1419" s="8" t="s">
        <v>2840</v>
      </c>
      <c r="B1419" s="9">
        <v>39850</v>
      </c>
      <c r="C1419" s="9">
        <v>5902557355532</v>
      </c>
      <c r="D1419" s="10" t="s">
        <v>2841</v>
      </c>
      <c r="E1419" s="9">
        <v>71</v>
      </c>
      <c r="F1419" s="11">
        <v>45265</v>
      </c>
      <c r="G1419" s="8"/>
    </row>
    <row r="1420" spans="1:7" ht="18.75" customHeight="1" x14ac:dyDescent="0.2">
      <c r="A1420" s="8" t="s">
        <v>2842</v>
      </c>
      <c r="B1420" s="9">
        <v>45302</v>
      </c>
      <c r="C1420" s="9">
        <v>5902557376520</v>
      </c>
      <c r="D1420" s="10" t="s">
        <v>2843</v>
      </c>
      <c r="E1420" s="9">
        <v>71</v>
      </c>
      <c r="F1420" s="11">
        <v>45265</v>
      </c>
      <c r="G1420" s="8"/>
    </row>
    <row r="1421" spans="1:7" ht="18.75" customHeight="1" x14ac:dyDescent="0.2">
      <c r="A1421" s="8" t="s">
        <v>2844</v>
      </c>
      <c r="B1421" s="9"/>
      <c r="C1421" s="9">
        <v>5902557337132</v>
      </c>
      <c r="D1421" s="10" t="s">
        <v>2845</v>
      </c>
      <c r="E1421" s="9">
        <v>71</v>
      </c>
      <c r="F1421" s="11">
        <v>45265</v>
      </c>
      <c r="G1421" s="8"/>
    </row>
    <row r="1422" spans="1:7" ht="18.75" customHeight="1" x14ac:dyDescent="0.2">
      <c r="A1422" s="8" t="s">
        <v>2846</v>
      </c>
      <c r="B1422" s="9"/>
      <c r="C1422" s="9">
        <v>5902557357703</v>
      </c>
      <c r="D1422" s="10" t="s">
        <v>2847</v>
      </c>
      <c r="E1422" s="9">
        <v>76</v>
      </c>
      <c r="F1422" s="11">
        <v>45265</v>
      </c>
      <c r="G1422" s="8"/>
    </row>
    <row r="1423" spans="1:7" ht="18.75" customHeight="1" x14ac:dyDescent="0.2">
      <c r="A1423" s="8" t="s">
        <v>2848</v>
      </c>
      <c r="B1423" s="9">
        <v>27435</v>
      </c>
      <c r="C1423" s="9">
        <v>5902557335671</v>
      </c>
      <c r="D1423" s="10" t="s">
        <v>2849</v>
      </c>
      <c r="E1423" s="9">
        <v>75</v>
      </c>
      <c r="F1423" s="11">
        <v>45566</v>
      </c>
      <c r="G1423" s="8"/>
    </row>
    <row r="1424" spans="1:7" ht="18.75" customHeight="1" x14ac:dyDescent="0.2">
      <c r="A1424" s="8" t="s">
        <v>2850</v>
      </c>
      <c r="B1424" s="9">
        <v>1736</v>
      </c>
      <c r="C1424" s="9">
        <v>5902557320516</v>
      </c>
      <c r="D1424" s="10" t="s">
        <v>2851</v>
      </c>
      <c r="E1424" s="9">
        <v>70</v>
      </c>
      <c r="F1424" s="11">
        <v>45551</v>
      </c>
      <c r="G1424" s="8"/>
    </row>
    <row r="1425" spans="1:7" ht="18.75" customHeight="1" x14ac:dyDescent="0.2">
      <c r="A1425" s="8" t="s">
        <v>2852</v>
      </c>
      <c r="B1425" s="9"/>
      <c r="C1425" s="9">
        <v>5902557334933</v>
      </c>
      <c r="D1425" s="10" t="s">
        <v>2853</v>
      </c>
      <c r="E1425" s="9">
        <v>80</v>
      </c>
      <c r="F1425" s="11">
        <v>45265</v>
      </c>
      <c r="G1425" s="8"/>
    </row>
    <row r="1426" spans="1:7" ht="18.75" customHeight="1" x14ac:dyDescent="0.2">
      <c r="A1426" s="8" t="s">
        <v>2854</v>
      </c>
      <c r="B1426" s="9">
        <v>28276</v>
      </c>
      <c r="C1426" s="9">
        <v>5902557334957</v>
      </c>
      <c r="D1426" s="10" t="s">
        <v>2855</v>
      </c>
      <c r="E1426" s="9">
        <v>87</v>
      </c>
      <c r="F1426" s="11">
        <v>45265</v>
      </c>
      <c r="G1426" s="8"/>
    </row>
    <row r="1427" spans="1:7" ht="18.75" customHeight="1" x14ac:dyDescent="0.2">
      <c r="A1427" s="8" t="s">
        <v>2856</v>
      </c>
      <c r="B1427" s="9"/>
      <c r="C1427" s="9">
        <v>5902557334940</v>
      </c>
      <c r="D1427" s="10" t="s">
        <v>2857</v>
      </c>
      <c r="E1427" s="9">
        <v>86</v>
      </c>
      <c r="F1427" s="11">
        <v>45265</v>
      </c>
      <c r="G1427" s="8"/>
    </row>
    <row r="1428" spans="1:7" ht="18.75" customHeight="1" x14ac:dyDescent="0.2">
      <c r="A1428" s="8" t="s">
        <v>2858</v>
      </c>
      <c r="B1428" s="9">
        <v>1740</v>
      </c>
      <c r="C1428" s="9">
        <v>5902557327331</v>
      </c>
      <c r="D1428" s="10" t="s">
        <v>2859</v>
      </c>
      <c r="E1428" s="9">
        <v>69</v>
      </c>
      <c r="F1428" s="11">
        <v>45265</v>
      </c>
      <c r="G1428" s="8"/>
    </row>
    <row r="1429" spans="1:7" ht="18.75" customHeight="1" x14ac:dyDescent="0.2">
      <c r="A1429" s="8" t="s">
        <v>2860</v>
      </c>
      <c r="B1429" s="9">
        <v>50748</v>
      </c>
      <c r="C1429" s="9">
        <v>5902557387359</v>
      </c>
      <c r="D1429" s="10" t="s">
        <v>2861</v>
      </c>
      <c r="E1429" s="9">
        <v>70</v>
      </c>
      <c r="F1429" s="11">
        <v>45575</v>
      </c>
      <c r="G1429" s="8"/>
    </row>
    <row r="1430" spans="1:7" ht="18.75" customHeight="1" x14ac:dyDescent="0.2">
      <c r="A1430" s="8" t="s">
        <v>2862</v>
      </c>
      <c r="B1430" s="9"/>
      <c r="C1430" s="9">
        <v>5902557348787</v>
      </c>
      <c r="D1430" s="10" t="s">
        <v>2863</v>
      </c>
      <c r="E1430" s="9">
        <v>48</v>
      </c>
      <c r="F1430" s="11">
        <v>45265</v>
      </c>
      <c r="G1430" s="8"/>
    </row>
    <row r="1431" spans="1:7" ht="18.75" customHeight="1" x14ac:dyDescent="0.2">
      <c r="A1431" s="8" t="s">
        <v>2864</v>
      </c>
      <c r="B1431" s="9"/>
      <c r="C1431" s="9">
        <v>5902557336173</v>
      </c>
      <c r="D1431" s="10" t="s">
        <v>2865</v>
      </c>
      <c r="E1431" s="9">
        <v>67</v>
      </c>
      <c r="F1431" s="11">
        <v>45265</v>
      </c>
      <c r="G1431" s="8"/>
    </row>
    <row r="1432" spans="1:7" ht="18.75" customHeight="1" x14ac:dyDescent="0.2">
      <c r="A1432" s="8" t="s">
        <v>2866</v>
      </c>
      <c r="B1432" s="9">
        <v>1642</v>
      </c>
      <c r="C1432" s="9">
        <v>5902557322701</v>
      </c>
      <c r="D1432" s="10" t="s">
        <v>2867</v>
      </c>
      <c r="E1432" s="9">
        <v>68</v>
      </c>
      <c r="F1432" s="11">
        <v>45699</v>
      </c>
      <c r="G1432" s="8"/>
    </row>
    <row r="1433" spans="1:7" ht="18.75" customHeight="1" x14ac:dyDescent="0.2">
      <c r="A1433" s="8" t="s">
        <v>2868</v>
      </c>
      <c r="B1433" s="9">
        <v>52757</v>
      </c>
      <c r="C1433" s="9">
        <v>5902557396665</v>
      </c>
      <c r="D1433" s="10" t="s">
        <v>2869</v>
      </c>
      <c r="E1433" s="9">
        <v>64</v>
      </c>
      <c r="F1433" s="11">
        <v>45462</v>
      </c>
      <c r="G1433" s="8"/>
    </row>
    <row r="1434" spans="1:7" ht="18.75" customHeight="1" x14ac:dyDescent="0.2">
      <c r="A1434" s="8" t="s">
        <v>2870</v>
      </c>
      <c r="B1434" s="9">
        <v>26974</v>
      </c>
      <c r="C1434" s="9">
        <v>5902557335497</v>
      </c>
      <c r="D1434" s="10" t="s">
        <v>2871</v>
      </c>
      <c r="E1434" s="9">
        <v>64</v>
      </c>
      <c r="F1434" s="11">
        <v>45602</v>
      </c>
      <c r="G1434" s="8"/>
    </row>
    <row r="1435" spans="1:7" ht="18.75" customHeight="1" x14ac:dyDescent="0.2">
      <c r="A1435" s="8" t="s">
        <v>2872</v>
      </c>
      <c r="B1435" s="9">
        <v>31618</v>
      </c>
      <c r="C1435" s="9">
        <v>5902557340446</v>
      </c>
      <c r="D1435" s="10" t="s">
        <v>2873</v>
      </c>
      <c r="E1435" s="9">
        <v>80</v>
      </c>
      <c r="F1435" s="11">
        <v>45618</v>
      </c>
      <c r="G1435" s="8"/>
    </row>
    <row r="1436" spans="1:7" ht="18.75" customHeight="1" x14ac:dyDescent="0.2">
      <c r="A1436" s="8" t="s">
        <v>2874</v>
      </c>
      <c r="B1436" s="9">
        <v>51440</v>
      </c>
      <c r="C1436" s="8">
        <v>5902557395712</v>
      </c>
      <c r="D1436" s="10" t="s">
        <v>2875</v>
      </c>
      <c r="E1436" s="9">
        <v>84</v>
      </c>
      <c r="F1436" s="11">
        <v>45575</v>
      </c>
      <c r="G1436" s="8"/>
    </row>
    <row r="1437" spans="1:7" ht="18.75" customHeight="1" x14ac:dyDescent="0.2">
      <c r="A1437" s="8" t="s">
        <v>2876</v>
      </c>
      <c r="B1437" s="9">
        <v>52147</v>
      </c>
      <c r="C1437" s="8">
        <v>5902557395507</v>
      </c>
      <c r="D1437" s="10" t="s">
        <v>2877</v>
      </c>
      <c r="E1437" s="9">
        <v>114</v>
      </c>
      <c r="F1437" s="11">
        <v>45328</v>
      </c>
      <c r="G1437" s="8"/>
    </row>
    <row r="1438" spans="1:7" ht="18.75" customHeight="1" x14ac:dyDescent="0.2">
      <c r="A1438" s="8" t="s">
        <v>2878</v>
      </c>
      <c r="B1438" s="9">
        <v>45324</v>
      </c>
      <c r="C1438" s="9">
        <v>5902557375363</v>
      </c>
      <c r="D1438" s="10" t="s">
        <v>2879</v>
      </c>
      <c r="E1438" s="9">
        <v>94</v>
      </c>
      <c r="F1438" s="11">
        <v>45265</v>
      </c>
      <c r="G1438" s="8"/>
    </row>
    <row r="1439" spans="1:7" ht="18.75" customHeight="1" x14ac:dyDescent="0.2">
      <c r="A1439" s="8" t="s">
        <v>2880</v>
      </c>
      <c r="B1439" s="9">
        <v>45306</v>
      </c>
      <c r="C1439" s="9">
        <v>5902557375318</v>
      </c>
      <c r="D1439" s="10" t="s">
        <v>2881</v>
      </c>
      <c r="E1439" s="9">
        <v>78</v>
      </c>
      <c r="F1439" s="11">
        <v>45265</v>
      </c>
      <c r="G1439" s="8"/>
    </row>
    <row r="1440" spans="1:7" ht="18.75" customHeight="1" x14ac:dyDescent="0.2">
      <c r="A1440" s="8" t="s">
        <v>2882</v>
      </c>
      <c r="B1440" s="9">
        <v>31620</v>
      </c>
      <c r="C1440" s="9">
        <v>5902557340453</v>
      </c>
      <c r="D1440" s="10" t="s">
        <v>2883</v>
      </c>
      <c r="E1440" s="9">
        <v>114</v>
      </c>
      <c r="F1440" s="11">
        <v>45265</v>
      </c>
      <c r="G1440" s="8"/>
    </row>
    <row r="1441" spans="1:7" ht="18.75" customHeight="1" x14ac:dyDescent="0.2">
      <c r="A1441" s="8" t="s">
        <v>2884</v>
      </c>
      <c r="B1441" s="9">
        <v>46329</v>
      </c>
      <c r="C1441" s="9">
        <v>5902557375295</v>
      </c>
      <c r="D1441" s="10" t="s">
        <v>2885</v>
      </c>
      <c r="E1441" s="9">
        <v>106</v>
      </c>
      <c r="F1441" s="11">
        <v>45575</v>
      </c>
      <c r="G1441" s="8"/>
    </row>
    <row r="1442" spans="1:7" ht="18.75" customHeight="1" x14ac:dyDescent="0.2">
      <c r="A1442" s="8" t="s">
        <v>2886</v>
      </c>
      <c r="B1442" s="9">
        <v>54323</v>
      </c>
      <c r="C1442" s="8">
        <v>5906366007149</v>
      </c>
      <c r="D1442" s="10" t="s">
        <v>2887</v>
      </c>
      <c r="E1442" s="9">
        <v>103</v>
      </c>
      <c r="F1442" s="11">
        <v>45644</v>
      </c>
      <c r="G1442" s="8"/>
    </row>
    <row r="1443" spans="1:7" ht="18.75" customHeight="1" x14ac:dyDescent="0.2">
      <c r="A1443" s="8" t="s">
        <v>2888</v>
      </c>
      <c r="B1443" s="9">
        <v>45431</v>
      </c>
      <c r="C1443" s="9">
        <v>5902557375301</v>
      </c>
      <c r="D1443" s="10" t="s">
        <v>2889</v>
      </c>
      <c r="E1443" s="9">
        <v>104</v>
      </c>
      <c r="F1443" s="11">
        <v>45357</v>
      </c>
      <c r="G1443" s="8"/>
    </row>
    <row r="1444" spans="1:7" ht="18.75" customHeight="1" x14ac:dyDescent="0.2">
      <c r="A1444" s="8" t="s">
        <v>2890</v>
      </c>
      <c r="B1444" s="9">
        <v>52148</v>
      </c>
      <c r="C1444" s="8">
        <v>5902557395491</v>
      </c>
      <c r="D1444" s="10" t="s">
        <v>2891</v>
      </c>
      <c r="E1444" s="9">
        <v>103</v>
      </c>
      <c r="F1444" s="11">
        <v>45575</v>
      </c>
      <c r="G1444" s="8"/>
    </row>
    <row r="1445" spans="1:7" ht="18.75" customHeight="1" x14ac:dyDescent="0.2">
      <c r="A1445" s="8" t="s">
        <v>2892</v>
      </c>
      <c r="B1445" s="9">
        <v>54130</v>
      </c>
      <c r="C1445" s="8">
        <v>5906366006333</v>
      </c>
      <c r="D1445" s="10" t="s">
        <v>2893</v>
      </c>
      <c r="E1445" s="9">
        <v>84</v>
      </c>
      <c r="F1445" s="11">
        <v>45618</v>
      </c>
      <c r="G1445" s="8"/>
    </row>
    <row r="1446" spans="1:7" ht="18.75" customHeight="1" x14ac:dyDescent="0.2">
      <c r="A1446" s="8" t="s">
        <v>2894</v>
      </c>
      <c r="B1446" s="9">
        <v>41595</v>
      </c>
      <c r="C1446" s="9">
        <v>5902557356805</v>
      </c>
      <c r="D1446" s="10" t="s">
        <v>2895</v>
      </c>
      <c r="E1446" s="9">
        <v>101</v>
      </c>
      <c r="F1446" s="11">
        <v>45687</v>
      </c>
      <c r="G1446" s="8"/>
    </row>
    <row r="1447" spans="1:7" ht="18.75" customHeight="1" x14ac:dyDescent="0.2">
      <c r="A1447" s="8" t="s">
        <v>2896</v>
      </c>
      <c r="B1447" s="9">
        <v>43540</v>
      </c>
      <c r="C1447" s="9">
        <v>5902557366941</v>
      </c>
      <c r="D1447" s="10" t="s">
        <v>2897</v>
      </c>
      <c r="E1447" s="9">
        <v>127</v>
      </c>
      <c r="F1447" s="11">
        <v>45495</v>
      </c>
      <c r="G1447" s="8"/>
    </row>
    <row r="1448" spans="1:7" ht="18.75" customHeight="1" x14ac:dyDescent="0.2">
      <c r="A1448" s="8" t="s">
        <v>2898</v>
      </c>
      <c r="B1448" s="9">
        <v>43538</v>
      </c>
      <c r="C1448" s="9">
        <v>5902557366958</v>
      </c>
      <c r="D1448" s="10" t="s">
        <v>2899</v>
      </c>
      <c r="E1448" s="9">
        <v>117</v>
      </c>
      <c r="F1448" s="11">
        <v>45736</v>
      </c>
      <c r="G1448" s="8"/>
    </row>
    <row r="1449" spans="1:7" ht="18.75" customHeight="1" x14ac:dyDescent="0.2">
      <c r="A1449" s="8" t="s">
        <v>2900</v>
      </c>
      <c r="B1449" s="9"/>
      <c r="C1449" s="9">
        <v>5902557334971</v>
      </c>
      <c r="D1449" s="10" t="s">
        <v>2901</v>
      </c>
      <c r="E1449" s="9">
        <v>53</v>
      </c>
      <c r="F1449" s="11">
        <v>45265</v>
      </c>
      <c r="G1449" s="8"/>
    </row>
    <row r="1450" spans="1:7" ht="18.75" customHeight="1" x14ac:dyDescent="0.2">
      <c r="A1450" s="8" t="s">
        <v>2902</v>
      </c>
      <c r="B1450" s="9">
        <v>53518</v>
      </c>
      <c r="C1450" s="9">
        <v>5902557398584</v>
      </c>
      <c r="D1450" s="10" t="s">
        <v>2903</v>
      </c>
      <c r="E1450" s="9">
        <v>153</v>
      </c>
      <c r="F1450" s="11">
        <v>45722</v>
      </c>
      <c r="G1450" s="8"/>
    </row>
    <row r="1451" spans="1:7" ht="18.75" customHeight="1" x14ac:dyDescent="0.2">
      <c r="A1451" s="8" t="s">
        <v>2904</v>
      </c>
      <c r="B1451" s="9">
        <v>50272</v>
      </c>
      <c r="C1451" s="9">
        <v>5902557386277</v>
      </c>
      <c r="D1451" s="10" t="s">
        <v>2905</v>
      </c>
      <c r="E1451" s="9">
        <v>153</v>
      </c>
      <c r="F1451" s="11">
        <v>45722</v>
      </c>
      <c r="G1451" s="8"/>
    </row>
    <row r="1452" spans="1:7" ht="18.75" customHeight="1" x14ac:dyDescent="0.2">
      <c r="A1452" s="8" t="s">
        <v>2906</v>
      </c>
      <c r="B1452" s="9"/>
      <c r="C1452" s="9">
        <v>5902557386277</v>
      </c>
      <c r="D1452" s="10" t="s">
        <v>2905</v>
      </c>
      <c r="E1452" s="9">
        <v>122</v>
      </c>
      <c r="F1452" s="11">
        <v>45265</v>
      </c>
      <c r="G1452" s="8"/>
    </row>
    <row r="1453" spans="1:7" ht="18.75" customHeight="1" x14ac:dyDescent="0.2">
      <c r="A1453" s="8" t="s">
        <v>2907</v>
      </c>
      <c r="B1453" s="9">
        <v>50274</v>
      </c>
      <c r="C1453" s="8">
        <v>5902557386284</v>
      </c>
      <c r="D1453" s="10" t="s">
        <v>2908</v>
      </c>
      <c r="E1453" s="9">
        <v>138</v>
      </c>
      <c r="F1453" s="11">
        <v>45293</v>
      </c>
      <c r="G1453" s="8"/>
    </row>
    <row r="1454" spans="1:7" ht="18.75" customHeight="1" x14ac:dyDescent="0.2">
      <c r="A1454" s="8" t="s">
        <v>2909</v>
      </c>
      <c r="B1454" s="9"/>
      <c r="C1454" s="9">
        <v>5902557386284</v>
      </c>
      <c r="D1454" s="10" t="s">
        <v>2910</v>
      </c>
      <c r="E1454" s="9">
        <v>122</v>
      </c>
      <c r="F1454" s="11">
        <v>45265</v>
      </c>
      <c r="G1454" s="8"/>
    </row>
    <row r="1455" spans="1:7" ht="18.75" customHeight="1" x14ac:dyDescent="0.2">
      <c r="A1455" s="8" t="s">
        <v>2911</v>
      </c>
      <c r="B1455" s="9">
        <v>46439</v>
      </c>
      <c r="C1455" s="9">
        <v>5902557376216</v>
      </c>
      <c r="D1455" s="10" t="s">
        <v>2912</v>
      </c>
      <c r="E1455" s="9">
        <v>153</v>
      </c>
      <c r="F1455" s="11">
        <v>45722</v>
      </c>
      <c r="G1455" s="8"/>
    </row>
    <row r="1456" spans="1:7" ht="18.75" customHeight="1" x14ac:dyDescent="0.2">
      <c r="A1456" s="8" t="s">
        <v>2913</v>
      </c>
      <c r="B1456" s="9">
        <v>46436</v>
      </c>
      <c r="C1456" s="9">
        <v>5902557376209</v>
      </c>
      <c r="D1456" s="10" t="s">
        <v>2914</v>
      </c>
      <c r="E1456" s="9">
        <v>141</v>
      </c>
      <c r="F1456" s="11">
        <v>45449</v>
      </c>
      <c r="G1456" s="8"/>
    </row>
    <row r="1457" spans="1:7" ht="18.75" customHeight="1" x14ac:dyDescent="0.2">
      <c r="A1457" s="8" t="s">
        <v>2915</v>
      </c>
      <c r="B1457" s="9">
        <v>1624</v>
      </c>
      <c r="C1457" s="9">
        <v>5902557300600</v>
      </c>
      <c r="D1457" s="10" t="s">
        <v>2916</v>
      </c>
      <c r="E1457" s="9">
        <v>68</v>
      </c>
      <c r="F1457" s="11">
        <v>45531</v>
      </c>
      <c r="G1457" s="8"/>
    </row>
    <row r="1458" spans="1:7" ht="18.75" customHeight="1" x14ac:dyDescent="0.2">
      <c r="A1458" s="8" t="s">
        <v>2917</v>
      </c>
      <c r="B1458" s="9">
        <v>1626</v>
      </c>
      <c r="C1458" s="9">
        <v>5902557300624</v>
      </c>
      <c r="D1458" s="10" t="s">
        <v>2918</v>
      </c>
      <c r="E1458" s="9">
        <v>82</v>
      </c>
      <c r="F1458" s="11">
        <v>45531</v>
      </c>
      <c r="G1458" s="8"/>
    </row>
    <row r="1459" spans="1:7" ht="18.75" customHeight="1" x14ac:dyDescent="0.2">
      <c r="A1459" s="8" t="s">
        <v>2919</v>
      </c>
      <c r="B1459" s="9">
        <v>1628</v>
      </c>
      <c r="C1459" s="9">
        <v>5902557300648</v>
      </c>
      <c r="D1459" s="10" t="s">
        <v>2920</v>
      </c>
      <c r="E1459" s="9">
        <v>77</v>
      </c>
      <c r="F1459" s="11">
        <v>45568</v>
      </c>
      <c r="G1459" s="8"/>
    </row>
    <row r="1460" spans="1:7" ht="18.75" customHeight="1" x14ac:dyDescent="0.2">
      <c r="A1460" s="8" t="s">
        <v>2921</v>
      </c>
      <c r="B1460" s="9">
        <v>1651</v>
      </c>
      <c r="C1460" s="9">
        <v>5902557322763</v>
      </c>
      <c r="D1460" s="10" t="s">
        <v>2922</v>
      </c>
      <c r="E1460" s="9">
        <v>120</v>
      </c>
      <c r="F1460" s="11">
        <v>45265</v>
      </c>
      <c r="G1460" s="8"/>
    </row>
    <row r="1461" spans="1:7" ht="18.75" customHeight="1" x14ac:dyDescent="0.2">
      <c r="A1461" s="8" t="s">
        <v>2923</v>
      </c>
      <c r="B1461" s="9">
        <v>50658</v>
      </c>
      <c r="C1461" s="9">
        <v>5902557387373</v>
      </c>
      <c r="D1461" s="10" t="s">
        <v>2924</v>
      </c>
      <c r="E1461" s="9">
        <v>37</v>
      </c>
      <c r="F1461" s="11">
        <v>45302</v>
      </c>
      <c r="G1461" s="8"/>
    </row>
    <row r="1462" spans="1:7" ht="18.75" customHeight="1" x14ac:dyDescent="0.2">
      <c r="A1462" s="8" t="s">
        <v>2925</v>
      </c>
      <c r="B1462" s="9">
        <v>13374</v>
      </c>
      <c r="C1462" s="9">
        <v>5902557329540</v>
      </c>
      <c r="D1462" s="10" t="s">
        <v>2926</v>
      </c>
      <c r="E1462" s="9">
        <v>235</v>
      </c>
      <c r="F1462" s="11">
        <v>45646</v>
      </c>
      <c r="G1462" s="8"/>
    </row>
    <row r="1463" spans="1:7" ht="18.75" customHeight="1" x14ac:dyDescent="0.2">
      <c r="A1463" s="8" t="s">
        <v>2927</v>
      </c>
      <c r="B1463" s="9">
        <v>43107</v>
      </c>
      <c r="C1463" s="9">
        <v>5902557366392</v>
      </c>
      <c r="D1463" s="10" t="s">
        <v>2928</v>
      </c>
      <c r="E1463" s="9">
        <v>392</v>
      </c>
      <c r="F1463" s="11">
        <v>45265</v>
      </c>
      <c r="G1463" s="8"/>
    </row>
    <row r="1464" spans="1:7" ht="18.75" customHeight="1" x14ac:dyDescent="0.2">
      <c r="A1464" s="8" t="s">
        <v>2929</v>
      </c>
      <c r="B1464" s="9">
        <v>52408</v>
      </c>
      <c r="C1464" s="9">
        <v>5902557398300</v>
      </c>
      <c r="D1464" s="10" t="s">
        <v>2930</v>
      </c>
      <c r="E1464" s="9">
        <v>61</v>
      </c>
      <c r="F1464" s="11">
        <v>45644</v>
      </c>
      <c r="G1464" s="8"/>
    </row>
    <row r="1465" spans="1:7" ht="18.75" customHeight="1" x14ac:dyDescent="0.2">
      <c r="A1465" s="8" t="s">
        <v>2931</v>
      </c>
      <c r="B1465" s="9">
        <v>50270</v>
      </c>
      <c r="C1465" s="9">
        <v>5902557386420</v>
      </c>
      <c r="D1465" s="10" t="s">
        <v>2932</v>
      </c>
      <c r="E1465" s="9">
        <v>175</v>
      </c>
      <c r="F1465" s="11">
        <v>45265</v>
      </c>
      <c r="G1465" s="8"/>
    </row>
    <row r="1466" spans="1:7" ht="18.75" customHeight="1" x14ac:dyDescent="0.2">
      <c r="A1466" s="8" t="s">
        <v>2933</v>
      </c>
      <c r="B1466" s="9">
        <v>1743</v>
      </c>
      <c r="C1466" s="9">
        <v>5902557327355</v>
      </c>
      <c r="D1466" s="10" t="s">
        <v>2934</v>
      </c>
      <c r="E1466" s="9">
        <v>68</v>
      </c>
      <c r="F1466" s="11">
        <v>45495</v>
      </c>
      <c r="G1466" s="8"/>
    </row>
    <row r="1467" spans="1:7" ht="18.75" customHeight="1" x14ac:dyDescent="0.2">
      <c r="A1467" s="8" t="s">
        <v>2935</v>
      </c>
      <c r="B1467" s="9">
        <v>49600</v>
      </c>
      <c r="C1467" s="9">
        <v>5902557381258</v>
      </c>
      <c r="D1467" s="10" t="s">
        <v>2936</v>
      </c>
      <c r="E1467" s="9">
        <v>87</v>
      </c>
      <c r="F1467" s="11">
        <v>45722</v>
      </c>
      <c r="G1467" s="8"/>
    </row>
    <row r="1468" spans="1:7" ht="18.75" customHeight="1" x14ac:dyDescent="0.2">
      <c r="A1468" s="8" t="s">
        <v>2937</v>
      </c>
      <c r="B1468" s="9">
        <v>50036</v>
      </c>
      <c r="C1468" s="9">
        <v>5902557382941</v>
      </c>
      <c r="D1468" s="10" t="s">
        <v>2938</v>
      </c>
      <c r="E1468" s="9">
        <v>47</v>
      </c>
      <c r="F1468" s="11">
        <v>45579</v>
      </c>
      <c r="G1468" s="8"/>
    </row>
    <row r="1469" spans="1:7" ht="18.75" customHeight="1" x14ac:dyDescent="0.2">
      <c r="A1469" s="8" t="s">
        <v>2939</v>
      </c>
      <c r="B1469" s="9">
        <v>50039</v>
      </c>
      <c r="C1469" s="9">
        <v>5902557382934</v>
      </c>
      <c r="D1469" s="10" t="s">
        <v>2940</v>
      </c>
      <c r="E1469" s="9">
        <v>68</v>
      </c>
      <c r="F1469" s="11">
        <v>45447</v>
      </c>
      <c r="G1469" s="8"/>
    </row>
    <row r="1470" spans="1:7" ht="18.75" customHeight="1" x14ac:dyDescent="0.2">
      <c r="A1470" s="8" t="s">
        <v>2941</v>
      </c>
      <c r="B1470" s="9">
        <v>29619</v>
      </c>
      <c r="C1470" s="9">
        <v>5902557340484</v>
      </c>
      <c r="D1470" s="10" t="s">
        <v>2942</v>
      </c>
      <c r="E1470" s="9">
        <v>75</v>
      </c>
      <c r="F1470" s="11">
        <v>45623</v>
      </c>
      <c r="G1470" s="8"/>
    </row>
    <row r="1471" spans="1:7" ht="18.75" customHeight="1" x14ac:dyDescent="0.2">
      <c r="A1471" s="8" t="s">
        <v>2943</v>
      </c>
      <c r="B1471" s="9">
        <v>45322</v>
      </c>
      <c r="C1471" s="9">
        <v>5902557375189</v>
      </c>
      <c r="D1471" s="10" t="s">
        <v>2944</v>
      </c>
      <c r="E1471" s="9">
        <v>94</v>
      </c>
      <c r="F1471" s="11">
        <v>45447</v>
      </c>
      <c r="G1471" s="8"/>
    </row>
    <row r="1472" spans="1:7" ht="18.75" customHeight="1" x14ac:dyDescent="0.2">
      <c r="A1472" s="8" t="s">
        <v>2945</v>
      </c>
      <c r="B1472" s="9">
        <v>30374</v>
      </c>
      <c r="C1472" s="9">
        <v>5902557337118</v>
      </c>
      <c r="D1472" s="10" t="s">
        <v>2946</v>
      </c>
      <c r="E1472" s="9">
        <v>131</v>
      </c>
      <c r="F1472" s="11">
        <v>45265</v>
      </c>
      <c r="G1472" s="8"/>
    </row>
    <row r="1473" spans="1:7" ht="18.75" customHeight="1" x14ac:dyDescent="0.2">
      <c r="A1473" s="8" t="s">
        <v>2947</v>
      </c>
      <c r="B1473" s="9">
        <v>44672</v>
      </c>
      <c r="C1473" s="9">
        <v>5902557370115</v>
      </c>
      <c r="D1473" s="10" t="s">
        <v>2948</v>
      </c>
      <c r="E1473" s="9">
        <v>115</v>
      </c>
      <c r="F1473" s="11">
        <v>45265</v>
      </c>
      <c r="G1473" s="8"/>
    </row>
    <row r="1474" spans="1:7" ht="18.75" customHeight="1" x14ac:dyDescent="0.2">
      <c r="A1474" s="8" t="s">
        <v>2949</v>
      </c>
      <c r="B1474" s="9">
        <v>44670</v>
      </c>
      <c r="C1474" s="9">
        <v>5902557370108</v>
      </c>
      <c r="D1474" s="10" t="s">
        <v>2950</v>
      </c>
      <c r="E1474" s="9">
        <v>108</v>
      </c>
      <c r="F1474" s="11">
        <v>45447</v>
      </c>
      <c r="G1474" s="8"/>
    </row>
    <row r="1475" spans="1:7" ht="18.75" customHeight="1" x14ac:dyDescent="0.2">
      <c r="A1475" s="8" t="s">
        <v>2951</v>
      </c>
      <c r="B1475" s="9"/>
      <c r="C1475" s="9">
        <v>5902557335763</v>
      </c>
      <c r="D1475" s="10" t="s">
        <v>2952</v>
      </c>
      <c r="E1475" s="9">
        <v>35</v>
      </c>
      <c r="F1475" s="11">
        <v>45265</v>
      </c>
      <c r="G1475" s="8"/>
    </row>
    <row r="1476" spans="1:7" ht="18.75" customHeight="1" x14ac:dyDescent="0.2">
      <c r="A1476" s="9" t="s">
        <v>2953</v>
      </c>
      <c r="B1476" s="9">
        <v>53948</v>
      </c>
      <c r="C1476" s="8">
        <v>5906366005848</v>
      </c>
      <c r="D1476" s="10" t="s">
        <v>2954</v>
      </c>
      <c r="E1476" s="9">
        <v>534</v>
      </c>
      <c r="F1476" s="11">
        <v>45581</v>
      </c>
      <c r="G1476" s="8"/>
    </row>
    <row r="1477" spans="1:7" ht="18.75" customHeight="1" x14ac:dyDescent="0.2">
      <c r="A1477" s="8" t="s">
        <v>2955</v>
      </c>
      <c r="B1477" s="9"/>
      <c r="C1477" s="9">
        <v>5902557300167</v>
      </c>
      <c r="D1477" s="10" t="s">
        <v>2956</v>
      </c>
      <c r="E1477" s="9">
        <v>32</v>
      </c>
      <c r="F1477" s="11">
        <v>45265</v>
      </c>
      <c r="G1477" s="8"/>
    </row>
    <row r="1478" spans="1:7" ht="18.75" customHeight="1" x14ac:dyDescent="0.2">
      <c r="A1478" s="8" t="s">
        <v>2957</v>
      </c>
      <c r="B1478" s="9">
        <v>50065</v>
      </c>
      <c r="C1478" s="9">
        <v>5902557382880</v>
      </c>
      <c r="D1478" s="10" t="s">
        <v>2958</v>
      </c>
      <c r="E1478" s="9">
        <v>104</v>
      </c>
      <c r="F1478" s="11">
        <v>45699</v>
      </c>
      <c r="G1478" s="8"/>
    </row>
    <row r="1479" spans="1:7" ht="18.75" customHeight="1" x14ac:dyDescent="0.2">
      <c r="A1479" s="8" t="s">
        <v>2959</v>
      </c>
      <c r="B1479" s="9">
        <v>29039</v>
      </c>
      <c r="C1479" s="9">
        <v>5902557345021</v>
      </c>
      <c r="D1479" s="10" t="s">
        <v>2960</v>
      </c>
      <c r="E1479" s="9">
        <v>67</v>
      </c>
      <c r="F1479" s="11">
        <v>45265</v>
      </c>
      <c r="G1479" s="8"/>
    </row>
    <row r="1480" spans="1:7" ht="18.75" customHeight="1" x14ac:dyDescent="0.2">
      <c r="A1480" s="8" t="s">
        <v>2961</v>
      </c>
      <c r="B1480" s="9"/>
      <c r="C1480" s="9">
        <v>5902557336135</v>
      </c>
      <c r="D1480" s="10" t="s">
        <v>2962</v>
      </c>
      <c r="E1480" s="9">
        <v>65</v>
      </c>
      <c r="F1480" s="11">
        <v>45265</v>
      </c>
      <c r="G1480" s="8"/>
    </row>
    <row r="1481" spans="1:7" ht="18.75" customHeight="1" x14ac:dyDescent="0.2">
      <c r="A1481" s="8" t="s">
        <v>2963</v>
      </c>
      <c r="B1481" s="9"/>
      <c r="C1481" s="9">
        <v>5902557322978</v>
      </c>
      <c r="D1481" s="10" t="s">
        <v>2964</v>
      </c>
      <c r="E1481" s="9">
        <v>56</v>
      </c>
      <c r="F1481" s="11">
        <v>45265</v>
      </c>
      <c r="G1481" s="8"/>
    </row>
    <row r="1482" spans="1:7" ht="18.75" customHeight="1" x14ac:dyDescent="0.2">
      <c r="A1482" s="8" t="s">
        <v>2965</v>
      </c>
      <c r="B1482" s="9">
        <v>30343</v>
      </c>
      <c r="C1482" s="9">
        <v>5902557300570</v>
      </c>
      <c r="D1482" s="10" t="s">
        <v>2966</v>
      </c>
      <c r="E1482" s="9">
        <v>44</v>
      </c>
      <c r="F1482" s="11">
        <v>45265</v>
      </c>
      <c r="G1482" s="8"/>
    </row>
    <row r="1483" spans="1:7" ht="18.75" customHeight="1" x14ac:dyDescent="0.2">
      <c r="A1483" s="8" t="s">
        <v>2967</v>
      </c>
      <c r="B1483" s="9">
        <v>30332</v>
      </c>
      <c r="C1483" s="9">
        <v>5902557340392</v>
      </c>
      <c r="D1483" s="10" t="s">
        <v>2968</v>
      </c>
      <c r="E1483" s="9">
        <v>73</v>
      </c>
      <c r="F1483" s="11">
        <v>45265</v>
      </c>
      <c r="G1483" s="8"/>
    </row>
    <row r="1484" spans="1:7" ht="18.75" customHeight="1" x14ac:dyDescent="0.2">
      <c r="A1484" s="8" t="s">
        <v>2969</v>
      </c>
      <c r="B1484" s="9"/>
      <c r="C1484" s="9">
        <v>5902557340408</v>
      </c>
      <c r="D1484" s="10" t="s">
        <v>2970</v>
      </c>
      <c r="E1484" s="9">
        <v>73</v>
      </c>
      <c r="F1484" s="11">
        <v>45265</v>
      </c>
      <c r="G1484" s="8"/>
    </row>
    <row r="1485" spans="1:7" ht="18.75" customHeight="1" x14ac:dyDescent="0.2">
      <c r="A1485" s="8" t="s">
        <v>2971</v>
      </c>
      <c r="B1485" s="9">
        <v>49056</v>
      </c>
      <c r="C1485" s="9">
        <v>5902557355501</v>
      </c>
      <c r="D1485" s="10" t="s">
        <v>2972</v>
      </c>
      <c r="E1485" s="9">
        <v>104</v>
      </c>
      <c r="F1485" s="11">
        <v>45265</v>
      </c>
      <c r="G1485" s="8"/>
    </row>
    <row r="1486" spans="1:7" ht="18.75" customHeight="1" x14ac:dyDescent="0.2">
      <c r="A1486" s="8" t="s">
        <v>2973</v>
      </c>
      <c r="B1486" s="9">
        <v>29952</v>
      </c>
      <c r="C1486" s="9">
        <v>5902557336876</v>
      </c>
      <c r="D1486" s="10" t="s">
        <v>2974</v>
      </c>
      <c r="E1486" s="9">
        <v>70</v>
      </c>
      <c r="F1486" s="11">
        <v>45490</v>
      </c>
      <c r="G1486" s="8"/>
    </row>
    <row r="1487" spans="1:7" ht="18.75" customHeight="1" x14ac:dyDescent="0.2">
      <c r="A1487" s="8" t="s">
        <v>2975</v>
      </c>
      <c r="B1487" s="9"/>
      <c r="C1487" s="9">
        <v>5902557336883</v>
      </c>
      <c r="D1487" s="10" t="s">
        <v>2976</v>
      </c>
      <c r="E1487" s="9">
        <v>84</v>
      </c>
      <c r="F1487" s="11">
        <v>45265</v>
      </c>
      <c r="G1487" s="8"/>
    </row>
    <row r="1488" spans="1:7" ht="18.75" customHeight="1" x14ac:dyDescent="0.2">
      <c r="A1488" s="8" t="s">
        <v>2977</v>
      </c>
      <c r="B1488" s="9">
        <v>30028</v>
      </c>
      <c r="C1488" s="9">
        <v>5902557336890</v>
      </c>
      <c r="D1488" s="10" t="s">
        <v>2978</v>
      </c>
      <c r="E1488" s="9">
        <v>89</v>
      </c>
      <c r="F1488" s="11">
        <v>45265</v>
      </c>
      <c r="G1488" s="8"/>
    </row>
    <row r="1489" spans="1:7" ht="18.75" customHeight="1" x14ac:dyDescent="0.2">
      <c r="A1489" s="8" t="s">
        <v>2979</v>
      </c>
      <c r="B1489" s="9"/>
      <c r="C1489" s="9">
        <v>5902557335459</v>
      </c>
      <c r="D1489" s="10" t="s">
        <v>2980</v>
      </c>
      <c r="E1489" s="9">
        <v>39</v>
      </c>
      <c r="F1489" s="11">
        <v>45265</v>
      </c>
      <c r="G1489" s="8"/>
    </row>
    <row r="1490" spans="1:7" ht="18.75" customHeight="1" x14ac:dyDescent="0.2">
      <c r="A1490" s="8" t="s">
        <v>2981</v>
      </c>
      <c r="B1490" s="9">
        <v>52419</v>
      </c>
      <c r="C1490" s="9">
        <v>5902557398287</v>
      </c>
      <c r="D1490" s="10" t="s">
        <v>2982</v>
      </c>
      <c r="E1490" s="9">
        <v>59</v>
      </c>
      <c r="F1490" s="11">
        <v>45432</v>
      </c>
      <c r="G1490" s="8"/>
    </row>
    <row r="1491" spans="1:7" ht="18.75" customHeight="1" x14ac:dyDescent="0.2">
      <c r="A1491" s="8" t="s">
        <v>2983</v>
      </c>
      <c r="B1491" s="9">
        <v>7468</v>
      </c>
      <c r="C1491" s="9">
        <v>5902557318711</v>
      </c>
      <c r="D1491" s="10" t="s">
        <v>2984</v>
      </c>
      <c r="E1491" s="9">
        <v>317</v>
      </c>
      <c r="F1491" s="11">
        <v>45693</v>
      </c>
      <c r="G1491" s="8"/>
    </row>
    <row r="1492" spans="1:7" ht="18.75" customHeight="1" x14ac:dyDescent="0.2">
      <c r="A1492" s="8" t="s">
        <v>2985</v>
      </c>
      <c r="B1492" s="9">
        <v>52671</v>
      </c>
      <c r="C1492" s="9">
        <v>5902557396252</v>
      </c>
      <c r="D1492" s="10" t="s">
        <v>2986</v>
      </c>
      <c r="E1492" s="9">
        <v>92</v>
      </c>
      <c r="F1492" s="11">
        <v>45376</v>
      </c>
      <c r="G1492" s="8"/>
    </row>
    <row r="1493" spans="1:7" ht="18.75" customHeight="1" x14ac:dyDescent="0.2">
      <c r="A1493" s="8" t="s">
        <v>2987</v>
      </c>
      <c r="B1493" s="9">
        <v>52663</v>
      </c>
      <c r="C1493" s="9">
        <v>5902557396214</v>
      </c>
      <c r="D1493" s="10" t="s">
        <v>2988</v>
      </c>
      <c r="E1493" s="9">
        <v>129</v>
      </c>
      <c r="F1493" s="11">
        <v>45687</v>
      </c>
      <c r="G1493" s="8"/>
    </row>
    <row r="1494" spans="1:7" ht="18.75" customHeight="1" x14ac:dyDescent="0.2">
      <c r="A1494" s="8" t="s">
        <v>2989</v>
      </c>
      <c r="B1494" s="9">
        <v>50961</v>
      </c>
      <c r="C1494" s="9">
        <v>5902557392278</v>
      </c>
      <c r="D1494" s="10" t="s">
        <v>2990</v>
      </c>
      <c r="E1494" s="9">
        <v>70</v>
      </c>
      <c r="F1494" s="11">
        <v>45449</v>
      </c>
      <c r="G1494" s="8"/>
    </row>
    <row r="1495" spans="1:7" ht="18.75" customHeight="1" x14ac:dyDescent="0.2">
      <c r="A1495" s="8" t="s">
        <v>2991</v>
      </c>
      <c r="B1495" s="9">
        <v>54132</v>
      </c>
      <c r="C1495" s="8">
        <v>5906366006326</v>
      </c>
      <c r="D1495" s="10" t="s">
        <v>2992</v>
      </c>
      <c r="E1495" s="9">
        <v>68</v>
      </c>
      <c r="F1495" s="11">
        <v>45618</v>
      </c>
      <c r="G1495" s="8"/>
    </row>
    <row r="1496" spans="1:7" ht="18.75" customHeight="1" x14ac:dyDescent="0.2">
      <c r="A1496" s="8" t="s">
        <v>2993</v>
      </c>
      <c r="B1496" s="9">
        <v>46438</v>
      </c>
      <c r="C1496" s="9">
        <v>5902557375356</v>
      </c>
      <c r="D1496" s="10" t="s">
        <v>2994</v>
      </c>
      <c r="E1496" s="9">
        <v>155</v>
      </c>
      <c r="F1496" s="11">
        <v>45265</v>
      </c>
      <c r="G1496" s="8"/>
    </row>
    <row r="1497" spans="1:7" ht="18.75" customHeight="1" x14ac:dyDescent="0.2">
      <c r="A1497" s="8" t="s">
        <v>2995</v>
      </c>
      <c r="B1497" s="9"/>
      <c r="C1497" s="9">
        <v>5902557355563</v>
      </c>
      <c r="D1497" s="10" t="s">
        <v>2996</v>
      </c>
      <c r="E1497" s="9">
        <v>62</v>
      </c>
      <c r="F1497" s="11">
        <v>45265</v>
      </c>
      <c r="G1497" s="8"/>
    </row>
    <row r="1498" spans="1:7" ht="18.75" customHeight="1" x14ac:dyDescent="0.2">
      <c r="A1498" s="8" t="s">
        <v>2997</v>
      </c>
      <c r="B1498" s="9">
        <v>30672</v>
      </c>
      <c r="C1498" s="9">
        <v>5902557340460</v>
      </c>
      <c r="D1498" s="10" t="s">
        <v>2998</v>
      </c>
      <c r="E1498" s="9">
        <v>122</v>
      </c>
      <c r="F1498" s="11">
        <v>45265</v>
      </c>
      <c r="G1498" s="8"/>
    </row>
    <row r="1499" spans="1:7" ht="18.75" customHeight="1" x14ac:dyDescent="0.2">
      <c r="A1499" s="8" t="s">
        <v>2999</v>
      </c>
      <c r="B1499" s="9">
        <v>50965</v>
      </c>
      <c r="C1499" s="9">
        <v>5902557392346</v>
      </c>
      <c r="D1499" s="10" t="s">
        <v>3000</v>
      </c>
      <c r="E1499" s="9">
        <v>108</v>
      </c>
      <c r="F1499" s="11">
        <v>45390</v>
      </c>
      <c r="G1499" s="8"/>
    </row>
    <row r="1500" spans="1:7" ht="18.75" customHeight="1" x14ac:dyDescent="0.2">
      <c r="A1500" s="8" t="s">
        <v>3001</v>
      </c>
      <c r="B1500" s="9">
        <v>50962</v>
      </c>
      <c r="C1500" s="9">
        <v>5902557392339</v>
      </c>
      <c r="D1500" s="10" t="s">
        <v>3002</v>
      </c>
      <c r="E1500" s="9">
        <v>97</v>
      </c>
      <c r="F1500" s="11">
        <v>45265</v>
      </c>
      <c r="G1500" s="8"/>
    </row>
    <row r="1501" spans="1:7" ht="18.75" customHeight="1" x14ac:dyDescent="0.2">
      <c r="A1501" s="8" t="s">
        <v>3003</v>
      </c>
      <c r="B1501" s="9">
        <v>52420</v>
      </c>
      <c r="C1501" s="9">
        <v>5902557398270</v>
      </c>
      <c r="D1501" s="10" t="s">
        <v>3004</v>
      </c>
      <c r="E1501" s="9">
        <v>53</v>
      </c>
      <c r="F1501" s="11">
        <v>45349</v>
      </c>
      <c r="G1501" s="8"/>
    </row>
    <row r="1502" spans="1:7" ht="18.75" customHeight="1" x14ac:dyDescent="0.2">
      <c r="A1502" s="8" t="s">
        <v>3005</v>
      </c>
      <c r="B1502" s="9">
        <v>54002</v>
      </c>
      <c r="C1502" s="8">
        <v>5906366006357</v>
      </c>
      <c r="D1502" s="10" t="s">
        <v>3006</v>
      </c>
      <c r="E1502" s="9">
        <v>62</v>
      </c>
      <c r="F1502" s="11">
        <v>45618</v>
      </c>
      <c r="G1502" s="8"/>
    </row>
    <row r="1503" spans="1:7" ht="18.75" customHeight="1" x14ac:dyDescent="0.2">
      <c r="A1503" s="8" t="s">
        <v>3007</v>
      </c>
      <c r="B1503" s="9">
        <v>26978</v>
      </c>
      <c r="C1503" s="9">
        <v>5902557335688</v>
      </c>
      <c r="D1503" s="10" t="s">
        <v>3008</v>
      </c>
      <c r="E1503" s="9">
        <v>102</v>
      </c>
      <c r="F1503" s="11">
        <v>45349</v>
      </c>
      <c r="G1503" s="8"/>
    </row>
    <row r="1504" spans="1:7" ht="18.75" customHeight="1" x14ac:dyDescent="0.2">
      <c r="A1504" s="8" t="s">
        <v>3009</v>
      </c>
      <c r="B1504" s="9">
        <v>42291</v>
      </c>
      <c r="C1504" s="9">
        <v>5902557363957</v>
      </c>
      <c r="D1504" s="10" t="s">
        <v>3010</v>
      </c>
      <c r="E1504" s="9">
        <v>79</v>
      </c>
      <c r="F1504" s="11">
        <v>45265</v>
      </c>
      <c r="G1504" s="8"/>
    </row>
    <row r="1505" spans="1:7" ht="18.75" customHeight="1" x14ac:dyDescent="0.2">
      <c r="A1505" s="8" t="s">
        <v>3011</v>
      </c>
      <c r="B1505" s="9">
        <v>26976</v>
      </c>
      <c r="C1505" s="9">
        <v>5902557335695</v>
      </c>
      <c r="D1505" s="10" t="s">
        <v>3012</v>
      </c>
      <c r="E1505" s="9">
        <v>105</v>
      </c>
      <c r="F1505" s="11">
        <v>45265</v>
      </c>
      <c r="G1505" s="8"/>
    </row>
    <row r="1506" spans="1:7" ht="18.75" customHeight="1" x14ac:dyDescent="0.2">
      <c r="A1506" s="8" t="s">
        <v>3013</v>
      </c>
      <c r="B1506" s="9">
        <v>42433</v>
      </c>
      <c r="C1506" s="9">
        <v>5902557363940</v>
      </c>
      <c r="D1506" s="10" t="s">
        <v>3014</v>
      </c>
      <c r="E1506" s="9">
        <v>82</v>
      </c>
      <c r="F1506" s="11">
        <v>45265</v>
      </c>
      <c r="G1506" s="8"/>
    </row>
    <row r="1507" spans="1:7" ht="18.75" customHeight="1" x14ac:dyDescent="0.2">
      <c r="A1507" s="8" t="s">
        <v>3015</v>
      </c>
      <c r="B1507" s="9">
        <v>50133</v>
      </c>
      <c r="C1507" s="9">
        <v>5902557383016</v>
      </c>
      <c r="D1507" s="10" t="s">
        <v>3016</v>
      </c>
      <c r="E1507" s="9">
        <v>173</v>
      </c>
      <c r="F1507" s="11">
        <v>45265</v>
      </c>
      <c r="G1507" s="8"/>
    </row>
    <row r="1508" spans="1:7" ht="18.75" customHeight="1" x14ac:dyDescent="0.2">
      <c r="A1508" s="8" t="s">
        <v>3017</v>
      </c>
      <c r="B1508" s="9"/>
      <c r="C1508" s="9">
        <v>5902557348701</v>
      </c>
      <c r="D1508" s="10" t="s">
        <v>3018</v>
      </c>
      <c r="E1508" s="9">
        <v>88</v>
      </c>
      <c r="F1508" s="11">
        <v>45265</v>
      </c>
      <c r="G1508" s="8"/>
    </row>
    <row r="1509" spans="1:7" ht="18.75" customHeight="1" x14ac:dyDescent="0.2">
      <c r="A1509" s="8" t="s">
        <v>3019</v>
      </c>
      <c r="B1509" s="9">
        <v>37759</v>
      </c>
      <c r="C1509" s="9">
        <v>5902557348718</v>
      </c>
      <c r="D1509" s="10" t="s">
        <v>3020</v>
      </c>
      <c r="E1509" s="9">
        <v>99</v>
      </c>
      <c r="F1509" s="11">
        <v>45548</v>
      </c>
      <c r="G1509" s="8"/>
    </row>
    <row r="1510" spans="1:7" ht="18.75" customHeight="1" x14ac:dyDescent="0.2">
      <c r="A1510" s="8" t="s">
        <v>3021</v>
      </c>
      <c r="B1510" s="9"/>
      <c r="C1510" s="9">
        <v>5902557341894</v>
      </c>
      <c r="D1510" s="10" t="s">
        <v>3022</v>
      </c>
      <c r="E1510" s="9">
        <v>60</v>
      </c>
      <c r="F1510" s="11">
        <v>45265</v>
      </c>
      <c r="G1510" s="8"/>
    </row>
    <row r="1511" spans="1:7" ht="18.75" customHeight="1" x14ac:dyDescent="0.2">
      <c r="A1511" s="8" t="s">
        <v>3023</v>
      </c>
      <c r="B1511" s="9"/>
      <c r="C1511" s="9">
        <v>5902557341900</v>
      </c>
      <c r="D1511" s="10" t="s">
        <v>3024</v>
      </c>
      <c r="E1511" s="9">
        <v>118</v>
      </c>
      <c r="F1511" s="11">
        <v>45265</v>
      </c>
      <c r="G1511" s="8"/>
    </row>
    <row r="1512" spans="1:7" ht="18.75" customHeight="1" x14ac:dyDescent="0.2">
      <c r="A1512" s="8" t="s">
        <v>3025</v>
      </c>
      <c r="B1512" s="9">
        <v>30739</v>
      </c>
      <c r="C1512" s="9">
        <v>5902557341917</v>
      </c>
      <c r="D1512" s="10" t="s">
        <v>3026</v>
      </c>
      <c r="E1512" s="9">
        <v>74</v>
      </c>
      <c r="F1512" s="11">
        <v>45265</v>
      </c>
      <c r="G1512" s="8"/>
    </row>
    <row r="1513" spans="1:7" ht="18.75" customHeight="1" x14ac:dyDescent="0.2">
      <c r="A1513" s="8" t="s">
        <v>3027</v>
      </c>
      <c r="B1513" s="9">
        <v>36865</v>
      </c>
      <c r="C1513" s="9">
        <v>5902557348725</v>
      </c>
      <c r="D1513" s="10" t="s">
        <v>3028</v>
      </c>
      <c r="E1513" s="9">
        <v>75</v>
      </c>
      <c r="F1513" s="11">
        <v>45449</v>
      </c>
      <c r="G1513" s="8"/>
    </row>
    <row r="1514" spans="1:7" ht="18.75" customHeight="1" x14ac:dyDescent="0.2">
      <c r="A1514" s="8" t="s">
        <v>3029</v>
      </c>
      <c r="B1514" s="9">
        <v>36862</v>
      </c>
      <c r="C1514" s="9">
        <v>5902557348732</v>
      </c>
      <c r="D1514" s="10" t="s">
        <v>3030</v>
      </c>
      <c r="E1514" s="9">
        <v>89</v>
      </c>
      <c r="F1514" s="11">
        <v>45575</v>
      </c>
      <c r="G1514" s="8"/>
    </row>
    <row r="1515" spans="1:7" ht="18.75" customHeight="1" x14ac:dyDescent="0.2">
      <c r="A1515" s="8" t="s">
        <v>3031</v>
      </c>
      <c r="B1515" s="9">
        <v>49860</v>
      </c>
      <c r="C1515" s="9">
        <v>5902557381425</v>
      </c>
      <c r="D1515" s="10" t="s">
        <v>3032</v>
      </c>
      <c r="E1515" s="9">
        <v>108</v>
      </c>
      <c r="F1515" s="11">
        <v>45265</v>
      </c>
      <c r="G1515" s="8"/>
    </row>
    <row r="1516" spans="1:7" ht="18.75" customHeight="1" x14ac:dyDescent="0.2">
      <c r="A1516" s="8" t="s">
        <v>3033</v>
      </c>
      <c r="B1516" s="9">
        <v>49857</v>
      </c>
      <c r="C1516" s="9">
        <v>5902557381418</v>
      </c>
      <c r="D1516" s="10" t="s">
        <v>3034</v>
      </c>
      <c r="E1516" s="9">
        <v>108</v>
      </c>
      <c r="F1516" s="11">
        <v>45265</v>
      </c>
      <c r="G1516" s="8"/>
    </row>
    <row r="1517" spans="1:7" ht="18.75" customHeight="1" x14ac:dyDescent="0.2">
      <c r="A1517" s="8" t="s">
        <v>3035</v>
      </c>
      <c r="B1517" s="9">
        <v>1702</v>
      </c>
      <c r="C1517" s="9">
        <v>5902557322879</v>
      </c>
      <c r="D1517" s="10" t="s">
        <v>3036</v>
      </c>
      <c r="E1517" s="9">
        <v>121</v>
      </c>
      <c r="F1517" s="11">
        <v>45726</v>
      </c>
      <c r="G1517" s="8"/>
    </row>
    <row r="1518" spans="1:7" ht="18.75" customHeight="1" x14ac:dyDescent="0.2">
      <c r="A1518" s="8" t="s">
        <v>3037</v>
      </c>
      <c r="B1518" s="9"/>
      <c r="C1518" s="9">
        <v>5902557327324</v>
      </c>
      <c r="D1518" s="10" t="s">
        <v>3038</v>
      </c>
      <c r="E1518" s="9">
        <v>90</v>
      </c>
      <c r="F1518" s="11">
        <v>45265</v>
      </c>
      <c r="G1518" s="8"/>
    </row>
    <row r="1519" spans="1:7" ht="18.75" customHeight="1" x14ac:dyDescent="0.2">
      <c r="A1519" s="8" t="s">
        <v>3039</v>
      </c>
      <c r="B1519" s="9">
        <v>41912</v>
      </c>
      <c r="C1519" s="9">
        <v>5902557358472</v>
      </c>
      <c r="D1519" s="10" t="s">
        <v>3040</v>
      </c>
      <c r="E1519" s="9">
        <v>115</v>
      </c>
      <c r="F1519" s="11">
        <v>45293</v>
      </c>
      <c r="G1519" s="8"/>
    </row>
    <row r="1520" spans="1:7" ht="18.75" customHeight="1" x14ac:dyDescent="0.2">
      <c r="A1520" s="8" t="s">
        <v>3041</v>
      </c>
      <c r="B1520" s="9">
        <v>49022</v>
      </c>
      <c r="C1520" s="9">
        <v>5902557376766</v>
      </c>
      <c r="D1520" s="10" t="s">
        <v>3042</v>
      </c>
      <c r="E1520" s="9">
        <v>323</v>
      </c>
      <c r="F1520" s="11">
        <v>45265</v>
      </c>
      <c r="G1520" s="8"/>
    </row>
    <row r="1521" spans="1:7" ht="18.75" customHeight="1" x14ac:dyDescent="0.2">
      <c r="A1521" s="8" t="s">
        <v>3043</v>
      </c>
      <c r="B1521" s="9">
        <v>50659</v>
      </c>
      <c r="C1521" s="9">
        <v>5902557387328</v>
      </c>
      <c r="D1521" s="10" t="s">
        <v>3044</v>
      </c>
      <c r="E1521" s="9">
        <v>277</v>
      </c>
      <c r="F1521" s="11">
        <v>45575</v>
      </c>
      <c r="G1521" s="8"/>
    </row>
    <row r="1522" spans="1:7" ht="18.75" customHeight="1" x14ac:dyDescent="0.2">
      <c r="A1522" s="8" t="s">
        <v>3045</v>
      </c>
      <c r="B1522" s="9">
        <v>49766</v>
      </c>
      <c r="C1522" s="9">
        <v>5902557383009</v>
      </c>
      <c r="D1522" s="10" t="s">
        <v>3046</v>
      </c>
      <c r="E1522" s="9">
        <v>168</v>
      </c>
      <c r="F1522" s="11">
        <v>45265</v>
      </c>
      <c r="G1522" s="8"/>
    </row>
    <row r="1523" spans="1:7" ht="18.75" customHeight="1" x14ac:dyDescent="0.2">
      <c r="A1523" s="8" t="s">
        <v>3047</v>
      </c>
      <c r="B1523" s="9">
        <v>50132</v>
      </c>
      <c r="C1523" s="9">
        <v>5902557382996</v>
      </c>
      <c r="D1523" s="10" t="s">
        <v>3048</v>
      </c>
      <c r="E1523" s="9">
        <v>157</v>
      </c>
      <c r="F1523" s="11">
        <v>45265</v>
      </c>
      <c r="G1523" s="8"/>
    </row>
    <row r="1524" spans="1:7" ht="18.75" customHeight="1" x14ac:dyDescent="0.2">
      <c r="A1524" s="8" t="s">
        <v>3049</v>
      </c>
      <c r="B1524" s="9">
        <v>23825</v>
      </c>
      <c r="C1524" s="9">
        <v>5902557332595</v>
      </c>
      <c r="D1524" s="10" t="s">
        <v>3050</v>
      </c>
      <c r="E1524" s="9">
        <v>53</v>
      </c>
      <c r="F1524" s="11">
        <v>45265</v>
      </c>
      <c r="G1524" s="8"/>
    </row>
    <row r="1525" spans="1:7" ht="18.75" customHeight="1" x14ac:dyDescent="0.2">
      <c r="A1525" s="8" t="s">
        <v>3051</v>
      </c>
      <c r="B1525" s="9">
        <v>23928</v>
      </c>
      <c r="C1525" s="9">
        <v>5902557332588</v>
      </c>
      <c r="D1525" s="10" t="s">
        <v>3052</v>
      </c>
      <c r="E1525" s="9">
        <v>124</v>
      </c>
      <c r="F1525" s="11">
        <v>45265</v>
      </c>
      <c r="G1525" s="8"/>
    </row>
    <row r="1526" spans="1:7" ht="18.75" customHeight="1" x14ac:dyDescent="0.2">
      <c r="A1526" s="8" t="s">
        <v>3053</v>
      </c>
      <c r="B1526" s="9">
        <v>1682</v>
      </c>
      <c r="C1526" s="9">
        <v>5902557315888</v>
      </c>
      <c r="D1526" s="10" t="s">
        <v>3054</v>
      </c>
      <c r="E1526" s="9">
        <v>29</v>
      </c>
      <c r="F1526" s="11">
        <v>45265</v>
      </c>
      <c r="G1526" s="8"/>
    </row>
    <row r="1527" spans="1:7" ht="18.75" customHeight="1" x14ac:dyDescent="0.2">
      <c r="A1527" s="8" t="s">
        <v>3055</v>
      </c>
      <c r="B1527" s="9"/>
      <c r="C1527" s="9">
        <v>5902557315871</v>
      </c>
      <c r="D1527" s="10" t="s">
        <v>3056</v>
      </c>
      <c r="E1527" s="9">
        <v>29</v>
      </c>
      <c r="F1527" s="11">
        <v>45265</v>
      </c>
      <c r="G1527" s="8"/>
    </row>
    <row r="1528" spans="1:7" ht="18.75" customHeight="1" x14ac:dyDescent="0.2">
      <c r="A1528" s="8" t="s">
        <v>3057</v>
      </c>
      <c r="B1528" s="9">
        <v>42863</v>
      </c>
      <c r="C1528" s="9">
        <v>5902557367313</v>
      </c>
      <c r="D1528" s="10" t="s">
        <v>3058</v>
      </c>
      <c r="E1528" s="9">
        <v>165</v>
      </c>
      <c r="F1528" s="11">
        <v>45687</v>
      </c>
      <c r="G1528" s="8"/>
    </row>
    <row r="1529" spans="1:7" ht="18.75" customHeight="1" x14ac:dyDescent="0.2">
      <c r="A1529" s="8" t="s">
        <v>3059</v>
      </c>
      <c r="B1529" s="9">
        <v>44335</v>
      </c>
      <c r="C1529" s="9">
        <v>5902557367320</v>
      </c>
      <c r="D1529" s="10" t="s">
        <v>3060</v>
      </c>
      <c r="E1529" s="9">
        <v>165</v>
      </c>
      <c r="F1529" s="11">
        <v>45687</v>
      </c>
      <c r="G1529" s="8"/>
    </row>
    <row r="1530" spans="1:7" ht="18.75" customHeight="1" x14ac:dyDescent="0.2">
      <c r="A1530" s="8" t="s">
        <v>3061</v>
      </c>
      <c r="B1530" s="9">
        <v>42862</v>
      </c>
      <c r="C1530" s="9">
        <v>5902557367306</v>
      </c>
      <c r="D1530" s="10" t="s">
        <v>3062</v>
      </c>
      <c r="E1530" s="9">
        <v>169</v>
      </c>
      <c r="F1530" s="11">
        <v>45722</v>
      </c>
      <c r="G1530" s="8"/>
    </row>
    <row r="1531" spans="1:7" ht="18.75" customHeight="1" x14ac:dyDescent="0.2">
      <c r="A1531" s="8" t="s">
        <v>3063</v>
      </c>
      <c r="B1531" s="9">
        <v>41605</v>
      </c>
      <c r="C1531" s="9">
        <v>5902557355471</v>
      </c>
      <c r="D1531" s="10" t="s">
        <v>3064</v>
      </c>
      <c r="E1531" s="9">
        <v>80</v>
      </c>
      <c r="F1531" s="11">
        <v>45726</v>
      </c>
      <c r="G1531" s="8"/>
    </row>
    <row r="1532" spans="1:7" ht="18.75" customHeight="1" x14ac:dyDescent="0.2">
      <c r="A1532" s="8" t="s">
        <v>3065</v>
      </c>
      <c r="B1532" s="9">
        <v>48055</v>
      </c>
      <c r="C1532" s="9">
        <v>5902557376551</v>
      </c>
      <c r="D1532" s="10" t="s">
        <v>3066</v>
      </c>
      <c r="E1532" s="9">
        <v>107</v>
      </c>
      <c r="F1532" s="11">
        <v>45511</v>
      </c>
      <c r="G1532" s="8"/>
    </row>
    <row r="1533" spans="1:7" ht="18.75" customHeight="1" x14ac:dyDescent="0.2">
      <c r="A1533" s="8" t="s">
        <v>3067</v>
      </c>
      <c r="B1533" s="9">
        <v>53517</v>
      </c>
      <c r="C1533" s="9">
        <v>5902557398591</v>
      </c>
      <c r="D1533" s="10" t="s">
        <v>3068</v>
      </c>
      <c r="E1533" s="9">
        <v>153</v>
      </c>
      <c r="F1533" s="11">
        <v>45722</v>
      </c>
      <c r="G1533" s="8"/>
    </row>
    <row r="1534" spans="1:7" ht="18.75" customHeight="1" x14ac:dyDescent="0.2">
      <c r="A1534" s="8" t="s">
        <v>3069</v>
      </c>
      <c r="B1534" s="9">
        <v>50279</v>
      </c>
      <c r="C1534" s="9">
        <v>5902557386307</v>
      </c>
      <c r="D1534" s="10" t="s">
        <v>3070</v>
      </c>
      <c r="E1534" s="9">
        <v>141</v>
      </c>
      <c r="F1534" s="11">
        <v>45449</v>
      </c>
      <c r="G1534" s="8"/>
    </row>
    <row r="1535" spans="1:7" ht="18.75" customHeight="1" x14ac:dyDescent="0.2">
      <c r="A1535" s="8" t="s">
        <v>3071</v>
      </c>
      <c r="B1535" s="9">
        <v>50277</v>
      </c>
      <c r="C1535" s="9">
        <v>5902557386291</v>
      </c>
      <c r="D1535" s="10" t="s">
        <v>3072</v>
      </c>
      <c r="E1535" s="9">
        <v>141</v>
      </c>
      <c r="F1535" s="11">
        <v>45687</v>
      </c>
      <c r="G1535" s="8"/>
    </row>
    <row r="1536" spans="1:7" ht="18.75" customHeight="1" x14ac:dyDescent="0.2">
      <c r="A1536" s="9" t="s">
        <v>3073</v>
      </c>
      <c r="B1536" s="9">
        <v>53971</v>
      </c>
      <c r="C1536" s="8">
        <v>5906366005855</v>
      </c>
      <c r="D1536" s="10" t="s">
        <v>3074</v>
      </c>
      <c r="E1536" s="9">
        <v>146</v>
      </c>
      <c r="F1536" s="11">
        <v>45581</v>
      </c>
      <c r="G1536" s="8"/>
    </row>
    <row r="1537" spans="1:7" ht="18.75" customHeight="1" x14ac:dyDescent="0.2">
      <c r="A1537" s="9" t="s">
        <v>3075</v>
      </c>
      <c r="B1537" s="9">
        <v>53969</v>
      </c>
      <c r="C1537" s="8">
        <v>5906366005862</v>
      </c>
      <c r="D1537" s="10" t="s">
        <v>3076</v>
      </c>
      <c r="E1537" s="9">
        <v>174</v>
      </c>
      <c r="F1537" s="11">
        <v>45581</v>
      </c>
      <c r="G1537" s="8"/>
    </row>
    <row r="1538" spans="1:7" ht="18.75" customHeight="1" x14ac:dyDescent="0.2">
      <c r="A1538" s="8" t="s">
        <v>3077</v>
      </c>
      <c r="B1538" s="9"/>
      <c r="C1538" s="9">
        <v>5902557360130</v>
      </c>
      <c r="D1538" s="10" t="s">
        <v>3078</v>
      </c>
      <c r="E1538" s="9">
        <v>59</v>
      </c>
      <c r="F1538" s="11">
        <v>45265</v>
      </c>
      <c r="G1538" s="8"/>
    </row>
    <row r="1539" spans="1:7" ht="18.75" customHeight="1" x14ac:dyDescent="0.2">
      <c r="A1539" s="8" t="s">
        <v>3079</v>
      </c>
      <c r="B1539" s="9">
        <v>28195</v>
      </c>
      <c r="C1539" s="9">
        <v>5902557336104</v>
      </c>
      <c r="D1539" s="10" t="s">
        <v>3080</v>
      </c>
      <c r="E1539" s="9">
        <v>135</v>
      </c>
      <c r="F1539" s="11">
        <v>45265</v>
      </c>
      <c r="G1539" s="8"/>
    </row>
    <row r="1540" spans="1:7" ht="18.75" customHeight="1" x14ac:dyDescent="0.2">
      <c r="A1540" s="8" t="s">
        <v>3081</v>
      </c>
      <c r="B1540" s="9">
        <v>50273</v>
      </c>
      <c r="C1540" s="9">
        <v>5902557386437</v>
      </c>
      <c r="D1540" s="10" t="s">
        <v>3082</v>
      </c>
      <c r="E1540" s="9">
        <v>173</v>
      </c>
      <c r="F1540" s="11">
        <v>45265</v>
      </c>
      <c r="G1540" s="8"/>
    </row>
    <row r="1541" spans="1:7" ht="18.75" customHeight="1" x14ac:dyDescent="0.2">
      <c r="A1541" s="8" t="s">
        <v>3083</v>
      </c>
      <c r="B1541" s="9">
        <v>29033</v>
      </c>
      <c r="C1541" s="9">
        <v>5902557336159</v>
      </c>
      <c r="D1541" s="10" t="s">
        <v>3084</v>
      </c>
      <c r="E1541" s="9">
        <v>127</v>
      </c>
      <c r="F1541" s="11">
        <v>45265</v>
      </c>
      <c r="G1541" s="8"/>
    </row>
    <row r="1542" spans="1:7" ht="18.75" customHeight="1" x14ac:dyDescent="0.2">
      <c r="A1542" s="8" t="s">
        <v>3085</v>
      </c>
      <c r="B1542" s="9"/>
      <c r="C1542" s="9">
        <v>5902557358212</v>
      </c>
      <c r="D1542" s="10" t="s">
        <v>3086</v>
      </c>
      <c r="E1542" s="9">
        <v>38</v>
      </c>
      <c r="F1542" s="11">
        <v>45265</v>
      </c>
      <c r="G1542" s="8"/>
    </row>
    <row r="1543" spans="1:7" ht="18.75" customHeight="1" x14ac:dyDescent="0.2">
      <c r="A1543" s="8" t="s">
        <v>3087</v>
      </c>
      <c r="B1543" s="9">
        <v>37473</v>
      </c>
      <c r="C1543" s="9">
        <v>5902557349852</v>
      </c>
      <c r="D1543" s="10" t="s">
        <v>3088</v>
      </c>
      <c r="E1543" s="9">
        <v>235</v>
      </c>
      <c r="F1543" s="11">
        <v>45693</v>
      </c>
      <c r="G1543" s="8"/>
    </row>
    <row r="1544" spans="1:7" ht="18.75" customHeight="1" x14ac:dyDescent="0.2">
      <c r="A1544" s="8" t="s">
        <v>3089</v>
      </c>
      <c r="B1544" s="9">
        <v>40257</v>
      </c>
      <c r="C1544" s="9">
        <v>5902557356638</v>
      </c>
      <c r="D1544" s="10" t="s">
        <v>3090</v>
      </c>
      <c r="E1544" s="9">
        <v>249</v>
      </c>
      <c r="F1544" s="11">
        <v>45485</v>
      </c>
      <c r="G1544" s="8"/>
    </row>
    <row r="1545" spans="1:7" ht="18.75" customHeight="1" x14ac:dyDescent="0.2">
      <c r="A1545" s="8" t="s">
        <v>3091</v>
      </c>
      <c r="B1545" s="9">
        <v>53545</v>
      </c>
      <c r="C1545" s="9">
        <v>5906366002601</v>
      </c>
      <c r="D1545" s="10" t="s">
        <v>3092</v>
      </c>
      <c r="E1545" s="9">
        <v>48</v>
      </c>
      <c r="F1545" s="11">
        <v>45722</v>
      </c>
      <c r="G1545" s="8"/>
    </row>
    <row r="1546" spans="1:7" ht="18.75" customHeight="1" x14ac:dyDescent="0.2">
      <c r="A1546" s="8" t="s">
        <v>3093</v>
      </c>
      <c r="B1546" s="9">
        <v>53549</v>
      </c>
      <c r="C1546" s="9">
        <v>5906366002618</v>
      </c>
      <c r="D1546" s="10" t="s">
        <v>3094</v>
      </c>
      <c r="E1546" s="9">
        <v>58</v>
      </c>
      <c r="F1546" s="11">
        <v>45511</v>
      </c>
      <c r="G1546" s="8"/>
    </row>
    <row r="1547" spans="1:7" ht="18.75" customHeight="1" x14ac:dyDescent="0.2">
      <c r="A1547" s="8" t="s">
        <v>3095</v>
      </c>
      <c r="B1547" s="9">
        <v>53504</v>
      </c>
      <c r="C1547" s="9">
        <v>5906366002625</v>
      </c>
      <c r="D1547" s="10" t="s">
        <v>3096</v>
      </c>
      <c r="E1547" s="9">
        <v>68</v>
      </c>
      <c r="F1547" s="11">
        <v>45453</v>
      </c>
      <c r="G1547" s="8"/>
    </row>
    <row r="1548" spans="1:7" ht="18.75" customHeight="1" x14ac:dyDescent="0.2">
      <c r="A1548" s="8" t="s">
        <v>3097</v>
      </c>
      <c r="B1548" s="9">
        <v>41746</v>
      </c>
      <c r="C1548" s="9">
        <v>5902557357079</v>
      </c>
      <c r="D1548" s="10" t="s">
        <v>3098</v>
      </c>
      <c r="E1548" s="9">
        <v>48</v>
      </c>
      <c r="F1548" s="11">
        <v>45265</v>
      </c>
      <c r="G1548" s="8"/>
    </row>
    <row r="1549" spans="1:7" ht="18.75" customHeight="1" x14ac:dyDescent="0.2">
      <c r="A1549" s="8" t="s">
        <v>3099</v>
      </c>
      <c r="B1549" s="9">
        <v>41898</v>
      </c>
      <c r="C1549" s="9">
        <v>5902557357093</v>
      </c>
      <c r="D1549" s="10" t="s">
        <v>3100</v>
      </c>
      <c r="E1549" s="9">
        <v>92</v>
      </c>
      <c r="F1549" s="11">
        <v>45265</v>
      </c>
      <c r="G1549" s="8"/>
    </row>
    <row r="1550" spans="1:7" ht="18.75" customHeight="1" x14ac:dyDescent="0.2">
      <c r="A1550" s="8" t="s">
        <v>3101</v>
      </c>
      <c r="B1550" s="9">
        <v>42245</v>
      </c>
      <c r="C1550" s="9">
        <v>5902557357086</v>
      </c>
      <c r="D1550" s="10" t="s">
        <v>3102</v>
      </c>
      <c r="E1550" s="9">
        <v>92</v>
      </c>
      <c r="F1550" s="11">
        <v>45265</v>
      </c>
      <c r="G1550" s="8"/>
    </row>
    <row r="1551" spans="1:7" ht="18.75" customHeight="1" x14ac:dyDescent="0.2">
      <c r="A1551" s="8" t="s">
        <v>3103</v>
      </c>
      <c r="B1551" s="9">
        <v>17842</v>
      </c>
      <c r="C1551" s="9">
        <v>5902557332076</v>
      </c>
      <c r="D1551" s="10" t="s">
        <v>3104</v>
      </c>
      <c r="E1551" s="9">
        <v>47</v>
      </c>
      <c r="F1551" s="11">
        <v>45328</v>
      </c>
      <c r="G1551" s="8"/>
    </row>
    <row r="1552" spans="1:7" ht="18.75" customHeight="1" x14ac:dyDescent="0.2">
      <c r="A1552" s="8" t="s">
        <v>3105</v>
      </c>
      <c r="B1552" s="9">
        <v>43002</v>
      </c>
      <c r="C1552" s="9">
        <v>5902557366644</v>
      </c>
      <c r="D1552" s="10" t="s">
        <v>3106</v>
      </c>
      <c r="E1552" s="9">
        <v>79</v>
      </c>
      <c r="F1552" s="11">
        <v>45511</v>
      </c>
      <c r="G1552" s="8"/>
    </row>
    <row r="1553" spans="1:7" ht="18.75" customHeight="1" x14ac:dyDescent="0.2">
      <c r="A1553" s="8" t="s">
        <v>3107</v>
      </c>
      <c r="B1553" s="9">
        <v>41702</v>
      </c>
      <c r="C1553" s="9">
        <v>5902557357116</v>
      </c>
      <c r="D1553" s="10" t="s">
        <v>3108</v>
      </c>
      <c r="E1553" s="9">
        <v>47</v>
      </c>
      <c r="F1553" s="11">
        <v>45495</v>
      </c>
      <c r="G1553" s="8"/>
    </row>
    <row r="1554" spans="1:7" ht="18.75" customHeight="1" x14ac:dyDescent="0.2">
      <c r="A1554" s="8" t="s">
        <v>3109</v>
      </c>
      <c r="B1554" s="9">
        <v>49848</v>
      </c>
      <c r="C1554" s="9">
        <v>5902557381296</v>
      </c>
      <c r="D1554" s="10" t="s">
        <v>3110</v>
      </c>
      <c r="E1554" s="9">
        <v>64</v>
      </c>
      <c r="F1554" s="11">
        <v>45265</v>
      </c>
      <c r="G1554" s="8"/>
    </row>
    <row r="1555" spans="1:7" ht="18.75" customHeight="1" x14ac:dyDescent="0.2">
      <c r="A1555" s="8" t="s">
        <v>3111</v>
      </c>
      <c r="B1555" s="9"/>
      <c r="C1555" s="9">
        <v>5902557335701</v>
      </c>
      <c r="D1555" s="10" t="s">
        <v>3112</v>
      </c>
      <c r="E1555" s="9">
        <v>67</v>
      </c>
      <c r="F1555" s="11">
        <v>45265</v>
      </c>
      <c r="G1555" s="8"/>
    </row>
    <row r="1556" spans="1:7" ht="18.75" customHeight="1" x14ac:dyDescent="0.2">
      <c r="A1556" s="8" t="s">
        <v>3113</v>
      </c>
      <c r="B1556" s="9">
        <v>51375</v>
      </c>
      <c r="C1556" s="9">
        <v>5902557393589</v>
      </c>
      <c r="D1556" s="10" t="s">
        <v>3114</v>
      </c>
      <c r="E1556" s="9">
        <v>99</v>
      </c>
      <c r="F1556" s="11">
        <v>45265</v>
      </c>
      <c r="G1556" s="8"/>
    </row>
    <row r="1557" spans="1:7" ht="18.75" customHeight="1" x14ac:dyDescent="0.2">
      <c r="A1557" s="8" t="s">
        <v>3115</v>
      </c>
      <c r="B1557" s="9">
        <v>31447</v>
      </c>
      <c r="C1557" s="9">
        <v>5902557342280</v>
      </c>
      <c r="D1557" s="10" t="s">
        <v>3116</v>
      </c>
      <c r="E1557" s="9">
        <v>207</v>
      </c>
      <c r="F1557" s="11">
        <v>45265</v>
      </c>
      <c r="G1557" s="8"/>
    </row>
    <row r="1558" spans="1:7" ht="18.75" customHeight="1" x14ac:dyDescent="0.2">
      <c r="A1558" s="8" t="s">
        <v>3117</v>
      </c>
      <c r="B1558" s="9">
        <v>43037</v>
      </c>
      <c r="C1558" s="9">
        <v>5902557363605</v>
      </c>
      <c r="D1558" s="10" t="s">
        <v>3118</v>
      </c>
      <c r="E1558" s="9">
        <v>231</v>
      </c>
      <c r="F1558" s="11">
        <v>45265</v>
      </c>
      <c r="G1558" s="8"/>
    </row>
    <row r="1559" spans="1:7" ht="18.75" customHeight="1" x14ac:dyDescent="0.2">
      <c r="A1559" s="8" t="s">
        <v>3119</v>
      </c>
      <c r="B1559" s="9">
        <v>31443</v>
      </c>
      <c r="C1559" s="9">
        <v>5902557342259</v>
      </c>
      <c r="D1559" s="10" t="s">
        <v>3120</v>
      </c>
      <c r="E1559" s="9">
        <v>115</v>
      </c>
      <c r="F1559" s="11">
        <v>45265</v>
      </c>
      <c r="G1559" s="8"/>
    </row>
    <row r="1560" spans="1:7" ht="18.75" customHeight="1" x14ac:dyDescent="0.2">
      <c r="A1560" s="8" t="s">
        <v>3121</v>
      </c>
      <c r="B1560" s="9">
        <v>41938</v>
      </c>
      <c r="C1560" s="9">
        <v>5902557357130</v>
      </c>
      <c r="D1560" s="10" t="s">
        <v>3122</v>
      </c>
      <c r="E1560" s="9">
        <v>150</v>
      </c>
      <c r="F1560" s="11">
        <v>45461</v>
      </c>
      <c r="G1560" s="8"/>
    </row>
    <row r="1561" spans="1:7" ht="18.75" customHeight="1" x14ac:dyDescent="0.2">
      <c r="A1561" s="8" t="s">
        <v>3123</v>
      </c>
      <c r="B1561" s="9">
        <v>31444</v>
      </c>
      <c r="C1561" s="9">
        <v>5902557342266</v>
      </c>
      <c r="D1561" s="10" t="s">
        <v>3124</v>
      </c>
      <c r="E1561" s="9">
        <v>138</v>
      </c>
      <c r="F1561" s="11">
        <v>45265</v>
      </c>
      <c r="G1561" s="8"/>
    </row>
    <row r="1562" spans="1:7" ht="18.75" customHeight="1" x14ac:dyDescent="0.2">
      <c r="A1562" s="8" t="s">
        <v>3125</v>
      </c>
      <c r="B1562" s="9">
        <v>41937</v>
      </c>
      <c r="C1562" s="9">
        <v>5902557357147</v>
      </c>
      <c r="D1562" s="10" t="s">
        <v>3126</v>
      </c>
      <c r="E1562" s="9">
        <v>173</v>
      </c>
      <c r="F1562" s="11">
        <v>45461</v>
      </c>
      <c r="G1562" s="8"/>
    </row>
    <row r="1563" spans="1:7" ht="18.75" customHeight="1" x14ac:dyDescent="0.2">
      <c r="A1563" s="8" t="s">
        <v>3127</v>
      </c>
      <c r="B1563" s="9">
        <v>31446</v>
      </c>
      <c r="C1563" s="9">
        <v>5902557342273</v>
      </c>
      <c r="D1563" s="10" t="s">
        <v>3128</v>
      </c>
      <c r="E1563" s="9">
        <v>154</v>
      </c>
      <c r="F1563" s="11">
        <v>45265</v>
      </c>
      <c r="G1563" s="8"/>
    </row>
    <row r="1564" spans="1:7" ht="18.75" customHeight="1" x14ac:dyDescent="0.2">
      <c r="A1564" s="8" t="s">
        <v>3129</v>
      </c>
      <c r="B1564" s="9">
        <v>41936</v>
      </c>
      <c r="C1564" s="9">
        <v>5902557357154</v>
      </c>
      <c r="D1564" s="10" t="s">
        <v>3130</v>
      </c>
      <c r="E1564" s="9">
        <v>194</v>
      </c>
      <c r="F1564" s="11">
        <v>45461</v>
      </c>
      <c r="G1564" s="8"/>
    </row>
    <row r="1565" spans="1:7" ht="18.75" customHeight="1" x14ac:dyDescent="0.2">
      <c r="A1565" s="8" t="s">
        <v>3131</v>
      </c>
      <c r="B1565" s="9">
        <v>37769</v>
      </c>
      <c r="C1565" s="9">
        <v>5902557350254</v>
      </c>
      <c r="D1565" s="10" t="s">
        <v>3132</v>
      </c>
      <c r="E1565" s="9">
        <v>81</v>
      </c>
      <c r="F1565" s="11">
        <v>45265</v>
      </c>
      <c r="G1565" s="8"/>
    </row>
    <row r="1566" spans="1:7" ht="18.75" customHeight="1" x14ac:dyDescent="0.2">
      <c r="A1566" s="8" t="s">
        <v>3133</v>
      </c>
      <c r="B1566" s="9">
        <v>37768</v>
      </c>
      <c r="C1566" s="9">
        <v>5902557350247</v>
      </c>
      <c r="D1566" s="10" t="s">
        <v>3134</v>
      </c>
      <c r="E1566" s="9">
        <v>68</v>
      </c>
      <c r="F1566" s="11">
        <v>45610</v>
      </c>
      <c r="G1566" s="8"/>
    </row>
    <row r="1567" spans="1:7" ht="18.75" customHeight="1" x14ac:dyDescent="0.2">
      <c r="A1567" s="8" t="s">
        <v>3135</v>
      </c>
      <c r="B1567" s="9">
        <v>37767</v>
      </c>
      <c r="C1567" s="9">
        <v>5902557350230</v>
      </c>
      <c r="D1567" s="10" t="s">
        <v>3136</v>
      </c>
      <c r="E1567" s="9">
        <v>85</v>
      </c>
      <c r="F1567" s="11">
        <v>45699</v>
      </c>
      <c r="G1567" s="8"/>
    </row>
    <row r="1568" spans="1:7" ht="18.75" customHeight="1" x14ac:dyDescent="0.2">
      <c r="A1568" s="8" t="s">
        <v>3137</v>
      </c>
      <c r="B1568" s="9">
        <v>1679</v>
      </c>
      <c r="C1568" s="9">
        <v>5902557320530</v>
      </c>
      <c r="D1568" s="10" t="s">
        <v>3138</v>
      </c>
      <c r="E1568" s="9">
        <v>48</v>
      </c>
      <c r="F1568" s="11">
        <v>45265</v>
      </c>
      <c r="G1568" s="8"/>
    </row>
    <row r="1569" spans="1:7" ht="18.75" customHeight="1" x14ac:dyDescent="0.2">
      <c r="A1569" s="8" t="s">
        <v>3139</v>
      </c>
      <c r="B1569" s="9"/>
      <c r="C1569" s="9">
        <v>5902557357468</v>
      </c>
      <c r="D1569" s="10" t="s">
        <v>3140</v>
      </c>
      <c r="E1569" s="9">
        <v>32</v>
      </c>
      <c r="F1569" s="11">
        <v>45265</v>
      </c>
      <c r="G1569" s="8"/>
    </row>
    <row r="1570" spans="1:7" ht="18.75" customHeight="1" x14ac:dyDescent="0.2">
      <c r="A1570" s="8" t="s">
        <v>3141</v>
      </c>
      <c r="B1570" s="9">
        <v>52345</v>
      </c>
      <c r="C1570" s="9">
        <v>5902557396306</v>
      </c>
      <c r="D1570" s="10" t="s">
        <v>3142</v>
      </c>
      <c r="E1570" s="9">
        <v>69</v>
      </c>
      <c r="F1570" s="11">
        <v>45467</v>
      </c>
      <c r="G1570" s="8"/>
    </row>
    <row r="1571" spans="1:7" ht="18.75" customHeight="1" x14ac:dyDescent="0.2">
      <c r="A1571" s="8" t="s">
        <v>3143</v>
      </c>
      <c r="B1571" s="9">
        <v>30747</v>
      </c>
      <c r="C1571" s="9">
        <v>5902557341764</v>
      </c>
      <c r="D1571" s="10" t="s">
        <v>3144</v>
      </c>
      <c r="E1571" s="9">
        <v>61</v>
      </c>
      <c r="F1571" s="11">
        <v>45265</v>
      </c>
      <c r="G1571" s="8"/>
    </row>
    <row r="1572" spans="1:7" ht="18.75" customHeight="1" x14ac:dyDescent="0.2">
      <c r="A1572" s="8" t="s">
        <v>3145</v>
      </c>
      <c r="B1572" s="9"/>
      <c r="C1572" s="9">
        <v>5902557319091</v>
      </c>
      <c r="D1572" s="10" t="s">
        <v>3146</v>
      </c>
      <c r="E1572" s="9">
        <v>37</v>
      </c>
      <c r="F1572" s="11">
        <v>45265</v>
      </c>
      <c r="G1572" s="8"/>
    </row>
    <row r="1573" spans="1:7" ht="18.75" customHeight="1" x14ac:dyDescent="0.2">
      <c r="A1573" s="8" t="s">
        <v>3147</v>
      </c>
      <c r="B1573" s="9">
        <v>30399</v>
      </c>
      <c r="C1573" s="9">
        <v>5902557332502</v>
      </c>
      <c r="D1573" s="10" t="s">
        <v>3148</v>
      </c>
      <c r="E1573" s="9">
        <v>54</v>
      </c>
      <c r="F1573" s="11">
        <v>45693</v>
      </c>
      <c r="G1573" s="8"/>
    </row>
    <row r="1574" spans="1:7" ht="18.75" customHeight="1" x14ac:dyDescent="0.2">
      <c r="A1574" s="8" t="s">
        <v>3149</v>
      </c>
      <c r="B1574" s="9">
        <v>43149</v>
      </c>
      <c r="C1574" s="9">
        <v>5902557366583</v>
      </c>
      <c r="D1574" s="10" t="s">
        <v>3150</v>
      </c>
      <c r="E1574" s="9">
        <v>77</v>
      </c>
      <c r="F1574" s="11">
        <v>45265</v>
      </c>
      <c r="G1574" s="8"/>
    </row>
    <row r="1575" spans="1:7" ht="18.75" customHeight="1" x14ac:dyDescent="0.2">
      <c r="A1575" s="8" t="s">
        <v>3151</v>
      </c>
      <c r="B1575" s="9">
        <v>41607</v>
      </c>
      <c r="C1575" s="9">
        <v>5902557357062</v>
      </c>
      <c r="D1575" s="10" t="s">
        <v>3152</v>
      </c>
      <c r="E1575" s="9">
        <v>81</v>
      </c>
      <c r="F1575" s="11">
        <v>45265</v>
      </c>
      <c r="G1575" s="8"/>
    </row>
    <row r="1576" spans="1:7" ht="18.75" customHeight="1" x14ac:dyDescent="0.2">
      <c r="A1576" s="8" t="s">
        <v>3153</v>
      </c>
      <c r="B1576" s="9">
        <v>42278</v>
      </c>
      <c r="C1576" s="9">
        <v>5902557362660</v>
      </c>
      <c r="D1576" s="10" t="s">
        <v>3154</v>
      </c>
      <c r="E1576" s="9">
        <v>82</v>
      </c>
      <c r="F1576" s="11">
        <v>45566</v>
      </c>
      <c r="G1576" s="8"/>
    </row>
    <row r="1577" spans="1:7" ht="18.75" customHeight="1" x14ac:dyDescent="0.2">
      <c r="A1577" s="8" t="s">
        <v>3155</v>
      </c>
      <c r="B1577" s="9">
        <v>41969</v>
      </c>
      <c r="C1577" s="9">
        <v>5902557362677</v>
      </c>
      <c r="D1577" s="10" t="s">
        <v>3156</v>
      </c>
      <c r="E1577" s="9">
        <v>82</v>
      </c>
      <c r="F1577" s="11">
        <v>45447</v>
      </c>
      <c r="G1577" s="8"/>
    </row>
    <row r="1578" spans="1:7" ht="18.75" customHeight="1" x14ac:dyDescent="0.2">
      <c r="A1578" s="8" t="s">
        <v>3157</v>
      </c>
      <c r="B1578" s="9">
        <v>42282</v>
      </c>
      <c r="C1578" s="9">
        <v>5902557362691</v>
      </c>
      <c r="D1578" s="10" t="s">
        <v>3158</v>
      </c>
      <c r="E1578" s="9">
        <v>85</v>
      </c>
      <c r="F1578" s="11">
        <v>45693</v>
      </c>
      <c r="G1578" s="8"/>
    </row>
    <row r="1579" spans="1:7" ht="18.75" customHeight="1" x14ac:dyDescent="0.2">
      <c r="A1579" s="8" t="s">
        <v>3159</v>
      </c>
      <c r="B1579" s="9">
        <v>41970</v>
      </c>
      <c r="C1579" s="9">
        <v>5902557362684</v>
      </c>
      <c r="D1579" s="10" t="s">
        <v>3160</v>
      </c>
      <c r="E1579" s="9">
        <v>87</v>
      </c>
      <c r="F1579" s="11">
        <v>45722</v>
      </c>
      <c r="G1579" s="8"/>
    </row>
    <row r="1580" spans="1:7" ht="18.75" customHeight="1" x14ac:dyDescent="0.2">
      <c r="A1580" s="8" t="s">
        <v>3161</v>
      </c>
      <c r="B1580" s="9">
        <v>42974</v>
      </c>
      <c r="C1580" s="9">
        <v>5902557366101</v>
      </c>
      <c r="D1580" s="10" t="s">
        <v>3162</v>
      </c>
      <c r="E1580" s="9">
        <v>37</v>
      </c>
      <c r="F1580" s="11">
        <v>45314</v>
      </c>
      <c r="G1580" s="8"/>
    </row>
    <row r="1581" spans="1:7" ht="18.75" customHeight="1" x14ac:dyDescent="0.2">
      <c r="A1581" s="8" t="s">
        <v>3163</v>
      </c>
      <c r="B1581" s="9">
        <v>1717</v>
      </c>
      <c r="C1581" s="9">
        <v>5902557319640</v>
      </c>
      <c r="D1581" s="10" t="s">
        <v>3164</v>
      </c>
      <c r="E1581" s="9">
        <v>97</v>
      </c>
      <c r="F1581" s="11">
        <v>45265</v>
      </c>
      <c r="G1581" s="8"/>
    </row>
    <row r="1582" spans="1:7" ht="18.75" customHeight="1" x14ac:dyDescent="0.2">
      <c r="A1582" s="8" t="s">
        <v>3165</v>
      </c>
      <c r="B1582" s="9">
        <v>41606</v>
      </c>
      <c r="C1582" s="9">
        <v>5902557357055</v>
      </c>
      <c r="D1582" s="10" t="s">
        <v>3166</v>
      </c>
      <c r="E1582" s="9">
        <v>82</v>
      </c>
      <c r="F1582" s="11">
        <v>45531</v>
      </c>
      <c r="G1582" s="8"/>
    </row>
    <row r="1583" spans="1:7" ht="18.75" customHeight="1" x14ac:dyDescent="0.2">
      <c r="A1583" s="8" t="s">
        <v>3167</v>
      </c>
      <c r="B1583" s="9">
        <v>52112</v>
      </c>
      <c r="C1583" s="8">
        <v>5902557395279</v>
      </c>
      <c r="D1583" s="10" t="s">
        <v>3168</v>
      </c>
      <c r="E1583" s="9">
        <v>52</v>
      </c>
      <c r="F1583" s="11">
        <v>45618</v>
      </c>
      <c r="G1583" s="8"/>
    </row>
    <row r="1584" spans="1:7" ht="18.75" customHeight="1" x14ac:dyDescent="0.2">
      <c r="A1584" s="8" t="s">
        <v>3169</v>
      </c>
      <c r="B1584" s="9">
        <v>54289</v>
      </c>
      <c r="C1584" s="8">
        <v>5906366006401</v>
      </c>
      <c r="D1584" s="10" t="s">
        <v>3170</v>
      </c>
      <c r="E1584" s="9">
        <v>77</v>
      </c>
      <c r="F1584" s="11">
        <v>45644</v>
      </c>
      <c r="G1584" s="8"/>
    </row>
    <row r="1585" spans="1:7" ht="18.75" customHeight="1" x14ac:dyDescent="0.2">
      <c r="A1585" s="8" t="s">
        <v>3171</v>
      </c>
      <c r="B1585" s="9">
        <v>54341</v>
      </c>
      <c r="C1585" s="8">
        <v>5906366006388</v>
      </c>
      <c r="D1585" s="10" t="s">
        <v>3172</v>
      </c>
      <c r="E1585" s="9">
        <v>77</v>
      </c>
      <c r="F1585" s="11">
        <v>45644</v>
      </c>
      <c r="G1585" s="8"/>
    </row>
    <row r="1586" spans="1:7" ht="18.75" customHeight="1" x14ac:dyDescent="0.2">
      <c r="A1586" s="8" t="s">
        <v>3173</v>
      </c>
      <c r="B1586" s="9">
        <v>54139</v>
      </c>
      <c r="C1586" s="8">
        <v>5906366006395</v>
      </c>
      <c r="D1586" s="10" t="s">
        <v>3174</v>
      </c>
      <c r="E1586" s="9">
        <v>77</v>
      </c>
      <c r="F1586" s="11">
        <v>45646</v>
      </c>
      <c r="G1586" s="8"/>
    </row>
    <row r="1587" spans="1:7" ht="18.75" customHeight="1" x14ac:dyDescent="0.2">
      <c r="A1587" s="8" t="s">
        <v>3175</v>
      </c>
      <c r="B1587" s="9">
        <v>38034</v>
      </c>
      <c r="C1587" s="9">
        <v>5902557350223</v>
      </c>
      <c r="D1587" s="10" t="s">
        <v>3176</v>
      </c>
      <c r="E1587" s="9">
        <v>81</v>
      </c>
      <c r="F1587" s="11">
        <v>45462</v>
      </c>
      <c r="G1587" s="8"/>
    </row>
    <row r="1588" spans="1:7" ht="18.75" customHeight="1" x14ac:dyDescent="0.2">
      <c r="A1588" s="8" t="s">
        <v>3177</v>
      </c>
      <c r="B1588" s="9">
        <v>38033</v>
      </c>
      <c r="C1588" s="9">
        <v>5902557350216</v>
      </c>
      <c r="D1588" s="10" t="s">
        <v>3178</v>
      </c>
      <c r="E1588" s="9">
        <v>81</v>
      </c>
      <c r="F1588" s="11">
        <v>45351</v>
      </c>
      <c r="G1588" s="8"/>
    </row>
    <row r="1589" spans="1:7" ht="18.75" customHeight="1" x14ac:dyDescent="0.2">
      <c r="A1589" s="8" t="s">
        <v>3179</v>
      </c>
      <c r="B1589" s="9">
        <v>38035</v>
      </c>
      <c r="C1589" s="9">
        <v>5902557350209</v>
      </c>
      <c r="D1589" s="10" t="s">
        <v>3180</v>
      </c>
      <c r="E1589" s="9">
        <v>83</v>
      </c>
      <c r="F1589" s="11">
        <v>45265</v>
      </c>
      <c r="G1589" s="8"/>
    </row>
    <row r="1590" spans="1:7" ht="18.75" customHeight="1" x14ac:dyDescent="0.2">
      <c r="A1590" s="8" t="s">
        <v>3181</v>
      </c>
      <c r="B1590" s="9">
        <v>26992</v>
      </c>
      <c r="C1590" s="9">
        <v>5902557335657</v>
      </c>
      <c r="D1590" s="10" t="s">
        <v>3182</v>
      </c>
      <c r="E1590" s="9">
        <v>90</v>
      </c>
      <c r="F1590" s="11">
        <v>45265</v>
      </c>
      <c r="G1590" s="8"/>
    </row>
    <row r="1591" spans="1:7" ht="18.75" customHeight="1" x14ac:dyDescent="0.2">
      <c r="A1591" s="8" t="s">
        <v>3183</v>
      </c>
      <c r="B1591" s="9"/>
      <c r="C1591" s="9">
        <v>5902557300303</v>
      </c>
      <c r="D1591" s="10" t="s">
        <v>3184</v>
      </c>
      <c r="E1591" s="9">
        <v>61</v>
      </c>
      <c r="F1591" s="11">
        <v>45265</v>
      </c>
      <c r="G1591" s="8"/>
    </row>
    <row r="1592" spans="1:7" ht="18.75" customHeight="1" x14ac:dyDescent="0.2">
      <c r="A1592" s="8" t="s">
        <v>3185</v>
      </c>
      <c r="B1592" s="9"/>
      <c r="C1592" s="9">
        <v>5902557341788</v>
      </c>
      <c r="D1592" s="10" t="s">
        <v>3186</v>
      </c>
      <c r="E1592" s="9">
        <v>51</v>
      </c>
      <c r="F1592" s="11">
        <v>45265</v>
      </c>
      <c r="G1592" s="8"/>
    </row>
    <row r="1593" spans="1:7" ht="18.75" customHeight="1" x14ac:dyDescent="0.2">
      <c r="A1593" s="8" t="s">
        <v>3187</v>
      </c>
      <c r="B1593" s="9">
        <v>31219</v>
      </c>
      <c r="C1593" s="9">
        <v>5902557341818</v>
      </c>
      <c r="D1593" s="10" t="s">
        <v>3188</v>
      </c>
      <c r="E1593" s="9">
        <v>73</v>
      </c>
      <c r="F1593" s="11">
        <v>45265</v>
      </c>
      <c r="G1593" s="8"/>
    </row>
    <row r="1594" spans="1:7" ht="18.75" customHeight="1" x14ac:dyDescent="0.2">
      <c r="A1594" s="8" t="s">
        <v>3189</v>
      </c>
      <c r="B1594" s="9"/>
      <c r="C1594" s="9">
        <v>5902557341801</v>
      </c>
      <c r="D1594" s="10" t="s">
        <v>3190</v>
      </c>
      <c r="E1594" s="9">
        <v>95</v>
      </c>
      <c r="F1594" s="11">
        <v>45265</v>
      </c>
      <c r="G1594" s="8"/>
    </row>
    <row r="1595" spans="1:7" ht="18.75" customHeight="1" x14ac:dyDescent="0.2">
      <c r="A1595" s="8" t="s">
        <v>3191</v>
      </c>
      <c r="B1595" s="9">
        <v>31519</v>
      </c>
      <c r="C1595" s="9">
        <v>5902557341825</v>
      </c>
      <c r="D1595" s="10" t="s">
        <v>3192</v>
      </c>
      <c r="E1595" s="9">
        <v>73</v>
      </c>
      <c r="F1595" s="11">
        <v>45265</v>
      </c>
      <c r="G1595" s="8"/>
    </row>
    <row r="1596" spans="1:7" ht="18.75" customHeight="1" x14ac:dyDescent="0.2">
      <c r="A1596" s="8" t="s">
        <v>3193</v>
      </c>
      <c r="B1596" s="9">
        <v>30769</v>
      </c>
      <c r="C1596" s="9">
        <v>5902557341795</v>
      </c>
      <c r="D1596" s="10" t="s">
        <v>3194</v>
      </c>
      <c r="E1596" s="9">
        <v>73</v>
      </c>
      <c r="F1596" s="11">
        <v>45265</v>
      </c>
      <c r="G1596" s="8"/>
    </row>
    <row r="1597" spans="1:7" ht="18.75" customHeight="1" x14ac:dyDescent="0.2">
      <c r="A1597" s="8" t="s">
        <v>3195</v>
      </c>
      <c r="B1597" s="9">
        <v>30743</v>
      </c>
      <c r="C1597" s="9">
        <v>5902557341832</v>
      </c>
      <c r="D1597" s="10" t="s">
        <v>3196</v>
      </c>
      <c r="E1597" s="9">
        <v>70</v>
      </c>
      <c r="F1597" s="11">
        <v>45265</v>
      </c>
      <c r="G1597" s="8"/>
    </row>
    <row r="1598" spans="1:7" ht="18.75" customHeight="1" x14ac:dyDescent="0.2">
      <c r="A1598" s="8" t="s">
        <v>3197</v>
      </c>
      <c r="B1598" s="9">
        <v>30745</v>
      </c>
      <c r="C1598" s="9">
        <v>5902557341863</v>
      </c>
      <c r="D1598" s="10" t="s">
        <v>3198</v>
      </c>
      <c r="E1598" s="9">
        <v>91</v>
      </c>
      <c r="F1598" s="11">
        <v>45265</v>
      </c>
      <c r="G1598" s="8"/>
    </row>
    <row r="1599" spans="1:7" ht="18.75" customHeight="1" x14ac:dyDescent="0.2">
      <c r="A1599" s="8" t="s">
        <v>3199</v>
      </c>
      <c r="B1599" s="9"/>
      <c r="C1599" s="9">
        <v>5902557341856</v>
      </c>
      <c r="D1599" s="10" t="s">
        <v>3200</v>
      </c>
      <c r="E1599" s="9">
        <v>107</v>
      </c>
      <c r="F1599" s="11">
        <v>45265</v>
      </c>
      <c r="G1599" s="8"/>
    </row>
    <row r="1600" spans="1:7" ht="18.75" customHeight="1" x14ac:dyDescent="0.2">
      <c r="A1600" s="8" t="s">
        <v>3201</v>
      </c>
      <c r="B1600" s="9">
        <v>33250</v>
      </c>
      <c r="C1600" s="9">
        <v>5902557341870</v>
      </c>
      <c r="D1600" s="10" t="s">
        <v>3202</v>
      </c>
      <c r="E1600" s="9">
        <v>91</v>
      </c>
      <c r="F1600" s="11">
        <v>45265</v>
      </c>
      <c r="G1600" s="8"/>
    </row>
    <row r="1601" spans="1:7" ht="18.75" customHeight="1" x14ac:dyDescent="0.2">
      <c r="A1601" s="8" t="s">
        <v>3203</v>
      </c>
      <c r="B1601" s="9">
        <v>33236</v>
      </c>
      <c r="C1601" s="9">
        <v>5902557341849</v>
      </c>
      <c r="D1601" s="10" t="s">
        <v>3204</v>
      </c>
      <c r="E1601" s="9">
        <v>91</v>
      </c>
      <c r="F1601" s="11">
        <v>45265</v>
      </c>
      <c r="G1601" s="8"/>
    </row>
    <row r="1602" spans="1:7" ht="18.75" customHeight="1" x14ac:dyDescent="0.2">
      <c r="A1602" s="8" t="s">
        <v>3205</v>
      </c>
      <c r="B1602" s="9">
        <v>50966</v>
      </c>
      <c r="C1602" s="9">
        <v>5902557392322</v>
      </c>
      <c r="D1602" s="10" t="s">
        <v>3206</v>
      </c>
      <c r="E1602" s="9">
        <v>101</v>
      </c>
      <c r="F1602" s="11">
        <v>45687</v>
      </c>
      <c r="G1602" s="8"/>
    </row>
    <row r="1603" spans="1:7" ht="18.75" customHeight="1" x14ac:dyDescent="0.2">
      <c r="A1603" s="8" t="s">
        <v>3207</v>
      </c>
      <c r="B1603" s="9">
        <v>43508</v>
      </c>
      <c r="C1603" s="9">
        <v>5902557363650</v>
      </c>
      <c r="D1603" s="10" t="s">
        <v>3208</v>
      </c>
      <c r="E1603" s="9">
        <v>80</v>
      </c>
      <c r="F1603" s="11">
        <v>45265</v>
      </c>
      <c r="G1603" s="8"/>
    </row>
    <row r="1604" spans="1:7" ht="18.75" customHeight="1" x14ac:dyDescent="0.2">
      <c r="A1604" s="8" t="s">
        <v>3209</v>
      </c>
      <c r="B1604" s="9">
        <v>1660</v>
      </c>
      <c r="C1604" s="9">
        <v>5902557300020</v>
      </c>
      <c r="D1604" s="10" t="s">
        <v>3210</v>
      </c>
      <c r="E1604" s="9">
        <v>46</v>
      </c>
      <c r="F1604" s="11">
        <v>45265</v>
      </c>
      <c r="G1604" s="8"/>
    </row>
    <row r="1605" spans="1:7" ht="18.75" customHeight="1" x14ac:dyDescent="0.2">
      <c r="A1605" s="8" t="s">
        <v>3211</v>
      </c>
      <c r="B1605" s="9">
        <v>50959</v>
      </c>
      <c r="C1605" s="9">
        <v>5902557392285</v>
      </c>
      <c r="D1605" s="10" t="s">
        <v>3212</v>
      </c>
      <c r="E1605" s="9">
        <v>101</v>
      </c>
      <c r="F1605" s="11">
        <v>45265</v>
      </c>
      <c r="G1605" s="8"/>
    </row>
    <row r="1606" spans="1:7" ht="18.75" customHeight="1" x14ac:dyDescent="0.2">
      <c r="A1606" s="8" t="s">
        <v>3213</v>
      </c>
      <c r="B1606" s="9">
        <v>52664</v>
      </c>
      <c r="C1606" s="9">
        <v>5902557396238</v>
      </c>
      <c r="D1606" s="10" t="s">
        <v>3214</v>
      </c>
      <c r="E1606" s="9">
        <v>92</v>
      </c>
      <c r="F1606" s="11">
        <v>45376</v>
      </c>
      <c r="G1606" s="8"/>
    </row>
    <row r="1607" spans="1:7" ht="18.75" customHeight="1" x14ac:dyDescent="0.2">
      <c r="A1607" s="15" t="s">
        <v>3215</v>
      </c>
      <c r="B1607" s="9">
        <v>52447</v>
      </c>
      <c r="C1607" s="9">
        <v>5902557396702</v>
      </c>
      <c r="D1607" s="10" t="s">
        <v>3216</v>
      </c>
      <c r="E1607" s="9">
        <v>84</v>
      </c>
      <c r="F1607" s="11">
        <v>45579</v>
      </c>
      <c r="G1607" s="8"/>
    </row>
    <row r="1608" spans="1:7" ht="18.75" customHeight="1" x14ac:dyDescent="0.2">
      <c r="A1608" s="8" t="s">
        <v>3217</v>
      </c>
      <c r="B1608" s="9">
        <v>29035</v>
      </c>
      <c r="C1608" s="9">
        <v>5902557336142</v>
      </c>
      <c r="D1608" s="10" t="s">
        <v>3218</v>
      </c>
      <c r="E1608" s="9">
        <v>84</v>
      </c>
      <c r="F1608" s="11">
        <v>45490</v>
      </c>
      <c r="G1608" s="8"/>
    </row>
    <row r="1609" spans="1:7" ht="18.75" customHeight="1" x14ac:dyDescent="0.2">
      <c r="A1609" s="8" t="s">
        <v>3219</v>
      </c>
      <c r="B1609" s="9">
        <v>42041</v>
      </c>
      <c r="C1609" s="9">
        <v>5902557358632</v>
      </c>
      <c r="D1609" s="10" t="s">
        <v>3220</v>
      </c>
      <c r="E1609" s="9">
        <v>146</v>
      </c>
      <c r="F1609" s="11">
        <v>45566</v>
      </c>
      <c r="G1609" s="8"/>
    </row>
    <row r="1610" spans="1:7" ht="18.75" customHeight="1" x14ac:dyDescent="0.2">
      <c r="A1610" s="8" t="s">
        <v>3221</v>
      </c>
      <c r="B1610" s="9">
        <v>33731</v>
      </c>
      <c r="C1610" s="9">
        <v>5902557345120</v>
      </c>
      <c r="D1610" s="10" t="s">
        <v>3222</v>
      </c>
      <c r="E1610" s="9">
        <v>137</v>
      </c>
      <c r="F1610" s="11">
        <v>45610</v>
      </c>
      <c r="G1610" s="8"/>
    </row>
    <row r="1611" spans="1:7" ht="18.75" customHeight="1" x14ac:dyDescent="0.2">
      <c r="A1611" s="8" t="s">
        <v>3223</v>
      </c>
      <c r="B1611" s="9">
        <v>42289</v>
      </c>
      <c r="C1611" s="9">
        <v>5902557358915</v>
      </c>
      <c r="D1611" s="10" t="s">
        <v>3224</v>
      </c>
      <c r="E1611" s="9">
        <v>146</v>
      </c>
      <c r="F1611" s="11">
        <v>45265</v>
      </c>
      <c r="G1611" s="8"/>
    </row>
    <row r="1612" spans="1:7" ht="18.75" customHeight="1" x14ac:dyDescent="0.2">
      <c r="A1612" s="8" t="s">
        <v>3225</v>
      </c>
      <c r="B1612" s="9">
        <v>51171</v>
      </c>
      <c r="C1612" s="9">
        <v>5902557393411</v>
      </c>
      <c r="D1612" s="10" t="s">
        <v>3226</v>
      </c>
      <c r="E1612" s="9">
        <v>137</v>
      </c>
      <c r="F1612" s="11">
        <v>45610</v>
      </c>
      <c r="G1612" s="8"/>
    </row>
    <row r="1613" spans="1:7" ht="18.75" customHeight="1" x14ac:dyDescent="0.2">
      <c r="A1613" s="8" t="s">
        <v>3227</v>
      </c>
      <c r="B1613" s="9">
        <v>30749</v>
      </c>
      <c r="C1613" s="9">
        <v>5902557341887</v>
      </c>
      <c r="D1613" s="10" t="s">
        <v>3228</v>
      </c>
      <c r="E1613" s="9">
        <v>66</v>
      </c>
      <c r="F1613" s="11">
        <v>45265</v>
      </c>
      <c r="G1613" s="8"/>
    </row>
    <row r="1614" spans="1:7" ht="18.75" customHeight="1" x14ac:dyDescent="0.2">
      <c r="A1614" s="8" t="s">
        <v>3229</v>
      </c>
      <c r="B1614" s="9">
        <v>50960</v>
      </c>
      <c r="C1614" s="9">
        <v>5902557328871</v>
      </c>
      <c r="D1614" s="10" t="s">
        <v>3230</v>
      </c>
      <c r="E1614" s="9">
        <v>140</v>
      </c>
      <c r="F1614" s="11">
        <v>45722</v>
      </c>
      <c r="G1614" s="8"/>
    </row>
    <row r="1615" spans="1:7" ht="18.75" customHeight="1" x14ac:dyDescent="0.2">
      <c r="A1615" s="8" t="s">
        <v>3231</v>
      </c>
      <c r="B1615" s="9">
        <v>26972</v>
      </c>
      <c r="C1615" s="9">
        <v>5902557335664</v>
      </c>
      <c r="D1615" s="10" t="s">
        <v>3232</v>
      </c>
      <c r="E1615" s="9">
        <v>82</v>
      </c>
      <c r="F1615" s="11">
        <v>45579</v>
      </c>
      <c r="G1615" s="8"/>
    </row>
    <row r="1616" spans="1:7" ht="18.75" customHeight="1" x14ac:dyDescent="0.2">
      <c r="A1616" s="8" t="s">
        <v>3233</v>
      </c>
      <c r="B1616" s="9">
        <v>29948</v>
      </c>
      <c r="C1616" s="9">
        <v>5902557336906</v>
      </c>
      <c r="D1616" s="10" t="s">
        <v>3234</v>
      </c>
      <c r="E1616" s="9">
        <v>92</v>
      </c>
      <c r="F1616" s="11">
        <v>45265</v>
      </c>
      <c r="G1616" s="8"/>
    </row>
    <row r="1617" spans="1:7" ht="18.75" customHeight="1" x14ac:dyDescent="0.2">
      <c r="A1617" s="8" t="s">
        <v>3235</v>
      </c>
      <c r="B1617" s="9">
        <v>49060</v>
      </c>
      <c r="C1617" s="9">
        <v>5902557336913</v>
      </c>
      <c r="D1617" s="10" t="s">
        <v>3236</v>
      </c>
      <c r="E1617" s="9">
        <v>94</v>
      </c>
      <c r="F1617" s="11">
        <v>45265</v>
      </c>
      <c r="G1617" s="8"/>
    </row>
    <row r="1618" spans="1:7" ht="18.75" customHeight="1" x14ac:dyDescent="0.2">
      <c r="A1618" s="8" t="s">
        <v>3237</v>
      </c>
      <c r="B1618" s="9">
        <v>7503</v>
      </c>
      <c r="C1618" s="9">
        <v>5902557322817</v>
      </c>
      <c r="D1618" s="10" t="s">
        <v>3238</v>
      </c>
      <c r="E1618" s="9">
        <v>63</v>
      </c>
      <c r="F1618" s="11">
        <v>45447</v>
      </c>
      <c r="G1618" s="8"/>
    </row>
    <row r="1619" spans="1:7" ht="18.75" customHeight="1" x14ac:dyDescent="0.2">
      <c r="A1619" s="8" t="s">
        <v>3239</v>
      </c>
      <c r="B1619" s="9">
        <v>40071</v>
      </c>
      <c r="C1619" s="9">
        <v>5902557356645</v>
      </c>
      <c r="D1619" s="10" t="s">
        <v>3240</v>
      </c>
      <c r="E1619" s="9">
        <v>69</v>
      </c>
      <c r="F1619" s="11">
        <v>45265</v>
      </c>
      <c r="G1619" s="8"/>
    </row>
    <row r="1620" spans="1:7" ht="18.75" customHeight="1" x14ac:dyDescent="0.2">
      <c r="A1620" s="8" t="s">
        <v>3241</v>
      </c>
      <c r="B1620" s="9">
        <v>37760</v>
      </c>
      <c r="C1620" s="9">
        <v>5902557350261</v>
      </c>
      <c r="D1620" s="10" t="s">
        <v>3242</v>
      </c>
      <c r="E1620" s="9">
        <v>166</v>
      </c>
      <c r="F1620" s="11">
        <v>45265</v>
      </c>
      <c r="G1620" s="8"/>
    </row>
    <row r="1621" spans="1:7" ht="18.75" customHeight="1" x14ac:dyDescent="0.2">
      <c r="A1621" s="8" t="s">
        <v>3243</v>
      </c>
      <c r="B1621" s="9">
        <v>7493</v>
      </c>
      <c r="C1621" s="9">
        <v>5902557332069</v>
      </c>
      <c r="D1621" s="10" t="s">
        <v>3244</v>
      </c>
      <c r="E1621" s="9">
        <v>94</v>
      </c>
      <c r="F1621" s="11">
        <v>45265</v>
      </c>
      <c r="G1621" s="8"/>
    </row>
    <row r="1622" spans="1:7" ht="18.75" customHeight="1" x14ac:dyDescent="0.2">
      <c r="A1622" s="8" t="s">
        <v>3245</v>
      </c>
      <c r="B1622" s="9">
        <v>7491</v>
      </c>
      <c r="C1622" s="9">
        <v>5902557318681</v>
      </c>
      <c r="D1622" s="10" t="s">
        <v>3246</v>
      </c>
      <c r="E1622" s="9">
        <v>76</v>
      </c>
      <c r="F1622" s="11">
        <v>45265</v>
      </c>
      <c r="G1622" s="8"/>
    </row>
    <row r="1623" spans="1:7" ht="18.75" customHeight="1" x14ac:dyDescent="0.2">
      <c r="A1623" s="8" t="s">
        <v>3247</v>
      </c>
      <c r="B1623" s="9"/>
      <c r="C1623" s="9">
        <v>5902557350285</v>
      </c>
      <c r="D1623" s="10" t="s">
        <v>3248</v>
      </c>
      <c r="E1623" s="9">
        <v>126</v>
      </c>
      <c r="F1623" s="11">
        <v>45265</v>
      </c>
      <c r="G1623" s="8"/>
    </row>
    <row r="1624" spans="1:7" ht="18.75" customHeight="1" x14ac:dyDescent="0.2">
      <c r="A1624" s="8" t="s">
        <v>3249</v>
      </c>
      <c r="B1624" s="9">
        <v>26232</v>
      </c>
      <c r="C1624" s="9">
        <v>5902557314270</v>
      </c>
      <c r="D1624" s="10" t="s">
        <v>3250</v>
      </c>
      <c r="E1624" s="9">
        <v>85</v>
      </c>
      <c r="F1624" s="11">
        <v>45265</v>
      </c>
      <c r="G1624" s="8"/>
    </row>
    <row r="1625" spans="1:7" ht="18.75" customHeight="1" x14ac:dyDescent="0.2">
      <c r="A1625" s="8" t="s">
        <v>3251</v>
      </c>
      <c r="B1625" s="9"/>
      <c r="C1625" s="9">
        <v>5902557341252</v>
      </c>
      <c r="D1625" s="10" t="s">
        <v>3252</v>
      </c>
      <c r="E1625" s="9">
        <v>88</v>
      </c>
      <c r="F1625" s="11">
        <v>45265</v>
      </c>
      <c r="G1625" s="8"/>
    </row>
    <row r="1626" spans="1:7" ht="18.75" customHeight="1" x14ac:dyDescent="0.2">
      <c r="A1626" s="8" t="s">
        <v>3253</v>
      </c>
      <c r="B1626" s="9"/>
      <c r="C1626" s="9">
        <v>5902557355808</v>
      </c>
      <c r="D1626" s="10" t="s">
        <v>3254</v>
      </c>
      <c r="E1626" s="9">
        <v>39</v>
      </c>
      <c r="F1626" s="11">
        <v>45265</v>
      </c>
      <c r="G1626" s="8"/>
    </row>
    <row r="1627" spans="1:7" ht="18.75" customHeight="1" x14ac:dyDescent="0.2">
      <c r="A1627" s="8" t="s">
        <v>3255</v>
      </c>
      <c r="B1627" s="9">
        <v>39202</v>
      </c>
      <c r="C1627" s="9">
        <v>5902557352371</v>
      </c>
      <c r="D1627" s="10" t="s">
        <v>3256</v>
      </c>
      <c r="E1627" s="9">
        <v>63</v>
      </c>
      <c r="F1627" s="11">
        <v>45548</v>
      </c>
      <c r="G1627" s="8"/>
    </row>
    <row r="1628" spans="1:7" ht="18.75" customHeight="1" x14ac:dyDescent="0.2">
      <c r="A1628" s="8" t="s">
        <v>3257</v>
      </c>
      <c r="B1628" s="9">
        <v>42749</v>
      </c>
      <c r="C1628" s="9">
        <v>5902557365678</v>
      </c>
      <c r="D1628" s="10" t="s">
        <v>3258</v>
      </c>
      <c r="E1628" s="9">
        <v>115</v>
      </c>
      <c r="F1628" s="11">
        <v>45293</v>
      </c>
      <c r="G1628" s="8"/>
    </row>
    <row r="1629" spans="1:7" ht="18.75" customHeight="1" x14ac:dyDescent="0.2">
      <c r="A1629" s="8" t="s">
        <v>3259</v>
      </c>
      <c r="B1629" s="9">
        <v>42763</v>
      </c>
      <c r="C1629" s="9">
        <v>5902557365685</v>
      </c>
      <c r="D1629" s="10" t="s">
        <v>3260</v>
      </c>
      <c r="E1629" s="9">
        <v>148</v>
      </c>
      <c r="F1629" s="11">
        <v>45602</v>
      </c>
      <c r="G1629" s="8"/>
    </row>
    <row r="1630" spans="1:7" ht="18.75" customHeight="1" x14ac:dyDescent="0.2">
      <c r="A1630" s="8" t="s">
        <v>3261</v>
      </c>
      <c r="B1630" s="9">
        <v>50719</v>
      </c>
      <c r="C1630" s="9">
        <v>5902557393565</v>
      </c>
      <c r="D1630" s="10" t="s">
        <v>3262</v>
      </c>
      <c r="E1630" s="9">
        <v>97</v>
      </c>
      <c r="F1630" s="11">
        <v>45722</v>
      </c>
      <c r="G1630" s="8"/>
    </row>
    <row r="1631" spans="1:7" ht="18.75" customHeight="1" x14ac:dyDescent="0.2">
      <c r="A1631" s="8" t="s">
        <v>3263</v>
      </c>
      <c r="B1631" s="9"/>
      <c r="C1631" s="9">
        <v>5902557341313</v>
      </c>
      <c r="D1631" s="10" t="s">
        <v>3264</v>
      </c>
      <c r="E1631" s="9">
        <v>88</v>
      </c>
      <c r="F1631" s="11">
        <v>45265</v>
      </c>
      <c r="G1631" s="8"/>
    </row>
    <row r="1632" spans="1:7" ht="18.75" customHeight="1" x14ac:dyDescent="0.2">
      <c r="A1632" s="8" t="s">
        <v>3265</v>
      </c>
      <c r="B1632" s="9"/>
      <c r="C1632" s="9">
        <v>5902557340514</v>
      </c>
      <c r="D1632" s="10" t="s">
        <v>3266</v>
      </c>
      <c r="E1632" s="9">
        <v>94</v>
      </c>
      <c r="F1632" s="11">
        <v>45265</v>
      </c>
      <c r="G1632" s="8"/>
    </row>
    <row r="1633" spans="1:7" ht="18.75" customHeight="1" x14ac:dyDescent="0.2">
      <c r="A1633" s="8" t="s">
        <v>3267</v>
      </c>
      <c r="B1633" s="9"/>
      <c r="C1633" s="9">
        <v>5902557340507</v>
      </c>
      <c r="D1633" s="10" t="s">
        <v>3268</v>
      </c>
      <c r="E1633" s="9">
        <v>122</v>
      </c>
      <c r="F1633" s="11">
        <v>45265</v>
      </c>
      <c r="G1633" s="8"/>
    </row>
    <row r="1634" spans="1:7" ht="18.75" customHeight="1" x14ac:dyDescent="0.2">
      <c r="A1634" s="8" t="s">
        <v>3269</v>
      </c>
      <c r="B1634" s="9">
        <v>37478</v>
      </c>
      <c r="C1634" s="9">
        <v>5902557349869</v>
      </c>
      <c r="D1634" s="10" t="s">
        <v>3270</v>
      </c>
      <c r="E1634" s="9">
        <v>277</v>
      </c>
      <c r="F1634" s="11">
        <v>45265</v>
      </c>
      <c r="G1634" s="8"/>
    </row>
    <row r="1635" spans="1:7" ht="18.75" customHeight="1" x14ac:dyDescent="0.2">
      <c r="A1635" s="8" t="s">
        <v>3271</v>
      </c>
      <c r="B1635" s="9">
        <v>37762</v>
      </c>
      <c r="C1635" s="9">
        <v>5902557349876</v>
      </c>
      <c r="D1635" s="10" t="s">
        <v>3272</v>
      </c>
      <c r="E1635" s="9">
        <v>443</v>
      </c>
      <c r="F1635" s="11">
        <v>45265</v>
      </c>
      <c r="G1635" s="8"/>
    </row>
    <row r="1636" spans="1:7" ht="18.75" customHeight="1" x14ac:dyDescent="0.2">
      <c r="A1636" s="8" t="s">
        <v>3273</v>
      </c>
      <c r="B1636" s="9">
        <v>1655</v>
      </c>
      <c r="C1636" s="9">
        <v>5902557315055</v>
      </c>
      <c r="D1636" s="10" t="s">
        <v>3274</v>
      </c>
      <c r="E1636" s="9">
        <v>29</v>
      </c>
      <c r="F1636" s="11">
        <v>45265</v>
      </c>
      <c r="G1636" s="8"/>
    </row>
    <row r="1637" spans="1:7" ht="18.75" customHeight="1" x14ac:dyDescent="0.2">
      <c r="A1637" s="8" t="s">
        <v>3275</v>
      </c>
      <c r="B1637" s="9">
        <v>1685</v>
      </c>
      <c r="C1637" s="9">
        <v>5902557300976</v>
      </c>
      <c r="D1637" s="10" t="s">
        <v>3276</v>
      </c>
      <c r="E1637" s="9">
        <v>321</v>
      </c>
      <c r="F1637" s="11">
        <v>45265</v>
      </c>
      <c r="G1637" s="8"/>
    </row>
    <row r="1638" spans="1:7" ht="18.75" customHeight="1" x14ac:dyDescent="0.2">
      <c r="A1638" s="8" t="s">
        <v>3277</v>
      </c>
      <c r="B1638" s="9">
        <v>13201</v>
      </c>
      <c r="C1638" s="9">
        <v>5902557331109</v>
      </c>
      <c r="D1638" s="10" t="s">
        <v>3278</v>
      </c>
      <c r="E1638" s="9">
        <v>55</v>
      </c>
      <c r="F1638" s="11">
        <v>45265</v>
      </c>
      <c r="G1638" s="8"/>
    </row>
    <row r="1639" spans="1:7" ht="18.75" customHeight="1" x14ac:dyDescent="0.2">
      <c r="A1639" s="8" t="s">
        <v>3279</v>
      </c>
      <c r="B1639" s="9"/>
      <c r="C1639" s="9"/>
      <c r="D1639" s="10" t="s">
        <v>3278</v>
      </c>
      <c r="E1639" s="9">
        <v>54</v>
      </c>
      <c r="F1639" s="11">
        <v>45265</v>
      </c>
      <c r="G1639" s="8"/>
    </row>
    <row r="1640" spans="1:7" ht="18.75" customHeight="1" x14ac:dyDescent="0.2">
      <c r="A1640" s="8" t="s">
        <v>3280</v>
      </c>
      <c r="B1640" s="9"/>
      <c r="C1640" s="9">
        <v>5902557300952</v>
      </c>
      <c r="D1640" s="10" t="s">
        <v>3281</v>
      </c>
      <c r="E1640" s="9">
        <v>326</v>
      </c>
      <c r="F1640" s="11">
        <v>45265</v>
      </c>
      <c r="G1640" s="8"/>
    </row>
    <row r="1641" spans="1:7" ht="18.75" customHeight="1" x14ac:dyDescent="0.2">
      <c r="A1641" s="8" t="s">
        <v>3282</v>
      </c>
      <c r="B1641" s="9">
        <v>49854</v>
      </c>
      <c r="C1641" s="9">
        <v>5902557381869</v>
      </c>
      <c r="D1641" s="10" t="s">
        <v>3283</v>
      </c>
      <c r="E1641" s="9">
        <v>70</v>
      </c>
      <c r="F1641" s="11">
        <v>45566</v>
      </c>
      <c r="G1641" s="8"/>
    </row>
    <row r="1642" spans="1:7" ht="18.75" customHeight="1" x14ac:dyDescent="0.2">
      <c r="A1642" s="8" t="s">
        <v>3284</v>
      </c>
      <c r="B1642" s="8">
        <v>54366</v>
      </c>
      <c r="C1642" s="8">
        <v>5906366007989</v>
      </c>
      <c r="D1642" s="10" t="s">
        <v>3285</v>
      </c>
      <c r="E1642" s="9">
        <v>84</v>
      </c>
      <c r="F1642" s="11">
        <v>45656</v>
      </c>
      <c r="G1642" s="8"/>
    </row>
    <row r="1643" spans="1:7" ht="18.75" customHeight="1" x14ac:dyDescent="0.2">
      <c r="A1643" s="8" t="s">
        <v>3286</v>
      </c>
      <c r="B1643" s="8">
        <v>54360</v>
      </c>
      <c r="C1643" s="8">
        <v>5906366007972</v>
      </c>
      <c r="D1643" s="10" t="s">
        <v>3287</v>
      </c>
      <c r="E1643" s="9">
        <v>84</v>
      </c>
      <c r="F1643" s="11">
        <v>45656</v>
      </c>
      <c r="G1643" s="8"/>
    </row>
    <row r="1644" spans="1:7" ht="18.75" customHeight="1" x14ac:dyDescent="0.2">
      <c r="A1644" s="8" t="s">
        <v>3288</v>
      </c>
      <c r="B1644" s="9">
        <v>47988</v>
      </c>
      <c r="C1644" s="9">
        <v>5902557376858</v>
      </c>
      <c r="D1644" s="10" t="s">
        <v>3289</v>
      </c>
      <c r="E1644" s="9">
        <v>87</v>
      </c>
      <c r="F1644" s="11">
        <v>45602</v>
      </c>
      <c r="G1644" s="8"/>
    </row>
    <row r="1645" spans="1:7" ht="18.75" customHeight="1" x14ac:dyDescent="0.2">
      <c r="A1645" s="8" t="s">
        <v>3290</v>
      </c>
      <c r="B1645" s="9">
        <v>49859</v>
      </c>
      <c r="C1645" s="9">
        <v>5902557381272</v>
      </c>
      <c r="D1645" s="10" t="s">
        <v>3291</v>
      </c>
      <c r="E1645" s="9">
        <v>92</v>
      </c>
      <c r="F1645" s="11">
        <v>45265</v>
      </c>
      <c r="G1645" s="8"/>
    </row>
    <row r="1646" spans="1:7" ht="18.75" customHeight="1" x14ac:dyDescent="0.2">
      <c r="A1646" s="8" t="s">
        <v>3292</v>
      </c>
      <c r="B1646" s="9">
        <v>52127</v>
      </c>
      <c r="C1646" s="8">
        <v>5902557395521</v>
      </c>
      <c r="D1646" s="10" t="s">
        <v>3293</v>
      </c>
      <c r="E1646" s="9">
        <v>137</v>
      </c>
      <c r="F1646" s="11">
        <v>45328</v>
      </c>
      <c r="G1646" s="8"/>
    </row>
    <row r="1647" spans="1:7" ht="18.75" customHeight="1" x14ac:dyDescent="0.2">
      <c r="A1647" s="8" t="s">
        <v>3294</v>
      </c>
      <c r="B1647" s="9">
        <v>50898</v>
      </c>
      <c r="C1647" s="9">
        <v>5902557390540</v>
      </c>
      <c r="D1647" s="10" t="s">
        <v>3295</v>
      </c>
      <c r="E1647" s="9">
        <v>85</v>
      </c>
      <c r="F1647" s="11">
        <v>45265</v>
      </c>
      <c r="G1647" s="8"/>
    </row>
    <row r="1648" spans="1:7" ht="18.75" customHeight="1" x14ac:dyDescent="0.2">
      <c r="A1648" s="8" t="s">
        <v>3296</v>
      </c>
      <c r="B1648" s="9">
        <v>49362</v>
      </c>
      <c r="C1648" s="9">
        <v>5902557376865</v>
      </c>
      <c r="D1648" s="10" t="s">
        <v>3297</v>
      </c>
      <c r="E1648" s="9">
        <v>117</v>
      </c>
      <c r="F1648" s="11">
        <v>45432</v>
      </c>
      <c r="G1648" s="8"/>
    </row>
    <row r="1649" spans="1:7" ht="18.75" customHeight="1" x14ac:dyDescent="0.2">
      <c r="A1649" s="8" t="s">
        <v>3298</v>
      </c>
      <c r="B1649" s="9">
        <v>51046</v>
      </c>
      <c r="C1649" s="9">
        <v>5902557387564</v>
      </c>
      <c r="D1649" s="10" t="s">
        <v>3299</v>
      </c>
      <c r="E1649" s="9">
        <v>101</v>
      </c>
      <c r="F1649" s="11">
        <v>45265</v>
      </c>
      <c r="G1649" s="8"/>
    </row>
    <row r="1650" spans="1:7" ht="18.75" customHeight="1" x14ac:dyDescent="0.2">
      <c r="A1650" s="8" t="s">
        <v>3300</v>
      </c>
      <c r="B1650" s="9">
        <v>50269</v>
      </c>
      <c r="C1650" s="9">
        <v>5902557381289</v>
      </c>
      <c r="D1650" s="10" t="s">
        <v>3301</v>
      </c>
      <c r="E1650" s="9">
        <v>101</v>
      </c>
      <c r="F1650" s="11">
        <v>45644</v>
      </c>
      <c r="G1650" s="8"/>
    </row>
    <row r="1651" spans="1:7" ht="18.75" customHeight="1" x14ac:dyDescent="0.2">
      <c r="A1651" s="8" t="s">
        <v>3302</v>
      </c>
      <c r="B1651" s="9">
        <v>47986</v>
      </c>
      <c r="C1651" s="9">
        <v>5902557376872</v>
      </c>
      <c r="D1651" s="10" t="s">
        <v>3303</v>
      </c>
      <c r="E1651" s="9">
        <v>117</v>
      </c>
      <c r="F1651" s="11">
        <v>45687</v>
      </c>
      <c r="G1651" s="8"/>
    </row>
    <row r="1652" spans="1:7" ht="18.75" customHeight="1" x14ac:dyDescent="0.2">
      <c r="A1652" s="8" t="s">
        <v>3304</v>
      </c>
      <c r="B1652" s="9">
        <v>50125</v>
      </c>
      <c r="C1652" s="9">
        <v>5902557382873</v>
      </c>
      <c r="D1652" s="10" t="s">
        <v>3305</v>
      </c>
      <c r="E1652" s="9">
        <v>74</v>
      </c>
      <c r="F1652" s="11">
        <v>45265</v>
      </c>
      <c r="G1652" s="8"/>
    </row>
    <row r="1653" spans="1:7" ht="18.75" customHeight="1" x14ac:dyDescent="0.2">
      <c r="A1653" s="8" t="s">
        <v>3306</v>
      </c>
      <c r="B1653" s="9">
        <v>52146</v>
      </c>
      <c r="C1653" s="8">
        <v>5902557395514</v>
      </c>
      <c r="D1653" s="10" t="s">
        <v>3307</v>
      </c>
      <c r="E1653" s="9">
        <v>112</v>
      </c>
      <c r="F1653" s="11">
        <v>45623</v>
      </c>
      <c r="G1653" s="8"/>
    </row>
    <row r="1654" spans="1:7" ht="18.75" customHeight="1" x14ac:dyDescent="0.2">
      <c r="A1654" s="8" t="s">
        <v>3308</v>
      </c>
      <c r="B1654" s="9">
        <v>50294</v>
      </c>
      <c r="C1654" s="9">
        <v>5902557381876</v>
      </c>
      <c r="D1654" s="10" t="s">
        <v>3309</v>
      </c>
      <c r="E1654" s="9">
        <v>110</v>
      </c>
      <c r="F1654" s="11">
        <v>45566</v>
      </c>
      <c r="G1654" s="8"/>
    </row>
    <row r="1655" spans="1:7" ht="18.75" customHeight="1" x14ac:dyDescent="0.2">
      <c r="A1655" s="8" t="s">
        <v>3310</v>
      </c>
      <c r="B1655" s="9">
        <v>52800</v>
      </c>
      <c r="C1655" s="9">
        <v>5902557396290</v>
      </c>
      <c r="D1655" s="10" t="s">
        <v>3311</v>
      </c>
      <c r="E1655" s="9">
        <v>58</v>
      </c>
      <c r="F1655" s="11">
        <v>45372</v>
      </c>
      <c r="G1655" s="8"/>
    </row>
    <row r="1656" spans="1:7" ht="18.75" customHeight="1" x14ac:dyDescent="0.2">
      <c r="A1656" s="8" t="s">
        <v>3312</v>
      </c>
      <c r="B1656" s="9">
        <v>41602</v>
      </c>
      <c r="C1656" s="9">
        <v>5902557356683</v>
      </c>
      <c r="D1656" s="10" t="s">
        <v>3313</v>
      </c>
      <c r="E1656" s="9">
        <v>41</v>
      </c>
      <c r="F1656" s="11">
        <v>45602</v>
      </c>
      <c r="G1656" s="8"/>
    </row>
    <row r="1657" spans="1:7" ht="18.75" customHeight="1" x14ac:dyDescent="0.2">
      <c r="A1657" s="8" t="s">
        <v>3314</v>
      </c>
      <c r="B1657" s="9">
        <v>41603</v>
      </c>
      <c r="C1657" s="9">
        <v>5902557356706</v>
      </c>
      <c r="D1657" s="10" t="s">
        <v>3315</v>
      </c>
      <c r="E1657" s="9">
        <v>60</v>
      </c>
      <c r="F1657" s="11">
        <v>45462</v>
      </c>
      <c r="G1657" s="8"/>
    </row>
    <row r="1658" spans="1:7" ht="18.75" customHeight="1" x14ac:dyDescent="0.2">
      <c r="A1658" s="8" t="s">
        <v>3316</v>
      </c>
      <c r="B1658" s="9">
        <v>41600</v>
      </c>
      <c r="C1658" s="9">
        <v>5902557356690</v>
      </c>
      <c r="D1658" s="10" t="s">
        <v>3317</v>
      </c>
      <c r="E1658" s="9">
        <v>86</v>
      </c>
      <c r="F1658" s="11">
        <v>45265</v>
      </c>
      <c r="G1658" s="8"/>
    </row>
    <row r="1659" spans="1:7" ht="18.75" customHeight="1" x14ac:dyDescent="0.2">
      <c r="A1659" s="8" t="s">
        <v>3318</v>
      </c>
      <c r="B1659" s="9"/>
      <c r="C1659" s="9">
        <v>5902557318049</v>
      </c>
      <c r="D1659" s="10" t="s">
        <v>3319</v>
      </c>
      <c r="E1659" s="9">
        <v>186</v>
      </c>
      <c r="F1659" s="11">
        <v>45265</v>
      </c>
      <c r="G1659" s="8"/>
    </row>
    <row r="1660" spans="1:7" ht="18.75" customHeight="1" x14ac:dyDescent="0.2">
      <c r="A1660" s="8" t="s">
        <v>3320</v>
      </c>
      <c r="B1660" s="9">
        <v>14649</v>
      </c>
      <c r="C1660" s="9">
        <v>5902557330508</v>
      </c>
      <c r="D1660" s="10" t="s">
        <v>3321</v>
      </c>
      <c r="E1660" s="9">
        <v>76</v>
      </c>
      <c r="F1660" s="11">
        <v>45722</v>
      </c>
      <c r="G1660" s="8"/>
    </row>
    <row r="1661" spans="1:7" ht="18.75" customHeight="1" x14ac:dyDescent="0.2">
      <c r="A1661" s="8" t="s">
        <v>3322</v>
      </c>
      <c r="B1661" s="9">
        <v>42898</v>
      </c>
      <c r="C1661" s="9">
        <v>5902557365838</v>
      </c>
      <c r="D1661" s="10" t="s">
        <v>3323</v>
      </c>
      <c r="E1661" s="9">
        <v>92</v>
      </c>
      <c r="F1661" s="11">
        <v>45265</v>
      </c>
      <c r="G1661" s="8"/>
    </row>
    <row r="1662" spans="1:7" ht="18.75" customHeight="1" x14ac:dyDescent="0.2">
      <c r="A1662" s="8" t="s">
        <v>3324</v>
      </c>
      <c r="B1662" s="9">
        <v>33254</v>
      </c>
      <c r="C1662" s="9">
        <v>5902557345106</v>
      </c>
      <c r="D1662" s="10" t="s">
        <v>3325</v>
      </c>
      <c r="E1662" s="9">
        <v>57</v>
      </c>
      <c r="F1662" s="11">
        <v>45618</v>
      </c>
      <c r="G1662" s="8"/>
    </row>
    <row r="1663" spans="1:7" ht="18.75" customHeight="1" x14ac:dyDescent="0.2">
      <c r="A1663" s="8" t="s">
        <v>3326</v>
      </c>
      <c r="B1663" s="9">
        <v>43096</v>
      </c>
      <c r="C1663" s="9">
        <v>5902557366095</v>
      </c>
      <c r="D1663" s="10" t="s">
        <v>3327</v>
      </c>
      <c r="E1663" s="9">
        <v>82</v>
      </c>
      <c r="F1663" s="11">
        <v>45579</v>
      </c>
      <c r="G1663" s="8"/>
    </row>
    <row r="1664" spans="1:7" ht="18.75" customHeight="1" x14ac:dyDescent="0.2">
      <c r="A1664" s="8" t="s">
        <v>3328</v>
      </c>
      <c r="B1664" s="9">
        <v>50054</v>
      </c>
      <c r="C1664" s="9">
        <v>5902557385973</v>
      </c>
      <c r="D1664" s="10" t="s">
        <v>3329</v>
      </c>
      <c r="E1664" s="8">
        <v>85</v>
      </c>
      <c r="F1664" s="11">
        <v>45730</v>
      </c>
      <c r="G1664" s="8"/>
    </row>
    <row r="1665" spans="1:7" ht="18.75" customHeight="1" x14ac:dyDescent="0.2">
      <c r="A1665" s="8" t="s">
        <v>3330</v>
      </c>
      <c r="B1665" s="9">
        <v>41604</v>
      </c>
      <c r="C1665" s="9">
        <v>5902557356652</v>
      </c>
      <c r="D1665" s="10" t="s">
        <v>3331</v>
      </c>
      <c r="E1665" s="9">
        <v>90</v>
      </c>
      <c r="F1665" s="11">
        <v>45265</v>
      </c>
      <c r="G1665" s="8"/>
    </row>
    <row r="1666" spans="1:7" ht="18.75" customHeight="1" x14ac:dyDescent="0.2">
      <c r="A1666" s="8" t="s">
        <v>3332</v>
      </c>
      <c r="B1666" s="9">
        <v>50146</v>
      </c>
      <c r="C1666" s="9">
        <v>5902557381890</v>
      </c>
      <c r="D1666" s="10" t="s">
        <v>3333</v>
      </c>
      <c r="E1666" s="9">
        <v>47</v>
      </c>
      <c r="F1666" s="11">
        <v>45644</v>
      </c>
      <c r="G1666" s="8"/>
    </row>
    <row r="1667" spans="1:7" ht="18.75" customHeight="1" x14ac:dyDescent="0.2">
      <c r="A1667" s="8" t="s">
        <v>3334</v>
      </c>
      <c r="B1667" s="9">
        <v>49089</v>
      </c>
      <c r="C1667" s="9">
        <v>5902557337651</v>
      </c>
      <c r="D1667" s="10" t="s">
        <v>3335</v>
      </c>
      <c r="E1667" s="9">
        <v>86</v>
      </c>
      <c r="F1667" s="11">
        <v>45265</v>
      </c>
      <c r="G1667" s="8"/>
    </row>
    <row r="1668" spans="1:7" ht="18.75" customHeight="1" x14ac:dyDescent="0.2">
      <c r="A1668" s="8" t="s">
        <v>3336</v>
      </c>
      <c r="B1668" s="9"/>
      <c r="C1668" s="9">
        <v>5902557337637</v>
      </c>
      <c r="D1668" s="10" t="s">
        <v>3337</v>
      </c>
      <c r="E1668" s="9">
        <v>75</v>
      </c>
      <c r="F1668" s="11">
        <v>45265</v>
      </c>
      <c r="G1668" s="8"/>
    </row>
    <row r="1669" spans="1:7" ht="18.75" customHeight="1" x14ac:dyDescent="0.2">
      <c r="A1669" s="8" t="s">
        <v>3338</v>
      </c>
      <c r="B1669" s="9"/>
      <c r="C1669" s="9">
        <v>5902557337644</v>
      </c>
      <c r="D1669" s="10" t="s">
        <v>3339</v>
      </c>
      <c r="E1669" s="9">
        <v>75</v>
      </c>
      <c r="F1669" s="11">
        <v>45265</v>
      </c>
      <c r="G1669" s="8"/>
    </row>
    <row r="1670" spans="1:7" ht="18.75" customHeight="1" x14ac:dyDescent="0.2">
      <c r="A1670" s="8" t="s">
        <v>3340</v>
      </c>
      <c r="B1670" s="9">
        <v>36882</v>
      </c>
      <c r="C1670" s="9">
        <v>5902557348695</v>
      </c>
      <c r="D1670" s="10" t="s">
        <v>3341</v>
      </c>
      <c r="E1670" s="9">
        <v>47</v>
      </c>
      <c r="F1670" s="11">
        <v>45265</v>
      </c>
      <c r="G1670" s="8"/>
    </row>
    <row r="1671" spans="1:7" ht="18.75" customHeight="1" x14ac:dyDescent="0.2">
      <c r="A1671" s="8" t="s">
        <v>3342</v>
      </c>
      <c r="B1671" s="9">
        <v>40261</v>
      </c>
      <c r="C1671" s="9">
        <v>5902557356874</v>
      </c>
      <c r="D1671" s="10" t="s">
        <v>3343</v>
      </c>
      <c r="E1671" s="8">
        <v>97</v>
      </c>
      <c r="F1671" s="11">
        <v>45730</v>
      </c>
      <c r="G1671" s="8"/>
    </row>
    <row r="1672" spans="1:7" ht="18.75" customHeight="1" x14ac:dyDescent="0.2">
      <c r="A1672" s="8" t="s">
        <v>3344</v>
      </c>
      <c r="B1672" s="9">
        <v>40366</v>
      </c>
      <c r="C1672" s="9">
        <v>5902557356850</v>
      </c>
      <c r="D1672" s="10" t="s">
        <v>3345</v>
      </c>
      <c r="E1672" s="9">
        <v>134</v>
      </c>
      <c r="F1672" s="11">
        <v>45265</v>
      </c>
      <c r="G1672" s="8"/>
    </row>
    <row r="1673" spans="1:7" ht="18.75" customHeight="1" x14ac:dyDescent="0.2">
      <c r="A1673" s="8" t="s">
        <v>3346</v>
      </c>
      <c r="B1673" s="9">
        <v>42945</v>
      </c>
      <c r="C1673" s="9">
        <v>5902557365654</v>
      </c>
      <c r="D1673" s="10" t="s">
        <v>3347</v>
      </c>
      <c r="E1673" s="9">
        <v>104</v>
      </c>
      <c r="F1673" s="11">
        <v>45265</v>
      </c>
      <c r="G1673" s="8"/>
    </row>
    <row r="1674" spans="1:7" ht="18.75" customHeight="1" x14ac:dyDescent="0.2">
      <c r="A1674" s="8" t="s">
        <v>3348</v>
      </c>
      <c r="B1674" s="9">
        <v>40368</v>
      </c>
      <c r="C1674" s="9">
        <v>5902557356867</v>
      </c>
      <c r="D1674" s="10" t="s">
        <v>3349</v>
      </c>
      <c r="E1674" s="9">
        <v>115</v>
      </c>
      <c r="F1674" s="11">
        <v>45293</v>
      </c>
      <c r="G1674" s="8"/>
    </row>
    <row r="1675" spans="1:7" ht="18.75" customHeight="1" x14ac:dyDescent="0.2">
      <c r="A1675" s="8" t="s">
        <v>3350</v>
      </c>
      <c r="B1675" s="9"/>
      <c r="C1675" s="9">
        <v>5902557365661</v>
      </c>
      <c r="D1675" s="10" t="s">
        <v>3351</v>
      </c>
      <c r="E1675" s="9">
        <v>83</v>
      </c>
      <c r="F1675" s="11">
        <v>45265</v>
      </c>
      <c r="G1675" s="8"/>
    </row>
    <row r="1676" spans="1:7" ht="18.75" customHeight="1" x14ac:dyDescent="0.2">
      <c r="A1676" s="8" t="s">
        <v>3352</v>
      </c>
      <c r="B1676" s="9">
        <v>50720</v>
      </c>
      <c r="C1676" s="9">
        <v>5902557393572</v>
      </c>
      <c r="D1676" s="10" t="s">
        <v>3353</v>
      </c>
      <c r="E1676" s="9">
        <v>97</v>
      </c>
      <c r="F1676" s="11">
        <v>45722</v>
      </c>
      <c r="G1676" s="8"/>
    </row>
    <row r="1677" spans="1:7" ht="18.75" customHeight="1" x14ac:dyDescent="0.2">
      <c r="A1677" s="8" t="s">
        <v>3354</v>
      </c>
      <c r="B1677" s="9"/>
      <c r="C1677" s="9">
        <v>5902557341771</v>
      </c>
      <c r="D1677" s="10" t="s">
        <v>3355</v>
      </c>
      <c r="E1677" s="9">
        <v>49</v>
      </c>
      <c r="F1677" s="11">
        <v>45265</v>
      </c>
      <c r="G1677" s="8"/>
    </row>
    <row r="1678" spans="1:7" ht="18.75" customHeight="1" x14ac:dyDescent="0.2">
      <c r="A1678" s="8" t="s">
        <v>3356</v>
      </c>
      <c r="B1678" s="9">
        <v>43019</v>
      </c>
      <c r="C1678" s="9">
        <v>5902557366514</v>
      </c>
      <c r="D1678" s="10" t="s">
        <v>3357</v>
      </c>
      <c r="E1678" s="9">
        <v>82</v>
      </c>
      <c r="F1678" s="11">
        <v>45726</v>
      </c>
      <c r="G1678" s="8"/>
    </row>
    <row r="1679" spans="1:7" ht="18.75" customHeight="1" x14ac:dyDescent="0.2">
      <c r="A1679" s="8" t="s">
        <v>3358</v>
      </c>
      <c r="B1679" s="9">
        <v>43151</v>
      </c>
      <c r="C1679" s="9">
        <v>5902557366521</v>
      </c>
      <c r="D1679" s="10" t="s">
        <v>3359</v>
      </c>
      <c r="E1679" s="9">
        <v>106</v>
      </c>
      <c r="F1679" s="11">
        <v>45265</v>
      </c>
      <c r="G1679" s="8"/>
    </row>
    <row r="1680" spans="1:7" ht="18.75" customHeight="1" x14ac:dyDescent="0.2">
      <c r="A1680" s="8" t="s">
        <v>3360</v>
      </c>
      <c r="B1680" s="9">
        <v>49550</v>
      </c>
      <c r="C1680" s="9">
        <v>5902557381432</v>
      </c>
      <c r="D1680" s="10" t="s">
        <v>3361</v>
      </c>
      <c r="E1680" s="9">
        <v>106</v>
      </c>
      <c r="F1680" s="11">
        <v>45265</v>
      </c>
      <c r="G1680" s="8"/>
    </row>
    <row r="1681" spans="1:7" ht="18.75" customHeight="1" x14ac:dyDescent="0.2">
      <c r="A1681" s="8" t="s">
        <v>3362</v>
      </c>
      <c r="B1681" s="9"/>
      <c r="C1681" s="9">
        <v>5902557323050</v>
      </c>
      <c r="D1681" s="10" t="s">
        <v>3363</v>
      </c>
      <c r="E1681" s="9">
        <v>66</v>
      </c>
      <c r="F1681" s="11">
        <v>45265</v>
      </c>
      <c r="G1681" s="8"/>
    </row>
    <row r="1682" spans="1:7" ht="18.75" customHeight="1" x14ac:dyDescent="0.2">
      <c r="A1682" s="8" t="s">
        <v>3364</v>
      </c>
      <c r="B1682" s="9">
        <v>50755</v>
      </c>
      <c r="C1682" s="9">
        <v>5902557387366</v>
      </c>
      <c r="D1682" s="10" t="s">
        <v>3365</v>
      </c>
      <c r="E1682" s="9">
        <v>66</v>
      </c>
      <c r="F1682" s="11">
        <v>45566</v>
      </c>
      <c r="G1682" s="8"/>
    </row>
    <row r="1683" spans="1:7" ht="18.75" customHeight="1" x14ac:dyDescent="0.2">
      <c r="A1683" s="8" t="s">
        <v>3366</v>
      </c>
      <c r="B1683" s="9">
        <v>30741</v>
      </c>
      <c r="C1683" s="9">
        <v>5902557337668</v>
      </c>
      <c r="D1683" s="10" t="s">
        <v>3367</v>
      </c>
      <c r="E1683" s="9">
        <v>170</v>
      </c>
      <c r="F1683" s="11">
        <v>45265</v>
      </c>
      <c r="G1683" s="8"/>
    </row>
    <row r="1684" spans="1:7" ht="18.75" customHeight="1" x14ac:dyDescent="0.2">
      <c r="A1684" s="8" t="s">
        <v>3368</v>
      </c>
      <c r="B1684" s="9">
        <v>13380</v>
      </c>
      <c r="C1684" s="9">
        <v>5902557329557</v>
      </c>
      <c r="D1684" s="10" t="s">
        <v>3369</v>
      </c>
      <c r="E1684" s="9">
        <v>216</v>
      </c>
      <c r="F1684" s="11">
        <v>45646</v>
      </c>
      <c r="G1684" s="8"/>
    </row>
    <row r="1685" spans="1:7" ht="18.75" customHeight="1" x14ac:dyDescent="0.2">
      <c r="A1685" s="8" t="s">
        <v>3370</v>
      </c>
      <c r="B1685" s="9">
        <v>50749</v>
      </c>
      <c r="C1685" s="9">
        <v>5902557387335</v>
      </c>
      <c r="D1685" s="10" t="s">
        <v>3371</v>
      </c>
      <c r="E1685" s="9">
        <v>207</v>
      </c>
      <c r="F1685" s="11">
        <v>45265</v>
      </c>
      <c r="G1685" s="8"/>
    </row>
    <row r="1686" spans="1:7" ht="18.75" customHeight="1" x14ac:dyDescent="0.2">
      <c r="A1686" s="8" t="s">
        <v>3372</v>
      </c>
      <c r="B1686" s="9">
        <v>31564</v>
      </c>
      <c r="C1686" s="9">
        <v>5902557340637</v>
      </c>
      <c r="D1686" s="10" t="s">
        <v>3373</v>
      </c>
      <c r="E1686" s="9">
        <v>129</v>
      </c>
      <c r="F1686" s="11">
        <v>45265</v>
      </c>
      <c r="G1686" s="8"/>
    </row>
    <row r="1687" spans="1:7" ht="18.75" customHeight="1" x14ac:dyDescent="0.2">
      <c r="A1687" s="8" t="s">
        <v>3374</v>
      </c>
      <c r="B1687" s="9">
        <v>42498</v>
      </c>
      <c r="C1687" s="9">
        <v>5902557364244</v>
      </c>
      <c r="D1687" s="10" t="s">
        <v>3375</v>
      </c>
      <c r="E1687" s="9">
        <v>92</v>
      </c>
      <c r="F1687" s="11">
        <v>45265</v>
      </c>
      <c r="G1687" s="8"/>
    </row>
    <row r="1688" spans="1:7" ht="18.75" customHeight="1" x14ac:dyDescent="0.2">
      <c r="A1688" s="8" t="s">
        <v>3376</v>
      </c>
      <c r="B1688" s="9">
        <v>42500</v>
      </c>
      <c r="C1688" s="9">
        <v>5902557364251</v>
      </c>
      <c r="D1688" s="10" t="s">
        <v>3377</v>
      </c>
      <c r="E1688" s="9">
        <v>119</v>
      </c>
      <c r="F1688" s="11">
        <v>45265</v>
      </c>
      <c r="G1688" s="8"/>
    </row>
    <row r="1689" spans="1:7" ht="18.75" customHeight="1" x14ac:dyDescent="0.2">
      <c r="A1689" s="8" t="s">
        <v>3378</v>
      </c>
      <c r="B1689" s="9">
        <v>54140</v>
      </c>
      <c r="C1689" s="8">
        <v>5906366006302</v>
      </c>
      <c r="D1689" s="10" t="s">
        <v>3379</v>
      </c>
      <c r="E1689" s="9">
        <v>68</v>
      </c>
      <c r="F1689" s="11">
        <v>45618</v>
      </c>
      <c r="G1689" s="8"/>
    </row>
    <row r="1690" spans="1:7" ht="18.75" customHeight="1" x14ac:dyDescent="0.2">
      <c r="A1690" s="8" t="s">
        <v>3380</v>
      </c>
      <c r="B1690" s="9">
        <v>35857</v>
      </c>
      <c r="C1690" s="9">
        <v>5902557341542</v>
      </c>
      <c r="D1690" s="10" t="s">
        <v>3381</v>
      </c>
      <c r="E1690" s="9">
        <v>58</v>
      </c>
      <c r="F1690" s="11">
        <v>45461</v>
      </c>
      <c r="G1690" s="8"/>
    </row>
    <row r="1691" spans="1:7" ht="18.75" customHeight="1" x14ac:dyDescent="0.2">
      <c r="A1691" s="8" t="s">
        <v>3382</v>
      </c>
      <c r="B1691" s="9">
        <v>1683</v>
      </c>
      <c r="C1691" s="9">
        <v>5902557300204</v>
      </c>
      <c r="D1691" s="10" t="s">
        <v>3383</v>
      </c>
      <c r="E1691" s="8">
        <v>58</v>
      </c>
      <c r="F1691" s="11">
        <v>45730</v>
      </c>
      <c r="G1691" s="8"/>
    </row>
    <row r="1692" spans="1:7" ht="18.75" customHeight="1" x14ac:dyDescent="0.2">
      <c r="A1692" s="8" t="s">
        <v>3384</v>
      </c>
      <c r="B1692" s="9"/>
      <c r="C1692" s="9">
        <v>5902557366569</v>
      </c>
      <c r="D1692" s="10" t="s">
        <v>3385</v>
      </c>
      <c r="E1692" s="9">
        <v>109</v>
      </c>
      <c r="F1692" s="11">
        <v>45265</v>
      </c>
      <c r="G1692" s="8"/>
    </row>
    <row r="1693" spans="1:7" ht="18.75" customHeight="1" x14ac:dyDescent="0.2">
      <c r="A1693" s="8" t="s">
        <v>3386</v>
      </c>
      <c r="B1693" s="9"/>
      <c r="C1693" s="9">
        <v>5902557326129</v>
      </c>
      <c r="D1693" s="10" t="s">
        <v>3387</v>
      </c>
      <c r="E1693" s="9">
        <v>63</v>
      </c>
      <c r="F1693" s="11">
        <v>45265</v>
      </c>
      <c r="G1693" s="8"/>
    </row>
    <row r="1694" spans="1:7" ht="18.75" customHeight="1" x14ac:dyDescent="0.2">
      <c r="A1694" s="8" t="s">
        <v>3388</v>
      </c>
      <c r="B1694" s="9">
        <v>26980</v>
      </c>
      <c r="C1694" s="9">
        <v>5902557335718</v>
      </c>
      <c r="D1694" s="10" t="s">
        <v>3389</v>
      </c>
      <c r="E1694" s="9">
        <v>84</v>
      </c>
      <c r="F1694" s="11">
        <v>45579</v>
      </c>
      <c r="G1694" s="8"/>
    </row>
    <row r="1695" spans="1:7" ht="18.75" customHeight="1" x14ac:dyDescent="0.2">
      <c r="A1695" s="8" t="s">
        <v>3390</v>
      </c>
      <c r="B1695" s="9">
        <v>26986</v>
      </c>
      <c r="C1695" s="9">
        <v>5902557335725</v>
      </c>
      <c r="D1695" s="10" t="s">
        <v>3391</v>
      </c>
      <c r="E1695" s="9">
        <v>84</v>
      </c>
      <c r="F1695" s="11">
        <v>45568</v>
      </c>
      <c r="G1695" s="8"/>
    </row>
    <row r="1696" spans="1:7" ht="18.75" customHeight="1" x14ac:dyDescent="0.2">
      <c r="A1696" s="8" t="s">
        <v>3392</v>
      </c>
      <c r="B1696" s="9">
        <v>26988</v>
      </c>
      <c r="C1696" s="9">
        <v>5902557335732</v>
      </c>
      <c r="D1696" s="10" t="s">
        <v>3393</v>
      </c>
      <c r="E1696" s="9">
        <v>87</v>
      </c>
      <c r="F1696" s="11">
        <v>45726</v>
      </c>
      <c r="G1696" s="8"/>
    </row>
    <row r="1697" spans="1:7" ht="18.75" customHeight="1" x14ac:dyDescent="0.2">
      <c r="A1697" s="8" t="s">
        <v>3394</v>
      </c>
      <c r="B1697" s="9">
        <v>7501</v>
      </c>
      <c r="C1697" s="9">
        <v>5902557300723</v>
      </c>
      <c r="D1697" s="10" t="s">
        <v>3395</v>
      </c>
      <c r="E1697" s="9">
        <v>75</v>
      </c>
      <c r="F1697" s="11">
        <v>45618</v>
      </c>
      <c r="G1697" s="8"/>
    </row>
    <row r="1698" spans="1:7" ht="18.75" customHeight="1" x14ac:dyDescent="0.2">
      <c r="A1698" s="8" t="s">
        <v>3396</v>
      </c>
      <c r="B1698" s="9">
        <v>41954</v>
      </c>
      <c r="C1698" s="9">
        <v>5902557359844</v>
      </c>
      <c r="D1698" s="10" t="s">
        <v>3397</v>
      </c>
      <c r="E1698" s="9">
        <v>100</v>
      </c>
      <c r="F1698" s="11">
        <v>45453</v>
      </c>
      <c r="G1698" s="8"/>
    </row>
    <row r="1699" spans="1:7" ht="18.75" customHeight="1" x14ac:dyDescent="0.2">
      <c r="A1699" s="8" t="s">
        <v>3398</v>
      </c>
      <c r="B1699" s="9">
        <v>36883</v>
      </c>
      <c r="C1699" s="9">
        <v>5902557348749</v>
      </c>
      <c r="D1699" s="10" t="s">
        <v>3399</v>
      </c>
      <c r="E1699" s="9">
        <v>109</v>
      </c>
      <c r="F1699" s="11">
        <v>45376</v>
      </c>
      <c r="G1699" s="8"/>
    </row>
    <row r="1700" spans="1:7" ht="18.75" customHeight="1" x14ac:dyDescent="0.2">
      <c r="A1700" s="8" t="s">
        <v>3400</v>
      </c>
      <c r="B1700" s="9">
        <v>41704</v>
      </c>
      <c r="C1700" s="9">
        <v>5902557356669</v>
      </c>
      <c r="D1700" s="10" t="s">
        <v>3401</v>
      </c>
      <c r="E1700" s="9">
        <v>107</v>
      </c>
      <c r="F1700" s="11">
        <v>45265</v>
      </c>
      <c r="G1700" s="8"/>
    </row>
    <row r="1701" spans="1:7" ht="18.75" customHeight="1" x14ac:dyDescent="0.2">
      <c r="A1701" s="8" t="s">
        <v>3402</v>
      </c>
      <c r="B1701" s="9">
        <v>43240</v>
      </c>
      <c r="C1701" s="9">
        <v>5902557367603</v>
      </c>
      <c r="D1701" s="10" t="s">
        <v>3403</v>
      </c>
      <c r="E1701" s="9">
        <v>116</v>
      </c>
      <c r="F1701" s="11">
        <v>45456</v>
      </c>
      <c r="G1701" s="8"/>
    </row>
    <row r="1702" spans="1:7" ht="18.75" customHeight="1" x14ac:dyDescent="0.2">
      <c r="A1702" s="8" t="s">
        <v>3404</v>
      </c>
      <c r="B1702" s="9">
        <v>26221</v>
      </c>
      <c r="C1702" s="9">
        <v>5902557334926</v>
      </c>
      <c r="D1702" s="10" t="s">
        <v>3405</v>
      </c>
      <c r="E1702" s="9">
        <v>129</v>
      </c>
      <c r="F1702" s="11">
        <v>45575</v>
      </c>
      <c r="G1702" s="8"/>
    </row>
    <row r="1703" spans="1:7" ht="18.75" customHeight="1" x14ac:dyDescent="0.2">
      <c r="A1703" s="8" t="s">
        <v>3406</v>
      </c>
      <c r="B1703" s="9">
        <v>31223</v>
      </c>
      <c r="C1703" s="9">
        <v>5902557336128</v>
      </c>
      <c r="D1703" s="10" t="s">
        <v>3407</v>
      </c>
      <c r="E1703" s="9">
        <v>115</v>
      </c>
      <c r="F1703" s="11">
        <v>45265</v>
      </c>
      <c r="G1703" s="8"/>
    </row>
    <row r="1704" spans="1:7" ht="18.75" customHeight="1" x14ac:dyDescent="0.2">
      <c r="A1704" s="8" t="s">
        <v>3408</v>
      </c>
      <c r="B1704" s="9">
        <v>42434</v>
      </c>
      <c r="C1704" s="9">
        <v>5902557359868</v>
      </c>
      <c r="D1704" s="10" t="s">
        <v>3409</v>
      </c>
      <c r="E1704" s="9">
        <v>113</v>
      </c>
      <c r="F1704" s="11">
        <v>45351</v>
      </c>
      <c r="G1704" s="8"/>
    </row>
    <row r="1705" spans="1:7" ht="18.75" customHeight="1" x14ac:dyDescent="0.2">
      <c r="A1705" s="8" t="s">
        <v>3410</v>
      </c>
      <c r="B1705" s="9">
        <v>41705</v>
      </c>
      <c r="C1705" s="9">
        <v>5902557356676</v>
      </c>
      <c r="D1705" s="10" t="s">
        <v>3411</v>
      </c>
      <c r="E1705" s="9">
        <v>114</v>
      </c>
      <c r="F1705" s="11">
        <v>45623</v>
      </c>
      <c r="G1705" s="8"/>
    </row>
    <row r="1706" spans="1:7" ht="18.75" customHeight="1" x14ac:dyDescent="0.2">
      <c r="A1706" s="8" t="s">
        <v>3412</v>
      </c>
      <c r="B1706" s="9">
        <v>42247</v>
      </c>
      <c r="C1706" s="9">
        <v>5902557359851</v>
      </c>
      <c r="D1706" s="10" t="s">
        <v>3413</v>
      </c>
      <c r="E1706" s="9">
        <v>100</v>
      </c>
      <c r="F1706" s="11">
        <v>45623</v>
      </c>
      <c r="G1706" s="8"/>
    </row>
    <row r="1707" spans="1:7" ht="18.75" customHeight="1" x14ac:dyDescent="0.2">
      <c r="A1707" s="8" t="s">
        <v>3414</v>
      </c>
      <c r="B1707" s="9">
        <v>42290</v>
      </c>
      <c r="C1707" s="9">
        <v>5902557362639</v>
      </c>
      <c r="D1707" s="10" t="s">
        <v>3415</v>
      </c>
      <c r="E1707" s="9">
        <v>97</v>
      </c>
      <c r="F1707" s="11">
        <v>45456</v>
      </c>
      <c r="G1707" s="8"/>
    </row>
    <row r="1708" spans="1:7" ht="18.75" customHeight="1" x14ac:dyDescent="0.2">
      <c r="A1708" s="8" t="s">
        <v>3416</v>
      </c>
      <c r="B1708" s="9">
        <v>42016</v>
      </c>
      <c r="C1708" s="9">
        <v>5902557362622</v>
      </c>
      <c r="D1708" s="10" t="s">
        <v>3417</v>
      </c>
      <c r="E1708" s="9">
        <v>97</v>
      </c>
      <c r="F1708" s="11">
        <v>45265</v>
      </c>
      <c r="G1708" s="8"/>
    </row>
    <row r="1709" spans="1:7" ht="18.75" customHeight="1" x14ac:dyDescent="0.2">
      <c r="A1709" s="8" t="s">
        <v>3418</v>
      </c>
      <c r="B1709" s="9">
        <v>50040</v>
      </c>
      <c r="C1709" s="9">
        <v>5902557376063</v>
      </c>
      <c r="D1709" s="10" t="s">
        <v>3419</v>
      </c>
      <c r="E1709" s="9">
        <v>127</v>
      </c>
      <c r="F1709" s="11">
        <v>45310</v>
      </c>
      <c r="G1709" s="8"/>
    </row>
    <row r="1710" spans="1:7" ht="18.75" customHeight="1" x14ac:dyDescent="0.2">
      <c r="A1710" s="8" t="s">
        <v>3420</v>
      </c>
      <c r="B1710" s="9">
        <v>50037</v>
      </c>
      <c r="C1710" s="9">
        <v>5902557376070</v>
      </c>
      <c r="D1710" s="10" t="s">
        <v>3421</v>
      </c>
      <c r="E1710" s="9">
        <v>130</v>
      </c>
      <c r="F1710" s="11">
        <v>45349</v>
      </c>
      <c r="G1710" s="8"/>
    </row>
    <row r="1711" spans="1:7" ht="18.75" customHeight="1" x14ac:dyDescent="0.2">
      <c r="A1711" s="8" t="s">
        <v>3422</v>
      </c>
      <c r="B1711" s="9">
        <v>42017</v>
      </c>
      <c r="C1711" s="9">
        <v>5902557362646</v>
      </c>
      <c r="D1711" s="10" t="s">
        <v>3423</v>
      </c>
      <c r="E1711" s="9">
        <v>99</v>
      </c>
      <c r="F1711" s="11">
        <v>45693</v>
      </c>
      <c r="G1711" s="8"/>
    </row>
    <row r="1712" spans="1:7" ht="18.75" customHeight="1" x14ac:dyDescent="0.2">
      <c r="A1712" s="8" t="s">
        <v>3424</v>
      </c>
      <c r="B1712" s="9">
        <v>42040</v>
      </c>
      <c r="C1712" s="9">
        <v>5902557362653</v>
      </c>
      <c r="D1712" s="10" t="s">
        <v>3425</v>
      </c>
      <c r="E1712" s="9">
        <v>108</v>
      </c>
      <c r="F1712" s="11">
        <v>45548</v>
      </c>
      <c r="G1712" s="8"/>
    </row>
    <row r="1713" spans="1:7" ht="18.75" customHeight="1" x14ac:dyDescent="0.2">
      <c r="A1713" s="8" t="s">
        <v>3426</v>
      </c>
      <c r="B1713" s="9">
        <v>49131</v>
      </c>
      <c r="C1713" s="9">
        <v>5902557377473</v>
      </c>
      <c r="D1713" s="10" t="s">
        <v>3427</v>
      </c>
      <c r="E1713" s="9">
        <v>97</v>
      </c>
      <c r="F1713" s="11">
        <v>45265</v>
      </c>
      <c r="G1713" s="8"/>
    </row>
    <row r="1714" spans="1:7" ht="18.75" customHeight="1" x14ac:dyDescent="0.2">
      <c r="A1714" s="8" t="s">
        <v>3428</v>
      </c>
      <c r="B1714" s="9">
        <v>49843</v>
      </c>
      <c r="C1714" s="9">
        <v>5902557382958</v>
      </c>
      <c r="D1714" s="10" t="s">
        <v>3429</v>
      </c>
      <c r="E1714" s="9">
        <v>64</v>
      </c>
      <c r="F1714" s="11">
        <v>45265</v>
      </c>
      <c r="G1714" s="8"/>
    </row>
    <row r="1715" spans="1:7" ht="18.75" customHeight="1" x14ac:dyDescent="0.2">
      <c r="A1715" s="8" t="s">
        <v>3430</v>
      </c>
      <c r="B1715" s="9">
        <v>50038</v>
      </c>
      <c r="C1715" s="9">
        <v>5902557382965</v>
      </c>
      <c r="D1715" s="10" t="s">
        <v>3431</v>
      </c>
      <c r="E1715" s="9">
        <v>80</v>
      </c>
      <c r="F1715" s="11">
        <v>45618</v>
      </c>
      <c r="G1715" s="8"/>
    </row>
    <row r="1716" spans="1:7" ht="18.75" customHeight="1" x14ac:dyDescent="0.2">
      <c r="A1716" s="8" t="s">
        <v>3432</v>
      </c>
      <c r="B1716" s="9">
        <v>50897</v>
      </c>
      <c r="C1716" s="9">
        <v>5902557387557</v>
      </c>
      <c r="D1716" s="10" t="s">
        <v>3433</v>
      </c>
      <c r="E1716" s="9">
        <v>101</v>
      </c>
      <c r="F1716" s="11">
        <v>45575</v>
      </c>
      <c r="G1716" s="8"/>
    </row>
    <row r="1717" spans="1:7" ht="18.75" customHeight="1" x14ac:dyDescent="0.2">
      <c r="A1717" s="8" t="s">
        <v>3434</v>
      </c>
      <c r="B1717" s="9">
        <v>49856</v>
      </c>
      <c r="C1717" s="9">
        <v>5902557382897</v>
      </c>
      <c r="D1717" s="10" t="s">
        <v>3435</v>
      </c>
      <c r="E1717" s="9">
        <v>115</v>
      </c>
      <c r="F1717" s="11">
        <v>45265</v>
      </c>
      <c r="G1717" s="8"/>
    </row>
    <row r="1718" spans="1:7" ht="18.75" customHeight="1" x14ac:dyDescent="0.2">
      <c r="A1718" s="8" t="s">
        <v>3436</v>
      </c>
      <c r="B1718" s="9"/>
      <c r="C1718" s="9">
        <v>5902557363926</v>
      </c>
      <c r="D1718" s="10" t="s">
        <v>3437</v>
      </c>
      <c r="E1718" s="9">
        <v>98</v>
      </c>
      <c r="F1718" s="11">
        <v>45265</v>
      </c>
      <c r="G1718" s="8"/>
    </row>
    <row r="1719" spans="1:7" ht="18.75" customHeight="1" x14ac:dyDescent="0.2">
      <c r="A1719" s="8" t="s">
        <v>3438</v>
      </c>
      <c r="B1719" s="9">
        <v>48389</v>
      </c>
      <c r="C1719" s="9">
        <v>5902557376773</v>
      </c>
      <c r="D1719" s="10" t="s">
        <v>3439</v>
      </c>
      <c r="E1719" s="9">
        <v>88</v>
      </c>
      <c r="F1719" s="11">
        <v>45357</v>
      </c>
      <c r="G1719" s="8"/>
    </row>
    <row r="1720" spans="1:7" ht="18.75" customHeight="1" x14ac:dyDescent="0.2">
      <c r="A1720" s="8" t="s">
        <v>3440</v>
      </c>
      <c r="B1720" s="9"/>
      <c r="C1720" s="9">
        <v>5902557357451</v>
      </c>
      <c r="D1720" s="10" t="s">
        <v>3441</v>
      </c>
      <c r="E1720" s="9">
        <v>57</v>
      </c>
      <c r="F1720" s="11">
        <v>45265</v>
      </c>
      <c r="G1720" s="8"/>
    </row>
    <row r="1721" spans="1:7" ht="18.75" customHeight="1" x14ac:dyDescent="0.2">
      <c r="A1721" s="8" t="s">
        <v>3442</v>
      </c>
      <c r="B1721" s="9">
        <v>29617</v>
      </c>
      <c r="C1721" s="9">
        <v>5902557337149</v>
      </c>
      <c r="D1721" s="10" t="s">
        <v>3443</v>
      </c>
      <c r="E1721" s="9">
        <v>50</v>
      </c>
      <c r="F1721" s="11">
        <v>45618</v>
      </c>
      <c r="G1721" s="8"/>
    </row>
    <row r="1722" spans="1:7" ht="18.75" customHeight="1" x14ac:dyDescent="0.2">
      <c r="A1722" s="8" t="s">
        <v>3444</v>
      </c>
      <c r="B1722" s="9">
        <v>44669</v>
      </c>
      <c r="C1722" s="9">
        <v>5902557370139</v>
      </c>
      <c r="D1722" s="10" t="s">
        <v>3445</v>
      </c>
      <c r="E1722" s="9">
        <v>79</v>
      </c>
      <c r="F1722" s="11">
        <v>45265</v>
      </c>
      <c r="G1722" s="8"/>
    </row>
    <row r="1723" spans="1:7" ht="18.75" customHeight="1" x14ac:dyDescent="0.2">
      <c r="A1723" s="8" t="s">
        <v>3446</v>
      </c>
      <c r="B1723" s="9">
        <v>54322</v>
      </c>
      <c r="C1723" s="8">
        <v>5906366006456</v>
      </c>
      <c r="D1723" s="10" t="s">
        <v>3447</v>
      </c>
      <c r="E1723" s="9">
        <v>70</v>
      </c>
      <c r="F1723" s="11">
        <v>45644</v>
      </c>
      <c r="G1723" s="8"/>
    </row>
    <row r="1724" spans="1:7" ht="18.75" customHeight="1" x14ac:dyDescent="0.2">
      <c r="A1724" s="8" t="s">
        <v>3448</v>
      </c>
      <c r="B1724" s="9">
        <v>29727</v>
      </c>
      <c r="C1724" s="9">
        <v>5902557337163</v>
      </c>
      <c r="D1724" s="10" t="s">
        <v>3449</v>
      </c>
      <c r="E1724" s="9">
        <v>120</v>
      </c>
      <c r="F1724" s="11">
        <v>45265</v>
      </c>
      <c r="G1724" s="8"/>
    </row>
    <row r="1725" spans="1:7" ht="18.75" customHeight="1" x14ac:dyDescent="0.2">
      <c r="A1725" s="8" t="s">
        <v>3450</v>
      </c>
      <c r="B1725" s="9">
        <v>40650</v>
      </c>
      <c r="C1725" s="9">
        <v>5902557357123</v>
      </c>
      <c r="D1725" s="10" t="s">
        <v>3451</v>
      </c>
      <c r="E1725" s="9">
        <v>82</v>
      </c>
      <c r="F1725" s="11">
        <v>45265</v>
      </c>
      <c r="G1725" s="8"/>
    </row>
    <row r="1726" spans="1:7" ht="18.75" customHeight="1" x14ac:dyDescent="0.2">
      <c r="A1726" s="8" t="s">
        <v>3452</v>
      </c>
      <c r="B1726" s="9">
        <v>54342</v>
      </c>
      <c r="C1726" s="8">
        <v>5906366006449</v>
      </c>
      <c r="D1726" s="10" t="s">
        <v>3453</v>
      </c>
      <c r="E1726" s="9">
        <v>70</v>
      </c>
      <c r="F1726" s="11">
        <v>45644</v>
      </c>
      <c r="G1726" s="8"/>
    </row>
    <row r="1727" spans="1:7" ht="18.75" customHeight="1" x14ac:dyDescent="0.2">
      <c r="A1727" s="8" t="s">
        <v>3454</v>
      </c>
      <c r="B1727" s="9">
        <v>32601</v>
      </c>
      <c r="C1727" s="9">
        <v>5902557343164</v>
      </c>
      <c r="D1727" s="10" t="s">
        <v>3455</v>
      </c>
      <c r="E1727" s="9">
        <v>78</v>
      </c>
      <c r="F1727" s="11">
        <v>45265</v>
      </c>
      <c r="G1727" s="8"/>
    </row>
    <row r="1728" spans="1:7" ht="18.75" customHeight="1" x14ac:dyDescent="0.2">
      <c r="A1728" s="8" t="s">
        <v>3456</v>
      </c>
      <c r="B1728" s="9">
        <v>46145</v>
      </c>
      <c r="C1728" s="9">
        <v>5902557375288</v>
      </c>
      <c r="D1728" s="10" t="s">
        <v>3457</v>
      </c>
      <c r="E1728" s="9">
        <v>96</v>
      </c>
      <c r="F1728" s="11">
        <v>45618</v>
      </c>
      <c r="G1728" s="8"/>
    </row>
    <row r="1729" spans="1:7" ht="18.75" customHeight="1" x14ac:dyDescent="0.2">
      <c r="A1729" s="8" t="s">
        <v>3458</v>
      </c>
      <c r="B1729" s="9">
        <v>45323</v>
      </c>
      <c r="C1729" s="9">
        <v>5902557375349</v>
      </c>
      <c r="D1729" s="10" t="s">
        <v>3459</v>
      </c>
      <c r="E1729" s="9">
        <v>79</v>
      </c>
      <c r="F1729" s="11">
        <v>45357</v>
      </c>
      <c r="G1729" s="8"/>
    </row>
    <row r="1730" spans="1:7" ht="18.75" customHeight="1" x14ac:dyDescent="0.2">
      <c r="A1730" s="8" t="s">
        <v>3460</v>
      </c>
      <c r="B1730" s="9">
        <v>50956</v>
      </c>
      <c r="C1730" s="9">
        <v>5902557392292</v>
      </c>
      <c r="D1730" s="10" t="s">
        <v>3461</v>
      </c>
      <c r="E1730" s="9">
        <v>94</v>
      </c>
      <c r="F1730" s="11">
        <v>45449</v>
      </c>
      <c r="G1730" s="8"/>
    </row>
    <row r="1731" spans="1:7" ht="18.75" customHeight="1" x14ac:dyDescent="0.2">
      <c r="A1731" s="8" t="s">
        <v>3462</v>
      </c>
      <c r="B1731" s="9">
        <v>32608</v>
      </c>
      <c r="C1731" s="9">
        <v>5902557343171</v>
      </c>
      <c r="D1731" s="10" t="s">
        <v>3463</v>
      </c>
      <c r="E1731" s="9">
        <v>122</v>
      </c>
      <c r="F1731" s="11">
        <v>45265</v>
      </c>
      <c r="G1731" s="8"/>
    </row>
    <row r="1732" spans="1:7" ht="18.75" customHeight="1" x14ac:dyDescent="0.2">
      <c r="A1732" s="8" t="s">
        <v>3464</v>
      </c>
      <c r="B1732" s="9">
        <v>51064</v>
      </c>
      <c r="C1732" s="9">
        <v>5902557393428</v>
      </c>
      <c r="D1732" s="10" t="s">
        <v>3465</v>
      </c>
      <c r="E1732" s="9">
        <v>117</v>
      </c>
      <c r="F1732" s="11">
        <v>45548</v>
      </c>
      <c r="G1732" s="8"/>
    </row>
    <row r="1733" spans="1:7" ht="18.75" customHeight="1" x14ac:dyDescent="0.2">
      <c r="A1733" s="8" t="s">
        <v>3466</v>
      </c>
      <c r="B1733" s="9"/>
      <c r="C1733" s="9">
        <v>5902557337156</v>
      </c>
      <c r="D1733" s="10" t="s">
        <v>3467</v>
      </c>
      <c r="E1733" s="9">
        <v>77</v>
      </c>
      <c r="F1733" s="11">
        <v>45265</v>
      </c>
      <c r="G1733" s="8"/>
    </row>
    <row r="1734" spans="1:7" ht="18.75" customHeight="1" x14ac:dyDescent="0.2">
      <c r="A1734" s="8" t="s">
        <v>3468</v>
      </c>
      <c r="B1734" s="9">
        <v>54137</v>
      </c>
      <c r="C1734" s="8">
        <v>5906366006463</v>
      </c>
      <c r="D1734" s="10" t="s">
        <v>3469</v>
      </c>
      <c r="E1734" s="9">
        <v>68</v>
      </c>
      <c r="F1734" s="11">
        <v>45618</v>
      </c>
      <c r="G1734" s="8"/>
    </row>
    <row r="1735" spans="1:7" ht="18.75" customHeight="1" x14ac:dyDescent="0.2">
      <c r="A1735" s="8" t="s">
        <v>3470</v>
      </c>
      <c r="B1735" s="9">
        <v>42921</v>
      </c>
      <c r="C1735" s="9">
        <v>5902557365739</v>
      </c>
      <c r="D1735" s="10" t="s">
        <v>3471</v>
      </c>
      <c r="E1735" s="9">
        <v>91</v>
      </c>
      <c r="F1735" s="11">
        <v>45265</v>
      </c>
      <c r="G1735" s="8"/>
    </row>
    <row r="1736" spans="1:7" ht="18.75" customHeight="1" x14ac:dyDescent="0.2">
      <c r="A1736" s="8" t="s">
        <v>3472</v>
      </c>
      <c r="B1736" s="9"/>
      <c r="C1736" s="9">
        <v>5902557364275</v>
      </c>
      <c r="D1736" s="10" t="s">
        <v>3473</v>
      </c>
      <c r="E1736" s="9">
        <v>79</v>
      </c>
      <c r="F1736" s="11">
        <v>45265</v>
      </c>
      <c r="G1736" s="8"/>
    </row>
    <row r="1737" spans="1:7" ht="18.75" customHeight="1" x14ac:dyDescent="0.2">
      <c r="A1737" s="8" t="s">
        <v>3474</v>
      </c>
      <c r="B1737" s="9"/>
      <c r="C1737" s="9"/>
      <c r="D1737" s="10" t="s">
        <v>3475</v>
      </c>
      <c r="E1737" s="9">
        <v>72</v>
      </c>
      <c r="F1737" s="11">
        <v>45265</v>
      </c>
      <c r="G1737" s="8"/>
    </row>
    <row r="1738" spans="1:7" ht="18.75" customHeight="1" x14ac:dyDescent="0.2">
      <c r="A1738" s="8" t="s">
        <v>3476</v>
      </c>
      <c r="B1738" s="9">
        <v>39852</v>
      </c>
      <c r="C1738" s="9">
        <v>5902557356621</v>
      </c>
      <c r="D1738" s="10" t="s">
        <v>3477</v>
      </c>
      <c r="E1738" s="9">
        <v>87</v>
      </c>
      <c r="F1738" s="11">
        <v>45575</v>
      </c>
      <c r="G1738" s="8"/>
    </row>
    <row r="1739" spans="1:7" ht="18.75" customHeight="1" x14ac:dyDescent="0.2">
      <c r="A1739" s="8" t="s">
        <v>3478</v>
      </c>
      <c r="B1739" s="9">
        <v>50782</v>
      </c>
      <c r="C1739" s="9">
        <v>5902557392568</v>
      </c>
      <c r="D1739" s="10" t="s">
        <v>3479</v>
      </c>
      <c r="E1739" s="9">
        <v>64</v>
      </c>
      <c r="F1739" s="11">
        <v>45265</v>
      </c>
      <c r="G1739" s="8"/>
    </row>
    <row r="1740" spans="1:7" ht="18.75" customHeight="1" x14ac:dyDescent="0.2">
      <c r="A1740" s="8" t="s">
        <v>3480</v>
      </c>
      <c r="B1740" s="9"/>
      <c r="C1740" s="9">
        <v>5902557343188</v>
      </c>
      <c r="D1740" s="10" t="s">
        <v>3481</v>
      </c>
      <c r="E1740" s="9">
        <v>124</v>
      </c>
      <c r="F1740" s="11">
        <v>45265</v>
      </c>
      <c r="G1740" s="8"/>
    </row>
    <row r="1741" spans="1:7" ht="18.75" customHeight="1" x14ac:dyDescent="0.2">
      <c r="A1741" s="8" t="s">
        <v>3482</v>
      </c>
      <c r="B1741" s="9">
        <v>50957</v>
      </c>
      <c r="C1741" s="9">
        <v>5902557392308</v>
      </c>
      <c r="D1741" s="10" t="s">
        <v>3483</v>
      </c>
      <c r="E1741" s="9">
        <v>94</v>
      </c>
      <c r="F1741" s="11">
        <v>45687</v>
      </c>
      <c r="G1741" s="8"/>
    </row>
    <row r="1742" spans="1:7" ht="18.75" customHeight="1" x14ac:dyDescent="0.2">
      <c r="A1742" s="8" t="s">
        <v>3484</v>
      </c>
      <c r="B1742" s="9">
        <v>51060</v>
      </c>
      <c r="C1742" s="9">
        <v>5902557393435</v>
      </c>
      <c r="D1742" s="10" t="s">
        <v>3485</v>
      </c>
      <c r="E1742" s="9">
        <v>121</v>
      </c>
      <c r="F1742" s="11">
        <v>45726</v>
      </c>
      <c r="G1742" s="8"/>
    </row>
    <row r="1743" spans="1:7" ht="18.75" customHeight="1" x14ac:dyDescent="0.2">
      <c r="A1743" s="8" t="s">
        <v>3486</v>
      </c>
      <c r="B1743" s="9">
        <v>51661</v>
      </c>
      <c r="C1743" s="9">
        <v>5902557395729</v>
      </c>
      <c r="D1743" s="10" t="s">
        <v>3487</v>
      </c>
      <c r="E1743" s="9">
        <v>108</v>
      </c>
      <c r="F1743" s="11">
        <v>45341</v>
      </c>
      <c r="G1743" s="8"/>
    </row>
    <row r="1744" spans="1:7" ht="18.75" customHeight="1" x14ac:dyDescent="0.2">
      <c r="A1744" s="9" t="s">
        <v>3488</v>
      </c>
      <c r="B1744" s="9">
        <v>54001</v>
      </c>
      <c r="C1744" s="8">
        <v>5906366006319</v>
      </c>
      <c r="D1744" s="10" t="s">
        <v>3489</v>
      </c>
      <c r="E1744" s="9">
        <v>64</v>
      </c>
      <c r="F1744" s="11">
        <v>45618</v>
      </c>
      <c r="G1744" s="8"/>
    </row>
    <row r="1745" spans="1:7" ht="18.75" customHeight="1" x14ac:dyDescent="0.2">
      <c r="A1745" s="8" t="s">
        <v>3490</v>
      </c>
      <c r="B1745" s="9">
        <v>46441</v>
      </c>
      <c r="C1745" s="9">
        <v>5902557369508</v>
      </c>
      <c r="D1745" s="10" t="s">
        <v>3491</v>
      </c>
      <c r="E1745" s="9">
        <v>44</v>
      </c>
      <c r="F1745" s="11">
        <v>45265</v>
      </c>
      <c r="G1745" s="8"/>
    </row>
    <row r="1746" spans="1:7" ht="18.75" customHeight="1" x14ac:dyDescent="0.2">
      <c r="A1746" s="8" t="s">
        <v>3492</v>
      </c>
      <c r="B1746" s="9">
        <v>52670</v>
      </c>
      <c r="C1746" s="9">
        <v>5902557396207</v>
      </c>
      <c r="D1746" s="10" t="s">
        <v>3493</v>
      </c>
      <c r="E1746" s="9">
        <v>127</v>
      </c>
      <c r="F1746" s="11">
        <v>45376</v>
      </c>
      <c r="G1746" s="8"/>
    </row>
    <row r="1747" spans="1:7" ht="18.75" customHeight="1" x14ac:dyDescent="0.2">
      <c r="A1747" s="8" t="s">
        <v>3494</v>
      </c>
      <c r="B1747" s="9">
        <v>39586</v>
      </c>
      <c r="C1747" s="9">
        <v>5902557355464</v>
      </c>
      <c r="D1747" s="10" t="s">
        <v>3495</v>
      </c>
      <c r="E1747" s="9">
        <v>77</v>
      </c>
      <c r="F1747" s="11">
        <v>45566</v>
      </c>
      <c r="G1747" s="8"/>
    </row>
    <row r="1748" spans="1:7" ht="18.75" customHeight="1" x14ac:dyDescent="0.2">
      <c r="A1748" s="8" t="s">
        <v>3496</v>
      </c>
      <c r="B1748" s="9">
        <v>1632</v>
      </c>
      <c r="C1748" s="9">
        <v>5902557300181</v>
      </c>
      <c r="D1748" s="10" t="s">
        <v>3497</v>
      </c>
      <c r="E1748" s="9">
        <v>42</v>
      </c>
      <c r="F1748" s="11">
        <v>45579</v>
      </c>
      <c r="G1748" s="8"/>
    </row>
    <row r="1749" spans="1:7" ht="18.75" customHeight="1" x14ac:dyDescent="0.2">
      <c r="A1749" s="8" t="s">
        <v>3498</v>
      </c>
      <c r="B1749" s="9">
        <v>39776</v>
      </c>
      <c r="C1749" s="9">
        <v>5902557355785</v>
      </c>
      <c r="D1749" s="10" t="s">
        <v>3499</v>
      </c>
      <c r="E1749" s="9">
        <v>87</v>
      </c>
      <c r="F1749" s="11">
        <v>45314</v>
      </c>
      <c r="G1749" s="8"/>
    </row>
    <row r="1750" spans="1:7" ht="18.75" customHeight="1" x14ac:dyDescent="0.2">
      <c r="A1750" s="8" t="s">
        <v>3500</v>
      </c>
      <c r="B1750" s="9">
        <v>1745</v>
      </c>
      <c r="C1750" s="9">
        <v>5902557300488</v>
      </c>
      <c r="D1750" s="10" t="s">
        <v>3501</v>
      </c>
      <c r="E1750" s="9">
        <v>60</v>
      </c>
      <c r="F1750" s="11">
        <v>45265</v>
      </c>
      <c r="G1750" s="8"/>
    </row>
    <row r="1751" spans="1:7" ht="18.75" customHeight="1" x14ac:dyDescent="0.2">
      <c r="A1751" s="8" t="s">
        <v>3502</v>
      </c>
      <c r="B1751" s="9">
        <v>37540</v>
      </c>
      <c r="C1751" s="9">
        <v>5902557349845</v>
      </c>
      <c r="D1751" s="10" t="s">
        <v>3503</v>
      </c>
      <c r="E1751" s="9">
        <v>68</v>
      </c>
      <c r="F1751" s="11">
        <v>45310</v>
      </c>
      <c r="G1751" s="8"/>
    </row>
    <row r="1752" spans="1:7" ht="18.75" customHeight="1" x14ac:dyDescent="0.2">
      <c r="A1752" s="8" t="s">
        <v>3504</v>
      </c>
      <c r="B1752" s="9">
        <v>42561</v>
      </c>
      <c r="C1752" s="9">
        <v>5902557364237</v>
      </c>
      <c r="D1752" s="10" t="s">
        <v>3505</v>
      </c>
      <c r="E1752" s="9">
        <v>76</v>
      </c>
      <c r="F1752" s="11">
        <v>45321</v>
      </c>
      <c r="G1752" s="8"/>
    </row>
    <row r="1753" spans="1:7" ht="18.75" customHeight="1" x14ac:dyDescent="0.2">
      <c r="A1753" s="8" t="s">
        <v>3506</v>
      </c>
      <c r="B1753" s="9">
        <v>20563</v>
      </c>
      <c r="C1753" s="9">
        <v>5902557331116</v>
      </c>
      <c r="D1753" s="10" t="s">
        <v>3507</v>
      </c>
      <c r="E1753" s="9">
        <v>92</v>
      </c>
      <c r="F1753" s="11">
        <v>45293</v>
      </c>
      <c r="G1753" s="8"/>
    </row>
    <row r="1754" spans="1:7" ht="18.75" customHeight="1" x14ac:dyDescent="0.2">
      <c r="A1754" s="8" t="s">
        <v>3508</v>
      </c>
      <c r="B1754" s="9">
        <v>45633</v>
      </c>
      <c r="C1754" s="9">
        <v>5902557375165</v>
      </c>
      <c r="D1754" s="10" t="s">
        <v>3509</v>
      </c>
      <c r="E1754" s="9">
        <v>87</v>
      </c>
      <c r="F1754" s="11">
        <v>45265</v>
      </c>
      <c r="G1754" s="8"/>
    </row>
    <row r="1755" spans="1:7" ht="18.75" customHeight="1" x14ac:dyDescent="0.2">
      <c r="A1755" s="8" t="s">
        <v>3510</v>
      </c>
      <c r="B1755" s="9">
        <v>43366</v>
      </c>
      <c r="C1755" s="9">
        <v>5902557366590</v>
      </c>
      <c r="D1755" s="10" t="s">
        <v>3511</v>
      </c>
      <c r="E1755" s="9">
        <v>78</v>
      </c>
      <c r="F1755" s="11">
        <v>45265</v>
      </c>
      <c r="G1755" s="8"/>
    </row>
    <row r="1756" spans="1:7" ht="18.75" customHeight="1" x14ac:dyDescent="0.2">
      <c r="A1756" s="8" t="s">
        <v>3512</v>
      </c>
      <c r="B1756" s="9">
        <v>43539</v>
      </c>
      <c r="C1756" s="9">
        <v>5902557367146</v>
      </c>
      <c r="D1756" s="10" t="s">
        <v>3513</v>
      </c>
      <c r="E1756" s="9">
        <v>70</v>
      </c>
      <c r="F1756" s="11">
        <v>45372</v>
      </c>
      <c r="G1756" s="8"/>
    </row>
    <row r="1757" spans="1:7" ht="18.75" customHeight="1" x14ac:dyDescent="0.2">
      <c r="A1757" s="8" t="s">
        <v>3514</v>
      </c>
      <c r="B1757" s="9">
        <v>39777</v>
      </c>
      <c r="C1757" s="9">
        <v>5902557355761</v>
      </c>
      <c r="D1757" s="10" t="s">
        <v>3515</v>
      </c>
      <c r="E1757" s="9">
        <v>85</v>
      </c>
      <c r="F1757" s="11">
        <v>45265</v>
      </c>
      <c r="G1757" s="8"/>
    </row>
    <row r="1758" spans="1:7" ht="18.75" customHeight="1" x14ac:dyDescent="0.2">
      <c r="A1758" s="8" t="s">
        <v>3516</v>
      </c>
      <c r="B1758" s="9">
        <v>7497</v>
      </c>
      <c r="C1758" s="9">
        <v>5902557319084</v>
      </c>
      <c r="D1758" s="10" t="s">
        <v>3517</v>
      </c>
      <c r="E1758" s="9">
        <v>69</v>
      </c>
      <c r="F1758" s="11">
        <v>45265</v>
      </c>
      <c r="G1758" s="8"/>
    </row>
    <row r="1759" spans="1:7" ht="18.75" customHeight="1" x14ac:dyDescent="0.2">
      <c r="A1759" s="8" t="s">
        <v>3518</v>
      </c>
      <c r="B1759" s="9">
        <v>50996</v>
      </c>
      <c r="C1759" s="9">
        <v>5902557387540</v>
      </c>
      <c r="D1759" s="10" t="s">
        <v>3519</v>
      </c>
      <c r="E1759" s="9">
        <v>85</v>
      </c>
      <c r="F1759" s="11">
        <v>45293</v>
      </c>
      <c r="G1759" s="8"/>
    </row>
    <row r="1760" spans="1:7" ht="18.75" customHeight="1" x14ac:dyDescent="0.2">
      <c r="A1760" s="8" t="s">
        <v>3520</v>
      </c>
      <c r="B1760" s="9">
        <v>43347</v>
      </c>
      <c r="C1760" s="9">
        <v>5902557366613</v>
      </c>
      <c r="D1760" s="10" t="s">
        <v>3521</v>
      </c>
      <c r="E1760" s="9">
        <v>94</v>
      </c>
      <c r="F1760" s="11">
        <v>45687</v>
      </c>
      <c r="G1760" s="8"/>
    </row>
    <row r="1761" spans="1:7" ht="18.75" customHeight="1" x14ac:dyDescent="0.2">
      <c r="A1761" s="8" t="s">
        <v>3522</v>
      </c>
      <c r="B1761" s="9">
        <v>39965</v>
      </c>
      <c r="C1761" s="9">
        <v>5902557356607</v>
      </c>
      <c r="D1761" s="10" t="s">
        <v>3523</v>
      </c>
      <c r="E1761" s="9">
        <v>80</v>
      </c>
      <c r="F1761" s="11">
        <v>45618</v>
      </c>
      <c r="G1761" s="8"/>
    </row>
    <row r="1762" spans="1:7" ht="18.75" customHeight="1" x14ac:dyDescent="0.2">
      <c r="A1762" s="8" t="s">
        <v>3524</v>
      </c>
      <c r="B1762" s="9">
        <v>7499</v>
      </c>
      <c r="C1762" s="9">
        <v>5902557332045</v>
      </c>
      <c r="D1762" s="10" t="s">
        <v>3525</v>
      </c>
      <c r="E1762" s="9">
        <v>80</v>
      </c>
      <c r="F1762" s="11">
        <v>45531</v>
      </c>
      <c r="G1762" s="8"/>
    </row>
    <row r="1763" spans="1:7" ht="18.75" customHeight="1" x14ac:dyDescent="0.2">
      <c r="A1763" s="8" t="s">
        <v>3526</v>
      </c>
      <c r="B1763" s="9">
        <v>36779</v>
      </c>
      <c r="C1763" s="9">
        <v>5902557349142</v>
      </c>
      <c r="D1763" s="10" t="s">
        <v>3527</v>
      </c>
      <c r="E1763" s="9">
        <v>70</v>
      </c>
      <c r="F1763" s="11">
        <v>45265</v>
      </c>
      <c r="G1763" s="8"/>
    </row>
    <row r="1764" spans="1:7" ht="18.75" customHeight="1" x14ac:dyDescent="0.2">
      <c r="A1764" s="8" t="s">
        <v>3528</v>
      </c>
      <c r="B1764" s="9">
        <v>37273</v>
      </c>
      <c r="C1764" s="9">
        <v>5902557348770</v>
      </c>
      <c r="D1764" s="10" t="s">
        <v>3529</v>
      </c>
      <c r="E1764" s="9">
        <v>62</v>
      </c>
      <c r="F1764" s="11">
        <v>45265</v>
      </c>
      <c r="G1764" s="8"/>
    </row>
    <row r="1765" spans="1:7" ht="18.75" customHeight="1" x14ac:dyDescent="0.2">
      <c r="A1765" s="8" t="s">
        <v>3530</v>
      </c>
      <c r="B1765" s="9">
        <v>48061</v>
      </c>
      <c r="C1765" s="9">
        <v>5902557376049</v>
      </c>
      <c r="D1765" s="10" t="s">
        <v>3531</v>
      </c>
      <c r="E1765" s="9">
        <v>92</v>
      </c>
      <c r="F1765" s="11">
        <v>45265</v>
      </c>
      <c r="G1765" s="8"/>
    </row>
    <row r="1766" spans="1:7" ht="18.75" customHeight="1" x14ac:dyDescent="0.2">
      <c r="A1766" s="8" t="s">
        <v>3532</v>
      </c>
      <c r="B1766" s="9">
        <v>46430</v>
      </c>
      <c r="C1766" s="9">
        <v>5902557376155</v>
      </c>
      <c r="D1766" s="10" t="s">
        <v>3533</v>
      </c>
      <c r="E1766" s="9">
        <v>78</v>
      </c>
      <c r="F1766" s="11">
        <v>45265</v>
      </c>
      <c r="G1766" s="8"/>
    </row>
    <row r="1767" spans="1:7" ht="18.75" customHeight="1" x14ac:dyDescent="0.2">
      <c r="A1767" s="8" t="s">
        <v>3534</v>
      </c>
      <c r="B1767" s="9">
        <v>48054</v>
      </c>
      <c r="C1767" s="9">
        <v>5902557376056</v>
      </c>
      <c r="D1767" s="10" t="s">
        <v>3535</v>
      </c>
      <c r="E1767" s="9">
        <v>92</v>
      </c>
      <c r="F1767" s="11">
        <v>45265</v>
      </c>
      <c r="G1767" s="8"/>
    </row>
    <row r="1768" spans="1:7" ht="18.75" customHeight="1" x14ac:dyDescent="0.2">
      <c r="A1768" s="8" t="s">
        <v>3536</v>
      </c>
      <c r="B1768" s="9">
        <v>41711</v>
      </c>
      <c r="C1768" s="9">
        <v>5902557357710</v>
      </c>
      <c r="D1768" s="10" t="s">
        <v>3537</v>
      </c>
      <c r="E1768" s="9">
        <v>81</v>
      </c>
      <c r="F1768" s="11">
        <v>45462</v>
      </c>
      <c r="G1768" s="8"/>
    </row>
    <row r="1769" spans="1:7" ht="18.75" customHeight="1" x14ac:dyDescent="0.2">
      <c r="A1769" s="8" t="s">
        <v>3538</v>
      </c>
      <c r="B1769" s="9"/>
      <c r="C1769" s="9">
        <v>5902557349159</v>
      </c>
      <c r="D1769" s="10" t="s">
        <v>3539</v>
      </c>
      <c r="E1769" s="9">
        <v>60</v>
      </c>
      <c r="F1769" s="11">
        <v>45265</v>
      </c>
      <c r="G1769" s="8"/>
    </row>
    <row r="1770" spans="1:7" ht="18.75" customHeight="1" x14ac:dyDescent="0.2">
      <c r="A1770" s="8" t="s">
        <v>3540</v>
      </c>
      <c r="B1770" s="9">
        <v>39374</v>
      </c>
      <c r="C1770" s="9">
        <v>5902557354542</v>
      </c>
      <c r="D1770" s="10" t="s">
        <v>3541</v>
      </c>
      <c r="E1770" s="9">
        <v>39</v>
      </c>
      <c r="F1770" s="11">
        <v>45602</v>
      </c>
      <c r="G1770" s="8"/>
    </row>
    <row r="1771" spans="1:7" ht="18.75" customHeight="1" x14ac:dyDescent="0.2">
      <c r="A1771" s="8" t="s">
        <v>3542</v>
      </c>
      <c r="B1771" s="9">
        <v>47794</v>
      </c>
      <c r="C1771" s="9">
        <v>5902557376780</v>
      </c>
      <c r="D1771" s="10" t="s">
        <v>3543</v>
      </c>
      <c r="E1771" s="9">
        <v>63</v>
      </c>
      <c r="F1771" s="11">
        <v>45575</v>
      </c>
      <c r="G1771" s="8"/>
    </row>
    <row r="1772" spans="1:7" ht="18.75" customHeight="1" x14ac:dyDescent="0.2">
      <c r="A1772" s="8" t="s">
        <v>3544</v>
      </c>
      <c r="B1772" s="9">
        <v>50750</v>
      </c>
      <c r="C1772" s="9">
        <v>5902557387526</v>
      </c>
      <c r="D1772" s="10" t="s">
        <v>3545</v>
      </c>
      <c r="E1772" s="9">
        <v>63</v>
      </c>
      <c r="F1772" s="11">
        <v>45667</v>
      </c>
      <c r="G1772" s="8"/>
    </row>
    <row r="1773" spans="1:7" ht="18.75" customHeight="1" x14ac:dyDescent="0.2">
      <c r="A1773" s="8" t="s">
        <v>3546</v>
      </c>
      <c r="B1773" s="9">
        <v>48377</v>
      </c>
      <c r="C1773" s="9">
        <v>5902557376797</v>
      </c>
      <c r="D1773" s="10" t="s">
        <v>3547</v>
      </c>
      <c r="E1773" s="9">
        <v>64</v>
      </c>
      <c r="F1773" s="11">
        <v>45265</v>
      </c>
      <c r="G1773" s="8"/>
    </row>
    <row r="1774" spans="1:7" ht="18.75" customHeight="1" x14ac:dyDescent="0.2">
      <c r="A1774" s="8" t="s">
        <v>3548</v>
      </c>
      <c r="B1774" s="9">
        <v>42273</v>
      </c>
      <c r="C1774" s="9">
        <v>5902557358243</v>
      </c>
      <c r="D1774" s="10" t="s">
        <v>3549</v>
      </c>
      <c r="E1774" s="9">
        <v>69</v>
      </c>
      <c r="F1774" s="11">
        <v>45265</v>
      </c>
      <c r="G1774" s="8"/>
    </row>
    <row r="1775" spans="1:7" ht="18.75" customHeight="1" x14ac:dyDescent="0.2">
      <c r="A1775" s="8" t="s">
        <v>3550</v>
      </c>
      <c r="B1775" s="9">
        <v>41748</v>
      </c>
      <c r="C1775" s="9">
        <v>5902557358229</v>
      </c>
      <c r="D1775" s="10" t="s">
        <v>3551</v>
      </c>
      <c r="E1775" s="9">
        <v>69</v>
      </c>
      <c r="F1775" s="11">
        <v>45265</v>
      </c>
      <c r="G1775" s="8"/>
    </row>
    <row r="1776" spans="1:7" ht="18.75" customHeight="1" x14ac:dyDescent="0.2">
      <c r="A1776" s="8" t="s">
        <v>3552</v>
      </c>
      <c r="B1776" s="9"/>
      <c r="C1776" s="9">
        <v>5902557358236</v>
      </c>
      <c r="D1776" s="10" t="s">
        <v>3553</v>
      </c>
      <c r="E1776" s="9">
        <v>44</v>
      </c>
      <c r="F1776" s="11">
        <v>45265</v>
      </c>
      <c r="G1776" s="8"/>
    </row>
    <row r="1777" spans="1:7" ht="18.75" customHeight="1" x14ac:dyDescent="0.2">
      <c r="A1777" s="8" t="s">
        <v>3554</v>
      </c>
      <c r="B1777" s="9">
        <v>50900</v>
      </c>
      <c r="C1777" s="9">
        <v>5902557392551</v>
      </c>
      <c r="D1777" s="10" t="s">
        <v>3555</v>
      </c>
      <c r="E1777" s="9">
        <v>64</v>
      </c>
      <c r="F1777" s="11">
        <v>45265</v>
      </c>
      <c r="G1777" s="8"/>
    </row>
    <row r="1778" spans="1:7" ht="18.75" customHeight="1" x14ac:dyDescent="0.2">
      <c r="A1778" s="8" t="s">
        <v>3556</v>
      </c>
      <c r="B1778" s="9">
        <v>13195</v>
      </c>
      <c r="C1778" s="9">
        <v>5902557330416</v>
      </c>
      <c r="D1778" s="10" t="s">
        <v>3557</v>
      </c>
      <c r="E1778" s="9">
        <v>78</v>
      </c>
      <c r="F1778" s="11">
        <v>45265</v>
      </c>
      <c r="G1778" s="8"/>
    </row>
    <row r="1779" spans="1:7" ht="18.75" customHeight="1" x14ac:dyDescent="0.2">
      <c r="A1779" s="8" t="s">
        <v>3558</v>
      </c>
      <c r="B1779" s="9">
        <v>7495</v>
      </c>
      <c r="C1779" s="9">
        <v>5902557314294</v>
      </c>
      <c r="D1779" s="10" t="s">
        <v>3559</v>
      </c>
      <c r="E1779" s="9">
        <v>62</v>
      </c>
      <c r="F1779" s="11">
        <v>45265</v>
      </c>
      <c r="G1779" s="8"/>
    </row>
    <row r="1780" spans="1:7" ht="18.75" customHeight="1" x14ac:dyDescent="0.2">
      <c r="A1780" s="8" t="s">
        <v>3560</v>
      </c>
      <c r="B1780" s="9">
        <v>27654</v>
      </c>
      <c r="C1780" s="9">
        <v>5902557335749</v>
      </c>
      <c r="D1780" s="10" t="s">
        <v>3561</v>
      </c>
      <c r="E1780" s="9">
        <v>81</v>
      </c>
      <c r="F1780" s="11">
        <v>45351</v>
      </c>
      <c r="G1780" s="8"/>
    </row>
    <row r="1781" spans="1:7" ht="18.75" customHeight="1" x14ac:dyDescent="0.2">
      <c r="A1781" s="8" t="s">
        <v>3562</v>
      </c>
      <c r="B1781" s="9">
        <v>42244</v>
      </c>
      <c r="C1781" s="9">
        <v>5902557359875</v>
      </c>
      <c r="D1781" s="10" t="s">
        <v>3563</v>
      </c>
      <c r="E1781" s="9">
        <v>72</v>
      </c>
      <c r="F1781" s="11">
        <v>45265</v>
      </c>
      <c r="G1781" s="8"/>
    </row>
    <row r="1782" spans="1:7" ht="18.75" customHeight="1" x14ac:dyDescent="0.2">
      <c r="A1782" s="8" t="s">
        <v>3564</v>
      </c>
      <c r="B1782" s="9">
        <v>29041</v>
      </c>
      <c r="C1782" s="9">
        <v>5902557342136</v>
      </c>
      <c r="D1782" s="10" t="s">
        <v>3565</v>
      </c>
      <c r="E1782" s="9">
        <v>108</v>
      </c>
      <c r="F1782" s="11">
        <v>45265</v>
      </c>
      <c r="G1782" s="8"/>
    </row>
    <row r="1783" spans="1:7" ht="18.75" customHeight="1" x14ac:dyDescent="0.2">
      <c r="A1783" s="8" t="s">
        <v>3566</v>
      </c>
      <c r="B1783" s="9">
        <v>30261</v>
      </c>
      <c r="C1783" s="9">
        <v>5902557340521</v>
      </c>
      <c r="D1783" s="10" t="s">
        <v>3567</v>
      </c>
      <c r="E1783" s="9">
        <v>103</v>
      </c>
      <c r="F1783" s="11">
        <v>45265</v>
      </c>
      <c r="G1783" s="8"/>
    </row>
    <row r="1784" spans="1:7" ht="18.75" customHeight="1" x14ac:dyDescent="0.2">
      <c r="A1784" s="8" t="s">
        <v>3568</v>
      </c>
      <c r="B1784" s="9">
        <v>37018</v>
      </c>
      <c r="C1784" s="9">
        <v>5902557349777</v>
      </c>
      <c r="D1784" s="10" t="s">
        <v>3569</v>
      </c>
      <c r="E1784" s="9">
        <v>50</v>
      </c>
      <c r="F1784" s="11">
        <v>45314</v>
      </c>
      <c r="G1784" s="8"/>
    </row>
    <row r="1785" spans="1:7" ht="18.75" customHeight="1" x14ac:dyDescent="0.2">
      <c r="A1785" s="8" t="s">
        <v>3570</v>
      </c>
      <c r="B1785" s="9">
        <v>53655</v>
      </c>
      <c r="C1785" s="9">
        <v>5906366002595</v>
      </c>
      <c r="D1785" s="10" t="s">
        <v>3571</v>
      </c>
      <c r="E1785" s="9">
        <v>69</v>
      </c>
      <c r="F1785" s="11">
        <v>45467</v>
      </c>
      <c r="G1785" s="8"/>
    </row>
    <row r="1786" spans="1:7" ht="18.75" customHeight="1" x14ac:dyDescent="0.2">
      <c r="A1786" s="8" t="s">
        <v>3572</v>
      </c>
      <c r="B1786" s="9">
        <v>53735</v>
      </c>
      <c r="C1786" s="9">
        <v>5906366002588</v>
      </c>
      <c r="D1786" s="10" t="s">
        <v>3573</v>
      </c>
      <c r="E1786" s="9">
        <v>94</v>
      </c>
      <c r="F1786" s="11">
        <v>45504</v>
      </c>
      <c r="G1786" s="8"/>
    </row>
    <row r="1787" spans="1:7" ht="18.75" customHeight="1" x14ac:dyDescent="0.2">
      <c r="A1787" s="8" t="s">
        <v>3574</v>
      </c>
      <c r="B1787" s="9">
        <v>29725</v>
      </c>
      <c r="C1787" s="9">
        <v>5902557337187</v>
      </c>
      <c r="D1787" s="10" t="s">
        <v>3575</v>
      </c>
      <c r="E1787" s="9">
        <v>101</v>
      </c>
      <c r="F1787" s="11">
        <v>45265</v>
      </c>
      <c r="G1787" s="8"/>
    </row>
    <row r="1788" spans="1:7" ht="18.75" customHeight="1" x14ac:dyDescent="0.2">
      <c r="A1788" s="8" t="s">
        <v>3576</v>
      </c>
      <c r="B1788" s="9"/>
      <c r="C1788" s="9">
        <v>5902557337194</v>
      </c>
      <c r="D1788" s="10" t="s">
        <v>3577</v>
      </c>
      <c r="E1788" s="9">
        <v>71</v>
      </c>
      <c r="F1788" s="11">
        <v>45265</v>
      </c>
      <c r="G1788" s="8"/>
    </row>
    <row r="1789" spans="1:7" ht="18.75" customHeight="1" x14ac:dyDescent="0.2">
      <c r="A1789" s="8" t="s">
        <v>3578</v>
      </c>
      <c r="B1789" s="9">
        <v>53656</v>
      </c>
      <c r="C1789" s="9">
        <v>5906366002571</v>
      </c>
      <c r="D1789" s="10" t="s">
        <v>3579</v>
      </c>
      <c r="E1789" s="9">
        <v>87</v>
      </c>
      <c r="F1789" s="11">
        <v>45467</v>
      </c>
      <c r="G1789" s="8"/>
    </row>
    <row r="1790" spans="1:7" ht="18.75" customHeight="1" x14ac:dyDescent="0.2">
      <c r="A1790" s="8" t="s">
        <v>3580</v>
      </c>
      <c r="B1790" s="9">
        <v>53386</v>
      </c>
      <c r="C1790" s="9">
        <v>5902557398256</v>
      </c>
      <c r="D1790" s="10" t="s">
        <v>3581</v>
      </c>
      <c r="E1790" s="9">
        <v>77</v>
      </c>
      <c r="F1790" s="11">
        <v>45453</v>
      </c>
      <c r="G1790" s="8"/>
    </row>
    <row r="1791" spans="1:7" ht="18.75" customHeight="1" x14ac:dyDescent="0.2">
      <c r="A1791" s="8" t="s">
        <v>3582</v>
      </c>
      <c r="B1791" s="9"/>
      <c r="C1791" s="9">
        <v>5902557337392</v>
      </c>
      <c r="D1791" s="10" t="s">
        <v>3583</v>
      </c>
      <c r="E1791" s="9">
        <v>74</v>
      </c>
      <c r="F1791" s="11">
        <v>45265</v>
      </c>
      <c r="G1791" s="8"/>
    </row>
    <row r="1792" spans="1:7" ht="18.75" customHeight="1" x14ac:dyDescent="0.2">
      <c r="A1792" s="8" t="s">
        <v>3584</v>
      </c>
      <c r="B1792" s="9"/>
      <c r="C1792" s="9">
        <v>5902557337408</v>
      </c>
      <c r="D1792" s="10" t="s">
        <v>3585</v>
      </c>
      <c r="E1792" s="9">
        <v>78</v>
      </c>
      <c r="F1792" s="11">
        <v>45265</v>
      </c>
      <c r="G1792" s="8"/>
    </row>
    <row r="1793" spans="1:7" ht="18.75" customHeight="1" x14ac:dyDescent="0.2">
      <c r="A1793" s="8" t="s">
        <v>3586</v>
      </c>
      <c r="B1793" s="9">
        <v>47478</v>
      </c>
      <c r="C1793" s="9">
        <v>5902557376537</v>
      </c>
      <c r="D1793" s="10" t="s">
        <v>3587</v>
      </c>
      <c r="E1793" s="9">
        <v>79</v>
      </c>
      <c r="F1793" s="11">
        <v>45265</v>
      </c>
      <c r="G1793" s="8"/>
    </row>
    <row r="1794" spans="1:7" ht="18.75" customHeight="1" x14ac:dyDescent="0.2">
      <c r="A1794" s="8" t="s">
        <v>3588</v>
      </c>
      <c r="B1794" s="9">
        <v>42504</v>
      </c>
      <c r="C1794" s="9">
        <v>5902557364268</v>
      </c>
      <c r="D1794" s="10" t="s">
        <v>3589</v>
      </c>
      <c r="E1794" s="9">
        <v>69</v>
      </c>
      <c r="F1794" s="11">
        <v>45265</v>
      </c>
      <c r="G1794" s="8"/>
    </row>
    <row r="1795" spans="1:7" ht="18.75" customHeight="1" x14ac:dyDescent="0.2">
      <c r="A1795" s="8" t="s">
        <v>3590</v>
      </c>
      <c r="B1795" s="9">
        <v>43506</v>
      </c>
      <c r="C1795" s="9">
        <v>5902557363643</v>
      </c>
      <c r="D1795" s="10" t="s">
        <v>3591</v>
      </c>
      <c r="E1795" s="9">
        <v>41</v>
      </c>
      <c r="F1795" s="11">
        <v>45265</v>
      </c>
      <c r="G1795" s="8"/>
    </row>
    <row r="1796" spans="1:7" ht="18.75" customHeight="1" x14ac:dyDescent="0.2">
      <c r="A1796" s="8" t="s">
        <v>3592</v>
      </c>
      <c r="B1796" s="9"/>
      <c r="C1796" s="9">
        <v>5902557365463</v>
      </c>
      <c r="D1796" s="10" t="s">
        <v>3593</v>
      </c>
      <c r="E1796" s="9">
        <v>55</v>
      </c>
      <c r="F1796" s="11">
        <v>45722</v>
      </c>
      <c r="G1796" s="8"/>
    </row>
    <row r="1797" spans="1:7" ht="18.75" customHeight="1" x14ac:dyDescent="0.2">
      <c r="A1797" s="8" t="s">
        <v>3594</v>
      </c>
      <c r="B1797" s="9"/>
      <c r="C1797" s="9">
        <v>5902557366330</v>
      </c>
      <c r="D1797" s="10" t="s">
        <v>3595</v>
      </c>
      <c r="E1797" s="9">
        <v>98</v>
      </c>
      <c r="F1797" s="11">
        <v>45265</v>
      </c>
      <c r="G1797" s="8"/>
    </row>
    <row r="1798" spans="1:7" ht="18.75" customHeight="1" x14ac:dyDescent="0.2">
      <c r="A1798" s="8" t="s">
        <v>3596</v>
      </c>
      <c r="B1798" s="9">
        <v>1742</v>
      </c>
      <c r="C1798" s="9">
        <v>5902557323005</v>
      </c>
      <c r="D1798" s="10" t="s">
        <v>3597</v>
      </c>
      <c r="E1798" s="9">
        <v>70</v>
      </c>
      <c r="F1798" s="11">
        <v>45485</v>
      </c>
      <c r="G1798" s="8"/>
    </row>
    <row r="1799" spans="1:7" ht="18.75" customHeight="1" x14ac:dyDescent="0.2">
      <c r="A1799" s="8" t="s">
        <v>3598</v>
      </c>
      <c r="B1799" s="9">
        <v>52418</v>
      </c>
      <c r="C1799" s="9">
        <v>5902557398294</v>
      </c>
      <c r="D1799" s="10" t="s">
        <v>3599</v>
      </c>
      <c r="E1799" s="9">
        <v>64</v>
      </c>
      <c r="F1799" s="11">
        <v>45618</v>
      </c>
      <c r="G1799" s="8"/>
    </row>
    <row r="1800" spans="1:7" ht="18.75" customHeight="1" x14ac:dyDescent="0.2">
      <c r="A1800" s="8" t="s">
        <v>3600</v>
      </c>
      <c r="B1800" s="9">
        <v>54131</v>
      </c>
      <c r="C1800" s="8">
        <v>5906366006289</v>
      </c>
      <c r="D1800" s="10" t="s">
        <v>3601</v>
      </c>
      <c r="E1800" s="9">
        <v>73</v>
      </c>
      <c r="F1800" s="11">
        <v>45623</v>
      </c>
      <c r="G1800" s="8"/>
    </row>
    <row r="1801" spans="1:7" ht="18.75" customHeight="1" x14ac:dyDescent="0.2">
      <c r="A1801" s="8" t="s">
        <v>3602</v>
      </c>
      <c r="B1801" s="9">
        <v>1635</v>
      </c>
      <c r="C1801" s="9">
        <v>5902557322961</v>
      </c>
      <c r="D1801" s="10" t="s">
        <v>3603</v>
      </c>
      <c r="E1801" s="9">
        <v>52</v>
      </c>
      <c r="F1801" s="11">
        <v>45265</v>
      </c>
      <c r="G1801" s="8"/>
    </row>
    <row r="1802" spans="1:7" ht="18.75" customHeight="1" x14ac:dyDescent="0.2">
      <c r="A1802" s="8" t="s">
        <v>3604</v>
      </c>
      <c r="B1802" s="9">
        <v>26964</v>
      </c>
      <c r="C1802" s="9">
        <v>5902557335473</v>
      </c>
      <c r="D1802" s="10" t="s">
        <v>3605</v>
      </c>
      <c r="E1802" s="9">
        <v>70</v>
      </c>
      <c r="F1802" s="11">
        <v>45548</v>
      </c>
      <c r="G1802" s="8"/>
    </row>
    <row r="1803" spans="1:7" ht="18.75" customHeight="1" x14ac:dyDescent="0.2">
      <c r="A1803" s="8" t="s">
        <v>3606</v>
      </c>
      <c r="B1803" s="9">
        <v>41727</v>
      </c>
      <c r="C1803" s="9">
        <v>5902557358205</v>
      </c>
      <c r="D1803" s="10" t="s">
        <v>3607</v>
      </c>
      <c r="E1803" s="9">
        <v>78</v>
      </c>
      <c r="F1803" s="11">
        <v>45265</v>
      </c>
      <c r="G1803" s="8"/>
    </row>
    <row r="1804" spans="1:7" ht="18.75" customHeight="1" x14ac:dyDescent="0.2">
      <c r="A1804" s="8" t="s">
        <v>3608</v>
      </c>
      <c r="B1804" s="9">
        <v>42894</v>
      </c>
      <c r="C1804" s="9">
        <v>5902557364206</v>
      </c>
      <c r="D1804" s="10" t="s">
        <v>3609</v>
      </c>
      <c r="E1804" s="9">
        <v>60</v>
      </c>
      <c r="F1804" s="11">
        <v>45265</v>
      </c>
      <c r="G1804" s="8"/>
    </row>
    <row r="1805" spans="1:7" ht="18.75" customHeight="1" x14ac:dyDescent="0.2">
      <c r="A1805" s="8" t="s">
        <v>3610</v>
      </c>
      <c r="B1805" s="9">
        <v>42893</v>
      </c>
      <c r="C1805" s="9">
        <v>5902557364213</v>
      </c>
      <c r="D1805" s="10" t="s">
        <v>3611</v>
      </c>
      <c r="E1805" s="9">
        <v>82</v>
      </c>
      <c r="F1805" s="11">
        <v>45485</v>
      </c>
      <c r="G1805" s="8"/>
    </row>
    <row r="1806" spans="1:7" ht="18.75" customHeight="1" x14ac:dyDescent="0.2">
      <c r="A1806" s="8" t="s">
        <v>3612</v>
      </c>
      <c r="B1806" s="9">
        <v>42867</v>
      </c>
      <c r="C1806" s="9">
        <v>5902557364220</v>
      </c>
      <c r="D1806" s="10" t="s">
        <v>3613</v>
      </c>
      <c r="E1806" s="9">
        <v>123</v>
      </c>
      <c r="F1806" s="11">
        <v>45265</v>
      </c>
      <c r="G1806" s="8"/>
    </row>
    <row r="1807" spans="1:7" ht="18.75" customHeight="1" x14ac:dyDescent="0.2">
      <c r="A1807" s="8" t="s">
        <v>3614</v>
      </c>
      <c r="B1807" s="9"/>
      <c r="C1807" s="9"/>
      <c r="D1807" s="10" t="s">
        <v>3615</v>
      </c>
      <c r="E1807" s="9">
        <v>94</v>
      </c>
      <c r="F1807" s="11">
        <v>45265</v>
      </c>
      <c r="G1807" s="8"/>
    </row>
    <row r="1808" spans="1:7" ht="18.75" customHeight="1" x14ac:dyDescent="0.2">
      <c r="A1808" s="15" t="s">
        <v>3616</v>
      </c>
      <c r="B1808" s="9">
        <v>52449</v>
      </c>
      <c r="C1808" s="9">
        <v>5902557396696</v>
      </c>
      <c r="D1808" s="10" t="s">
        <v>3617</v>
      </c>
      <c r="E1808" s="9">
        <v>70</v>
      </c>
      <c r="F1808" s="11">
        <v>45726</v>
      </c>
      <c r="G1808" s="8"/>
    </row>
    <row r="1809" spans="1:7" ht="18.75" customHeight="1" x14ac:dyDescent="0.2">
      <c r="A1809" s="8" t="s">
        <v>3618</v>
      </c>
      <c r="B1809" s="9">
        <v>46432</v>
      </c>
      <c r="C1809" s="9">
        <v>5902557376186</v>
      </c>
      <c r="D1809" s="10" t="s">
        <v>3619</v>
      </c>
      <c r="E1809" s="9">
        <v>116</v>
      </c>
      <c r="F1809" s="11">
        <v>45265</v>
      </c>
      <c r="G1809" s="8"/>
    </row>
    <row r="1810" spans="1:7" ht="18.75" customHeight="1" x14ac:dyDescent="0.2">
      <c r="A1810" s="8" t="s">
        <v>3620</v>
      </c>
      <c r="B1810" s="9">
        <v>46433</v>
      </c>
      <c r="C1810" s="9">
        <v>5902557376193</v>
      </c>
      <c r="D1810" s="10" t="s">
        <v>3621</v>
      </c>
      <c r="E1810" s="9">
        <v>116</v>
      </c>
      <c r="F1810" s="11">
        <v>45265</v>
      </c>
      <c r="G1810" s="8"/>
    </row>
    <row r="1811" spans="1:7" ht="18.75" customHeight="1" x14ac:dyDescent="0.2">
      <c r="A1811" s="8" t="s">
        <v>3622</v>
      </c>
      <c r="B1811" s="9">
        <v>33255</v>
      </c>
      <c r="C1811" s="9">
        <v>5902557345083</v>
      </c>
      <c r="D1811" s="10" t="s">
        <v>3623</v>
      </c>
      <c r="E1811" s="9">
        <v>51</v>
      </c>
      <c r="F1811" s="11">
        <v>45265</v>
      </c>
      <c r="G1811" s="8"/>
    </row>
    <row r="1812" spans="1:7" ht="18.75" customHeight="1" x14ac:dyDescent="0.2">
      <c r="A1812" s="8" t="s">
        <v>3624</v>
      </c>
      <c r="B1812" s="9"/>
      <c r="C1812" s="9">
        <v>5902557345090</v>
      </c>
      <c r="D1812" s="10" t="s">
        <v>3625</v>
      </c>
      <c r="E1812" s="9">
        <v>77</v>
      </c>
      <c r="F1812" s="11">
        <v>45265</v>
      </c>
      <c r="G1812" s="8"/>
    </row>
    <row r="1813" spans="1:7" ht="18.75" customHeight="1" x14ac:dyDescent="0.2">
      <c r="A1813" s="8" t="s">
        <v>3626</v>
      </c>
      <c r="B1813" s="9">
        <v>42762</v>
      </c>
      <c r="C1813" s="9">
        <v>5902557366576</v>
      </c>
      <c r="D1813" s="10" t="s">
        <v>3627</v>
      </c>
      <c r="E1813" s="9">
        <v>129</v>
      </c>
      <c r="F1813" s="11">
        <v>45390</v>
      </c>
      <c r="G1813" s="8"/>
    </row>
    <row r="1814" spans="1:7" ht="18.75" customHeight="1" x14ac:dyDescent="0.2">
      <c r="A1814" s="8" t="s">
        <v>3628</v>
      </c>
      <c r="B1814" s="9">
        <v>1629</v>
      </c>
      <c r="C1814" s="9">
        <v>5902557300464</v>
      </c>
      <c r="D1814" s="10" t="s">
        <v>3629</v>
      </c>
      <c r="E1814" s="9">
        <v>67</v>
      </c>
      <c r="F1814" s="11">
        <v>45265</v>
      </c>
      <c r="G1814" s="8"/>
    </row>
    <row r="1815" spans="1:7" ht="18.75" customHeight="1" x14ac:dyDescent="0.2">
      <c r="A1815" s="8" t="s">
        <v>3630</v>
      </c>
      <c r="B1815" s="9">
        <v>43003</v>
      </c>
      <c r="C1815" s="9">
        <v>5902557366637</v>
      </c>
      <c r="D1815" s="10" t="s">
        <v>3631</v>
      </c>
      <c r="E1815" s="9">
        <v>71</v>
      </c>
      <c r="F1815" s="11">
        <v>45265</v>
      </c>
      <c r="G1815" s="8"/>
    </row>
    <row r="1816" spans="1:7" ht="18.75" customHeight="1" x14ac:dyDescent="0.2">
      <c r="A1816" s="8" t="s">
        <v>3632</v>
      </c>
      <c r="B1816" s="9">
        <v>50964</v>
      </c>
      <c r="C1816" s="9">
        <v>5902557392315</v>
      </c>
      <c r="D1816" s="10" t="s">
        <v>3633</v>
      </c>
      <c r="E1816" s="9">
        <v>106</v>
      </c>
      <c r="F1816" s="11">
        <v>45722</v>
      </c>
      <c r="G1816" s="8"/>
    </row>
    <row r="1817" spans="1:7" ht="18.75" customHeight="1" x14ac:dyDescent="0.2">
      <c r="A1817" s="8" t="s">
        <v>3634</v>
      </c>
      <c r="B1817" s="9">
        <v>30040</v>
      </c>
      <c r="C1817" s="9">
        <v>5902557322756</v>
      </c>
      <c r="D1817" s="10" t="s">
        <v>3635</v>
      </c>
      <c r="E1817" s="9">
        <v>68</v>
      </c>
      <c r="F1817" s="11">
        <v>45265</v>
      </c>
      <c r="G1817" s="8"/>
    </row>
    <row r="1818" spans="1:7" ht="18.75" customHeight="1" x14ac:dyDescent="0.2">
      <c r="A1818" s="8" t="s">
        <v>3636</v>
      </c>
      <c r="B1818" s="9">
        <v>51647</v>
      </c>
      <c r="C1818" s="8">
        <v>5902557393626</v>
      </c>
      <c r="D1818" s="10" t="s">
        <v>3637</v>
      </c>
      <c r="E1818" s="9">
        <v>847</v>
      </c>
      <c r="F1818" s="11">
        <v>45485</v>
      </c>
      <c r="G1818" s="8"/>
    </row>
    <row r="1819" spans="1:7" ht="18.75" customHeight="1" x14ac:dyDescent="0.2">
      <c r="A1819" s="8" t="s">
        <v>3638</v>
      </c>
      <c r="B1819" s="9">
        <v>51644</v>
      </c>
      <c r="C1819" s="8">
        <v>5902557393633</v>
      </c>
      <c r="D1819" s="10" t="s">
        <v>3639</v>
      </c>
      <c r="E1819" s="9">
        <v>847</v>
      </c>
      <c r="F1819" s="11">
        <v>45485</v>
      </c>
      <c r="G1819" s="8"/>
    </row>
    <row r="1820" spans="1:7" ht="18.75" customHeight="1" x14ac:dyDescent="0.2">
      <c r="A1820" s="8" t="s">
        <v>3640</v>
      </c>
      <c r="B1820" s="9">
        <v>51649</v>
      </c>
      <c r="C1820" s="8">
        <v>5902557393619</v>
      </c>
      <c r="D1820" s="10" t="s">
        <v>3641</v>
      </c>
      <c r="E1820" s="9">
        <v>870</v>
      </c>
      <c r="F1820" s="11">
        <v>45485</v>
      </c>
      <c r="G1820" s="8"/>
    </row>
    <row r="1821" spans="1:7" ht="18.75" customHeight="1" x14ac:dyDescent="0.2">
      <c r="A1821" s="8" t="s">
        <v>3642</v>
      </c>
      <c r="B1821" s="9">
        <v>51645</v>
      </c>
      <c r="C1821" s="8">
        <v>5902557393602</v>
      </c>
      <c r="D1821" s="10" t="s">
        <v>3643</v>
      </c>
      <c r="E1821" s="9">
        <v>870</v>
      </c>
      <c r="F1821" s="11">
        <v>45485</v>
      </c>
      <c r="G1821" s="8"/>
    </row>
    <row r="1822" spans="1:7" ht="18.75" customHeight="1" x14ac:dyDescent="0.2">
      <c r="A1822" s="8" t="s">
        <v>3644</v>
      </c>
      <c r="B1822" s="9">
        <v>51648</v>
      </c>
      <c r="C1822" s="9">
        <v>5902557387472</v>
      </c>
      <c r="D1822" s="10" t="s">
        <v>3645</v>
      </c>
      <c r="E1822" s="9">
        <v>917</v>
      </c>
      <c r="F1822" s="11">
        <v>45364</v>
      </c>
      <c r="G1822" s="8"/>
    </row>
    <row r="1823" spans="1:7" ht="18.75" customHeight="1" x14ac:dyDescent="0.2">
      <c r="A1823" s="8" t="s">
        <v>3646</v>
      </c>
      <c r="B1823" s="9">
        <v>51646</v>
      </c>
      <c r="C1823" s="9">
        <v>5902557387489</v>
      </c>
      <c r="D1823" s="10" t="s">
        <v>3647</v>
      </c>
      <c r="E1823" s="9">
        <v>917</v>
      </c>
      <c r="F1823" s="11">
        <v>45485</v>
      </c>
      <c r="G1823" s="8"/>
    </row>
    <row r="1824" spans="1:7" ht="18.75" customHeight="1" x14ac:dyDescent="0.2">
      <c r="A1824" s="8" t="s">
        <v>3648</v>
      </c>
      <c r="B1824" s="9">
        <v>38947</v>
      </c>
      <c r="C1824" s="9">
        <v>5902557351510</v>
      </c>
      <c r="D1824" s="10" t="s">
        <v>3649</v>
      </c>
      <c r="E1824" s="9">
        <v>546</v>
      </c>
      <c r="F1824" s="11">
        <v>45265</v>
      </c>
      <c r="G1824" s="8"/>
    </row>
    <row r="1825" spans="1:7" ht="18.75" customHeight="1" x14ac:dyDescent="0.2">
      <c r="A1825" s="8" t="s">
        <v>3650</v>
      </c>
      <c r="B1825" s="9">
        <v>38946</v>
      </c>
      <c r="C1825" s="9">
        <v>5902557355907</v>
      </c>
      <c r="D1825" s="10" t="s">
        <v>3651</v>
      </c>
      <c r="E1825" s="9">
        <v>610</v>
      </c>
      <c r="F1825" s="11">
        <v>45265</v>
      </c>
      <c r="G1825" s="8"/>
    </row>
    <row r="1826" spans="1:7" ht="18.75" customHeight="1" x14ac:dyDescent="0.2">
      <c r="A1826" s="8" t="s">
        <v>3652</v>
      </c>
      <c r="B1826" s="9">
        <v>52687</v>
      </c>
      <c r="C1826" s="9">
        <v>5902557396634</v>
      </c>
      <c r="D1826" s="10" t="s">
        <v>3653</v>
      </c>
      <c r="E1826" s="9">
        <v>734</v>
      </c>
      <c r="F1826" s="11">
        <v>45673</v>
      </c>
      <c r="G1826" s="8"/>
    </row>
    <row r="1827" spans="1:7" ht="18.75" customHeight="1" x14ac:dyDescent="0.2">
      <c r="A1827" s="8" t="s">
        <v>3654</v>
      </c>
      <c r="B1827" s="9">
        <v>52686</v>
      </c>
      <c r="C1827" s="9">
        <v>5902557396627</v>
      </c>
      <c r="D1827" s="10" t="s">
        <v>3655</v>
      </c>
      <c r="E1827" s="9">
        <v>767</v>
      </c>
      <c r="F1827" s="11">
        <v>45673</v>
      </c>
      <c r="G1827" s="8"/>
    </row>
    <row r="1828" spans="1:7" ht="18.75" customHeight="1" x14ac:dyDescent="0.2">
      <c r="A1828" s="8" t="s">
        <v>3656</v>
      </c>
      <c r="B1828" s="9">
        <v>50762</v>
      </c>
      <c r="C1828" s="9">
        <v>5902557387434</v>
      </c>
      <c r="D1828" s="10" t="s">
        <v>3657</v>
      </c>
      <c r="E1828" s="9">
        <v>761</v>
      </c>
      <c r="F1828" s="11">
        <v>45265</v>
      </c>
      <c r="G1828" s="8"/>
    </row>
    <row r="1829" spans="1:7" ht="18.75" customHeight="1" x14ac:dyDescent="0.2">
      <c r="A1829" s="8" t="s">
        <v>3658</v>
      </c>
      <c r="B1829" s="9">
        <v>50770</v>
      </c>
      <c r="C1829" s="9">
        <v>5902557387441</v>
      </c>
      <c r="D1829" s="10" t="s">
        <v>3659</v>
      </c>
      <c r="E1829" s="9">
        <v>784</v>
      </c>
      <c r="F1829" s="11">
        <v>45265</v>
      </c>
      <c r="G1829" s="8"/>
    </row>
    <row r="1830" spans="1:7" ht="18.75" customHeight="1" x14ac:dyDescent="0.2">
      <c r="A1830" s="8" t="s">
        <v>3660</v>
      </c>
      <c r="B1830" s="9">
        <v>54270</v>
      </c>
      <c r="C1830" s="8">
        <v>5906366002694</v>
      </c>
      <c r="D1830" s="10" t="s">
        <v>3661</v>
      </c>
      <c r="E1830" s="9">
        <v>868</v>
      </c>
      <c r="F1830" s="11">
        <v>45636</v>
      </c>
      <c r="G1830" s="8"/>
    </row>
    <row r="1831" spans="1:7" ht="18.75" customHeight="1" x14ac:dyDescent="0.2">
      <c r="A1831" s="8" t="s">
        <v>3662</v>
      </c>
      <c r="B1831" s="9">
        <v>54075</v>
      </c>
      <c r="C1831" s="8">
        <v>5906366006876</v>
      </c>
      <c r="D1831" s="10" t="s">
        <v>3663</v>
      </c>
      <c r="E1831" s="9">
        <v>626</v>
      </c>
      <c r="F1831" s="11">
        <v>45611</v>
      </c>
      <c r="G1831" s="8"/>
    </row>
    <row r="1832" spans="1:7" ht="18.75" customHeight="1" x14ac:dyDescent="0.2">
      <c r="A1832" s="8" t="s">
        <v>3664</v>
      </c>
      <c r="B1832" s="9">
        <v>30375</v>
      </c>
      <c r="C1832" s="9">
        <v>5902557341689</v>
      </c>
      <c r="D1832" s="10" t="s">
        <v>3665</v>
      </c>
      <c r="E1832" s="9">
        <v>900</v>
      </c>
      <c r="F1832" s="11">
        <v>45265</v>
      </c>
      <c r="G1832" s="8"/>
    </row>
    <row r="1833" spans="1:7" ht="18.75" customHeight="1" x14ac:dyDescent="0.2">
      <c r="A1833" s="8" t="s">
        <v>3666</v>
      </c>
      <c r="B1833" s="9">
        <v>2289</v>
      </c>
      <c r="C1833" s="9">
        <v>5902557313204</v>
      </c>
      <c r="D1833" s="10" t="s">
        <v>3667</v>
      </c>
      <c r="E1833" s="9">
        <v>675</v>
      </c>
      <c r="F1833" s="11">
        <v>45673</v>
      </c>
      <c r="G1833" s="8"/>
    </row>
    <row r="1834" spans="1:7" ht="18.75" customHeight="1" x14ac:dyDescent="0.2">
      <c r="A1834" s="8" t="s">
        <v>3668</v>
      </c>
      <c r="B1834" s="9">
        <v>54076</v>
      </c>
      <c r="C1834" s="8">
        <v>5906366002687</v>
      </c>
      <c r="D1834" s="10" t="s">
        <v>3669</v>
      </c>
      <c r="E1834" s="9">
        <v>672</v>
      </c>
      <c r="F1834" s="11">
        <v>45611</v>
      </c>
      <c r="G1834" s="8"/>
    </row>
    <row r="1835" spans="1:7" ht="18.75" customHeight="1" x14ac:dyDescent="0.2">
      <c r="A1835" s="8" t="s">
        <v>3670</v>
      </c>
      <c r="B1835" s="9">
        <v>45300</v>
      </c>
      <c r="C1835" s="9">
        <v>5902557375011</v>
      </c>
      <c r="D1835" s="10" t="s">
        <v>3671</v>
      </c>
      <c r="E1835" s="9">
        <v>821</v>
      </c>
      <c r="F1835" s="11">
        <v>45644</v>
      </c>
      <c r="G1835" s="8"/>
    </row>
    <row r="1836" spans="1:7" ht="18.75" customHeight="1" x14ac:dyDescent="0.2">
      <c r="A1836" s="8" t="s">
        <v>3672</v>
      </c>
      <c r="B1836" s="9">
        <v>45301</v>
      </c>
      <c r="C1836" s="9">
        <v>5902557375028</v>
      </c>
      <c r="D1836" s="10" t="s">
        <v>3673</v>
      </c>
      <c r="E1836" s="9">
        <v>868</v>
      </c>
      <c r="F1836" s="11">
        <v>45644</v>
      </c>
      <c r="G1836" s="8"/>
    </row>
    <row r="1837" spans="1:7" ht="18.75" customHeight="1" x14ac:dyDescent="0.2">
      <c r="A1837" s="8" t="s">
        <v>3674</v>
      </c>
      <c r="B1837" s="9"/>
      <c r="C1837" s="8">
        <v>5906366007279</v>
      </c>
      <c r="D1837" s="10" t="s">
        <v>3675</v>
      </c>
      <c r="E1837" s="9">
        <v>706</v>
      </c>
      <c r="F1837" s="11">
        <v>45644</v>
      </c>
      <c r="G1837" s="8"/>
    </row>
    <row r="1838" spans="1:7" ht="18.75" customHeight="1" x14ac:dyDescent="0.2">
      <c r="A1838" s="8" t="s">
        <v>3676</v>
      </c>
      <c r="B1838" s="9">
        <v>50759</v>
      </c>
      <c r="C1838" s="9">
        <v>5902557387458</v>
      </c>
      <c r="D1838" s="10" t="s">
        <v>3677</v>
      </c>
      <c r="E1838" s="9">
        <v>807</v>
      </c>
      <c r="F1838" s="11">
        <v>45265</v>
      </c>
      <c r="G1838" s="8"/>
    </row>
    <row r="1839" spans="1:7" ht="18.75" customHeight="1" x14ac:dyDescent="0.2">
      <c r="A1839" s="8" t="s">
        <v>3678</v>
      </c>
      <c r="B1839" s="9">
        <v>50760</v>
      </c>
      <c r="C1839" s="9">
        <v>5902557387465</v>
      </c>
      <c r="D1839" s="10" t="s">
        <v>3679</v>
      </c>
      <c r="E1839" s="9">
        <v>812</v>
      </c>
      <c r="F1839" s="11">
        <v>45265</v>
      </c>
      <c r="G1839" s="8"/>
    </row>
    <row r="1840" spans="1:7" ht="18.75" customHeight="1" x14ac:dyDescent="0.2">
      <c r="A1840" s="8" t="s">
        <v>3680</v>
      </c>
      <c r="B1840" s="9">
        <v>45303</v>
      </c>
      <c r="C1840" s="9">
        <v>5902557374991</v>
      </c>
      <c r="D1840" s="10" t="s">
        <v>3681</v>
      </c>
      <c r="E1840" s="9">
        <v>776</v>
      </c>
      <c r="F1840" s="11">
        <v>45644</v>
      </c>
      <c r="G1840" s="8"/>
    </row>
    <row r="1841" spans="1:7" ht="18.75" customHeight="1" x14ac:dyDescent="0.2">
      <c r="A1841" s="8" t="s">
        <v>3682</v>
      </c>
      <c r="B1841" s="9">
        <v>45304</v>
      </c>
      <c r="C1841" s="9">
        <v>5902557375004</v>
      </c>
      <c r="D1841" s="10" t="s">
        <v>3683</v>
      </c>
      <c r="E1841" s="9">
        <v>788</v>
      </c>
      <c r="F1841" s="11">
        <v>45644</v>
      </c>
      <c r="G1841" s="8"/>
    </row>
    <row r="1842" spans="1:7" ht="18.75" customHeight="1" x14ac:dyDescent="0.2">
      <c r="A1842" s="8" t="s">
        <v>3684</v>
      </c>
      <c r="B1842" s="9">
        <v>13786</v>
      </c>
      <c r="C1842" s="9">
        <v>5902557329779</v>
      </c>
      <c r="D1842" s="10" t="s">
        <v>3685</v>
      </c>
      <c r="E1842" s="9">
        <v>723</v>
      </c>
      <c r="F1842" s="11">
        <v>45265</v>
      </c>
      <c r="G1842" s="8"/>
    </row>
    <row r="1843" spans="1:7" ht="18.75" customHeight="1" x14ac:dyDescent="0.2">
      <c r="A1843" s="8" t="s">
        <v>3686</v>
      </c>
      <c r="B1843" s="9">
        <v>30808</v>
      </c>
      <c r="C1843" s="9">
        <v>5902557341610</v>
      </c>
      <c r="D1843" s="10" t="s">
        <v>3687</v>
      </c>
      <c r="E1843" s="9">
        <v>847</v>
      </c>
      <c r="F1843" s="11">
        <v>45644</v>
      </c>
      <c r="G1843" s="8"/>
    </row>
    <row r="1844" spans="1:7" ht="18.75" customHeight="1" x14ac:dyDescent="0.2">
      <c r="A1844" s="8" t="s">
        <v>3688</v>
      </c>
      <c r="B1844" s="9">
        <v>30807</v>
      </c>
      <c r="C1844" s="9">
        <v>5902557341627</v>
      </c>
      <c r="D1844" s="10" t="s">
        <v>3689</v>
      </c>
      <c r="E1844" s="9">
        <v>870</v>
      </c>
      <c r="F1844" s="11">
        <v>45644</v>
      </c>
      <c r="G1844" s="8"/>
    </row>
    <row r="1845" spans="1:7" ht="18.75" customHeight="1" x14ac:dyDescent="0.2">
      <c r="A1845" s="8" t="s">
        <v>3690</v>
      </c>
      <c r="B1845" s="9"/>
      <c r="C1845" s="9">
        <v>5902557344833</v>
      </c>
      <c r="D1845" s="10" t="s">
        <v>3691</v>
      </c>
      <c r="E1845" s="9">
        <v>711</v>
      </c>
      <c r="F1845" s="11">
        <v>45265</v>
      </c>
      <c r="G1845" s="8"/>
    </row>
    <row r="1846" spans="1:7" ht="18.75" customHeight="1" x14ac:dyDescent="0.2">
      <c r="A1846" s="8" t="s">
        <v>3692</v>
      </c>
      <c r="B1846" s="9">
        <v>30806</v>
      </c>
      <c r="C1846" s="9">
        <v>5902557341672</v>
      </c>
      <c r="D1846" s="10" t="s">
        <v>3693</v>
      </c>
      <c r="E1846" s="9">
        <v>726</v>
      </c>
      <c r="F1846" s="11">
        <v>45265</v>
      </c>
      <c r="G1846" s="8"/>
    </row>
    <row r="1847" spans="1:7" ht="18.75" customHeight="1" x14ac:dyDescent="0.2">
      <c r="A1847" s="8" t="s">
        <v>3694</v>
      </c>
      <c r="B1847" s="9">
        <v>2298</v>
      </c>
      <c r="C1847" s="9">
        <v>5902557313211</v>
      </c>
      <c r="D1847" s="10" t="s">
        <v>3695</v>
      </c>
      <c r="E1847" s="9">
        <v>1125</v>
      </c>
      <c r="F1847" s="11">
        <v>45265</v>
      </c>
      <c r="G1847" s="8"/>
    </row>
    <row r="1848" spans="1:7" ht="18.75" customHeight="1" x14ac:dyDescent="0.2">
      <c r="A1848" s="8" t="s">
        <v>3696</v>
      </c>
      <c r="B1848" s="9"/>
      <c r="C1848" s="8">
        <v>5902557315956</v>
      </c>
      <c r="D1848" s="10" t="s">
        <v>3697</v>
      </c>
      <c r="E1848" s="9">
        <v>774</v>
      </c>
      <c r="F1848" s="11">
        <v>45644</v>
      </c>
      <c r="G1848" s="8"/>
    </row>
    <row r="1849" spans="1:7" ht="18.75" customHeight="1" x14ac:dyDescent="0.2">
      <c r="A1849" s="8" t="s">
        <v>3698</v>
      </c>
      <c r="B1849" s="9"/>
      <c r="C1849" s="9">
        <v>5902557387281</v>
      </c>
      <c r="D1849" s="10" t="s">
        <v>3699</v>
      </c>
      <c r="E1849" s="9">
        <v>900</v>
      </c>
      <c r="F1849" s="11">
        <v>45265</v>
      </c>
      <c r="G1849" s="8"/>
    </row>
    <row r="1850" spans="1:7" ht="18.75" customHeight="1" x14ac:dyDescent="0.2">
      <c r="A1850" s="8" t="s">
        <v>3700</v>
      </c>
      <c r="B1850" s="9"/>
      <c r="C1850" s="9">
        <v>5902557387274</v>
      </c>
      <c r="D1850" s="10" t="s">
        <v>3701</v>
      </c>
      <c r="E1850" s="9">
        <v>900</v>
      </c>
      <c r="F1850" s="11">
        <v>45265</v>
      </c>
      <c r="G1850" s="8"/>
    </row>
    <row r="1851" spans="1:7" ht="18.75" customHeight="1" x14ac:dyDescent="0.2">
      <c r="A1851" s="8" t="s">
        <v>3702</v>
      </c>
      <c r="B1851" s="9">
        <v>51649</v>
      </c>
      <c r="C1851" s="9">
        <v>5902557380190</v>
      </c>
      <c r="D1851" s="10" t="s">
        <v>3703</v>
      </c>
      <c r="E1851" s="9">
        <v>800</v>
      </c>
      <c r="F1851" s="11">
        <v>45636</v>
      </c>
      <c r="G1851" s="8"/>
    </row>
    <row r="1852" spans="1:7" ht="18.75" customHeight="1" x14ac:dyDescent="0.2">
      <c r="A1852" s="8" t="s">
        <v>3704</v>
      </c>
      <c r="B1852" s="9">
        <v>51645</v>
      </c>
      <c r="C1852" s="9">
        <v>5902557380206</v>
      </c>
      <c r="D1852" s="10" t="s">
        <v>3705</v>
      </c>
      <c r="E1852" s="9">
        <v>800</v>
      </c>
      <c r="F1852" s="11">
        <v>45636</v>
      </c>
      <c r="G1852" s="8"/>
    </row>
    <row r="1853" spans="1:7" ht="18.75" customHeight="1" x14ac:dyDescent="0.2">
      <c r="A1853" s="8" t="s">
        <v>3706</v>
      </c>
      <c r="B1853" s="9">
        <v>51648</v>
      </c>
      <c r="C1853" s="9">
        <v>5902557380220</v>
      </c>
      <c r="D1853" s="10" t="s">
        <v>3707</v>
      </c>
      <c r="E1853" s="9">
        <v>823</v>
      </c>
      <c r="F1853" s="11">
        <v>45636</v>
      </c>
      <c r="G1853" s="8"/>
    </row>
    <row r="1854" spans="1:7" ht="18.75" customHeight="1" x14ac:dyDescent="0.2">
      <c r="A1854" s="8" t="s">
        <v>3708</v>
      </c>
      <c r="B1854" s="9">
        <v>51646</v>
      </c>
      <c r="C1854" s="9">
        <v>5902557380213</v>
      </c>
      <c r="D1854" s="10" t="s">
        <v>3709</v>
      </c>
      <c r="E1854" s="9">
        <v>823</v>
      </c>
      <c r="F1854" s="11">
        <v>45636</v>
      </c>
      <c r="G1854" s="8"/>
    </row>
    <row r="1855" spans="1:7" ht="18.75" customHeight="1" x14ac:dyDescent="0.2">
      <c r="A1855" s="8" t="s">
        <v>3710</v>
      </c>
      <c r="B1855" s="9">
        <v>51435</v>
      </c>
      <c r="C1855" s="8">
        <v>5902557393640</v>
      </c>
      <c r="D1855" s="10" t="s">
        <v>3711</v>
      </c>
      <c r="E1855" s="9">
        <v>941</v>
      </c>
      <c r="F1855" s="11">
        <v>45644</v>
      </c>
      <c r="G1855" s="8"/>
    </row>
    <row r="1856" spans="1:7" ht="18.75" customHeight="1" x14ac:dyDescent="0.2">
      <c r="A1856" s="8" t="s">
        <v>3712</v>
      </c>
      <c r="B1856" s="9">
        <v>47402</v>
      </c>
      <c r="C1856" s="9">
        <v>5902557374984</v>
      </c>
      <c r="D1856" s="10" t="s">
        <v>3713</v>
      </c>
      <c r="E1856" s="9">
        <v>1112</v>
      </c>
      <c r="F1856" s="11">
        <v>45265</v>
      </c>
      <c r="G1856" s="8"/>
    </row>
    <row r="1857" spans="1:7" ht="18.75" customHeight="1" x14ac:dyDescent="0.2">
      <c r="A1857" s="8" t="s">
        <v>3714</v>
      </c>
      <c r="B1857" s="9">
        <v>51011</v>
      </c>
      <c r="C1857" s="9">
        <v>5902557387588</v>
      </c>
      <c r="D1857" s="10" t="s">
        <v>3715</v>
      </c>
      <c r="E1857" s="8">
        <v>351</v>
      </c>
      <c r="F1857" s="11">
        <v>45730</v>
      </c>
      <c r="G1857" s="8"/>
    </row>
    <row r="1858" spans="1:7" ht="18.75" customHeight="1" x14ac:dyDescent="0.2">
      <c r="A1858" s="8" t="s">
        <v>3716</v>
      </c>
      <c r="B1858" s="9">
        <v>43276</v>
      </c>
      <c r="C1858" s="9">
        <v>5902557366606</v>
      </c>
      <c r="D1858" s="10" t="s">
        <v>3717</v>
      </c>
      <c r="E1858" s="9">
        <v>267</v>
      </c>
      <c r="F1858" s="11">
        <v>45265</v>
      </c>
      <c r="G1858" s="8"/>
    </row>
    <row r="1859" spans="1:7" ht="18.75" customHeight="1" x14ac:dyDescent="0.2">
      <c r="A1859" s="8" t="s">
        <v>3718</v>
      </c>
      <c r="B1859" s="9">
        <v>46208</v>
      </c>
      <c r="C1859" s="9">
        <v>5902557375035</v>
      </c>
      <c r="D1859" s="10" t="s">
        <v>3719</v>
      </c>
      <c r="E1859" s="9">
        <v>300</v>
      </c>
      <c r="F1859" s="11">
        <v>45462</v>
      </c>
      <c r="G1859" s="8"/>
    </row>
    <row r="1860" spans="1:7" ht="18.75" customHeight="1" x14ac:dyDescent="0.2">
      <c r="A1860" s="8" t="s">
        <v>3720</v>
      </c>
      <c r="B1860" s="9">
        <v>42994</v>
      </c>
      <c r="C1860" s="9">
        <v>5902557366033</v>
      </c>
      <c r="D1860" s="10" t="s">
        <v>3721</v>
      </c>
      <c r="E1860" s="9">
        <v>209</v>
      </c>
      <c r="F1860" s="11">
        <v>45357</v>
      </c>
      <c r="G1860" s="8"/>
    </row>
    <row r="1861" spans="1:7" ht="18.75" customHeight="1" x14ac:dyDescent="0.2">
      <c r="A1861" s="8" t="s">
        <v>3722</v>
      </c>
      <c r="B1861" s="9">
        <v>39726</v>
      </c>
      <c r="C1861" s="9">
        <v>5902557355921</v>
      </c>
      <c r="D1861" s="10" t="s">
        <v>3723</v>
      </c>
      <c r="E1861" s="9">
        <v>255</v>
      </c>
      <c r="F1861" s="11">
        <v>45274</v>
      </c>
      <c r="G1861" s="8"/>
    </row>
    <row r="1862" spans="1:7" ht="18.75" customHeight="1" x14ac:dyDescent="0.2">
      <c r="A1862" s="8" t="s">
        <v>3724</v>
      </c>
      <c r="B1862" s="9">
        <v>26686</v>
      </c>
      <c r="C1862" s="9">
        <v>5902557335213</v>
      </c>
      <c r="D1862" s="10" t="s">
        <v>3725</v>
      </c>
      <c r="E1862" s="9">
        <v>183</v>
      </c>
      <c r="F1862" s="11">
        <v>45467</v>
      </c>
      <c r="G1862" s="8"/>
    </row>
    <row r="1863" spans="1:7" ht="18.75" customHeight="1" x14ac:dyDescent="0.2">
      <c r="A1863" s="8" t="s">
        <v>3726</v>
      </c>
      <c r="B1863" s="9">
        <v>2085</v>
      </c>
      <c r="C1863" s="9">
        <v>5902557324750</v>
      </c>
      <c r="D1863" s="10" t="s">
        <v>3727</v>
      </c>
      <c r="E1863" s="9">
        <v>132</v>
      </c>
      <c r="F1863" s="11">
        <v>45265</v>
      </c>
      <c r="G1863" s="8"/>
    </row>
    <row r="1864" spans="1:7" ht="18.75" customHeight="1" x14ac:dyDescent="0.2">
      <c r="A1864" s="8" t="s">
        <v>3728</v>
      </c>
      <c r="B1864" s="9">
        <v>39667</v>
      </c>
      <c r="C1864" s="9">
        <v>5902557355938</v>
      </c>
      <c r="D1864" s="10" t="s">
        <v>3729</v>
      </c>
      <c r="E1864" s="9">
        <v>165</v>
      </c>
      <c r="F1864" s="11">
        <v>45265</v>
      </c>
      <c r="G1864" s="8"/>
    </row>
    <row r="1865" spans="1:7" ht="18.75" customHeight="1" x14ac:dyDescent="0.2">
      <c r="A1865" s="8" t="s">
        <v>3730</v>
      </c>
      <c r="B1865" s="9">
        <v>47697</v>
      </c>
      <c r="C1865" s="9">
        <v>5902557376230</v>
      </c>
      <c r="D1865" s="10" t="s">
        <v>3731</v>
      </c>
      <c r="E1865" s="9">
        <v>254</v>
      </c>
      <c r="F1865" s="11">
        <v>45265</v>
      </c>
      <c r="G1865" s="8"/>
    </row>
    <row r="1866" spans="1:7" ht="18.75" customHeight="1" x14ac:dyDescent="0.2">
      <c r="A1866" s="8" t="s">
        <v>3732</v>
      </c>
      <c r="B1866" s="9">
        <v>46431</v>
      </c>
      <c r="C1866" s="9">
        <v>5902557376087</v>
      </c>
      <c r="D1866" s="10" t="s">
        <v>3733</v>
      </c>
      <c r="E1866" s="9">
        <v>301</v>
      </c>
      <c r="F1866" s="11">
        <v>45349</v>
      </c>
      <c r="G1866" s="8"/>
    </row>
    <row r="1867" spans="1:7" ht="18.75" customHeight="1" x14ac:dyDescent="0.2">
      <c r="A1867" s="8" t="s">
        <v>3734</v>
      </c>
      <c r="B1867" s="9">
        <v>41899</v>
      </c>
      <c r="C1867" s="9">
        <v>5902557357109</v>
      </c>
      <c r="D1867" s="10" t="s">
        <v>3735</v>
      </c>
      <c r="E1867" s="9">
        <v>303</v>
      </c>
      <c r="F1867" s="11">
        <v>45265</v>
      </c>
      <c r="G1867" s="8"/>
    </row>
    <row r="1868" spans="1:7" ht="18.75" customHeight="1" x14ac:dyDescent="0.2">
      <c r="A1868" s="8" t="s">
        <v>3736</v>
      </c>
      <c r="B1868" s="9">
        <v>39666</v>
      </c>
      <c r="C1868" s="9">
        <v>5902557337965</v>
      </c>
      <c r="D1868" s="10" t="s">
        <v>3737</v>
      </c>
      <c r="E1868" s="9">
        <v>155</v>
      </c>
      <c r="F1868" s="11">
        <v>45602</v>
      </c>
      <c r="G1868" s="8"/>
    </row>
    <row r="1869" spans="1:7" ht="18.75" customHeight="1" x14ac:dyDescent="0.2">
      <c r="A1869" s="8" t="s">
        <v>3738</v>
      </c>
      <c r="B1869" s="9">
        <v>33670</v>
      </c>
      <c r="C1869" s="9">
        <v>5902557345144</v>
      </c>
      <c r="D1869" s="10" t="s">
        <v>3739</v>
      </c>
      <c r="E1869" s="9">
        <v>235</v>
      </c>
      <c r="F1869" s="11">
        <v>45644</v>
      </c>
      <c r="G1869" s="8"/>
    </row>
    <row r="1870" spans="1:7" ht="18.75" customHeight="1" x14ac:dyDescent="0.2">
      <c r="A1870" s="8" t="s">
        <v>3740</v>
      </c>
      <c r="B1870" s="9"/>
      <c r="C1870" s="9">
        <v>5902557329601</v>
      </c>
      <c r="D1870" s="10" t="s">
        <v>3741</v>
      </c>
      <c r="E1870" s="9">
        <v>164</v>
      </c>
      <c r="F1870" s="11">
        <v>45265</v>
      </c>
      <c r="G1870" s="8"/>
    </row>
    <row r="1871" spans="1:7" ht="18.75" customHeight="1" x14ac:dyDescent="0.2">
      <c r="A1871" s="8" t="s">
        <v>3742</v>
      </c>
      <c r="B1871" s="9">
        <v>53739</v>
      </c>
      <c r="C1871" s="9">
        <v>5906366003042</v>
      </c>
      <c r="D1871" s="10" t="s">
        <v>3743</v>
      </c>
      <c r="E1871" s="9">
        <v>150</v>
      </c>
      <c r="F1871" s="11">
        <v>45504</v>
      </c>
      <c r="G1871" s="8"/>
    </row>
    <row r="1872" spans="1:7" ht="18.75" customHeight="1" x14ac:dyDescent="0.2">
      <c r="A1872" s="8" t="s">
        <v>3744</v>
      </c>
      <c r="B1872" s="9">
        <v>13832</v>
      </c>
      <c r="C1872" s="9">
        <v>5902557356218</v>
      </c>
      <c r="D1872" s="10" t="s">
        <v>3745</v>
      </c>
      <c r="E1872" s="9">
        <v>153</v>
      </c>
      <c r="F1872" s="11">
        <v>45602</v>
      </c>
      <c r="G1872" s="8"/>
    </row>
    <row r="1873" spans="1:7" ht="18.75" customHeight="1" x14ac:dyDescent="0.2">
      <c r="A1873" s="8" t="s">
        <v>3746</v>
      </c>
      <c r="B1873" s="9"/>
      <c r="C1873" s="9"/>
      <c r="D1873" s="10" t="s">
        <v>3747</v>
      </c>
      <c r="E1873" s="9">
        <v>127</v>
      </c>
      <c r="F1873" s="11">
        <v>45265</v>
      </c>
      <c r="G1873" s="8"/>
    </row>
    <row r="1874" spans="1:7" ht="18.75" customHeight="1" x14ac:dyDescent="0.2">
      <c r="A1874" s="8" t="s">
        <v>3748</v>
      </c>
      <c r="B1874" s="9">
        <v>24388</v>
      </c>
      <c r="C1874" s="9">
        <v>5902557332854</v>
      </c>
      <c r="D1874" s="10" t="s">
        <v>3749</v>
      </c>
      <c r="E1874" s="9">
        <v>125</v>
      </c>
      <c r="F1874" s="11">
        <v>45265</v>
      </c>
      <c r="G1874" s="8"/>
    </row>
    <row r="1875" spans="1:7" ht="18.75" customHeight="1" x14ac:dyDescent="0.2">
      <c r="A1875" s="8" t="s">
        <v>3750</v>
      </c>
      <c r="B1875" s="9">
        <v>29988</v>
      </c>
      <c r="C1875" s="9">
        <v>5902557356201</v>
      </c>
      <c r="D1875" s="10" t="s">
        <v>3751</v>
      </c>
      <c r="E1875" s="9">
        <v>121</v>
      </c>
      <c r="F1875" s="11">
        <v>45265</v>
      </c>
      <c r="G1875" s="8"/>
    </row>
    <row r="1876" spans="1:7" ht="18.75" customHeight="1" x14ac:dyDescent="0.2">
      <c r="A1876" s="8" t="s">
        <v>3752</v>
      </c>
      <c r="B1876" s="9">
        <v>43187</v>
      </c>
      <c r="C1876" s="9">
        <v>5902557365760</v>
      </c>
      <c r="D1876" s="10" t="s">
        <v>3753</v>
      </c>
      <c r="E1876" s="9">
        <v>259</v>
      </c>
      <c r="F1876" s="11">
        <v>45447</v>
      </c>
      <c r="G1876" s="8"/>
    </row>
    <row r="1877" spans="1:7" ht="18.75" customHeight="1" x14ac:dyDescent="0.2">
      <c r="A1877" s="8" t="s">
        <v>3754</v>
      </c>
      <c r="B1877" s="9">
        <v>44667</v>
      </c>
      <c r="C1877" s="9">
        <v>5902557367016</v>
      </c>
      <c r="D1877" s="10" t="s">
        <v>3755</v>
      </c>
      <c r="E1877" s="9">
        <v>354</v>
      </c>
      <c r="F1877" s="11">
        <v>45265</v>
      </c>
      <c r="G1877" s="8"/>
    </row>
    <row r="1878" spans="1:7" ht="18.75" customHeight="1" x14ac:dyDescent="0.2">
      <c r="A1878" s="8" t="s">
        <v>3756</v>
      </c>
      <c r="B1878" s="9">
        <v>50912</v>
      </c>
      <c r="C1878" s="9">
        <v>5902557392544</v>
      </c>
      <c r="D1878" s="10" t="s">
        <v>3757</v>
      </c>
      <c r="E1878" s="9">
        <v>203</v>
      </c>
      <c r="F1878" s="11">
        <v>45265</v>
      </c>
      <c r="G1878" s="8"/>
    </row>
    <row r="1879" spans="1:7" ht="18.75" customHeight="1" x14ac:dyDescent="0.2">
      <c r="A1879" s="8" t="s">
        <v>3758</v>
      </c>
      <c r="B1879" s="9">
        <v>42920</v>
      </c>
      <c r="C1879" s="9">
        <v>5902557365852</v>
      </c>
      <c r="D1879" s="10" t="s">
        <v>3759</v>
      </c>
      <c r="E1879" s="9">
        <v>231</v>
      </c>
      <c r="F1879" s="11">
        <v>45265</v>
      </c>
      <c r="G1879" s="8"/>
    </row>
    <row r="1880" spans="1:7" ht="18.75" customHeight="1" x14ac:dyDescent="0.2">
      <c r="A1880" s="8" t="s">
        <v>3760</v>
      </c>
      <c r="B1880" s="9">
        <v>44666</v>
      </c>
      <c r="C1880" s="9">
        <v>5902557367030</v>
      </c>
      <c r="D1880" s="10" t="s">
        <v>3761</v>
      </c>
      <c r="E1880" s="9">
        <v>368</v>
      </c>
      <c r="F1880" s="11">
        <v>45265</v>
      </c>
      <c r="G1880" s="8"/>
    </row>
    <row r="1881" spans="1:7" ht="18.75" customHeight="1" x14ac:dyDescent="0.2">
      <c r="A1881" s="8" t="s">
        <v>3762</v>
      </c>
      <c r="B1881" s="9">
        <v>42948</v>
      </c>
      <c r="C1881" s="9">
        <v>5902557365777</v>
      </c>
      <c r="D1881" s="10" t="s">
        <v>3763</v>
      </c>
      <c r="E1881" s="9">
        <v>266</v>
      </c>
      <c r="F1881" s="11">
        <v>45699</v>
      </c>
      <c r="G1881" s="8"/>
    </row>
    <row r="1882" spans="1:7" ht="18.75" customHeight="1" x14ac:dyDescent="0.2">
      <c r="A1882" s="8" t="s">
        <v>3764</v>
      </c>
      <c r="B1882" s="9">
        <v>42866</v>
      </c>
      <c r="C1882" s="9">
        <v>5902557365791</v>
      </c>
      <c r="D1882" s="10" t="s">
        <v>3765</v>
      </c>
      <c r="E1882" s="9">
        <v>281</v>
      </c>
      <c r="F1882" s="11">
        <v>45699</v>
      </c>
      <c r="G1882" s="8"/>
    </row>
    <row r="1883" spans="1:7" ht="18.75" customHeight="1" x14ac:dyDescent="0.2">
      <c r="A1883" s="8" t="s">
        <v>3766</v>
      </c>
      <c r="B1883" s="9">
        <v>42562</v>
      </c>
      <c r="C1883" s="9">
        <v>5902557365784</v>
      </c>
      <c r="D1883" s="10" t="s">
        <v>3767</v>
      </c>
      <c r="E1883" s="9">
        <v>254</v>
      </c>
      <c r="F1883" s="11">
        <v>45265</v>
      </c>
      <c r="G1883" s="8"/>
    </row>
    <row r="1884" spans="1:7" ht="18.75" customHeight="1" x14ac:dyDescent="0.2">
      <c r="A1884" s="8" t="s">
        <v>3768</v>
      </c>
      <c r="B1884" s="9">
        <v>50786</v>
      </c>
      <c r="C1884" s="9">
        <v>5902557390625</v>
      </c>
      <c r="D1884" s="10" t="s">
        <v>3769</v>
      </c>
      <c r="E1884" s="9">
        <v>273</v>
      </c>
      <c r="F1884" s="11">
        <v>45548</v>
      </c>
      <c r="G1884" s="8"/>
    </row>
    <row r="1885" spans="1:7" ht="18.75" customHeight="1" x14ac:dyDescent="0.2">
      <c r="A1885" s="8" t="s">
        <v>3770</v>
      </c>
      <c r="B1885" s="9">
        <v>42917</v>
      </c>
      <c r="C1885" s="9">
        <v>5902557365746</v>
      </c>
      <c r="D1885" s="10" t="s">
        <v>3771</v>
      </c>
      <c r="E1885" s="9">
        <v>392</v>
      </c>
      <c r="F1885" s="11">
        <v>45265</v>
      </c>
      <c r="G1885" s="8"/>
    </row>
    <row r="1886" spans="1:7" ht="18.75" customHeight="1" x14ac:dyDescent="0.2">
      <c r="A1886" s="8" t="s">
        <v>3772</v>
      </c>
      <c r="B1886" s="9">
        <v>42918</v>
      </c>
      <c r="C1886" s="9">
        <v>5902557365753</v>
      </c>
      <c r="D1886" s="10" t="s">
        <v>3773</v>
      </c>
      <c r="E1886" s="9">
        <v>246</v>
      </c>
      <c r="F1886" s="11">
        <v>45265</v>
      </c>
      <c r="G1886" s="8"/>
    </row>
    <row r="1887" spans="1:7" ht="18.75" customHeight="1" x14ac:dyDescent="0.2">
      <c r="A1887" s="8" t="s">
        <v>3774</v>
      </c>
      <c r="B1887" s="9">
        <v>2081</v>
      </c>
      <c r="C1887" s="9"/>
      <c r="D1887" s="10" t="s">
        <v>3775</v>
      </c>
      <c r="E1887" s="9">
        <v>193</v>
      </c>
      <c r="F1887" s="11">
        <v>45265</v>
      </c>
      <c r="G1887" s="8"/>
    </row>
    <row r="1888" spans="1:7" ht="18.75" customHeight="1" x14ac:dyDescent="0.2">
      <c r="A1888" s="8" t="s">
        <v>3776</v>
      </c>
      <c r="B1888" s="9">
        <v>26281</v>
      </c>
      <c r="C1888" s="9">
        <v>5902557334247</v>
      </c>
      <c r="D1888" s="10" t="s">
        <v>3777</v>
      </c>
      <c r="E1888" s="9">
        <v>173</v>
      </c>
      <c r="F1888" s="11">
        <v>45265</v>
      </c>
      <c r="G1888" s="8"/>
    </row>
    <row r="1889" spans="1:7" ht="18.75" customHeight="1" x14ac:dyDescent="0.2">
      <c r="A1889" s="8" t="s">
        <v>3778</v>
      </c>
      <c r="B1889" s="9">
        <v>43536</v>
      </c>
      <c r="C1889" s="9">
        <v>5902557340590</v>
      </c>
      <c r="D1889" s="10" t="s">
        <v>3779</v>
      </c>
      <c r="E1889" s="9">
        <v>134</v>
      </c>
      <c r="F1889" s="11">
        <v>45352</v>
      </c>
      <c r="G1889" s="8"/>
    </row>
    <row r="1890" spans="1:7" ht="18.75" customHeight="1" x14ac:dyDescent="0.2">
      <c r="A1890" s="8" t="s">
        <v>3780</v>
      </c>
      <c r="B1890" s="9">
        <v>52833</v>
      </c>
      <c r="C1890" s="9">
        <v>5906366003035</v>
      </c>
      <c r="D1890" s="10" t="s">
        <v>3781</v>
      </c>
      <c r="E1890" s="9">
        <v>160</v>
      </c>
      <c r="F1890" s="11">
        <v>45504</v>
      </c>
      <c r="G1890" s="8"/>
    </row>
    <row r="1891" spans="1:7" ht="18.75" customHeight="1" x14ac:dyDescent="0.2">
      <c r="A1891" s="8" t="s">
        <v>3782</v>
      </c>
      <c r="B1891" s="9"/>
      <c r="C1891" s="9">
        <v>5902557356188</v>
      </c>
      <c r="D1891" s="10" t="s">
        <v>3783</v>
      </c>
      <c r="E1891" s="9">
        <v>135</v>
      </c>
      <c r="F1891" s="11">
        <v>45265</v>
      </c>
      <c r="G1891" s="8"/>
    </row>
    <row r="1892" spans="1:7" ht="18.75" customHeight="1" x14ac:dyDescent="0.2">
      <c r="A1892" s="8" t="s">
        <v>3784</v>
      </c>
      <c r="B1892" s="9">
        <v>29880</v>
      </c>
      <c r="C1892" s="9">
        <v>5902557340606</v>
      </c>
      <c r="D1892" s="10" t="s">
        <v>3785</v>
      </c>
      <c r="E1892" s="9">
        <v>176</v>
      </c>
      <c r="F1892" s="11">
        <v>45265</v>
      </c>
      <c r="G1892" s="8"/>
    </row>
    <row r="1893" spans="1:7" ht="18.75" customHeight="1" x14ac:dyDescent="0.2">
      <c r="A1893" s="8" t="s">
        <v>3786</v>
      </c>
      <c r="B1893" s="9">
        <v>52409</v>
      </c>
      <c r="C1893" s="9">
        <v>5902557398317</v>
      </c>
      <c r="D1893" s="10" t="s">
        <v>3787</v>
      </c>
      <c r="E1893" s="9">
        <v>235</v>
      </c>
      <c r="F1893" s="11">
        <v>45387</v>
      </c>
      <c r="G1893" s="8"/>
    </row>
    <row r="1894" spans="1:7" ht="18.75" customHeight="1" x14ac:dyDescent="0.2">
      <c r="A1894" s="8" t="s">
        <v>3788</v>
      </c>
      <c r="B1894" s="9">
        <v>50063</v>
      </c>
      <c r="C1894" s="9">
        <v>5902557383580</v>
      </c>
      <c r="D1894" s="10" t="s">
        <v>3789</v>
      </c>
      <c r="E1894" s="9">
        <v>155</v>
      </c>
      <c r="F1894" s="11">
        <v>45447</v>
      </c>
      <c r="G1894" s="8"/>
    </row>
    <row r="1895" spans="1:7" ht="18.75" customHeight="1" x14ac:dyDescent="0.2">
      <c r="A1895" s="8" t="s">
        <v>3790</v>
      </c>
      <c r="B1895" s="9">
        <v>42919</v>
      </c>
      <c r="C1895" s="9">
        <v>5902557365869</v>
      </c>
      <c r="D1895" s="10" t="s">
        <v>3791</v>
      </c>
      <c r="E1895" s="9">
        <v>155</v>
      </c>
      <c r="F1895" s="11">
        <v>45352</v>
      </c>
      <c r="G1895" s="8"/>
    </row>
    <row r="1896" spans="1:7" ht="18.75" customHeight="1" x14ac:dyDescent="0.2">
      <c r="A1896" s="8" t="s">
        <v>3792</v>
      </c>
      <c r="B1896" s="9"/>
      <c r="C1896" s="9">
        <v>5902557329625</v>
      </c>
      <c r="D1896" s="10" t="s">
        <v>3793</v>
      </c>
      <c r="E1896" s="9">
        <v>141</v>
      </c>
      <c r="F1896" s="11">
        <v>45265</v>
      </c>
      <c r="G1896" s="8"/>
    </row>
    <row r="1897" spans="1:7" ht="18.75" customHeight="1" x14ac:dyDescent="0.2">
      <c r="A1897" s="8" t="s">
        <v>3794</v>
      </c>
      <c r="B1897" s="9">
        <v>39385</v>
      </c>
      <c r="C1897" s="9">
        <v>5902557354627</v>
      </c>
      <c r="D1897" s="10" t="s">
        <v>3795</v>
      </c>
      <c r="E1897" s="9">
        <v>123</v>
      </c>
      <c r="F1897" s="11">
        <v>45265</v>
      </c>
      <c r="G1897" s="8"/>
    </row>
    <row r="1898" spans="1:7" ht="18.75" customHeight="1" x14ac:dyDescent="0.2">
      <c r="A1898" s="8" t="s">
        <v>3796</v>
      </c>
      <c r="B1898" s="9">
        <v>49810</v>
      </c>
      <c r="C1898" s="9">
        <v>5902557383085</v>
      </c>
      <c r="D1898" s="10" t="s">
        <v>3797</v>
      </c>
      <c r="E1898" s="9">
        <v>152</v>
      </c>
      <c r="F1898" s="11">
        <v>45265</v>
      </c>
      <c r="G1898" s="8"/>
    </row>
    <row r="1899" spans="1:7" ht="18.75" customHeight="1" x14ac:dyDescent="0.2">
      <c r="A1899" s="8" t="s">
        <v>3798</v>
      </c>
      <c r="B1899" s="9">
        <v>2082</v>
      </c>
      <c r="C1899" s="9">
        <v>5902557315925</v>
      </c>
      <c r="D1899" s="10" t="s">
        <v>3799</v>
      </c>
      <c r="E1899" s="9">
        <v>149</v>
      </c>
      <c r="F1899" s="11">
        <v>45265</v>
      </c>
      <c r="G1899" s="8"/>
    </row>
    <row r="1900" spans="1:7" ht="18.75" customHeight="1" x14ac:dyDescent="0.2">
      <c r="A1900" s="8" t="s">
        <v>3800</v>
      </c>
      <c r="B1900" s="9">
        <v>29800</v>
      </c>
      <c r="C1900" s="9">
        <v>5902557341245</v>
      </c>
      <c r="D1900" s="10" t="s">
        <v>3801</v>
      </c>
      <c r="E1900" s="9">
        <v>189</v>
      </c>
      <c r="F1900" s="11">
        <v>45265</v>
      </c>
      <c r="G1900" s="8"/>
    </row>
    <row r="1901" spans="1:7" ht="18.75" customHeight="1" x14ac:dyDescent="0.2">
      <c r="A1901" s="8" t="s">
        <v>3802</v>
      </c>
      <c r="B1901" s="9">
        <v>38001</v>
      </c>
      <c r="C1901" s="9">
        <v>5902557351503</v>
      </c>
      <c r="D1901" s="10" t="s">
        <v>3803</v>
      </c>
      <c r="E1901" s="9">
        <v>138</v>
      </c>
      <c r="F1901" s="11">
        <v>45265</v>
      </c>
      <c r="G1901" s="8"/>
    </row>
    <row r="1902" spans="1:7" ht="18.75" customHeight="1" x14ac:dyDescent="0.2">
      <c r="A1902" s="8" t="s">
        <v>3804</v>
      </c>
      <c r="B1902" s="9">
        <v>48727</v>
      </c>
      <c r="C1902" s="9">
        <v>5902557329502</v>
      </c>
      <c r="D1902" s="10" t="s">
        <v>3805</v>
      </c>
      <c r="E1902" s="9">
        <v>161</v>
      </c>
      <c r="F1902" s="11">
        <v>45265</v>
      </c>
      <c r="G1902" s="8"/>
    </row>
    <row r="1903" spans="1:7" ht="18.75" customHeight="1" x14ac:dyDescent="0.2">
      <c r="A1903" s="8" t="s">
        <v>3806</v>
      </c>
      <c r="B1903" s="9">
        <v>49134</v>
      </c>
      <c r="C1903" s="9">
        <v>5902557377589</v>
      </c>
      <c r="D1903" s="10" t="s">
        <v>3807</v>
      </c>
      <c r="E1903" s="9">
        <v>255</v>
      </c>
      <c r="F1903" s="11">
        <v>45265</v>
      </c>
      <c r="G1903" s="8"/>
    </row>
    <row r="1904" spans="1:7" ht="18.75" customHeight="1" x14ac:dyDescent="0.2">
      <c r="A1904" s="8" t="s">
        <v>3808</v>
      </c>
      <c r="B1904" s="9"/>
      <c r="C1904" s="9">
        <v>5902557330515</v>
      </c>
      <c r="D1904" s="10" t="s">
        <v>3809</v>
      </c>
      <c r="E1904" s="9">
        <v>144</v>
      </c>
      <c r="F1904" s="11">
        <v>45265</v>
      </c>
      <c r="G1904" s="8"/>
    </row>
    <row r="1905" spans="1:7" ht="18.75" customHeight="1" x14ac:dyDescent="0.2">
      <c r="A1905" s="8" t="s">
        <v>3810</v>
      </c>
      <c r="B1905" s="9">
        <v>7480</v>
      </c>
      <c r="C1905" s="9">
        <v>5902557335404</v>
      </c>
      <c r="D1905" s="10" t="s">
        <v>3811</v>
      </c>
      <c r="E1905" s="9">
        <v>148</v>
      </c>
      <c r="F1905" s="11">
        <v>45265</v>
      </c>
      <c r="G1905" s="8"/>
    </row>
    <row r="1906" spans="1:7" ht="18.75" customHeight="1" x14ac:dyDescent="0.2">
      <c r="A1906" s="8" t="s">
        <v>3812</v>
      </c>
      <c r="B1906" s="9"/>
      <c r="C1906" s="9">
        <v>5902557324552</v>
      </c>
      <c r="D1906" s="10" t="s">
        <v>3813</v>
      </c>
      <c r="E1906" s="9">
        <v>92</v>
      </c>
      <c r="F1906" s="11">
        <v>45265</v>
      </c>
      <c r="G1906" s="8"/>
    </row>
    <row r="1907" spans="1:7" ht="18.75" customHeight="1" x14ac:dyDescent="0.2">
      <c r="A1907" s="8" t="s">
        <v>3814</v>
      </c>
      <c r="B1907" s="9">
        <v>39386</v>
      </c>
      <c r="C1907" s="9">
        <v>5902557354634</v>
      </c>
      <c r="D1907" s="10" t="s">
        <v>3815</v>
      </c>
      <c r="E1907" s="9">
        <v>127</v>
      </c>
      <c r="F1907" s="11">
        <v>45265</v>
      </c>
      <c r="G1907" s="8"/>
    </row>
    <row r="1908" spans="1:7" ht="18.75" customHeight="1" x14ac:dyDescent="0.2">
      <c r="A1908" s="8" t="s">
        <v>3816</v>
      </c>
      <c r="B1908" s="9"/>
      <c r="C1908" s="9">
        <v>5902557329618</v>
      </c>
      <c r="D1908" s="10" t="s">
        <v>3817</v>
      </c>
      <c r="E1908" s="9">
        <v>151</v>
      </c>
      <c r="F1908" s="11">
        <v>45265</v>
      </c>
      <c r="G1908" s="8"/>
    </row>
    <row r="1909" spans="1:7" ht="18.75" customHeight="1" x14ac:dyDescent="0.2">
      <c r="A1909" s="8" t="s">
        <v>3818</v>
      </c>
      <c r="B1909" s="9">
        <v>33251</v>
      </c>
      <c r="C1909" s="9">
        <v>5902557344949</v>
      </c>
      <c r="D1909" s="10" t="s">
        <v>3819</v>
      </c>
      <c r="E1909" s="9">
        <v>123</v>
      </c>
      <c r="F1909" s="11">
        <v>45265</v>
      </c>
      <c r="G1909" s="8"/>
    </row>
    <row r="1910" spans="1:7" ht="18.75" customHeight="1" x14ac:dyDescent="0.2">
      <c r="A1910" s="8" t="s">
        <v>3820</v>
      </c>
      <c r="B1910" s="9">
        <v>41068</v>
      </c>
      <c r="C1910" s="9">
        <v>5902557355372</v>
      </c>
      <c r="D1910" s="10" t="s">
        <v>3821</v>
      </c>
      <c r="E1910" s="9">
        <v>83</v>
      </c>
      <c r="F1910" s="11">
        <v>45293</v>
      </c>
      <c r="G1910" s="8"/>
    </row>
    <row r="1911" spans="1:7" ht="18.75" customHeight="1" x14ac:dyDescent="0.2">
      <c r="A1911" s="8" t="s">
        <v>3822</v>
      </c>
      <c r="B1911" s="9">
        <v>42741</v>
      </c>
      <c r="C1911" s="9">
        <v>5902557364183</v>
      </c>
      <c r="D1911" s="10" t="s">
        <v>3823</v>
      </c>
      <c r="E1911" s="9">
        <v>76</v>
      </c>
      <c r="F1911" s="11">
        <v>45321</v>
      </c>
      <c r="G1911" s="8"/>
    </row>
    <row r="1912" spans="1:7" ht="18.75" customHeight="1" x14ac:dyDescent="0.2">
      <c r="A1912" s="8" t="s">
        <v>3824</v>
      </c>
      <c r="B1912" s="9">
        <v>43004</v>
      </c>
      <c r="C1912" s="9">
        <v>5902557366194</v>
      </c>
      <c r="D1912" s="10" t="s">
        <v>3825</v>
      </c>
      <c r="E1912" s="9">
        <v>94</v>
      </c>
      <c r="F1912" s="11">
        <v>45552</v>
      </c>
      <c r="G1912" s="8"/>
    </row>
    <row r="1913" spans="1:7" ht="18.75" customHeight="1" x14ac:dyDescent="0.2">
      <c r="A1913" s="8" t="s">
        <v>3826</v>
      </c>
      <c r="B1913" s="9">
        <v>50999</v>
      </c>
      <c r="C1913" s="9">
        <v>5902557390489</v>
      </c>
      <c r="D1913" s="10" t="s">
        <v>3827</v>
      </c>
      <c r="E1913" s="9">
        <v>113</v>
      </c>
      <c r="F1913" s="11">
        <v>45265</v>
      </c>
      <c r="G1913" s="8"/>
    </row>
    <row r="1914" spans="1:7" ht="18.75" customHeight="1" x14ac:dyDescent="0.2">
      <c r="A1914" s="8" t="s">
        <v>3828</v>
      </c>
      <c r="B1914" s="9">
        <v>13138</v>
      </c>
      <c r="C1914" s="9"/>
      <c r="D1914" s="10" t="s">
        <v>3829</v>
      </c>
      <c r="E1914" s="9">
        <v>21</v>
      </c>
      <c r="F1914" s="11">
        <v>45265</v>
      </c>
      <c r="G1914" s="8"/>
    </row>
    <row r="1915" spans="1:7" ht="18.75" customHeight="1" x14ac:dyDescent="0.2">
      <c r="A1915" s="8" t="s">
        <v>3830</v>
      </c>
      <c r="B1915" s="9">
        <v>44658</v>
      </c>
      <c r="C1915" s="9">
        <v>5902557369256</v>
      </c>
      <c r="D1915" s="10" t="s">
        <v>3831</v>
      </c>
      <c r="E1915" s="9">
        <v>180</v>
      </c>
      <c r="F1915" s="11">
        <v>45265</v>
      </c>
      <c r="G1915" s="8"/>
    </row>
    <row r="1916" spans="1:7" ht="18.75" customHeight="1" x14ac:dyDescent="0.2">
      <c r="A1916" s="8" t="s">
        <v>3832</v>
      </c>
      <c r="B1916" s="9">
        <v>54275</v>
      </c>
      <c r="C1916" s="8">
        <v>5906366007682</v>
      </c>
      <c r="D1916" s="10" t="s">
        <v>3833</v>
      </c>
      <c r="E1916" s="9">
        <v>235</v>
      </c>
      <c r="F1916" s="11">
        <v>45642</v>
      </c>
      <c r="G1916" s="8"/>
    </row>
    <row r="1917" spans="1:7" ht="18.75" customHeight="1" x14ac:dyDescent="0.2">
      <c r="A1917" s="8" t="s">
        <v>3834</v>
      </c>
      <c r="B1917" s="9">
        <v>47618</v>
      </c>
      <c r="C1917" s="9">
        <v>5902557376445</v>
      </c>
      <c r="D1917" s="10" t="s">
        <v>3835</v>
      </c>
      <c r="E1917" s="9">
        <v>161</v>
      </c>
      <c r="F1917" s="11">
        <v>45265</v>
      </c>
      <c r="G1917" s="8"/>
    </row>
    <row r="1918" spans="1:7" ht="18.75" customHeight="1" x14ac:dyDescent="0.2">
      <c r="A1918" s="8" t="s">
        <v>3836</v>
      </c>
      <c r="B1918" s="9">
        <v>52205</v>
      </c>
      <c r="C1918" s="8">
        <v>5902557392001</v>
      </c>
      <c r="D1918" s="10" t="s">
        <v>3837</v>
      </c>
      <c r="E1918" s="9">
        <v>161</v>
      </c>
      <c r="F1918" s="12">
        <v>45266</v>
      </c>
      <c r="G1918" s="8"/>
    </row>
    <row r="1919" spans="1:7" ht="18.75" customHeight="1" x14ac:dyDescent="0.2">
      <c r="A1919" s="8" t="s">
        <v>3838</v>
      </c>
      <c r="B1919" s="9">
        <v>51434</v>
      </c>
      <c r="C1919" s="9">
        <v>5902557391714</v>
      </c>
      <c r="D1919" s="10" t="s">
        <v>3839</v>
      </c>
      <c r="E1919" s="9">
        <v>277</v>
      </c>
      <c r="F1919" s="11">
        <v>45265</v>
      </c>
      <c r="G1919" s="8"/>
    </row>
    <row r="1920" spans="1:7" ht="18.75" customHeight="1" x14ac:dyDescent="0.2">
      <c r="A1920" s="8" t="s">
        <v>3840</v>
      </c>
      <c r="B1920" s="9">
        <v>47609</v>
      </c>
      <c r="C1920" s="9">
        <v>5902557375233</v>
      </c>
      <c r="D1920" s="10" t="s">
        <v>3841</v>
      </c>
      <c r="E1920" s="9">
        <v>248</v>
      </c>
      <c r="F1920" s="11">
        <v>45265</v>
      </c>
      <c r="G1920" s="8"/>
    </row>
    <row r="1921" spans="1:7" ht="18.75" customHeight="1" x14ac:dyDescent="0.2">
      <c r="A1921" s="8" t="s">
        <v>3842</v>
      </c>
      <c r="B1921" s="9">
        <v>46423</v>
      </c>
      <c r="C1921" s="9">
        <v>5902557375486</v>
      </c>
      <c r="D1921" s="10" t="s">
        <v>3843</v>
      </c>
      <c r="E1921" s="9">
        <v>362</v>
      </c>
      <c r="F1921" s="11">
        <v>45642</v>
      </c>
      <c r="G1921" s="8"/>
    </row>
    <row r="1922" spans="1:7" ht="18.75" customHeight="1" x14ac:dyDescent="0.2">
      <c r="A1922" s="8" t="s">
        <v>3844</v>
      </c>
      <c r="B1922" s="9">
        <v>49767</v>
      </c>
      <c r="C1922" s="9">
        <v>5902557377800</v>
      </c>
      <c r="D1922" s="10" t="s">
        <v>3845</v>
      </c>
      <c r="E1922" s="9">
        <v>244</v>
      </c>
      <c r="F1922" s="11">
        <v>45581</v>
      </c>
      <c r="G1922" s="8"/>
    </row>
    <row r="1923" spans="1:7" ht="18.75" customHeight="1" x14ac:dyDescent="0.2">
      <c r="A1923" s="8" t="s">
        <v>3846</v>
      </c>
      <c r="B1923" s="9">
        <v>49260</v>
      </c>
      <c r="C1923" s="9">
        <v>5902557377817</v>
      </c>
      <c r="D1923" s="10" t="s">
        <v>3847</v>
      </c>
      <c r="E1923" s="9">
        <v>193</v>
      </c>
      <c r="F1923" s="11">
        <v>45562</v>
      </c>
      <c r="G1923" s="8"/>
    </row>
    <row r="1924" spans="1:7" ht="18.75" customHeight="1" x14ac:dyDescent="0.2">
      <c r="A1924" s="8" t="s">
        <v>3848</v>
      </c>
      <c r="B1924" s="9">
        <v>37961</v>
      </c>
      <c r="C1924" s="9">
        <v>5902557349722</v>
      </c>
      <c r="D1924" s="10" t="s">
        <v>3849</v>
      </c>
      <c r="E1924" s="9">
        <v>241</v>
      </c>
      <c r="F1924" s="11">
        <v>45372</v>
      </c>
      <c r="G1924" s="8"/>
    </row>
    <row r="1925" spans="1:7" ht="18.75" customHeight="1" x14ac:dyDescent="0.2">
      <c r="A1925" s="9" t="s">
        <v>3850</v>
      </c>
      <c r="B1925" s="9">
        <v>53887</v>
      </c>
      <c r="C1925" s="8">
        <v>5906366006944</v>
      </c>
      <c r="D1925" s="10" t="s">
        <v>3851</v>
      </c>
      <c r="E1925" s="9">
        <v>273</v>
      </c>
      <c r="F1925" s="11">
        <v>45562</v>
      </c>
      <c r="G1925" s="8"/>
    </row>
    <row r="1926" spans="1:7" ht="18.75" customHeight="1" x14ac:dyDescent="0.2">
      <c r="A1926" s="8" t="s">
        <v>3852</v>
      </c>
      <c r="B1926" s="9">
        <v>49455</v>
      </c>
      <c r="C1926" s="9">
        <v>5902557377824</v>
      </c>
      <c r="D1926" s="10" t="s">
        <v>3853</v>
      </c>
      <c r="E1926" s="9">
        <v>263</v>
      </c>
      <c r="F1926" s="11">
        <v>45265</v>
      </c>
      <c r="G1926" s="8"/>
    </row>
    <row r="1927" spans="1:7" ht="18.75" customHeight="1" x14ac:dyDescent="0.2">
      <c r="A1927" s="8" t="s">
        <v>3854</v>
      </c>
      <c r="B1927" s="9">
        <v>49375</v>
      </c>
      <c r="C1927" s="9">
        <v>5902557377794</v>
      </c>
      <c r="D1927" s="10" t="s">
        <v>3855</v>
      </c>
      <c r="E1927" s="9">
        <v>273</v>
      </c>
      <c r="F1927" s="11">
        <v>45673</v>
      </c>
      <c r="G1927" s="8"/>
    </row>
    <row r="1928" spans="1:7" ht="18.75" customHeight="1" x14ac:dyDescent="0.2">
      <c r="A1928" s="8" t="s">
        <v>3856</v>
      </c>
      <c r="B1928" s="9">
        <v>37960</v>
      </c>
      <c r="C1928" s="9">
        <v>5902557350025</v>
      </c>
      <c r="D1928" s="10" t="s">
        <v>3857</v>
      </c>
      <c r="E1928" s="9">
        <v>260</v>
      </c>
      <c r="F1928" s="11">
        <v>45596</v>
      </c>
      <c r="G1928" s="8"/>
    </row>
    <row r="1929" spans="1:7" ht="18.75" customHeight="1" x14ac:dyDescent="0.2">
      <c r="A1929" s="8" t="s">
        <v>3858</v>
      </c>
      <c r="B1929" s="9">
        <v>54099</v>
      </c>
      <c r="C1929" s="8">
        <v>5906366008740</v>
      </c>
      <c r="D1929" s="10" t="s">
        <v>3859</v>
      </c>
      <c r="E1929" s="9">
        <v>272</v>
      </c>
      <c r="F1929" s="11">
        <v>45618</v>
      </c>
      <c r="G1929" s="8"/>
    </row>
    <row r="1930" spans="1:7" ht="18.75" customHeight="1" x14ac:dyDescent="0.2">
      <c r="A1930" s="8" t="s">
        <v>3860</v>
      </c>
      <c r="B1930" s="9">
        <v>49460</v>
      </c>
      <c r="C1930" s="9">
        <v>5902557377763</v>
      </c>
      <c r="D1930" s="10" t="s">
        <v>3861</v>
      </c>
      <c r="E1930" s="9">
        <v>231</v>
      </c>
      <c r="F1930" s="11">
        <v>45293</v>
      </c>
      <c r="G1930" s="8"/>
    </row>
    <row r="1931" spans="1:7" ht="18.75" customHeight="1" x14ac:dyDescent="0.2">
      <c r="A1931" s="8" t="s">
        <v>3862</v>
      </c>
      <c r="B1931" s="9">
        <v>49262</v>
      </c>
      <c r="C1931" s="9">
        <v>5902557377770</v>
      </c>
      <c r="D1931" s="10" t="s">
        <v>3863</v>
      </c>
      <c r="E1931" s="9">
        <v>222</v>
      </c>
      <c r="F1931" s="11">
        <v>45293</v>
      </c>
      <c r="G1931" s="8"/>
    </row>
    <row r="1932" spans="1:7" ht="18.75" customHeight="1" x14ac:dyDescent="0.2">
      <c r="A1932" s="8" t="s">
        <v>3864</v>
      </c>
      <c r="B1932" s="9">
        <v>27016</v>
      </c>
      <c r="C1932" s="9">
        <v>5902557341566</v>
      </c>
      <c r="D1932" s="10" t="s">
        <v>3865</v>
      </c>
      <c r="E1932" s="9">
        <v>258</v>
      </c>
      <c r="F1932" s="11">
        <v>45265</v>
      </c>
      <c r="G1932" s="8"/>
    </row>
    <row r="1933" spans="1:7" ht="18.75" customHeight="1" x14ac:dyDescent="0.2">
      <c r="A1933" s="9" t="s">
        <v>3866</v>
      </c>
      <c r="B1933" s="9">
        <v>53890</v>
      </c>
      <c r="C1933" s="8">
        <v>5906366006760</v>
      </c>
      <c r="D1933" s="10" t="s">
        <v>3867</v>
      </c>
      <c r="E1933" s="9">
        <v>273</v>
      </c>
      <c r="F1933" s="11">
        <v>45562</v>
      </c>
      <c r="G1933" s="8"/>
    </row>
    <row r="1934" spans="1:7" ht="18.75" customHeight="1" x14ac:dyDescent="0.2">
      <c r="A1934" s="8" t="s">
        <v>3868</v>
      </c>
      <c r="B1934" s="9">
        <v>49383</v>
      </c>
      <c r="C1934" s="9">
        <v>5902557377787</v>
      </c>
      <c r="D1934" s="10" t="s">
        <v>3869</v>
      </c>
      <c r="E1934" s="9">
        <v>275</v>
      </c>
      <c r="F1934" s="11">
        <v>45467</v>
      </c>
      <c r="G1934" s="8"/>
    </row>
    <row r="1935" spans="1:7" ht="18.75" customHeight="1" x14ac:dyDescent="0.2">
      <c r="A1935" s="8" t="s">
        <v>3870</v>
      </c>
      <c r="B1935" s="9">
        <v>41665</v>
      </c>
      <c r="C1935" s="9">
        <v>5902557356959</v>
      </c>
      <c r="D1935" s="10" t="s">
        <v>3871</v>
      </c>
      <c r="E1935" s="9">
        <v>251</v>
      </c>
      <c r="F1935" s="11">
        <v>45596</v>
      </c>
      <c r="G1935" s="8"/>
    </row>
    <row r="1936" spans="1:7" ht="18.75" customHeight="1" x14ac:dyDescent="0.2">
      <c r="A1936" s="8" t="s">
        <v>3872</v>
      </c>
      <c r="B1936" s="9">
        <v>49448</v>
      </c>
      <c r="C1936" s="9">
        <v>5902557377756</v>
      </c>
      <c r="D1936" s="10" t="s">
        <v>3873</v>
      </c>
      <c r="E1936" s="9">
        <v>273</v>
      </c>
      <c r="F1936" s="11">
        <v>45642</v>
      </c>
      <c r="G1936" s="8"/>
    </row>
    <row r="1937" spans="1:7" ht="18.75" customHeight="1" x14ac:dyDescent="0.2">
      <c r="A1937" s="8" t="s">
        <v>3874</v>
      </c>
      <c r="B1937" s="9">
        <v>44584</v>
      </c>
      <c r="C1937" s="9">
        <v>5902557369447</v>
      </c>
      <c r="D1937" s="10" t="s">
        <v>3875</v>
      </c>
      <c r="E1937" s="9">
        <v>143</v>
      </c>
      <c r="F1937" s="11">
        <v>45265</v>
      </c>
      <c r="G1937" s="8"/>
    </row>
    <row r="1938" spans="1:7" ht="18.75" customHeight="1" x14ac:dyDescent="0.2">
      <c r="A1938" s="8" t="s">
        <v>3876</v>
      </c>
      <c r="B1938" s="9">
        <v>44582</v>
      </c>
      <c r="C1938" s="9">
        <v>5902557369430</v>
      </c>
      <c r="D1938" s="10" t="s">
        <v>3877</v>
      </c>
      <c r="E1938" s="9">
        <v>149</v>
      </c>
      <c r="F1938" s="11">
        <v>45300</v>
      </c>
      <c r="G1938" s="8"/>
    </row>
    <row r="1939" spans="1:7" ht="18.75" customHeight="1" x14ac:dyDescent="0.2">
      <c r="A1939" s="8" t="s">
        <v>3878</v>
      </c>
      <c r="B1939" s="9">
        <v>44583</v>
      </c>
      <c r="C1939" s="9">
        <v>5902557369423</v>
      </c>
      <c r="D1939" s="10" t="s">
        <v>3879</v>
      </c>
      <c r="E1939" s="9">
        <v>184</v>
      </c>
      <c r="F1939" s="11">
        <v>45265</v>
      </c>
      <c r="G1939" s="8"/>
    </row>
    <row r="1940" spans="1:7" ht="18.75" customHeight="1" x14ac:dyDescent="0.2">
      <c r="A1940" s="9" t="s">
        <v>3880</v>
      </c>
      <c r="B1940" s="9">
        <v>53902</v>
      </c>
      <c r="C1940" s="8">
        <v>5906366002786</v>
      </c>
      <c r="D1940" s="10" t="s">
        <v>3881</v>
      </c>
      <c r="E1940" s="9">
        <v>179</v>
      </c>
      <c r="F1940" s="11">
        <v>45562</v>
      </c>
      <c r="G1940" s="8"/>
    </row>
    <row r="1941" spans="1:7" ht="18.75" customHeight="1" x14ac:dyDescent="0.2">
      <c r="A1941" s="8" t="s">
        <v>3882</v>
      </c>
      <c r="B1941" s="9">
        <v>52204</v>
      </c>
      <c r="C1941" s="8">
        <v>5902557391967</v>
      </c>
      <c r="D1941" s="10" t="s">
        <v>3883</v>
      </c>
      <c r="E1941" s="9">
        <v>233</v>
      </c>
      <c r="F1941" s="11">
        <v>45729</v>
      </c>
      <c r="G1941" s="8"/>
    </row>
    <row r="1942" spans="1:7" ht="18.75" customHeight="1" x14ac:dyDescent="0.2">
      <c r="A1942" s="9" t="s">
        <v>3884</v>
      </c>
      <c r="B1942" s="9">
        <v>53901</v>
      </c>
      <c r="C1942" s="8">
        <v>5906366002793</v>
      </c>
      <c r="D1942" s="10" t="s">
        <v>3885</v>
      </c>
      <c r="E1942" s="9">
        <v>212</v>
      </c>
      <c r="F1942" s="11">
        <v>45644</v>
      </c>
      <c r="G1942" s="8"/>
    </row>
    <row r="1943" spans="1:7" ht="18.75" customHeight="1" x14ac:dyDescent="0.2">
      <c r="A1943" s="8" t="s">
        <v>3886</v>
      </c>
      <c r="B1943" s="9">
        <v>52171</v>
      </c>
      <c r="C1943" s="8">
        <v>5902557391974</v>
      </c>
      <c r="D1943" s="10" t="s">
        <v>3887</v>
      </c>
      <c r="E1943" s="9">
        <v>235</v>
      </c>
      <c r="F1943" s="11">
        <v>45729</v>
      </c>
      <c r="G1943" s="8"/>
    </row>
    <row r="1944" spans="1:7" ht="18.75" customHeight="1" x14ac:dyDescent="0.2">
      <c r="A1944" s="8" t="s">
        <v>3888</v>
      </c>
      <c r="B1944" s="9">
        <v>35487</v>
      </c>
      <c r="C1944" s="9">
        <v>5902557345267</v>
      </c>
      <c r="D1944" s="10" t="s">
        <v>3889</v>
      </c>
      <c r="E1944" s="9">
        <v>272</v>
      </c>
      <c r="F1944" s="11">
        <v>45265</v>
      </c>
      <c r="G1944" s="8"/>
    </row>
    <row r="1945" spans="1:7" ht="18.75" customHeight="1" x14ac:dyDescent="0.2">
      <c r="A1945" s="8" t="s">
        <v>3890</v>
      </c>
      <c r="B1945" s="9">
        <v>52803</v>
      </c>
      <c r="C1945" s="9">
        <v>5902557397693</v>
      </c>
      <c r="D1945" s="10" t="s">
        <v>3891</v>
      </c>
      <c r="E1945" s="9">
        <v>242</v>
      </c>
      <c r="F1945" s="11">
        <v>45372</v>
      </c>
      <c r="G1945" s="8"/>
    </row>
    <row r="1946" spans="1:7" ht="18.75" customHeight="1" x14ac:dyDescent="0.2">
      <c r="A1946" s="8" t="s">
        <v>3892</v>
      </c>
      <c r="B1946" s="9">
        <v>52804</v>
      </c>
      <c r="C1946" s="9">
        <v>5902557397709</v>
      </c>
      <c r="D1946" s="10" t="s">
        <v>3893</v>
      </c>
      <c r="E1946" s="9">
        <v>228</v>
      </c>
      <c r="F1946" s="11">
        <v>45372</v>
      </c>
      <c r="G1946" s="8"/>
    </row>
    <row r="1947" spans="1:7" ht="18.75" customHeight="1" x14ac:dyDescent="0.2">
      <c r="A1947" s="8" t="s">
        <v>3894</v>
      </c>
      <c r="B1947" s="9">
        <v>44471</v>
      </c>
      <c r="C1947" s="9">
        <v>5902557369478</v>
      </c>
      <c r="D1947" s="10" t="s">
        <v>3895</v>
      </c>
      <c r="E1947" s="9">
        <v>145</v>
      </c>
      <c r="F1947" s="11">
        <v>45562</v>
      </c>
      <c r="G1947" s="8"/>
    </row>
    <row r="1948" spans="1:7" ht="18.75" customHeight="1" x14ac:dyDescent="0.2">
      <c r="A1948" s="8" t="s">
        <v>3896</v>
      </c>
      <c r="B1948" s="9">
        <v>44472</v>
      </c>
      <c r="C1948" s="9">
        <v>5902557369461</v>
      </c>
      <c r="D1948" s="10" t="s">
        <v>3897</v>
      </c>
      <c r="E1948" s="8">
        <v>150</v>
      </c>
      <c r="F1948" s="11">
        <v>45730</v>
      </c>
      <c r="G1948" s="8"/>
    </row>
    <row r="1949" spans="1:7" ht="18.75" customHeight="1" x14ac:dyDescent="0.2">
      <c r="A1949" s="8" t="s">
        <v>3898</v>
      </c>
      <c r="B1949" s="9">
        <v>44470</v>
      </c>
      <c r="C1949" s="9">
        <v>5902557369492</v>
      </c>
      <c r="D1949" s="10" t="s">
        <v>3899</v>
      </c>
      <c r="E1949" s="9">
        <v>199</v>
      </c>
      <c r="F1949" s="11">
        <v>45376</v>
      </c>
      <c r="G1949" s="8"/>
    </row>
    <row r="1950" spans="1:7" ht="18.75" customHeight="1" x14ac:dyDescent="0.2">
      <c r="A1950" s="8" t="s">
        <v>3900</v>
      </c>
      <c r="B1950" s="9">
        <v>53733</v>
      </c>
      <c r="C1950" s="9">
        <v>5906366002939</v>
      </c>
      <c r="D1950" s="10" t="s">
        <v>3901</v>
      </c>
      <c r="E1950" s="9">
        <v>201</v>
      </c>
      <c r="F1950" s="11">
        <v>45715</v>
      </c>
      <c r="G1950" s="8"/>
    </row>
    <row r="1951" spans="1:7" ht="18.75" customHeight="1" x14ac:dyDescent="0.2">
      <c r="A1951" s="8" t="s">
        <v>3902</v>
      </c>
      <c r="B1951" s="9">
        <v>29739</v>
      </c>
      <c r="C1951" s="9">
        <v>5902557336647</v>
      </c>
      <c r="D1951" s="10" t="s">
        <v>3903</v>
      </c>
      <c r="E1951" s="9">
        <v>113</v>
      </c>
      <c r="F1951" s="11">
        <v>45566</v>
      </c>
      <c r="G1951" s="8"/>
    </row>
    <row r="1952" spans="1:7" ht="18.75" customHeight="1" x14ac:dyDescent="0.2">
      <c r="A1952" s="8" t="s">
        <v>3904</v>
      </c>
      <c r="B1952" s="9">
        <v>52200</v>
      </c>
      <c r="C1952" s="8">
        <v>5902557395798</v>
      </c>
      <c r="D1952" s="10" t="s">
        <v>3905</v>
      </c>
      <c r="E1952" s="9">
        <v>131</v>
      </c>
      <c r="F1952" s="11">
        <v>45268</v>
      </c>
      <c r="G1952" s="8"/>
    </row>
    <row r="1953" spans="1:7" ht="18.75" customHeight="1" x14ac:dyDescent="0.2">
      <c r="A1953" s="8" t="s">
        <v>3906</v>
      </c>
      <c r="B1953" s="9">
        <v>52199</v>
      </c>
      <c r="C1953" s="8">
        <v>5902557395804</v>
      </c>
      <c r="D1953" s="10" t="s">
        <v>3907</v>
      </c>
      <c r="E1953" s="9">
        <v>141</v>
      </c>
      <c r="F1953" s="11">
        <v>45566</v>
      </c>
      <c r="G1953" s="8"/>
    </row>
    <row r="1954" spans="1:7" ht="18.75" customHeight="1" x14ac:dyDescent="0.2">
      <c r="A1954" s="8" t="s">
        <v>3908</v>
      </c>
      <c r="B1954" s="9"/>
      <c r="C1954" s="9">
        <v>5902557319732</v>
      </c>
      <c r="D1954" s="10" t="s">
        <v>3909</v>
      </c>
      <c r="E1954" s="9">
        <v>180</v>
      </c>
      <c r="F1954" s="11">
        <v>45265</v>
      </c>
      <c r="G1954" s="8"/>
    </row>
    <row r="1955" spans="1:7" ht="18.75" customHeight="1" x14ac:dyDescent="0.2">
      <c r="A1955" s="8" t="s">
        <v>3910</v>
      </c>
      <c r="B1955" s="9">
        <v>44915</v>
      </c>
      <c r="C1955" s="9">
        <v>5902557370030</v>
      </c>
      <c r="D1955" s="10" t="s">
        <v>3911</v>
      </c>
      <c r="E1955" s="9">
        <v>174</v>
      </c>
      <c r="F1955" s="11">
        <v>45467</v>
      </c>
      <c r="G1955" s="8"/>
    </row>
    <row r="1956" spans="1:7" ht="18.75" customHeight="1" x14ac:dyDescent="0.2">
      <c r="A1956" s="8" t="s">
        <v>3912</v>
      </c>
      <c r="B1956" s="9">
        <v>32506</v>
      </c>
      <c r="C1956" s="9">
        <v>5902557344765</v>
      </c>
      <c r="D1956" s="10" t="s">
        <v>3913</v>
      </c>
      <c r="E1956" s="9">
        <v>224</v>
      </c>
      <c r="F1956" s="11">
        <v>45443</v>
      </c>
      <c r="G1956" s="8"/>
    </row>
    <row r="1957" spans="1:7" ht="18.75" customHeight="1" x14ac:dyDescent="0.2">
      <c r="A1957" s="8" t="s">
        <v>3914</v>
      </c>
      <c r="B1957" s="9">
        <v>42835</v>
      </c>
      <c r="C1957" s="9">
        <v>5902557364091</v>
      </c>
      <c r="D1957" s="10" t="s">
        <v>3915</v>
      </c>
      <c r="E1957" s="9">
        <v>265</v>
      </c>
      <c r="F1957" s="11">
        <v>45265</v>
      </c>
      <c r="G1957" s="8"/>
    </row>
    <row r="1958" spans="1:7" ht="18.75" customHeight="1" x14ac:dyDescent="0.2">
      <c r="A1958" s="8" t="s">
        <v>3916</v>
      </c>
      <c r="B1958" s="9">
        <v>46422</v>
      </c>
      <c r="C1958" s="9">
        <v>5902557375547</v>
      </c>
      <c r="D1958" s="10" t="s">
        <v>3917</v>
      </c>
      <c r="E1958" s="9">
        <v>299</v>
      </c>
      <c r="F1958" s="11">
        <v>45552</v>
      </c>
      <c r="G1958" s="8"/>
    </row>
    <row r="1959" spans="1:7" ht="18.75" customHeight="1" x14ac:dyDescent="0.2">
      <c r="A1959" s="8" t="s">
        <v>3918</v>
      </c>
      <c r="B1959" s="9">
        <v>46419</v>
      </c>
      <c r="C1959" s="9">
        <v>5902557375493</v>
      </c>
      <c r="D1959" s="10" t="s">
        <v>3919</v>
      </c>
      <c r="E1959" s="9">
        <v>329</v>
      </c>
      <c r="F1959" s="11">
        <v>45533</v>
      </c>
      <c r="G1959" s="8"/>
    </row>
    <row r="1960" spans="1:7" ht="18.75" customHeight="1" x14ac:dyDescent="0.2">
      <c r="A1960" s="8" t="s">
        <v>3920</v>
      </c>
      <c r="B1960" s="9">
        <v>44675</v>
      </c>
      <c r="C1960" s="9">
        <v>5902557366767</v>
      </c>
      <c r="D1960" s="10" t="s">
        <v>3921</v>
      </c>
      <c r="E1960" s="9">
        <v>350</v>
      </c>
      <c r="F1960" s="11">
        <v>45443</v>
      </c>
      <c r="G1960" s="8"/>
    </row>
    <row r="1961" spans="1:7" ht="18.75" customHeight="1" x14ac:dyDescent="0.2">
      <c r="A1961" s="8" t="s">
        <v>3922</v>
      </c>
      <c r="B1961" s="9">
        <v>7195</v>
      </c>
      <c r="C1961" s="9">
        <v>5902557324873</v>
      </c>
      <c r="D1961" s="10" t="s">
        <v>3923</v>
      </c>
      <c r="E1961" s="9">
        <v>163</v>
      </c>
      <c r="F1961" s="11">
        <v>45265</v>
      </c>
      <c r="G1961" s="8"/>
    </row>
    <row r="1962" spans="1:7" ht="18.75" customHeight="1" x14ac:dyDescent="0.2">
      <c r="A1962" s="8" t="s">
        <v>3924</v>
      </c>
      <c r="B1962" s="9">
        <v>39203</v>
      </c>
      <c r="C1962" s="9">
        <v>5902557353583</v>
      </c>
      <c r="D1962" s="10" t="s">
        <v>3925</v>
      </c>
      <c r="E1962" s="9">
        <v>139</v>
      </c>
      <c r="F1962" s="11">
        <v>45265</v>
      </c>
      <c r="G1962" s="8"/>
    </row>
    <row r="1963" spans="1:7" ht="18.75" customHeight="1" x14ac:dyDescent="0.2">
      <c r="A1963" s="8" t="s">
        <v>3926</v>
      </c>
      <c r="B1963" s="9">
        <v>29989</v>
      </c>
      <c r="C1963" s="9">
        <v>5902557341948</v>
      </c>
      <c r="D1963" s="10" t="s">
        <v>3927</v>
      </c>
      <c r="E1963" s="9">
        <v>223</v>
      </c>
      <c r="F1963" s="11">
        <v>45265</v>
      </c>
      <c r="G1963" s="8"/>
    </row>
    <row r="1964" spans="1:7" ht="18.75" customHeight="1" x14ac:dyDescent="0.2">
      <c r="A1964" s="8" t="s">
        <v>3928</v>
      </c>
      <c r="B1964" s="9">
        <v>30026</v>
      </c>
      <c r="C1964" s="9">
        <v>5902557338498</v>
      </c>
      <c r="D1964" s="10" t="s">
        <v>3929</v>
      </c>
      <c r="E1964" s="9">
        <v>188</v>
      </c>
      <c r="F1964" s="11">
        <v>45265</v>
      </c>
      <c r="G1964" s="8"/>
    </row>
    <row r="1965" spans="1:7" ht="18.75" customHeight="1" x14ac:dyDescent="0.2">
      <c r="A1965" s="8" t="s">
        <v>3930</v>
      </c>
      <c r="B1965" s="9">
        <v>49756</v>
      </c>
      <c r="C1965" s="9">
        <v>5902557377992</v>
      </c>
      <c r="D1965" s="10" t="s">
        <v>3931</v>
      </c>
      <c r="E1965" s="9">
        <v>161</v>
      </c>
      <c r="F1965" s="11">
        <v>45265</v>
      </c>
      <c r="G1965" s="8"/>
    </row>
    <row r="1966" spans="1:7" ht="18.75" customHeight="1" x14ac:dyDescent="0.2">
      <c r="A1966" s="8" t="s">
        <v>3932</v>
      </c>
      <c r="B1966" s="9">
        <v>49749</v>
      </c>
      <c r="C1966" s="9">
        <v>5902557378005</v>
      </c>
      <c r="D1966" s="10" t="s">
        <v>3933</v>
      </c>
      <c r="E1966" s="9">
        <v>169</v>
      </c>
      <c r="F1966" s="11">
        <v>45357</v>
      </c>
      <c r="G1966" s="8"/>
    </row>
    <row r="1967" spans="1:7" ht="18.75" customHeight="1" x14ac:dyDescent="0.2">
      <c r="A1967" s="8" t="s">
        <v>3934</v>
      </c>
      <c r="B1967" s="9">
        <v>49818</v>
      </c>
      <c r="C1967" s="9">
        <v>5902557378029</v>
      </c>
      <c r="D1967" s="10" t="s">
        <v>3935</v>
      </c>
      <c r="E1967" s="9">
        <v>195</v>
      </c>
      <c r="F1967" s="11">
        <v>45729</v>
      </c>
      <c r="G1967" s="8"/>
    </row>
    <row r="1968" spans="1:7" ht="18.75" customHeight="1" x14ac:dyDescent="0.2">
      <c r="A1968" s="8" t="s">
        <v>3936</v>
      </c>
      <c r="B1968" s="9">
        <v>49758</v>
      </c>
      <c r="C1968" s="9">
        <v>5902557378012</v>
      </c>
      <c r="D1968" s="10" t="s">
        <v>3937</v>
      </c>
      <c r="E1968" s="9">
        <v>193</v>
      </c>
      <c r="F1968" s="11">
        <v>45372</v>
      </c>
      <c r="G1968" s="8"/>
    </row>
    <row r="1969" spans="1:7" ht="18.75" customHeight="1" x14ac:dyDescent="0.2">
      <c r="A1969" s="8" t="s">
        <v>3938</v>
      </c>
      <c r="B1969" s="9">
        <v>49757</v>
      </c>
      <c r="C1969" s="9">
        <v>5902557378036</v>
      </c>
      <c r="D1969" s="10" t="s">
        <v>3939</v>
      </c>
      <c r="E1969" s="9">
        <v>217</v>
      </c>
      <c r="F1969" s="11">
        <v>45265</v>
      </c>
      <c r="G1969" s="8"/>
    </row>
    <row r="1970" spans="1:7" ht="18.75" customHeight="1" x14ac:dyDescent="0.2">
      <c r="A1970" s="8" t="s">
        <v>3940</v>
      </c>
      <c r="B1970" s="9">
        <v>13693</v>
      </c>
      <c r="C1970" s="9">
        <v>5902557329656</v>
      </c>
      <c r="D1970" s="10" t="s">
        <v>3941</v>
      </c>
      <c r="E1970" s="9">
        <v>92</v>
      </c>
      <c r="F1970" s="11">
        <v>45265</v>
      </c>
      <c r="G1970" s="8"/>
    </row>
    <row r="1971" spans="1:7" ht="18.75" customHeight="1" x14ac:dyDescent="0.2">
      <c r="A1971" s="8" t="s">
        <v>3942</v>
      </c>
      <c r="B1971" s="9">
        <v>37479</v>
      </c>
      <c r="C1971" s="9">
        <v>5902557349203</v>
      </c>
      <c r="D1971" s="10" t="s">
        <v>3943</v>
      </c>
      <c r="E1971" s="9">
        <v>171</v>
      </c>
      <c r="F1971" s="11">
        <v>45265</v>
      </c>
      <c r="G1971" s="8"/>
    </row>
    <row r="1972" spans="1:7" ht="18.75" customHeight="1" x14ac:dyDescent="0.2">
      <c r="A1972" s="8" t="s">
        <v>3944</v>
      </c>
      <c r="B1972" s="9">
        <v>37472</v>
      </c>
      <c r="C1972" s="9">
        <v>5902557349197</v>
      </c>
      <c r="D1972" s="10" t="s">
        <v>3945</v>
      </c>
      <c r="E1972" s="9">
        <v>209</v>
      </c>
      <c r="F1972" s="11">
        <v>45644</v>
      </c>
      <c r="G1972" s="8"/>
    </row>
    <row r="1973" spans="1:7" ht="18.75" customHeight="1" x14ac:dyDescent="0.2">
      <c r="A1973" s="8" t="s">
        <v>3946</v>
      </c>
      <c r="B1973" s="9">
        <v>50121</v>
      </c>
      <c r="C1973" s="9">
        <v>5902557383368</v>
      </c>
      <c r="D1973" s="10" t="s">
        <v>3947</v>
      </c>
      <c r="E1973" s="9">
        <v>223</v>
      </c>
      <c r="F1973" s="11">
        <v>45715</v>
      </c>
      <c r="G1973" s="8"/>
    </row>
    <row r="1974" spans="1:7" ht="18.75" customHeight="1" x14ac:dyDescent="0.2">
      <c r="A1974" s="8" t="s">
        <v>3948</v>
      </c>
      <c r="B1974" s="9">
        <v>30015</v>
      </c>
      <c r="C1974" s="9">
        <v>5902557337460</v>
      </c>
      <c r="D1974" s="10" t="s">
        <v>3949</v>
      </c>
      <c r="E1974" s="9">
        <v>255</v>
      </c>
      <c r="F1974" s="11">
        <v>45265</v>
      </c>
      <c r="G1974" s="8"/>
    </row>
    <row r="1975" spans="1:7" ht="18.75" customHeight="1" x14ac:dyDescent="0.2">
      <c r="A1975" s="8" t="s">
        <v>3950</v>
      </c>
      <c r="B1975" s="9">
        <v>54340</v>
      </c>
      <c r="C1975" s="8">
        <v>5906366007637</v>
      </c>
      <c r="D1975" s="10" t="s">
        <v>3951</v>
      </c>
      <c r="E1975" s="9">
        <v>235</v>
      </c>
      <c r="F1975" s="11">
        <v>45645</v>
      </c>
      <c r="G1975" s="8"/>
    </row>
    <row r="1976" spans="1:7" ht="18.75" customHeight="1" x14ac:dyDescent="0.2">
      <c r="A1976" s="8" t="s">
        <v>3952</v>
      </c>
      <c r="B1976" s="9">
        <v>7332</v>
      </c>
      <c r="C1976" s="9">
        <v>5902557324880</v>
      </c>
      <c r="D1976" s="10" t="s">
        <v>3953</v>
      </c>
      <c r="E1976" s="9">
        <v>96</v>
      </c>
      <c r="F1976" s="11">
        <v>45265</v>
      </c>
      <c r="G1976" s="8"/>
    </row>
    <row r="1977" spans="1:7" ht="18.75" customHeight="1" x14ac:dyDescent="0.2">
      <c r="A1977" s="8" t="s">
        <v>3954</v>
      </c>
      <c r="B1977" s="9">
        <v>7358</v>
      </c>
      <c r="C1977" s="9">
        <v>5902557324828</v>
      </c>
      <c r="D1977" s="10" t="s">
        <v>3955</v>
      </c>
      <c r="E1977" s="9">
        <v>131</v>
      </c>
      <c r="F1977" s="11">
        <v>45715</v>
      </c>
      <c r="G1977" s="8"/>
    </row>
    <row r="1978" spans="1:7" ht="18.75" customHeight="1" x14ac:dyDescent="0.2">
      <c r="A1978" s="8" t="s">
        <v>3956</v>
      </c>
      <c r="B1978" s="9">
        <v>33661</v>
      </c>
      <c r="C1978" s="9">
        <v>5902557344741</v>
      </c>
      <c r="D1978" s="10" t="s">
        <v>3957</v>
      </c>
      <c r="E1978" s="9">
        <v>88</v>
      </c>
      <c r="F1978" s="11">
        <v>45506</v>
      </c>
      <c r="G1978" s="8"/>
    </row>
    <row r="1979" spans="1:7" ht="18.75" customHeight="1" x14ac:dyDescent="0.2">
      <c r="A1979" s="8" t="s">
        <v>3958</v>
      </c>
      <c r="B1979" s="9">
        <v>37475</v>
      </c>
      <c r="C1979" s="9">
        <v>5902557349180</v>
      </c>
      <c r="D1979" s="10" t="s">
        <v>3959</v>
      </c>
      <c r="E1979" s="9">
        <v>102</v>
      </c>
      <c r="F1979" s="11">
        <v>45715</v>
      </c>
      <c r="G1979" s="8"/>
    </row>
    <row r="1980" spans="1:7" ht="18.75" customHeight="1" x14ac:dyDescent="0.2">
      <c r="A1980" s="8" t="s">
        <v>3960</v>
      </c>
      <c r="B1980" s="9">
        <v>37474</v>
      </c>
      <c r="C1980" s="9">
        <v>5902557349173</v>
      </c>
      <c r="D1980" s="10" t="s">
        <v>3961</v>
      </c>
      <c r="E1980" s="9">
        <v>99</v>
      </c>
      <c r="F1980" s="11">
        <v>45644</v>
      </c>
      <c r="G1980" s="8"/>
    </row>
    <row r="1981" spans="1:7" ht="18.75" customHeight="1" x14ac:dyDescent="0.2">
      <c r="A1981" s="8" t="s">
        <v>3962</v>
      </c>
      <c r="B1981" s="9">
        <v>37476</v>
      </c>
      <c r="C1981" s="9">
        <v>5902557349166</v>
      </c>
      <c r="D1981" s="10" t="s">
        <v>3963</v>
      </c>
      <c r="E1981" s="9">
        <v>117</v>
      </c>
      <c r="F1981" s="11">
        <v>45644</v>
      </c>
      <c r="G1981" s="8"/>
    </row>
    <row r="1982" spans="1:7" ht="18.75" customHeight="1" x14ac:dyDescent="0.2">
      <c r="A1982" s="8" t="s">
        <v>3964</v>
      </c>
      <c r="B1982" s="9">
        <v>50120</v>
      </c>
      <c r="C1982" s="9">
        <v>5902557383351</v>
      </c>
      <c r="D1982" s="10" t="s">
        <v>3965</v>
      </c>
      <c r="E1982" s="9">
        <v>127</v>
      </c>
      <c r="F1982" s="11">
        <v>45265</v>
      </c>
      <c r="G1982" s="8"/>
    </row>
    <row r="1983" spans="1:7" ht="18.75" customHeight="1" x14ac:dyDescent="0.2">
      <c r="A1983" s="8" t="s">
        <v>3966</v>
      </c>
      <c r="B1983" s="9">
        <v>43550</v>
      </c>
      <c r="C1983" s="9">
        <v>5902557397662</v>
      </c>
      <c r="D1983" s="10" t="s">
        <v>3967</v>
      </c>
      <c r="E1983" s="9">
        <v>254</v>
      </c>
      <c r="F1983" s="11">
        <v>45673</v>
      </c>
      <c r="G1983" s="8"/>
    </row>
    <row r="1984" spans="1:7" ht="18.75" customHeight="1" x14ac:dyDescent="0.2">
      <c r="A1984" s="8" t="s">
        <v>3968</v>
      </c>
      <c r="B1984" s="9">
        <v>49721</v>
      </c>
      <c r="C1984" s="9">
        <v>5902557377886</v>
      </c>
      <c r="D1984" s="10" t="s">
        <v>3969</v>
      </c>
      <c r="E1984" s="9">
        <v>320</v>
      </c>
      <c r="F1984" s="11">
        <v>45265</v>
      </c>
      <c r="G1984" s="8"/>
    </row>
    <row r="1985" spans="1:7" ht="18.75" customHeight="1" x14ac:dyDescent="0.2">
      <c r="A1985" s="8" t="s">
        <v>3970</v>
      </c>
      <c r="B1985" s="9">
        <v>46331</v>
      </c>
      <c r="C1985" s="9">
        <v>5902557375516</v>
      </c>
      <c r="D1985" s="10" t="s">
        <v>3971</v>
      </c>
      <c r="E1985" s="9">
        <v>317</v>
      </c>
      <c r="F1985" s="11">
        <v>45265</v>
      </c>
      <c r="G1985" s="8"/>
    </row>
    <row r="1986" spans="1:7" ht="18.75" customHeight="1" x14ac:dyDescent="0.2">
      <c r="A1986" s="8" t="s">
        <v>3972</v>
      </c>
      <c r="B1986" s="9"/>
      <c r="C1986" s="9">
        <v>5902557366774</v>
      </c>
      <c r="D1986" s="10" t="s">
        <v>3973</v>
      </c>
      <c r="E1986" s="9">
        <v>311</v>
      </c>
      <c r="F1986" s="11">
        <v>45265</v>
      </c>
      <c r="G1986" s="8"/>
    </row>
    <row r="1987" spans="1:7" ht="18.75" customHeight="1" x14ac:dyDescent="0.2">
      <c r="A1987" s="8" t="s">
        <v>3974</v>
      </c>
      <c r="B1987" s="9">
        <v>49761</v>
      </c>
      <c r="C1987" s="9">
        <v>5902557377879</v>
      </c>
      <c r="D1987" s="10" t="s">
        <v>3975</v>
      </c>
      <c r="E1987" s="9">
        <v>348</v>
      </c>
      <c r="F1987" s="11">
        <v>45265</v>
      </c>
      <c r="G1987" s="8"/>
    </row>
    <row r="1988" spans="1:7" ht="18.75" customHeight="1" x14ac:dyDescent="0.2">
      <c r="A1988" s="8" t="s">
        <v>3976</v>
      </c>
      <c r="B1988" s="9"/>
      <c r="C1988" s="9">
        <v>5902557375530</v>
      </c>
      <c r="D1988" s="10" t="s">
        <v>3977</v>
      </c>
      <c r="E1988" s="9">
        <v>344</v>
      </c>
      <c r="F1988" s="11">
        <v>45265</v>
      </c>
      <c r="G1988" s="8"/>
    </row>
    <row r="1989" spans="1:7" ht="18.75" customHeight="1" x14ac:dyDescent="0.2">
      <c r="A1989" s="8" t="s">
        <v>3978</v>
      </c>
      <c r="B1989" s="9">
        <v>53704</v>
      </c>
      <c r="C1989" s="9">
        <v>5902557375523</v>
      </c>
      <c r="D1989" s="10" t="s">
        <v>3979</v>
      </c>
      <c r="E1989" s="9">
        <v>341</v>
      </c>
      <c r="F1989" s="11">
        <v>45265</v>
      </c>
      <c r="G1989" s="8"/>
    </row>
    <row r="1990" spans="1:7" ht="18.75" customHeight="1" x14ac:dyDescent="0.2">
      <c r="A1990" s="8" t="s">
        <v>3980</v>
      </c>
      <c r="B1990" s="9">
        <v>53857</v>
      </c>
      <c r="C1990" s="9">
        <v>5906366003677</v>
      </c>
      <c r="D1990" s="10" t="s">
        <v>3981</v>
      </c>
      <c r="E1990" s="9">
        <v>164</v>
      </c>
      <c r="F1990" s="11">
        <v>45533</v>
      </c>
      <c r="G1990" s="8"/>
    </row>
    <row r="1991" spans="1:7" ht="18.75" customHeight="1" x14ac:dyDescent="0.2">
      <c r="A1991" s="8" t="s">
        <v>3982</v>
      </c>
      <c r="B1991" s="9">
        <v>53858</v>
      </c>
      <c r="C1991" s="9">
        <v>5906366003660</v>
      </c>
      <c r="D1991" s="10" t="s">
        <v>3983</v>
      </c>
      <c r="E1991" s="9">
        <v>209</v>
      </c>
      <c r="F1991" s="11">
        <v>45533</v>
      </c>
      <c r="G1991" s="8"/>
    </row>
    <row r="1992" spans="1:7" ht="18.75" customHeight="1" x14ac:dyDescent="0.2">
      <c r="A1992" s="8" t="s">
        <v>3984</v>
      </c>
      <c r="B1992" s="9">
        <v>49007</v>
      </c>
      <c r="C1992" s="9">
        <v>5902557376896</v>
      </c>
      <c r="D1992" s="10" t="s">
        <v>3985</v>
      </c>
      <c r="E1992" s="9">
        <v>145</v>
      </c>
      <c r="F1992" s="11">
        <v>45265</v>
      </c>
      <c r="G1992" s="8"/>
    </row>
    <row r="1993" spans="1:7" ht="18.75" customHeight="1" x14ac:dyDescent="0.2">
      <c r="A1993" s="8" t="s">
        <v>3986</v>
      </c>
      <c r="B1993" s="9">
        <v>49004</v>
      </c>
      <c r="C1993" s="9">
        <v>5902557376889</v>
      </c>
      <c r="D1993" s="10" t="s">
        <v>3987</v>
      </c>
      <c r="E1993" s="9">
        <v>152</v>
      </c>
      <c r="F1993" s="11">
        <v>45265</v>
      </c>
      <c r="G1993" s="8"/>
    </row>
    <row r="1994" spans="1:7" ht="18.75" customHeight="1" x14ac:dyDescent="0.2">
      <c r="A1994" s="8" t="s">
        <v>3988</v>
      </c>
      <c r="B1994" s="9">
        <v>49008</v>
      </c>
      <c r="C1994" s="9">
        <v>5902557376902</v>
      </c>
      <c r="D1994" s="10" t="s">
        <v>3989</v>
      </c>
      <c r="E1994" s="9">
        <v>171</v>
      </c>
      <c r="F1994" s="11">
        <v>45265</v>
      </c>
      <c r="G1994" s="8"/>
    </row>
    <row r="1995" spans="1:7" ht="18.75" customHeight="1" x14ac:dyDescent="0.2">
      <c r="A1995" s="8" t="s">
        <v>3990</v>
      </c>
      <c r="B1995" s="9">
        <v>52210</v>
      </c>
      <c r="C1995" s="8">
        <v>5902557392094</v>
      </c>
      <c r="D1995" s="10" t="s">
        <v>3991</v>
      </c>
      <c r="E1995" s="9">
        <v>117</v>
      </c>
      <c r="F1995" s="11">
        <v>45562</v>
      </c>
      <c r="G1995" s="8"/>
    </row>
    <row r="1996" spans="1:7" ht="18.75" customHeight="1" x14ac:dyDescent="0.2">
      <c r="A1996" s="8" t="s">
        <v>3992</v>
      </c>
      <c r="B1996" s="9">
        <v>52213</v>
      </c>
      <c r="C1996" s="8">
        <v>5902557392100</v>
      </c>
      <c r="D1996" s="10" t="s">
        <v>3993</v>
      </c>
      <c r="E1996" s="9">
        <v>124</v>
      </c>
      <c r="F1996" s="12">
        <v>45266</v>
      </c>
      <c r="G1996" s="8"/>
    </row>
    <row r="1997" spans="1:7" ht="18.75" customHeight="1" x14ac:dyDescent="0.2">
      <c r="A1997" s="8" t="s">
        <v>3994</v>
      </c>
      <c r="B1997" s="9">
        <v>52209</v>
      </c>
      <c r="C1997" s="8">
        <v>5902557392117</v>
      </c>
      <c r="D1997" s="10" t="s">
        <v>3995</v>
      </c>
      <c r="E1997" s="9">
        <v>150</v>
      </c>
      <c r="F1997" s="12">
        <v>45266</v>
      </c>
      <c r="G1997" s="8"/>
    </row>
    <row r="1998" spans="1:7" ht="18.75" customHeight="1" x14ac:dyDescent="0.2">
      <c r="A1998" s="8" t="s">
        <v>3996</v>
      </c>
      <c r="B1998" s="9">
        <v>52225</v>
      </c>
      <c r="C1998" s="8">
        <v>5902557392056</v>
      </c>
      <c r="D1998" s="10" t="s">
        <v>3997</v>
      </c>
      <c r="E1998" s="9">
        <v>209</v>
      </c>
      <c r="F1998" s="11">
        <v>45562</v>
      </c>
      <c r="G1998" s="8"/>
    </row>
    <row r="1999" spans="1:7" ht="18.75" customHeight="1" x14ac:dyDescent="0.2">
      <c r="A1999" s="8" t="s">
        <v>3998</v>
      </c>
      <c r="B1999" s="9">
        <v>32418</v>
      </c>
      <c r="C1999" s="9">
        <v>5902557343348</v>
      </c>
      <c r="D1999" s="10" t="s">
        <v>3999</v>
      </c>
      <c r="E1999" s="9">
        <v>153</v>
      </c>
      <c r="F1999" s="11">
        <v>45485</v>
      </c>
      <c r="G1999" s="8"/>
    </row>
    <row r="2000" spans="1:7" ht="18.75" customHeight="1" x14ac:dyDescent="0.2">
      <c r="A2000" s="8" t="s">
        <v>4000</v>
      </c>
      <c r="B2000" s="9">
        <v>7279</v>
      </c>
      <c r="C2000" s="9">
        <v>5902557324835</v>
      </c>
      <c r="D2000" s="10" t="s">
        <v>4001</v>
      </c>
      <c r="E2000" s="9">
        <v>209</v>
      </c>
      <c r="F2000" s="11">
        <v>45265</v>
      </c>
      <c r="G2000" s="8"/>
    </row>
    <row r="2001" spans="1:7" ht="18.75" customHeight="1" x14ac:dyDescent="0.2">
      <c r="A2001" s="8" t="s">
        <v>4002</v>
      </c>
      <c r="B2001" s="9">
        <v>33676</v>
      </c>
      <c r="C2001" s="9">
        <v>5902557345151</v>
      </c>
      <c r="D2001" s="10" t="s">
        <v>4003</v>
      </c>
      <c r="E2001" s="9">
        <v>224</v>
      </c>
      <c r="F2001" s="11">
        <v>45265</v>
      </c>
      <c r="G2001" s="8"/>
    </row>
    <row r="2002" spans="1:7" ht="18.75" customHeight="1" x14ac:dyDescent="0.2">
      <c r="A2002" s="8" t="s">
        <v>4004</v>
      </c>
      <c r="B2002" s="9">
        <v>44660</v>
      </c>
      <c r="C2002" s="9">
        <v>5902557369386</v>
      </c>
      <c r="D2002" s="10" t="s">
        <v>4005</v>
      </c>
      <c r="E2002" s="9">
        <v>153</v>
      </c>
      <c r="F2002" s="11">
        <v>45265</v>
      </c>
      <c r="G2002" s="8"/>
    </row>
    <row r="2003" spans="1:7" ht="18.75" customHeight="1" x14ac:dyDescent="0.2">
      <c r="A2003" s="8" t="s">
        <v>4006</v>
      </c>
      <c r="B2003" s="9">
        <v>51063</v>
      </c>
      <c r="C2003" s="9">
        <v>5902557392872</v>
      </c>
      <c r="D2003" s="10" t="s">
        <v>4007</v>
      </c>
      <c r="E2003" s="9">
        <v>136</v>
      </c>
      <c r="F2003" s="11">
        <v>45687</v>
      </c>
      <c r="G2003" s="8"/>
    </row>
    <row r="2004" spans="1:7" ht="18.75" customHeight="1" x14ac:dyDescent="0.2">
      <c r="A2004" s="8" t="s">
        <v>4008</v>
      </c>
      <c r="B2004" s="9">
        <v>51066</v>
      </c>
      <c r="C2004" s="9">
        <v>5902557392889</v>
      </c>
      <c r="D2004" s="10" t="s">
        <v>4009</v>
      </c>
      <c r="E2004" s="9">
        <v>150</v>
      </c>
      <c r="F2004" s="11">
        <v>45687</v>
      </c>
      <c r="G2004" s="8"/>
    </row>
    <row r="2005" spans="1:7" ht="18.75" customHeight="1" x14ac:dyDescent="0.2">
      <c r="A2005" s="8" t="s">
        <v>4010</v>
      </c>
      <c r="B2005" s="9">
        <v>51069</v>
      </c>
      <c r="C2005" s="9">
        <v>5902557392896</v>
      </c>
      <c r="D2005" s="10" t="s">
        <v>4011</v>
      </c>
      <c r="E2005" s="9">
        <v>165</v>
      </c>
      <c r="F2005" s="11">
        <v>45687</v>
      </c>
      <c r="G2005" s="8"/>
    </row>
    <row r="2006" spans="1:7" ht="18.75" customHeight="1" x14ac:dyDescent="0.2">
      <c r="A2006" s="8" t="s">
        <v>4012</v>
      </c>
      <c r="B2006" s="9">
        <v>51070</v>
      </c>
      <c r="C2006" s="9">
        <v>5902557392933</v>
      </c>
      <c r="D2006" s="10" t="s">
        <v>4013</v>
      </c>
      <c r="E2006" s="9">
        <v>124</v>
      </c>
      <c r="F2006" s="11">
        <v>45644</v>
      </c>
      <c r="G2006" s="8"/>
    </row>
    <row r="2007" spans="1:7" ht="18.75" customHeight="1" x14ac:dyDescent="0.2">
      <c r="A2007" s="8" t="s">
        <v>4014</v>
      </c>
      <c r="B2007" s="9">
        <v>51065</v>
      </c>
      <c r="C2007" s="9">
        <v>5902557392926</v>
      </c>
      <c r="D2007" s="10" t="s">
        <v>4015</v>
      </c>
      <c r="E2007" s="9">
        <v>146</v>
      </c>
      <c r="F2007" s="11">
        <v>45687</v>
      </c>
      <c r="G2007" s="8"/>
    </row>
    <row r="2008" spans="1:7" ht="18.75" customHeight="1" x14ac:dyDescent="0.2">
      <c r="A2008" s="8" t="s">
        <v>4016</v>
      </c>
      <c r="B2008" s="9">
        <v>54279</v>
      </c>
      <c r="C2008" s="8">
        <v>5906366007859</v>
      </c>
      <c r="D2008" s="10" t="s">
        <v>4017</v>
      </c>
      <c r="E2008" s="9">
        <v>165</v>
      </c>
      <c r="F2008" s="11">
        <v>45687</v>
      </c>
      <c r="G2008" s="8"/>
    </row>
    <row r="2009" spans="1:7" ht="18.75" customHeight="1" x14ac:dyDescent="0.2">
      <c r="A2009" s="8" t="s">
        <v>4018</v>
      </c>
      <c r="B2009" s="9">
        <v>51068</v>
      </c>
      <c r="C2009" s="9">
        <v>5902557392940</v>
      </c>
      <c r="D2009" s="10" t="s">
        <v>4019</v>
      </c>
      <c r="E2009" s="9">
        <v>148</v>
      </c>
      <c r="F2009" s="11">
        <v>45644</v>
      </c>
      <c r="G2009" s="8"/>
    </row>
    <row r="2010" spans="1:7" ht="18.75" customHeight="1" x14ac:dyDescent="0.2">
      <c r="A2010" s="8" t="s">
        <v>4020</v>
      </c>
      <c r="B2010" s="9">
        <v>51067</v>
      </c>
      <c r="C2010" s="9">
        <v>5902557392902</v>
      </c>
      <c r="D2010" s="10" t="s">
        <v>4021</v>
      </c>
      <c r="E2010" s="9">
        <v>181</v>
      </c>
      <c r="F2010" s="11">
        <v>45644</v>
      </c>
      <c r="G2010" s="8"/>
    </row>
    <row r="2011" spans="1:7" ht="18.75" customHeight="1" x14ac:dyDescent="0.2">
      <c r="A2011" s="8" t="s">
        <v>4022</v>
      </c>
      <c r="B2011" s="9">
        <v>54278</v>
      </c>
      <c r="C2011" s="8">
        <v>5906366007866</v>
      </c>
      <c r="D2011" s="10" t="s">
        <v>4023</v>
      </c>
      <c r="E2011" s="9">
        <v>195</v>
      </c>
      <c r="F2011" s="11">
        <v>45687</v>
      </c>
      <c r="G2011" s="8"/>
    </row>
    <row r="2012" spans="1:7" ht="18.75" customHeight="1" x14ac:dyDescent="0.2">
      <c r="A2012" s="8" t="s">
        <v>4024</v>
      </c>
      <c r="B2012" s="9">
        <v>51091</v>
      </c>
      <c r="C2012" s="9">
        <v>5902557392957</v>
      </c>
      <c r="D2012" s="10" t="s">
        <v>4025</v>
      </c>
      <c r="E2012" s="9">
        <v>188</v>
      </c>
      <c r="F2012" s="11">
        <v>45687</v>
      </c>
      <c r="G2012" s="8"/>
    </row>
    <row r="2013" spans="1:7" ht="18.75" customHeight="1" x14ac:dyDescent="0.2">
      <c r="A2013" s="8" t="s">
        <v>4026</v>
      </c>
      <c r="B2013" s="9">
        <v>44668</v>
      </c>
      <c r="C2013" s="9">
        <v>5902557370146</v>
      </c>
      <c r="D2013" s="10" t="s">
        <v>4027</v>
      </c>
      <c r="E2013" s="9">
        <v>138</v>
      </c>
      <c r="F2013" s="11">
        <v>45265</v>
      </c>
      <c r="G2013" s="8"/>
    </row>
    <row r="2014" spans="1:7" ht="18.75" customHeight="1" x14ac:dyDescent="0.2">
      <c r="A2014" s="8" t="s">
        <v>4028</v>
      </c>
      <c r="B2014" s="9">
        <v>51097</v>
      </c>
      <c r="C2014" s="9">
        <v>5902557393046</v>
      </c>
      <c r="D2014" s="10" t="s">
        <v>4029</v>
      </c>
      <c r="E2014" s="9">
        <v>132</v>
      </c>
      <c r="F2014" s="11">
        <v>45644</v>
      </c>
      <c r="G2014" s="8"/>
    </row>
    <row r="2015" spans="1:7" ht="18.75" customHeight="1" x14ac:dyDescent="0.2">
      <c r="A2015" s="8" t="s">
        <v>4030</v>
      </c>
      <c r="B2015" s="9">
        <v>51100</v>
      </c>
      <c r="C2015" s="9">
        <v>5902557393381</v>
      </c>
      <c r="D2015" s="10" t="s">
        <v>4031</v>
      </c>
      <c r="E2015" s="9">
        <v>157</v>
      </c>
      <c r="F2015" s="11">
        <v>45687</v>
      </c>
      <c r="G2015" s="8"/>
    </row>
    <row r="2016" spans="1:7" ht="18.75" customHeight="1" x14ac:dyDescent="0.2">
      <c r="A2016" s="8" t="s">
        <v>4032</v>
      </c>
      <c r="B2016" s="9">
        <v>51106</v>
      </c>
      <c r="C2016" s="9">
        <v>5902557393138</v>
      </c>
      <c r="D2016" s="10" t="s">
        <v>4033</v>
      </c>
      <c r="E2016" s="9">
        <v>165</v>
      </c>
      <c r="F2016" s="11">
        <v>45687</v>
      </c>
      <c r="G2016" s="8"/>
    </row>
    <row r="2017" spans="1:7" ht="18.75" customHeight="1" x14ac:dyDescent="0.2">
      <c r="A2017" s="8" t="s">
        <v>4034</v>
      </c>
      <c r="B2017" s="9">
        <v>44657</v>
      </c>
      <c r="C2017" s="9">
        <v>5902557369300</v>
      </c>
      <c r="D2017" s="10" t="s">
        <v>4035</v>
      </c>
      <c r="E2017" s="9">
        <v>159</v>
      </c>
      <c r="F2017" s="11">
        <v>45265</v>
      </c>
      <c r="G2017" s="8"/>
    </row>
    <row r="2018" spans="1:7" ht="18.75" customHeight="1" x14ac:dyDescent="0.2">
      <c r="A2018" s="8" t="s">
        <v>4036</v>
      </c>
      <c r="B2018" s="9">
        <v>44659</v>
      </c>
      <c r="C2018" s="9">
        <v>5902557369348</v>
      </c>
      <c r="D2018" s="10" t="s">
        <v>4037</v>
      </c>
      <c r="E2018" s="9">
        <v>208</v>
      </c>
      <c r="F2018" s="11">
        <v>45343</v>
      </c>
      <c r="G2018" s="8"/>
    </row>
    <row r="2019" spans="1:7" ht="18.75" customHeight="1" x14ac:dyDescent="0.2">
      <c r="A2019" s="8" t="s">
        <v>4038</v>
      </c>
      <c r="B2019" s="9">
        <v>51105</v>
      </c>
      <c r="C2019" s="9">
        <v>5902557393169</v>
      </c>
      <c r="D2019" s="10" t="s">
        <v>4039</v>
      </c>
      <c r="E2019" s="9">
        <v>146</v>
      </c>
      <c r="F2019" s="11">
        <v>45644</v>
      </c>
      <c r="G2019" s="8"/>
    </row>
    <row r="2020" spans="1:7" ht="18.75" customHeight="1" x14ac:dyDescent="0.2">
      <c r="A2020" s="8" t="s">
        <v>4040</v>
      </c>
      <c r="B2020" s="9">
        <v>51111</v>
      </c>
      <c r="C2020" s="9">
        <v>5902557393176</v>
      </c>
      <c r="D2020" s="10" t="s">
        <v>4041</v>
      </c>
      <c r="E2020" s="9">
        <v>173</v>
      </c>
      <c r="F2020" s="11">
        <v>45343</v>
      </c>
      <c r="G2020" s="8"/>
    </row>
    <row r="2021" spans="1:7" ht="18.75" customHeight="1" x14ac:dyDescent="0.2">
      <c r="A2021" s="8" t="s">
        <v>4042</v>
      </c>
      <c r="B2021" s="9">
        <v>7283</v>
      </c>
      <c r="C2021" s="9">
        <v>5902557315550</v>
      </c>
      <c r="D2021" s="10" t="s">
        <v>4043</v>
      </c>
      <c r="E2021" s="9">
        <v>179</v>
      </c>
      <c r="F2021" s="11">
        <v>45538</v>
      </c>
      <c r="G2021" s="8"/>
    </row>
    <row r="2022" spans="1:7" ht="18.75" customHeight="1" x14ac:dyDescent="0.2">
      <c r="A2022" s="8" t="s">
        <v>4044</v>
      </c>
      <c r="B2022" s="9">
        <v>44952</v>
      </c>
      <c r="C2022" s="9">
        <v>5902557369652</v>
      </c>
      <c r="D2022" s="10" t="s">
        <v>4045</v>
      </c>
      <c r="E2022" s="9">
        <v>168</v>
      </c>
      <c r="F2022" s="11">
        <v>45293</v>
      </c>
      <c r="G2022" s="8"/>
    </row>
    <row r="2023" spans="1:7" ht="18.75" customHeight="1" x14ac:dyDescent="0.2">
      <c r="A2023" s="8" t="s">
        <v>4046</v>
      </c>
      <c r="B2023" s="9">
        <v>44941</v>
      </c>
      <c r="C2023" s="9">
        <v>5902557369669</v>
      </c>
      <c r="D2023" s="10" t="s">
        <v>4047</v>
      </c>
      <c r="E2023" s="9">
        <v>185</v>
      </c>
      <c r="F2023" s="11">
        <v>45293</v>
      </c>
      <c r="G2023" s="8"/>
    </row>
    <row r="2024" spans="1:7" ht="18.75" customHeight="1" x14ac:dyDescent="0.2">
      <c r="A2024" s="8" t="s">
        <v>4048</v>
      </c>
      <c r="B2024" s="9">
        <v>44951</v>
      </c>
      <c r="C2024" s="9">
        <v>5902557369676</v>
      </c>
      <c r="D2024" s="10" t="s">
        <v>4049</v>
      </c>
      <c r="E2024" s="9">
        <v>215</v>
      </c>
      <c r="F2024" s="11">
        <v>45293</v>
      </c>
      <c r="G2024" s="8"/>
    </row>
    <row r="2025" spans="1:7" ht="18.75" customHeight="1" x14ac:dyDescent="0.2">
      <c r="A2025" s="8" t="s">
        <v>4050</v>
      </c>
      <c r="B2025" s="9">
        <v>50706</v>
      </c>
      <c r="C2025" s="9">
        <v>5902557386802</v>
      </c>
      <c r="D2025" s="10" t="s">
        <v>4051</v>
      </c>
      <c r="E2025" s="8">
        <v>225</v>
      </c>
      <c r="F2025" s="11">
        <v>45730</v>
      </c>
      <c r="G2025" s="8"/>
    </row>
    <row r="2026" spans="1:7" ht="18.75" customHeight="1" x14ac:dyDescent="0.2">
      <c r="A2026" s="8" t="s">
        <v>4052</v>
      </c>
      <c r="B2026" s="9">
        <v>46332</v>
      </c>
      <c r="C2026" s="9">
        <v>5902557397686</v>
      </c>
      <c r="D2026" s="10" t="s">
        <v>4053</v>
      </c>
      <c r="E2026" s="9">
        <v>292</v>
      </c>
      <c r="F2026" s="11">
        <v>45679</v>
      </c>
      <c r="G2026" s="8"/>
    </row>
    <row r="2027" spans="1:7" ht="18.75" customHeight="1" x14ac:dyDescent="0.2">
      <c r="A2027" s="8" t="s">
        <v>4054</v>
      </c>
      <c r="B2027" s="9">
        <v>26996</v>
      </c>
      <c r="C2027" s="9">
        <v>5902557335084</v>
      </c>
      <c r="D2027" s="10" t="s">
        <v>4055</v>
      </c>
      <c r="E2027" s="9">
        <v>257</v>
      </c>
      <c r="F2027" s="11">
        <v>45467</v>
      </c>
      <c r="G2027" s="8"/>
    </row>
    <row r="2028" spans="1:7" ht="18.75" customHeight="1" x14ac:dyDescent="0.2">
      <c r="A2028" s="8" t="s">
        <v>4056</v>
      </c>
      <c r="B2028" s="9">
        <v>47607</v>
      </c>
      <c r="C2028" s="9">
        <v>5902557375240</v>
      </c>
      <c r="D2028" s="10" t="s">
        <v>4057</v>
      </c>
      <c r="E2028" s="9">
        <v>230</v>
      </c>
      <c r="F2028" s="11">
        <v>45533</v>
      </c>
      <c r="G2028" s="8"/>
    </row>
    <row r="2029" spans="1:7" ht="18.75" customHeight="1" x14ac:dyDescent="0.2">
      <c r="A2029" s="8" t="s">
        <v>4058</v>
      </c>
      <c r="B2029" s="9">
        <v>48726</v>
      </c>
      <c r="C2029" s="9">
        <v>5902557375455</v>
      </c>
      <c r="D2029" s="10" t="s">
        <v>4059</v>
      </c>
      <c r="E2029" s="9">
        <v>294</v>
      </c>
      <c r="F2029" s="11">
        <v>45265</v>
      </c>
      <c r="G2029" s="8"/>
    </row>
    <row r="2030" spans="1:7" ht="18.75" customHeight="1" x14ac:dyDescent="0.2">
      <c r="A2030" s="8" t="s">
        <v>4060</v>
      </c>
      <c r="B2030" s="9">
        <v>44916</v>
      </c>
      <c r="C2030" s="9">
        <v>5902557369966</v>
      </c>
      <c r="D2030" s="10" t="s">
        <v>4061</v>
      </c>
      <c r="E2030" s="9">
        <v>259</v>
      </c>
      <c r="F2030" s="11">
        <v>45667</v>
      </c>
      <c r="G2030" s="8"/>
    </row>
    <row r="2031" spans="1:7" ht="18.75" customHeight="1" x14ac:dyDescent="0.2">
      <c r="A2031" s="8" t="s">
        <v>4062</v>
      </c>
      <c r="B2031" s="9">
        <v>47614</v>
      </c>
      <c r="C2031" s="9">
        <v>5902557375448</v>
      </c>
      <c r="D2031" s="10" t="s">
        <v>4063</v>
      </c>
      <c r="E2031" s="9">
        <v>251</v>
      </c>
      <c r="F2031" s="11">
        <v>45596</v>
      </c>
      <c r="G2031" s="8"/>
    </row>
    <row r="2032" spans="1:7" ht="18.75" customHeight="1" x14ac:dyDescent="0.2">
      <c r="A2032" s="8" t="s">
        <v>4064</v>
      </c>
      <c r="B2032" s="9">
        <v>46330</v>
      </c>
      <c r="C2032" s="9">
        <v>5902557397679</v>
      </c>
      <c r="D2032" s="10" t="s">
        <v>4065</v>
      </c>
      <c r="E2032" s="9">
        <v>263</v>
      </c>
      <c r="F2032" s="11">
        <v>45679</v>
      </c>
      <c r="G2032" s="8"/>
    </row>
    <row r="2033" spans="1:7" ht="18.75" customHeight="1" x14ac:dyDescent="0.2">
      <c r="A2033" s="8" t="s">
        <v>4066</v>
      </c>
      <c r="B2033" s="9">
        <v>30338</v>
      </c>
      <c r="C2033" s="9">
        <v>5902557338610</v>
      </c>
      <c r="D2033" s="10" t="s">
        <v>4067</v>
      </c>
      <c r="E2033" s="9">
        <v>259</v>
      </c>
      <c r="F2033" s="11">
        <v>45667</v>
      </c>
      <c r="G2033" s="8"/>
    </row>
    <row r="2034" spans="1:7" ht="18.75" customHeight="1" x14ac:dyDescent="0.2">
      <c r="A2034" s="8" t="s">
        <v>4068</v>
      </c>
      <c r="B2034" s="9">
        <v>45057</v>
      </c>
      <c r="C2034" s="9">
        <v>5902557370733</v>
      </c>
      <c r="D2034" s="10" t="s">
        <v>4069</v>
      </c>
      <c r="E2034" s="9">
        <v>190</v>
      </c>
      <c r="F2034" s="11">
        <v>45265</v>
      </c>
      <c r="G2034" s="8"/>
    </row>
    <row r="2035" spans="1:7" ht="18.75" customHeight="1" x14ac:dyDescent="0.2">
      <c r="A2035" s="8" t="s">
        <v>4070</v>
      </c>
      <c r="B2035" s="9">
        <v>45054</v>
      </c>
      <c r="C2035" s="9">
        <v>5902557370757</v>
      </c>
      <c r="D2035" s="10" t="s">
        <v>4071</v>
      </c>
      <c r="E2035" s="9">
        <v>215</v>
      </c>
      <c r="F2035" s="11">
        <v>45265</v>
      </c>
      <c r="G2035" s="8"/>
    </row>
    <row r="2036" spans="1:7" ht="18.75" customHeight="1" x14ac:dyDescent="0.2">
      <c r="A2036" s="8" t="s">
        <v>4072</v>
      </c>
      <c r="B2036" s="9">
        <v>45055</v>
      </c>
      <c r="C2036" s="9">
        <v>5902557370740</v>
      </c>
      <c r="D2036" s="10" t="s">
        <v>4073</v>
      </c>
      <c r="E2036" s="9">
        <v>221</v>
      </c>
      <c r="F2036" s="11">
        <v>45265</v>
      </c>
      <c r="G2036" s="8"/>
    </row>
    <row r="2037" spans="1:7" ht="18.75" customHeight="1" x14ac:dyDescent="0.2">
      <c r="A2037" s="8" t="s">
        <v>4074</v>
      </c>
      <c r="B2037" s="9">
        <v>44870</v>
      </c>
      <c r="C2037" s="9">
        <v>5902557369942</v>
      </c>
      <c r="D2037" s="10" t="s">
        <v>4075</v>
      </c>
      <c r="E2037" s="9">
        <v>231</v>
      </c>
      <c r="F2037" s="11">
        <v>45293</v>
      </c>
      <c r="G2037" s="8"/>
    </row>
    <row r="2038" spans="1:7" ht="18.75" customHeight="1" x14ac:dyDescent="0.2">
      <c r="A2038" s="8" t="s">
        <v>4076</v>
      </c>
      <c r="B2038" s="9">
        <v>30349</v>
      </c>
      <c r="C2038" s="9">
        <v>5902557342013</v>
      </c>
      <c r="D2038" s="10" t="s">
        <v>4077</v>
      </c>
      <c r="E2038" s="9">
        <v>207</v>
      </c>
      <c r="F2038" s="11">
        <v>45667</v>
      </c>
      <c r="G2038" s="8"/>
    </row>
    <row r="2039" spans="1:7" ht="18.75" customHeight="1" x14ac:dyDescent="0.2">
      <c r="A2039" s="8" t="s">
        <v>4078</v>
      </c>
      <c r="B2039" s="9">
        <v>24115</v>
      </c>
      <c r="C2039" s="9">
        <v>5902557332694</v>
      </c>
      <c r="D2039" s="10" t="s">
        <v>4079</v>
      </c>
      <c r="E2039" s="9">
        <v>212</v>
      </c>
      <c r="F2039" s="11">
        <v>45667</v>
      </c>
      <c r="G2039" s="8"/>
    </row>
    <row r="2040" spans="1:7" ht="18.75" customHeight="1" x14ac:dyDescent="0.2">
      <c r="A2040" s="8" t="s">
        <v>4080</v>
      </c>
      <c r="B2040" s="9">
        <v>51053</v>
      </c>
      <c r="C2040" s="9">
        <v>5902557391738</v>
      </c>
      <c r="D2040" s="10" t="s">
        <v>4081</v>
      </c>
      <c r="E2040" s="9">
        <v>254</v>
      </c>
      <c r="F2040" s="11">
        <v>45265</v>
      </c>
      <c r="G2040" s="8"/>
    </row>
    <row r="2041" spans="1:7" ht="18.75" customHeight="1" x14ac:dyDescent="0.2">
      <c r="A2041" s="8" t="s">
        <v>4082</v>
      </c>
      <c r="B2041" s="9">
        <v>54276</v>
      </c>
      <c r="C2041" s="8">
        <v>5906366007699</v>
      </c>
      <c r="D2041" s="10" t="s">
        <v>4083</v>
      </c>
      <c r="E2041" s="9">
        <v>235</v>
      </c>
      <c r="F2041" s="11">
        <v>45642</v>
      </c>
      <c r="G2041" s="8"/>
    </row>
    <row r="2042" spans="1:7" ht="18.75" customHeight="1" x14ac:dyDescent="0.2">
      <c r="A2042" s="8" t="s">
        <v>4084</v>
      </c>
      <c r="B2042" s="9">
        <v>54097</v>
      </c>
      <c r="C2042" s="8">
        <v>5906366008702</v>
      </c>
      <c r="D2042" s="10" t="s">
        <v>4085</v>
      </c>
      <c r="E2042" s="9">
        <v>253</v>
      </c>
      <c r="F2042" s="11">
        <v>45618</v>
      </c>
      <c r="G2042" s="8"/>
    </row>
    <row r="2043" spans="1:7" ht="18.75" customHeight="1" x14ac:dyDescent="0.2">
      <c r="A2043" s="9" t="s">
        <v>4086</v>
      </c>
      <c r="B2043" s="9">
        <v>53889</v>
      </c>
      <c r="C2043" s="8">
        <v>5906366006784</v>
      </c>
      <c r="D2043" s="10" t="s">
        <v>4087</v>
      </c>
      <c r="E2043" s="9">
        <v>289</v>
      </c>
      <c r="F2043" s="11">
        <v>45568</v>
      </c>
      <c r="G2043" s="8"/>
    </row>
    <row r="2044" spans="1:7" ht="18.75" customHeight="1" x14ac:dyDescent="0.2">
      <c r="A2044" s="9" t="s">
        <v>4088</v>
      </c>
      <c r="B2044" s="9">
        <v>53891</v>
      </c>
      <c r="C2044" s="8">
        <v>5906366006753</v>
      </c>
      <c r="D2044" s="10" t="s">
        <v>4089</v>
      </c>
      <c r="E2044" s="9">
        <v>259</v>
      </c>
      <c r="F2044" s="11">
        <v>45562</v>
      </c>
      <c r="G2044" s="8"/>
    </row>
    <row r="2045" spans="1:7" ht="18.75" customHeight="1" x14ac:dyDescent="0.2">
      <c r="A2045" s="8" t="s">
        <v>4090</v>
      </c>
      <c r="B2045" s="9">
        <v>26994</v>
      </c>
      <c r="C2045" s="9">
        <v>5902557335077</v>
      </c>
      <c r="D2045" s="10" t="s">
        <v>4091</v>
      </c>
      <c r="E2045" s="9">
        <v>228</v>
      </c>
      <c r="F2045" s="11">
        <v>45596</v>
      </c>
      <c r="G2045" s="8"/>
    </row>
    <row r="2046" spans="1:7" ht="18.75" customHeight="1" x14ac:dyDescent="0.2">
      <c r="A2046" s="8" t="s">
        <v>4092</v>
      </c>
      <c r="B2046" s="9">
        <v>52215</v>
      </c>
      <c r="C2046" s="8">
        <v>5902557391981</v>
      </c>
      <c r="D2046" s="10" t="s">
        <v>4093</v>
      </c>
      <c r="E2046" s="9">
        <v>124</v>
      </c>
      <c r="F2046" s="11">
        <v>45562</v>
      </c>
      <c r="G2046" s="8"/>
    </row>
    <row r="2047" spans="1:7" ht="18.75" customHeight="1" x14ac:dyDescent="0.2">
      <c r="A2047" s="8" t="s">
        <v>4094</v>
      </c>
      <c r="B2047" s="9">
        <v>52211</v>
      </c>
      <c r="C2047" s="8">
        <v>5902557391998</v>
      </c>
      <c r="D2047" s="10" t="s">
        <v>4095</v>
      </c>
      <c r="E2047" s="9">
        <v>132</v>
      </c>
      <c r="F2047" s="11">
        <v>45562</v>
      </c>
      <c r="G2047" s="8"/>
    </row>
    <row r="2048" spans="1:7" ht="18.75" customHeight="1" x14ac:dyDescent="0.2">
      <c r="A2048" s="8" t="s">
        <v>4096</v>
      </c>
      <c r="B2048" s="9">
        <v>52214</v>
      </c>
      <c r="C2048" s="8">
        <v>5902557392018</v>
      </c>
      <c r="D2048" s="10" t="s">
        <v>4097</v>
      </c>
      <c r="E2048" s="9">
        <v>159</v>
      </c>
      <c r="F2048" s="12">
        <v>45266</v>
      </c>
      <c r="G2048" s="8"/>
    </row>
    <row r="2049" spans="1:7" ht="18.75" customHeight="1" x14ac:dyDescent="0.2">
      <c r="A2049" s="8" t="s">
        <v>4098</v>
      </c>
      <c r="B2049" s="9">
        <v>45062</v>
      </c>
      <c r="C2049" s="9">
        <v>5902557369881</v>
      </c>
      <c r="D2049" s="10" t="s">
        <v>4099</v>
      </c>
      <c r="E2049" s="9">
        <v>191</v>
      </c>
      <c r="F2049" s="11">
        <v>45265</v>
      </c>
      <c r="G2049" s="8"/>
    </row>
    <row r="2050" spans="1:7" ht="18.75" customHeight="1" x14ac:dyDescent="0.2">
      <c r="A2050" s="8" t="s">
        <v>4100</v>
      </c>
      <c r="B2050" s="9">
        <v>44943</v>
      </c>
      <c r="C2050" s="9">
        <v>5902557369898</v>
      </c>
      <c r="D2050" s="10" t="s">
        <v>4101</v>
      </c>
      <c r="E2050" s="9">
        <v>188</v>
      </c>
      <c r="F2050" s="11">
        <v>45642</v>
      </c>
      <c r="G2050" s="8"/>
    </row>
    <row r="2051" spans="1:7" ht="18.75" customHeight="1" x14ac:dyDescent="0.2">
      <c r="A2051" s="8" t="s">
        <v>4102</v>
      </c>
      <c r="B2051" s="9">
        <v>44953</v>
      </c>
      <c r="C2051" s="9">
        <v>5902557369904</v>
      </c>
      <c r="D2051" s="10" t="s">
        <v>4103</v>
      </c>
      <c r="E2051" s="9">
        <v>254</v>
      </c>
      <c r="F2051" s="11">
        <v>45265</v>
      </c>
      <c r="G2051" s="8"/>
    </row>
    <row r="2052" spans="1:7" ht="18.75" customHeight="1" x14ac:dyDescent="0.2">
      <c r="A2052" s="9" t="s">
        <v>4104</v>
      </c>
      <c r="B2052" s="9">
        <v>53904</v>
      </c>
      <c r="C2052" s="8">
        <v>5906366002861</v>
      </c>
      <c r="D2052" s="10" t="s">
        <v>4105</v>
      </c>
      <c r="E2052" s="9">
        <v>235</v>
      </c>
      <c r="F2052" s="11">
        <v>45562</v>
      </c>
      <c r="G2052" s="8"/>
    </row>
    <row r="2053" spans="1:7" ht="18.75" customHeight="1" x14ac:dyDescent="0.2">
      <c r="A2053" s="9" t="s">
        <v>4106</v>
      </c>
      <c r="B2053" s="9">
        <v>53903</v>
      </c>
      <c r="C2053" s="8">
        <v>5906366002878</v>
      </c>
      <c r="D2053" s="10" t="s">
        <v>4107</v>
      </c>
      <c r="E2053" s="9">
        <v>280</v>
      </c>
      <c r="F2053" s="11">
        <v>45562</v>
      </c>
      <c r="G2053" s="8"/>
    </row>
    <row r="2054" spans="1:7" ht="18.75" customHeight="1" x14ac:dyDescent="0.2">
      <c r="A2054" s="8" t="s">
        <v>4108</v>
      </c>
      <c r="B2054" s="9">
        <v>7197</v>
      </c>
      <c r="C2054" s="9">
        <v>5902557305735</v>
      </c>
      <c r="D2054" s="10" t="s">
        <v>4109</v>
      </c>
      <c r="E2054" s="9">
        <v>235</v>
      </c>
      <c r="F2054" s="11">
        <v>45265</v>
      </c>
      <c r="G2054" s="8"/>
    </row>
    <row r="2055" spans="1:7" ht="18.75" customHeight="1" x14ac:dyDescent="0.2">
      <c r="A2055" s="8" t="s">
        <v>4110</v>
      </c>
      <c r="B2055" s="9">
        <v>52102</v>
      </c>
      <c r="C2055" s="9">
        <v>5902557390823</v>
      </c>
      <c r="D2055" s="10" t="s">
        <v>4111</v>
      </c>
      <c r="E2055" s="9">
        <v>208</v>
      </c>
      <c r="F2055" s="11">
        <v>45341</v>
      </c>
      <c r="G2055" s="8"/>
    </row>
    <row r="2056" spans="1:7" ht="18.75" customHeight="1" x14ac:dyDescent="0.2">
      <c r="A2056" s="8" t="s">
        <v>4112</v>
      </c>
      <c r="B2056" s="9">
        <v>52101</v>
      </c>
      <c r="C2056" s="9">
        <v>5902557390830</v>
      </c>
      <c r="D2056" s="10" t="s">
        <v>4113</v>
      </c>
      <c r="E2056" s="9">
        <v>231</v>
      </c>
      <c r="F2056" s="11">
        <v>45341</v>
      </c>
      <c r="G2056" s="8"/>
    </row>
    <row r="2057" spans="1:7" ht="18.75" customHeight="1" x14ac:dyDescent="0.2">
      <c r="A2057" s="8" t="s">
        <v>4114</v>
      </c>
      <c r="B2057" s="9">
        <v>52103</v>
      </c>
      <c r="C2057" s="8">
        <v>5902557390847</v>
      </c>
      <c r="D2057" s="10" t="s">
        <v>4115</v>
      </c>
      <c r="E2057" s="9">
        <v>243</v>
      </c>
      <c r="F2057" s="11">
        <v>45300</v>
      </c>
      <c r="G2057" s="8"/>
    </row>
    <row r="2058" spans="1:7" ht="18.75" customHeight="1" x14ac:dyDescent="0.2">
      <c r="A2058" s="8" t="s">
        <v>4116</v>
      </c>
      <c r="B2058" s="9">
        <v>52104</v>
      </c>
      <c r="C2058" s="9">
        <v>5902557390854</v>
      </c>
      <c r="D2058" s="10" t="s">
        <v>4117</v>
      </c>
      <c r="E2058" s="9">
        <v>277</v>
      </c>
      <c r="F2058" s="11">
        <v>45341</v>
      </c>
      <c r="G2058" s="8"/>
    </row>
    <row r="2059" spans="1:7" ht="18.75" customHeight="1" x14ac:dyDescent="0.2">
      <c r="A2059" s="8" t="s">
        <v>4118</v>
      </c>
      <c r="B2059" s="9">
        <v>18986</v>
      </c>
      <c r="C2059" s="9">
        <v>5902557331666</v>
      </c>
      <c r="D2059" s="10" t="s">
        <v>4119</v>
      </c>
      <c r="E2059" s="9">
        <v>231</v>
      </c>
      <c r="F2059" s="11">
        <v>45265</v>
      </c>
      <c r="G2059" s="8"/>
    </row>
    <row r="2060" spans="1:7" ht="18.75" customHeight="1" x14ac:dyDescent="0.2">
      <c r="A2060" s="8" t="s">
        <v>4120</v>
      </c>
      <c r="B2060" s="9">
        <v>49762</v>
      </c>
      <c r="C2060" s="9">
        <v>5902557377947</v>
      </c>
      <c r="D2060" s="10" t="s">
        <v>4121</v>
      </c>
      <c r="E2060" s="9">
        <v>225</v>
      </c>
      <c r="F2060" s="11">
        <v>45300</v>
      </c>
      <c r="G2060" s="8"/>
    </row>
    <row r="2061" spans="1:7" ht="18.75" customHeight="1" x14ac:dyDescent="0.2">
      <c r="A2061" s="8" t="s">
        <v>4122</v>
      </c>
      <c r="B2061" s="9">
        <v>49456</v>
      </c>
      <c r="C2061" s="9">
        <v>5902557377954</v>
      </c>
      <c r="D2061" s="10" t="s">
        <v>4123</v>
      </c>
      <c r="E2061" s="9">
        <v>240</v>
      </c>
      <c r="F2061" s="11">
        <v>45729</v>
      </c>
      <c r="G2061" s="8"/>
    </row>
    <row r="2062" spans="1:7" ht="18.75" customHeight="1" x14ac:dyDescent="0.2">
      <c r="A2062" s="8" t="s">
        <v>4124</v>
      </c>
      <c r="B2062" s="9">
        <v>49463</v>
      </c>
      <c r="C2062" s="9">
        <v>5902557377978</v>
      </c>
      <c r="D2062" s="10" t="s">
        <v>4125</v>
      </c>
      <c r="E2062" s="9">
        <v>266</v>
      </c>
      <c r="F2062" s="11">
        <v>45300</v>
      </c>
      <c r="G2062" s="8"/>
    </row>
    <row r="2063" spans="1:7" ht="18.75" customHeight="1" x14ac:dyDescent="0.2">
      <c r="A2063" s="8" t="s">
        <v>4126</v>
      </c>
      <c r="B2063" s="9">
        <v>49464</v>
      </c>
      <c r="C2063" s="9">
        <v>5902557377985</v>
      </c>
      <c r="D2063" s="10" t="s">
        <v>4127</v>
      </c>
      <c r="E2063" s="9">
        <v>282</v>
      </c>
      <c r="F2063" s="11">
        <v>45729</v>
      </c>
      <c r="G2063" s="8"/>
    </row>
    <row r="2064" spans="1:7" ht="18.75" customHeight="1" x14ac:dyDescent="0.2">
      <c r="A2064" s="8" t="s">
        <v>4128</v>
      </c>
      <c r="B2064" s="9">
        <v>49764</v>
      </c>
      <c r="C2064" s="9">
        <v>5902557377961</v>
      </c>
      <c r="D2064" s="10" t="s">
        <v>4129</v>
      </c>
      <c r="E2064" s="9">
        <v>256</v>
      </c>
      <c r="F2064" s="11">
        <v>45372</v>
      </c>
      <c r="G2064" s="8"/>
    </row>
    <row r="2065" spans="1:7" ht="18.75" customHeight="1" x14ac:dyDescent="0.2">
      <c r="A2065" s="8" t="s">
        <v>4130</v>
      </c>
      <c r="B2065" s="9">
        <v>30269</v>
      </c>
      <c r="C2065" s="9">
        <v>5902557338917</v>
      </c>
      <c r="D2065" s="10" t="s">
        <v>4131</v>
      </c>
      <c r="E2065" s="9">
        <v>208</v>
      </c>
      <c r="F2065" s="11">
        <v>45321</v>
      </c>
      <c r="G2065" s="8"/>
    </row>
    <row r="2066" spans="1:7" ht="18.75" customHeight="1" x14ac:dyDescent="0.2">
      <c r="A2066" s="8" t="s">
        <v>4132</v>
      </c>
      <c r="B2066" s="9">
        <v>41743</v>
      </c>
      <c r="C2066" s="9">
        <v>5902557356973</v>
      </c>
      <c r="D2066" s="10" t="s">
        <v>4133</v>
      </c>
      <c r="E2066" s="9">
        <v>267</v>
      </c>
      <c r="F2066" s="11">
        <v>45265</v>
      </c>
      <c r="G2066" s="8"/>
    </row>
    <row r="2067" spans="1:7" ht="18.75" customHeight="1" x14ac:dyDescent="0.2">
      <c r="A2067" s="8" t="s">
        <v>4134</v>
      </c>
      <c r="B2067" s="9">
        <v>52175</v>
      </c>
      <c r="C2067" s="8">
        <v>5902557392063</v>
      </c>
      <c r="D2067" s="10" t="s">
        <v>4135</v>
      </c>
      <c r="E2067" s="9">
        <v>117</v>
      </c>
      <c r="F2067" s="11">
        <v>45562</v>
      </c>
      <c r="G2067" s="8"/>
    </row>
    <row r="2068" spans="1:7" ht="18.75" customHeight="1" x14ac:dyDescent="0.2">
      <c r="A2068" s="8" t="s">
        <v>4136</v>
      </c>
      <c r="B2068" s="9">
        <v>52173</v>
      </c>
      <c r="C2068" s="8">
        <v>5902557392070</v>
      </c>
      <c r="D2068" s="10" t="s">
        <v>4137</v>
      </c>
      <c r="E2068" s="9">
        <v>106</v>
      </c>
      <c r="F2068" s="12">
        <v>45266</v>
      </c>
      <c r="G2068" s="8"/>
    </row>
    <row r="2069" spans="1:7" ht="18.75" customHeight="1" x14ac:dyDescent="0.2">
      <c r="A2069" s="8" t="s">
        <v>4138</v>
      </c>
      <c r="B2069" s="9">
        <v>52174</v>
      </c>
      <c r="C2069" s="8">
        <v>5902557392087</v>
      </c>
      <c r="D2069" s="10" t="s">
        <v>4139</v>
      </c>
      <c r="E2069" s="9">
        <v>139</v>
      </c>
      <c r="F2069" s="11">
        <v>45562</v>
      </c>
      <c r="G2069" s="8"/>
    </row>
    <row r="2070" spans="1:7" ht="18.75" customHeight="1" x14ac:dyDescent="0.2">
      <c r="A2070" s="8" t="s">
        <v>4140</v>
      </c>
      <c r="B2070" s="9">
        <v>44473</v>
      </c>
      <c r="C2070" s="9">
        <v>5902557369485</v>
      </c>
      <c r="D2070" s="10" t="s">
        <v>4141</v>
      </c>
      <c r="E2070" s="9">
        <v>124</v>
      </c>
      <c r="F2070" s="11">
        <v>45265</v>
      </c>
      <c r="G2070" s="8"/>
    </row>
    <row r="2071" spans="1:7" ht="18.75" customHeight="1" x14ac:dyDescent="0.2">
      <c r="A2071" s="9" t="s">
        <v>4142</v>
      </c>
      <c r="B2071" s="9">
        <v>53752</v>
      </c>
      <c r="C2071" s="8">
        <v>5906366003684</v>
      </c>
      <c r="D2071" s="10" t="s">
        <v>4143</v>
      </c>
      <c r="E2071" s="9">
        <v>186</v>
      </c>
      <c r="F2071" s="11">
        <v>45552</v>
      </c>
      <c r="G2071" s="8"/>
    </row>
    <row r="2072" spans="1:7" ht="18.75" customHeight="1" x14ac:dyDescent="0.2">
      <c r="A2072" s="9" t="s">
        <v>4144</v>
      </c>
      <c r="B2072" s="9">
        <v>53782</v>
      </c>
      <c r="C2072" s="8">
        <v>5906366003691</v>
      </c>
      <c r="D2072" s="10" t="s">
        <v>4145</v>
      </c>
      <c r="E2072" s="9">
        <v>188</v>
      </c>
      <c r="F2072" s="11">
        <v>45552</v>
      </c>
      <c r="G2072" s="8"/>
    </row>
    <row r="2073" spans="1:7" ht="18.75" customHeight="1" x14ac:dyDescent="0.2">
      <c r="A2073" s="9" t="s">
        <v>4146</v>
      </c>
      <c r="B2073" s="9">
        <v>53783</v>
      </c>
      <c r="C2073" s="8">
        <v>5906366003707</v>
      </c>
      <c r="D2073" s="10" t="s">
        <v>4147</v>
      </c>
      <c r="E2073" s="9">
        <v>212</v>
      </c>
      <c r="F2073" s="11">
        <v>45679</v>
      </c>
      <c r="G2073" s="8"/>
    </row>
    <row r="2074" spans="1:7" ht="18.75" customHeight="1" x14ac:dyDescent="0.2">
      <c r="A2074" s="8" t="s">
        <v>4148</v>
      </c>
      <c r="B2074" s="9"/>
      <c r="C2074" s="9">
        <v>5902557328789</v>
      </c>
      <c r="D2074" s="10" t="s">
        <v>4149</v>
      </c>
      <c r="E2074" s="9">
        <v>201</v>
      </c>
      <c r="F2074" s="11">
        <v>45265</v>
      </c>
      <c r="G2074" s="8"/>
    </row>
    <row r="2075" spans="1:7" ht="18.75" customHeight="1" x14ac:dyDescent="0.2">
      <c r="A2075" s="8" t="s">
        <v>4150</v>
      </c>
      <c r="B2075" s="9">
        <v>46427</v>
      </c>
      <c r="C2075" s="9">
        <v>5902557375127</v>
      </c>
      <c r="D2075" s="10" t="s">
        <v>4151</v>
      </c>
      <c r="E2075" s="9">
        <v>160</v>
      </c>
      <c r="F2075" s="11">
        <v>45644</v>
      </c>
      <c r="G2075" s="8"/>
    </row>
    <row r="2076" spans="1:7" ht="18.75" customHeight="1" x14ac:dyDescent="0.2">
      <c r="A2076" s="8" t="s">
        <v>4152</v>
      </c>
      <c r="B2076" s="9">
        <v>46425</v>
      </c>
      <c r="C2076" s="9">
        <v>5902557375141</v>
      </c>
      <c r="D2076" s="10" t="s">
        <v>4153</v>
      </c>
      <c r="E2076" s="9">
        <v>169</v>
      </c>
      <c r="F2076" s="11">
        <v>45715</v>
      </c>
      <c r="G2076" s="8"/>
    </row>
    <row r="2077" spans="1:7" ht="18.75" customHeight="1" x14ac:dyDescent="0.2">
      <c r="A2077" s="8" t="s">
        <v>4154</v>
      </c>
      <c r="B2077" s="9">
        <v>46426</v>
      </c>
      <c r="C2077" s="9">
        <v>5902557375134</v>
      </c>
      <c r="D2077" s="10" t="s">
        <v>4155</v>
      </c>
      <c r="E2077" s="8">
        <v>194</v>
      </c>
      <c r="F2077" s="11">
        <v>45730</v>
      </c>
      <c r="G2077" s="8"/>
    </row>
    <row r="2078" spans="1:7" ht="18.75" customHeight="1" x14ac:dyDescent="0.2">
      <c r="A2078" s="8" t="s">
        <v>4156</v>
      </c>
      <c r="B2078" s="9">
        <v>52819</v>
      </c>
      <c r="C2078" s="9">
        <v>5902557398324</v>
      </c>
      <c r="D2078" s="10" t="s">
        <v>4157</v>
      </c>
      <c r="E2078" s="8">
        <v>203</v>
      </c>
      <c r="F2078" s="11">
        <v>45730</v>
      </c>
      <c r="G2078" s="8"/>
    </row>
    <row r="2079" spans="1:7" ht="18.75" customHeight="1" x14ac:dyDescent="0.2">
      <c r="A2079" s="8" t="s">
        <v>4158</v>
      </c>
      <c r="B2079" s="9">
        <v>50122</v>
      </c>
      <c r="C2079" s="9">
        <v>5902557385836</v>
      </c>
      <c r="D2079" s="10" t="s">
        <v>4159</v>
      </c>
      <c r="E2079" s="9">
        <v>132</v>
      </c>
      <c r="F2079" s="11">
        <v>45357</v>
      </c>
      <c r="G2079" s="8"/>
    </row>
    <row r="2080" spans="1:7" ht="18.75" customHeight="1" x14ac:dyDescent="0.2">
      <c r="A2080" s="8" t="s">
        <v>4160</v>
      </c>
      <c r="B2080" s="9">
        <v>50123</v>
      </c>
      <c r="C2080" s="9">
        <v>5902557385829</v>
      </c>
      <c r="D2080" s="10" t="s">
        <v>4161</v>
      </c>
      <c r="E2080" s="9">
        <v>183</v>
      </c>
      <c r="F2080" s="11">
        <v>45679</v>
      </c>
      <c r="G2080" s="8"/>
    </row>
    <row r="2081" spans="1:7" ht="18.75" customHeight="1" x14ac:dyDescent="0.2">
      <c r="A2081" s="8" t="s">
        <v>4162</v>
      </c>
      <c r="B2081" s="9">
        <v>33693</v>
      </c>
      <c r="C2081" s="9">
        <v>5902557345168</v>
      </c>
      <c r="D2081" s="10" t="s">
        <v>4163</v>
      </c>
      <c r="E2081" s="9">
        <v>119</v>
      </c>
      <c r="F2081" s="11">
        <v>45715</v>
      </c>
      <c r="G2081" s="8"/>
    </row>
    <row r="2082" spans="1:7" ht="18.75" customHeight="1" x14ac:dyDescent="0.2">
      <c r="A2082" s="8" t="s">
        <v>4164</v>
      </c>
      <c r="B2082" s="9">
        <v>49366</v>
      </c>
      <c r="C2082" s="9">
        <v>5902557377923</v>
      </c>
      <c r="D2082" s="10" t="s">
        <v>4165</v>
      </c>
      <c r="E2082" s="9">
        <v>185</v>
      </c>
      <c r="F2082" s="11">
        <v>45337</v>
      </c>
      <c r="G2082" s="8"/>
    </row>
    <row r="2083" spans="1:7" ht="18.75" customHeight="1" x14ac:dyDescent="0.2">
      <c r="A2083" s="8" t="s">
        <v>4166</v>
      </c>
      <c r="B2083" s="9">
        <v>49371</v>
      </c>
      <c r="C2083" s="9">
        <v>5902557377930</v>
      </c>
      <c r="D2083" s="10" t="s">
        <v>4167</v>
      </c>
      <c r="E2083" s="9">
        <v>212</v>
      </c>
      <c r="F2083" s="11">
        <v>45552</v>
      </c>
      <c r="G2083" s="8"/>
    </row>
    <row r="2084" spans="1:7" ht="18.75" customHeight="1" x14ac:dyDescent="0.2">
      <c r="A2084" s="8" t="s">
        <v>4168</v>
      </c>
      <c r="B2084" s="9">
        <v>49370</v>
      </c>
      <c r="C2084" s="9">
        <v>5902557377916</v>
      </c>
      <c r="D2084" s="10" t="s">
        <v>4169</v>
      </c>
      <c r="E2084" s="9">
        <v>249</v>
      </c>
      <c r="F2084" s="11">
        <v>45673</v>
      </c>
      <c r="G2084" s="8"/>
    </row>
    <row r="2085" spans="1:7" ht="18.75" customHeight="1" x14ac:dyDescent="0.2">
      <c r="A2085" s="8" t="s">
        <v>4170</v>
      </c>
      <c r="B2085" s="9">
        <v>30284</v>
      </c>
      <c r="C2085" s="9">
        <v>5902557339006</v>
      </c>
      <c r="D2085" s="10" t="s">
        <v>4171</v>
      </c>
      <c r="E2085" s="9">
        <v>235</v>
      </c>
      <c r="F2085" s="11">
        <v>45673</v>
      </c>
      <c r="G2085" s="8"/>
    </row>
    <row r="2086" spans="1:7" ht="18.75" customHeight="1" x14ac:dyDescent="0.2">
      <c r="A2086" s="8" t="s">
        <v>4172</v>
      </c>
      <c r="B2086" s="9">
        <v>18984</v>
      </c>
      <c r="C2086" s="9">
        <v>5902557331727</v>
      </c>
      <c r="D2086" s="10" t="s">
        <v>4173</v>
      </c>
      <c r="E2086" s="9">
        <v>302</v>
      </c>
      <c r="F2086" s="11">
        <v>45372</v>
      </c>
      <c r="G2086" s="8"/>
    </row>
    <row r="2087" spans="1:7" ht="18.75" customHeight="1" x14ac:dyDescent="0.2">
      <c r="A2087" s="8" t="s">
        <v>4174</v>
      </c>
      <c r="B2087" s="9">
        <v>49720</v>
      </c>
      <c r="C2087" s="9">
        <v>5902557377848</v>
      </c>
      <c r="D2087" s="10" t="s">
        <v>4175</v>
      </c>
      <c r="E2087" s="9">
        <v>167</v>
      </c>
      <c r="F2087" s="11">
        <v>45596</v>
      </c>
      <c r="G2087" s="8"/>
    </row>
    <row r="2088" spans="1:7" ht="18.75" customHeight="1" x14ac:dyDescent="0.2">
      <c r="A2088" s="8" t="s">
        <v>4176</v>
      </c>
      <c r="B2088" s="9">
        <v>49378</v>
      </c>
      <c r="C2088" s="9">
        <v>5902557377855</v>
      </c>
      <c r="D2088" s="10" t="s">
        <v>4177</v>
      </c>
      <c r="E2088" s="9">
        <v>162</v>
      </c>
      <c r="F2088" s="11">
        <v>45581</v>
      </c>
      <c r="G2088" s="8"/>
    </row>
    <row r="2089" spans="1:7" ht="18.75" customHeight="1" x14ac:dyDescent="0.2">
      <c r="A2089" s="8" t="s">
        <v>4178</v>
      </c>
      <c r="B2089" s="9">
        <v>26275</v>
      </c>
      <c r="C2089" s="9">
        <v>5902557335046</v>
      </c>
      <c r="D2089" s="10" t="s">
        <v>4179</v>
      </c>
      <c r="E2089" s="9">
        <v>179</v>
      </c>
      <c r="F2089" s="11">
        <v>45581</v>
      </c>
      <c r="G2089" s="8"/>
    </row>
    <row r="2090" spans="1:7" ht="18.75" customHeight="1" x14ac:dyDescent="0.2">
      <c r="A2090" s="8" t="s">
        <v>4180</v>
      </c>
      <c r="B2090" s="9">
        <v>49377</v>
      </c>
      <c r="C2090" s="9">
        <v>5902557377862</v>
      </c>
      <c r="D2090" s="10" t="s">
        <v>4181</v>
      </c>
      <c r="E2090" s="9">
        <v>183</v>
      </c>
      <c r="F2090" s="11">
        <v>45533</v>
      </c>
      <c r="G2090" s="8"/>
    </row>
    <row r="2091" spans="1:7" ht="18.75" customHeight="1" x14ac:dyDescent="0.2">
      <c r="A2091" s="8" t="s">
        <v>4182</v>
      </c>
      <c r="B2091" s="9">
        <v>37986</v>
      </c>
      <c r="C2091" s="9">
        <v>5902557350018</v>
      </c>
      <c r="D2091" s="10" t="s">
        <v>4183</v>
      </c>
      <c r="E2091" s="9">
        <v>180</v>
      </c>
      <c r="F2091" s="11">
        <v>45265</v>
      </c>
      <c r="G2091" s="8"/>
    </row>
    <row r="2092" spans="1:7" ht="18.75" customHeight="1" x14ac:dyDescent="0.2">
      <c r="A2092" s="8" t="s">
        <v>4184</v>
      </c>
      <c r="B2092" s="9">
        <v>49459</v>
      </c>
      <c r="C2092" s="9">
        <v>5902557377831</v>
      </c>
      <c r="D2092" s="10" t="s">
        <v>4185</v>
      </c>
      <c r="E2092" s="9">
        <v>188</v>
      </c>
      <c r="F2092" s="11">
        <v>45736</v>
      </c>
      <c r="G2092" s="8"/>
    </row>
    <row r="2093" spans="1:7" ht="18.75" customHeight="1" x14ac:dyDescent="0.2">
      <c r="A2093" s="8" t="s">
        <v>4186</v>
      </c>
      <c r="B2093" s="8">
        <v>52939</v>
      </c>
      <c r="C2093" s="8"/>
      <c r="D2093" s="10" t="s">
        <v>4187</v>
      </c>
      <c r="E2093" s="9">
        <v>95</v>
      </c>
      <c r="F2093" s="11">
        <v>45664</v>
      </c>
      <c r="G2093" s="8"/>
    </row>
    <row r="2094" spans="1:7" ht="18.75" customHeight="1" x14ac:dyDescent="0.2">
      <c r="A2094" s="8" t="s">
        <v>4188</v>
      </c>
      <c r="B2094" s="8">
        <v>52943</v>
      </c>
      <c r="C2094" s="8">
        <v>5905505503054</v>
      </c>
      <c r="D2094" s="10" t="s">
        <v>4189</v>
      </c>
      <c r="E2094" s="9">
        <v>159</v>
      </c>
      <c r="F2094" s="11">
        <v>45664</v>
      </c>
      <c r="G2094" s="8"/>
    </row>
    <row r="2095" spans="1:7" ht="18.75" customHeight="1" x14ac:dyDescent="0.2">
      <c r="A2095" s="8" t="s">
        <v>4190</v>
      </c>
      <c r="B2095" s="8">
        <v>52950</v>
      </c>
      <c r="C2095" s="8"/>
      <c r="D2095" s="10" t="s">
        <v>4191</v>
      </c>
      <c r="E2095" s="9">
        <v>162</v>
      </c>
      <c r="F2095" s="11">
        <v>45664</v>
      </c>
      <c r="G2095" s="8"/>
    </row>
    <row r="2096" spans="1:7" ht="18.75" customHeight="1" x14ac:dyDescent="0.2">
      <c r="A2096" s="13" t="s">
        <v>4192</v>
      </c>
      <c r="B2096" s="9">
        <v>52963</v>
      </c>
      <c r="C2096" s="9"/>
      <c r="D2096" s="10" t="s">
        <v>4193</v>
      </c>
      <c r="E2096" s="9">
        <v>252</v>
      </c>
      <c r="F2096" s="11">
        <v>45664</v>
      </c>
      <c r="G2096" s="8"/>
    </row>
    <row r="2097" spans="1:7" ht="18.75" customHeight="1" x14ac:dyDescent="0.2">
      <c r="A2097" s="8" t="s">
        <v>4194</v>
      </c>
      <c r="B2097" s="9">
        <v>46413</v>
      </c>
      <c r="C2097" s="9">
        <v>5902557375776</v>
      </c>
      <c r="D2097" s="10" t="s">
        <v>4195</v>
      </c>
      <c r="E2097" s="9">
        <v>167</v>
      </c>
      <c r="F2097" s="11">
        <v>45664</v>
      </c>
      <c r="G2097" s="8"/>
    </row>
    <row r="2098" spans="1:7" ht="18.75" customHeight="1" x14ac:dyDescent="0.2">
      <c r="A2098" s="8" t="s">
        <v>4196</v>
      </c>
      <c r="B2098" s="9">
        <v>46412</v>
      </c>
      <c r="C2098" s="9">
        <v>5902557375769</v>
      </c>
      <c r="D2098" s="10" t="s">
        <v>4197</v>
      </c>
      <c r="E2098" s="9">
        <v>167</v>
      </c>
      <c r="F2098" s="11">
        <v>45664</v>
      </c>
      <c r="G2098" s="8"/>
    </row>
    <row r="2099" spans="1:7" ht="18.75" customHeight="1" x14ac:dyDescent="0.2">
      <c r="A2099" s="8" t="s">
        <v>4198</v>
      </c>
      <c r="B2099" s="9">
        <v>45331</v>
      </c>
      <c r="C2099" s="9">
        <v>5902557375783</v>
      </c>
      <c r="D2099" s="10" t="s">
        <v>4199</v>
      </c>
      <c r="E2099" s="9">
        <v>175</v>
      </c>
      <c r="F2099" s="11">
        <v>45664</v>
      </c>
      <c r="G2099" s="8"/>
    </row>
    <row r="2100" spans="1:7" ht="18.75" customHeight="1" x14ac:dyDescent="0.2">
      <c r="A2100" s="8" t="s">
        <v>4200</v>
      </c>
      <c r="B2100" s="9">
        <v>46443</v>
      </c>
      <c r="C2100" s="9">
        <v>5902557375790</v>
      </c>
      <c r="D2100" s="10" t="s">
        <v>4201</v>
      </c>
      <c r="E2100" s="9">
        <v>175</v>
      </c>
      <c r="F2100" s="11">
        <v>45664</v>
      </c>
      <c r="G2100" s="8"/>
    </row>
    <row r="2101" spans="1:7" ht="18.75" customHeight="1" x14ac:dyDescent="0.2">
      <c r="A2101" s="8" t="s">
        <v>4202</v>
      </c>
      <c r="B2101" s="9">
        <v>45279</v>
      </c>
      <c r="C2101" s="9">
        <v>5902557375592</v>
      </c>
      <c r="D2101" s="10" t="s">
        <v>4203</v>
      </c>
      <c r="E2101" s="9">
        <v>106</v>
      </c>
      <c r="F2101" s="11">
        <v>45664</v>
      </c>
      <c r="G2101" s="8"/>
    </row>
    <row r="2102" spans="1:7" ht="18.75" customHeight="1" x14ac:dyDescent="0.2">
      <c r="A2102" s="8" t="s">
        <v>4204</v>
      </c>
      <c r="B2102" s="9">
        <v>45283</v>
      </c>
      <c r="C2102" s="9">
        <v>5902557375677</v>
      </c>
      <c r="D2102" s="10" t="s">
        <v>4205</v>
      </c>
      <c r="E2102" s="9">
        <v>119</v>
      </c>
      <c r="F2102" s="11">
        <v>45664</v>
      </c>
      <c r="G2102" s="8"/>
    </row>
    <row r="2103" spans="1:7" ht="18.75" customHeight="1" x14ac:dyDescent="0.2">
      <c r="A2103" s="8" t="s">
        <v>4206</v>
      </c>
      <c r="B2103" s="9">
        <v>45282</v>
      </c>
      <c r="C2103" s="9">
        <v>5902557375653</v>
      </c>
      <c r="D2103" s="10" t="s">
        <v>4207</v>
      </c>
      <c r="E2103" s="9">
        <v>138</v>
      </c>
      <c r="F2103" s="11">
        <v>45664</v>
      </c>
      <c r="G2103" s="8"/>
    </row>
    <row r="2104" spans="1:7" ht="18.75" customHeight="1" x14ac:dyDescent="0.2">
      <c r="A2104" s="8" t="s">
        <v>4208</v>
      </c>
      <c r="B2104" s="9">
        <v>45281</v>
      </c>
      <c r="C2104" s="9">
        <v>5902557375660</v>
      </c>
      <c r="D2104" s="10" t="s">
        <v>4209</v>
      </c>
      <c r="E2104" s="9">
        <v>138</v>
      </c>
      <c r="F2104" s="11">
        <v>45664</v>
      </c>
      <c r="G2104" s="8"/>
    </row>
    <row r="2105" spans="1:7" ht="18.75" customHeight="1" x14ac:dyDescent="0.2">
      <c r="A2105" s="8" t="s">
        <v>4210</v>
      </c>
      <c r="B2105" s="8">
        <v>53111</v>
      </c>
      <c r="C2105" s="8"/>
      <c r="D2105" s="10" t="s">
        <v>4211</v>
      </c>
      <c r="E2105" s="9">
        <v>285</v>
      </c>
      <c r="F2105" s="11">
        <v>45664</v>
      </c>
      <c r="G2105" s="8"/>
    </row>
    <row r="2106" spans="1:7" ht="18.75" customHeight="1" x14ac:dyDescent="0.2">
      <c r="A2106" s="8" t="s">
        <v>4212</v>
      </c>
      <c r="B2106" s="8">
        <v>53113</v>
      </c>
      <c r="C2106" s="8"/>
      <c r="D2106" s="10" t="s">
        <v>4211</v>
      </c>
      <c r="E2106" s="9">
        <v>387</v>
      </c>
      <c r="F2106" s="11">
        <v>45664</v>
      </c>
      <c r="G2106" s="8"/>
    </row>
    <row r="2107" spans="1:7" ht="18.75" customHeight="1" x14ac:dyDescent="0.2">
      <c r="A2107" s="8" t="s">
        <v>4213</v>
      </c>
      <c r="B2107" s="8">
        <v>53101</v>
      </c>
      <c r="C2107" s="8"/>
      <c r="D2107" s="10" t="s">
        <v>4214</v>
      </c>
      <c r="E2107" s="9">
        <v>317</v>
      </c>
      <c r="F2107" s="11">
        <v>45664</v>
      </c>
      <c r="G2107" s="8"/>
    </row>
    <row r="2108" spans="1:7" ht="18.75" customHeight="1" x14ac:dyDescent="0.2">
      <c r="A2108" s="8" t="s">
        <v>4215</v>
      </c>
      <c r="B2108" s="8">
        <v>53099</v>
      </c>
      <c r="C2108" s="8"/>
      <c r="D2108" s="10" t="s">
        <v>4214</v>
      </c>
      <c r="E2108" s="9">
        <v>417</v>
      </c>
      <c r="F2108" s="11">
        <v>45664</v>
      </c>
      <c r="G2108" s="8"/>
    </row>
    <row r="2109" spans="1:7" ht="18.75" customHeight="1" x14ac:dyDescent="0.2">
      <c r="A2109" s="8" t="s">
        <v>4216</v>
      </c>
      <c r="B2109" s="8">
        <v>53100</v>
      </c>
      <c r="C2109" s="8"/>
      <c r="D2109" s="10" t="s">
        <v>4214</v>
      </c>
      <c r="E2109" s="9">
        <v>417</v>
      </c>
      <c r="F2109" s="11">
        <v>45664</v>
      </c>
      <c r="G2109" s="8"/>
    </row>
    <row r="2110" spans="1:7" ht="18.75" customHeight="1" x14ac:dyDescent="0.2">
      <c r="A2110" s="13" t="s">
        <v>4217</v>
      </c>
      <c r="B2110" s="9">
        <v>53105</v>
      </c>
      <c r="C2110" s="14"/>
      <c r="D2110" s="10" t="s">
        <v>4218</v>
      </c>
      <c r="E2110" s="9">
        <v>387</v>
      </c>
      <c r="F2110" s="11">
        <v>45664</v>
      </c>
      <c r="G2110" s="8"/>
    </row>
    <row r="2111" spans="1:7" ht="18.75" customHeight="1" x14ac:dyDescent="0.2">
      <c r="A2111" s="13" t="s">
        <v>4219</v>
      </c>
      <c r="B2111" s="9">
        <v>53103</v>
      </c>
      <c r="C2111" s="14"/>
      <c r="D2111" s="10" t="s">
        <v>4220</v>
      </c>
      <c r="E2111" s="9">
        <v>285</v>
      </c>
      <c r="F2111" s="11">
        <v>45664</v>
      </c>
      <c r="G2111" s="8"/>
    </row>
    <row r="2112" spans="1:7" ht="18.75" customHeight="1" x14ac:dyDescent="0.2">
      <c r="A2112" s="13" t="s">
        <v>4221</v>
      </c>
      <c r="B2112" s="9">
        <v>53104</v>
      </c>
      <c r="C2112" s="14"/>
      <c r="D2112" s="10" t="s">
        <v>4222</v>
      </c>
      <c r="E2112" s="9">
        <v>387</v>
      </c>
      <c r="F2112" s="11">
        <v>45664</v>
      </c>
      <c r="G2112" s="8"/>
    </row>
    <row r="2113" spans="1:7" ht="18.75" customHeight="1" x14ac:dyDescent="0.2">
      <c r="A2113" s="8" t="s">
        <v>4223</v>
      </c>
      <c r="B2113" s="8">
        <v>53108</v>
      </c>
      <c r="C2113" s="8"/>
      <c r="D2113" s="10" t="s">
        <v>4224</v>
      </c>
      <c r="E2113" s="9">
        <v>387</v>
      </c>
      <c r="F2113" s="11">
        <v>45664</v>
      </c>
      <c r="G2113" s="8"/>
    </row>
    <row r="2114" spans="1:7" ht="18.75" customHeight="1" x14ac:dyDescent="0.2">
      <c r="A2114" s="8" t="s">
        <v>4225</v>
      </c>
      <c r="B2114" s="8">
        <v>53109</v>
      </c>
      <c r="C2114" s="8"/>
      <c r="D2114" s="10" t="s">
        <v>4224</v>
      </c>
      <c r="E2114" s="9">
        <v>387</v>
      </c>
      <c r="F2114" s="11">
        <v>45664</v>
      </c>
      <c r="G2114" s="8"/>
    </row>
    <row r="2115" spans="1:7" ht="18.75" customHeight="1" x14ac:dyDescent="0.2">
      <c r="A2115" s="13" t="s">
        <v>4226</v>
      </c>
      <c r="B2115" s="9">
        <v>53095</v>
      </c>
      <c r="C2115" s="14"/>
      <c r="D2115" s="10" t="s">
        <v>4227</v>
      </c>
      <c r="E2115" s="9">
        <v>290</v>
      </c>
      <c r="F2115" s="11">
        <v>45405</v>
      </c>
      <c r="G2115" s="8"/>
    </row>
    <row r="2116" spans="1:7" ht="18.75" customHeight="1" x14ac:dyDescent="0.2">
      <c r="A2116" s="13" t="s">
        <v>4228</v>
      </c>
      <c r="B2116" s="9">
        <v>53097</v>
      </c>
      <c r="C2116" s="14"/>
      <c r="D2116" s="10" t="s">
        <v>4229</v>
      </c>
      <c r="E2116" s="9">
        <v>290</v>
      </c>
      <c r="F2116" s="11">
        <v>45405</v>
      </c>
      <c r="G2116" s="8"/>
    </row>
    <row r="2117" spans="1:7" ht="18.75" customHeight="1" x14ac:dyDescent="0.2">
      <c r="A2117" s="13" t="s">
        <v>4230</v>
      </c>
      <c r="B2117" s="9">
        <v>53093</v>
      </c>
      <c r="C2117" s="14"/>
      <c r="D2117" s="10" t="s">
        <v>4231</v>
      </c>
      <c r="E2117" s="9">
        <v>319</v>
      </c>
      <c r="F2117" s="11">
        <v>45405</v>
      </c>
      <c r="G2117" s="8"/>
    </row>
    <row r="2118" spans="1:7" ht="18.75" customHeight="1" x14ac:dyDescent="0.2">
      <c r="A2118" s="13" t="s">
        <v>4232</v>
      </c>
      <c r="B2118" s="9">
        <v>53096</v>
      </c>
      <c r="C2118" s="14"/>
      <c r="D2118" s="10" t="s">
        <v>4233</v>
      </c>
      <c r="E2118" s="9">
        <v>290</v>
      </c>
      <c r="F2118" s="11">
        <v>45405</v>
      </c>
      <c r="G2118" s="8"/>
    </row>
    <row r="2119" spans="1:7" ht="18.75" customHeight="1" x14ac:dyDescent="0.2">
      <c r="A2119" s="13" t="s">
        <v>4234</v>
      </c>
      <c r="B2119" s="9">
        <v>53094</v>
      </c>
      <c r="C2119" s="14"/>
      <c r="D2119" s="10" t="s">
        <v>4235</v>
      </c>
      <c r="E2119" s="9">
        <v>290</v>
      </c>
      <c r="F2119" s="11">
        <v>45405</v>
      </c>
      <c r="G2119" s="8"/>
    </row>
    <row r="2120" spans="1:7" ht="18.75" customHeight="1" x14ac:dyDescent="0.2">
      <c r="A2120" s="8" t="s">
        <v>4236</v>
      </c>
      <c r="B2120" s="8">
        <v>53147</v>
      </c>
      <c r="C2120" s="8"/>
      <c r="D2120" s="10" t="s">
        <v>4237</v>
      </c>
      <c r="E2120" s="9">
        <v>270</v>
      </c>
      <c r="F2120" s="11">
        <v>45664</v>
      </c>
      <c r="G2120" s="8"/>
    </row>
    <row r="2121" spans="1:7" ht="18.75" customHeight="1" x14ac:dyDescent="0.2">
      <c r="A2121" s="8" t="s">
        <v>4238</v>
      </c>
      <c r="B2121" s="8">
        <v>53148</v>
      </c>
      <c r="C2121" s="8"/>
      <c r="D2121" s="10" t="s">
        <v>4237</v>
      </c>
      <c r="E2121" s="9">
        <v>320</v>
      </c>
      <c r="F2121" s="11">
        <v>45664</v>
      </c>
      <c r="G2121" s="8"/>
    </row>
    <row r="2122" spans="1:7" ht="18.75" customHeight="1" x14ac:dyDescent="0.2">
      <c r="A2122" s="8" t="s">
        <v>4239</v>
      </c>
      <c r="B2122" s="8">
        <v>53149</v>
      </c>
      <c r="C2122" s="8"/>
      <c r="D2122" s="10" t="s">
        <v>4237</v>
      </c>
      <c r="E2122" s="9">
        <v>320</v>
      </c>
      <c r="F2122" s="11">
        <v>45664</v>
      </c>
      <c r="G2122" s="8"/>
    </row>
    <row r="2123" spans="1:7" ht="18.75" customHeight="1" x14ac:dyDescent="0.2">
      <c r="A2123" s="8" t="s">
        <v>4240</v>
      </c>
      <c r="B2123" s="8">
        <v>53151</v>
      </c>
      <c r="C2123" s="8"/>
      <c r="D2123" s="10" t="s">
        <v>4241</v>
      </c>
      <c r="E2123" s="9">
        <v>270</v>
      </c>
      <c r="F2123" s="11">
        <v>45664</v>
      </c>
      <c r="G2123" s="8"/>
    </row>
    <row r="2124" spans="1:7" ht="18.75" customHeight="1" x14ac:dyDescent="0.2">
      <c r="A2124" s="8" t="s">
        <v>4242</v>
      </c>
      <c r="B2124" s="8">
        <v>53152</v>
      </c>
      <c r="C2124" s="8"/>
      <c r="D2124" s="10" t="s">
        <v>4241</v>
      </c>
      <c r="E2124" s="9">
        <v>320</v>
      </c>
      <c r="F2124" s="11">
        <v>45664</v>
      </c>
      <c r="G2124" s="8"/>
    </row>
    <row r="2125" spans="1:7" ht="18.75" customHeight="1" x14ac:dyDescent="0.2">
      <c r="A2125" s="8" t="s">
        <v>4243</v>
      </c>
      <c r="B2125" s="8">
        <v>53153</v>
      </c>
      <c r="C2125" s="8"/>
      <c r="D2125" s="10" t="s">
        <v>4241</v>
      </c>
      <c r="E2125" s="9">
        <v>320</v>
      </c>
      <c r="F2125" s="11">
        <v>45664</v>
      </c>
      <c r="G2125" s="8"/>
    </row>
    <row r="2126" spans="1:7" ht="18.75" customHeight="1" x14ac:dyDescent="0.2">
      <c r="A2126" s="8" t="s">
        <v>4244</v>
      </c>
      <c r="B2126" s="8">
        <v>53160</v>
      </c>
      <c r="C2126" s="8"/>
      <c r="D2126" s="10" t="s">
        <v>4245</v>
      </c>
      <c r="E2126" s="9">
        <v>341</v>
      </c>
      <c r="F2126" s="11">
        <v>45664</v>
      </c>
      <c r="G2126" s="8"/>
    </row>
    <row r="2127" spans="1:7" ht="18.75" customHeight="1" x14ac:dyDescent="0.2">
      <c r="A2127" s="8" t="s">
        <v>4246</v>
      </c>
      <c r="B2127" s="8">
        <v>53161</v>
      </c>
      <c r="C2127" s="8"/>
      <c r="D2127" s="10" t="s">
        <v>4245</v>
      </c>
      <c r="E2127" s="9">
        <v>341</v>
      </c>
      <c r="F2127" s="11">
        <v>45664</v>
      </c>
      <c r="G2127" s="8"/>
    </row>
    <row r="2128" spans="1:7" ht="18.75" customHeight="1" x14ac:dyDescent="0.2">
      <c r="A2128" s="8" t="s">
        <v>4247</v>
      </c>
      <c r="B2128" s="8">
        <v>53162</v>
      </c>
      <c r="C2128" s="8"/>
      <c r="D2128" s="10" t="s">
        <v>4245</v>
      </c>
      <c r="E2128" s="9">
        <v>341</v>
      </c>
      <c r="F2128" s="11">
        <v>45664</v>
      </c>
      <c r="G2128" s="8"/>
    </row>
    <row r="2129" spans="1:7" ht="18.75" customHeight="1" x14ac:dyDescent="0.2">
      <c r="A2129" s="8" t="s">
        <v>4248</v>
      </c>
      <c r="B2129" s="8">
        <v>53155</v>
      </c>
      <c r="C2129" s="8"/>
      <c r="D2129" s="10" t="s">
        <v>4249</v>
      </c>
      <c r="E2129" s="9">
        <v>270</v>
      </c>
      <c r="F2129" s="11">
        <v>45664</v>
      </c>
      <c r="G2129" s="8"/>
    </row>
    <row r="2130" spans="1:7" ht="18.75" customHeight="1" x14ac:dyDescent="0.2">
      <c r="A2130" s="8" t="s">
        <v>4250</v>
      </c>
      <c r="B2130" s="8">
        <v>53156</v>
      </c>
      <c r="C2130" s="8"/>
      <c r="D2130" s="10" t="s">
        <v>4249</v>
      </c>
      <c r="E2130" s="9">
        <v>320</v>
      </c>
      <c r="F2130" s="11">
        <v>45664</v>
      </c>
      <c r="G2130" s="8"/>
    </row>
    <row r="2131" spans="1:7" ht="18.75" customHeight="1" x14ac:dyDescent="0.2">
      <c r="A2131" s="8" t="s">
        <v>4251</v>
      </c>
      <c r="B2131" s="8">
        <v>53157</v>
      </c>
      <c r="C2131" s="8"/>
      <c r="D2131" s="10" t="s">
        <v>4249</v>
      </c>
      <c r="E2131" s="9">
        <v>320</v>
      </c>
      <c r="F2131" s="11">
        <v>45664</v>
      </c>
      <c r="G2131" s="8"/>
    </row>
    <row r="2132" spans="1:7" ht="18.75" customHeight="1" x14ac:dyDescent="0.2">
      <c r="A2132" s="8" t="s">
        <v>4252</v>
      </c>
      <c r="B2132" s="8">
        <v>53143</v>
      </c>
      <c r="C2132" s="8"/>
      <c r="D2132" s="10" t="s">
        <v>4253</v>
      </c>
      <c r="E2132" s="9">
        <v>270</v>
      </c>
      <c r="F2132" s="11">
        <v>45664</v>
      </c>
      <c r="G2132" s="8"/>
    </row>
    <row r="2133" spans="1:7" ht="18.75" customHeight="1" x14ac:dyDescent="0.2">
      <c r="A2133" s="8" t="s">
        <v>4254</v>
      </c>
      <c r="B2133" s="8">
        <v>53144</v>
      </c>
      <c r="C2133" s="8"/>
      <c r="D2133" s="10" t="s">
        <v>4253</v>
      </c>
      <c r="E2133" s="9">
        <v>320</v>
      </c>
      <c r="F2133" s="11">
        <v>45664</v>
      </c>
      <c r="G2133" s="8"/>
    </row>
    <row r="2134" spans="1:7" ht="18.75" customHeight="1" x14ac:dyDescent="0.2">
      <c r="A2134" s="8" t="s">
        <v>4255</v>
      </c>
      <c r="B2134" s="8">
        <v>53145</v>
      </c>
      <c r="C2134" s="8"/>
      <c r="D2134" s="10" t="s">
        <v>4253</v>
      </c>
      <c r="E2134" s="9">
        <v>320</v>
      </c>
      <c r="F2134" s="11">
        <v>45664</v>
      </c>
      <c r="G2134" s="8"/>
    </row>
    <row r="2135" spans="1:7" ht="18.75" customHeight="1" x14ac:dyDescent="0.2">
      <c r="A2135" s="8" t="s">
        <v>4256</v>
      </c>
      <c r="B2135" s="8">
        <v>53135</v>
      </c>
      <c r="C2135" s="8"/>
      <c r="D2135" s="10" t="s">
        <v>4257</v>
      </c>
      <c r="E2135" s="9">
        <v>343</v>
      </c>
      <c r="F2135" s="11">
        <v>45664</v>
      </c>
      <c r="G2135" s="8"/>
    </row>
    <row r="2136" spans="1:7" ht="18.75" customHeight="1" x14ac:dyDescent="0.2">
      <c r="A2136" s="8" t="s">
        <v>4258</v>
      </c>
      <c r="B2136" s="8">
        <v>53136</v>
      </c>
      <c r="C2136" s="8"/>
      <c r="D2136" s="10" t="s">
        <v>4257</v>
      </c>
      <c r="E2136" s="9">
        <v>392</v>
      </c>
      <c r="F2136" s="11">
        <v>45664</v>
      </c>
      <c r="G2136" s="8"/>
    </row>
    <row r="2137" spans="1:7" ht="18.75" customHeight="1" x14ac:dyDescent="0.2">
      <c r="A2137" s="8" t="s">
        <v>4259</v>
      </c>
      <c r="B2137" s="8">
        <v>53137</v>
      </c>
      <c r="C2137" s="8"/>
      <c r="D2137" s="10" t="s">
        <v>4257</v>
      </c>
      <c r="E2137" s="9">
        <v>392</v>
      </c>
      <c r="F2137" s="11">
        <v>45664</v>
      </c>
      <c r="G2137" s="8"/>
    </row>
    <row r="2138" spans="1:7" ht="18.75" customHeight="1" x14ac:dyDescent="0.2">
      <c r="A2138" s="8" t="s">
        <v>4260</v>
      </c>
      <c r="B2138" s="8">
        <v>53139</v>
      </c>
      <c r="C2138" s="8"/>
      <c r="D2138" s="10" t="s">
        <v>4261</v>
      </c>
      <c r="E2138" s="9">
        <v>343</v>
      </c>
      <c r="F2138" s="11">
        <v>45664</v>
      </c>
      <c r="G2138" s="8"/>
    </row>
    <row r="2139" spans="1:7" ht="18.75" customHeight="1" x14ac:dyDescent="0.2">
      <c r="A2139" s="8" t="s">
        <v>4262</v>
      </c>
      <c r="B2139" s="8">
        <v>53140</v>
      </c>
      <c r="C2139" s="8"/>
      <c r="D2139" s="10" t="s">
        <v>4261</v>
      </c>
      <c r="E2139" s="9">
        <v>392</v>
      </c>
      <c r="F2139" s="11">
        <v>45664</v>
      </c>
      <c r="G2139" s="8"/>
    </row>
    <row r="2140" spans="1:7" ht="18.75" customHeight="1" x14ac:dyDescent="0.2">
      <c r="A2140" s="8" t="s">
        <v>4263</v>
      </c>
      <c r="B2140" s="8">
        <v>53141</v>
      </c>
      <c r="C2140" s="8"/>
      <c r="D2140" s="10" t="s">
        <v>4261</v>
      </c>
      <c r="E2140" s="9">
        <v>392</v>
      </c>
      <c r="F2140" s="11">
        <v>45664</v>
      </c>
      <c r="G2140" s="8"/>
    </row>
    <row r="2141" spans="1:7" ht="18.75" customHeight="1" x14ac:dyDescent="0.2">
      <c r="A2141" s="8" t="s">
        <v>4264</v>
      </c>
      <c r="B2141" s="8">
        <v>53116</v>
      </c>
      <c r="C2141" s="8"/>
      <c r="D2141" s="10" t="s">
        <v>4265</v>
      </c>
      <c r="E2141" s="9">
        <v>386</v>
      </c>
      <c r="F2141" s="11">
        <v>45664</v>
      </c>
      <c r="G2141" s="8"/>
    </row>
    <row r="2142" spans="1:7" ht="18.75" customHeight="1" x14ac:dyDescent="0.2">
      <c r="A2142" s="8" t="s">
        <v>4266</v>
      </c>
      <c r="B2142" s="8">
        <v>53117</v>
      </c>
      <c r="C2142" s="8"/>
      <c r="D2142" s="10" t="s">
        <v>4265</v>
      </c>
      <c r="E2142" s="9">
        <v>386</v>
      </c>
      <c r="F2142" s="11">
        <v>45664</v>
      </c>
      <c r="G2142" s="8"/>
    </row>
    <row r="2143" spans="1:7" ht="18.75" customHeight="1" x14ac:dyDescent="0.2">
      <c r="A2143" s="8" t="s">
        <v>4267</v>
      </c>
      <c r="B2143" s="8">
        <v>53122</v>
      </c>
      <c r="C2143" s="8"/>
      <c r="D2143" s="10" t="s">
        <v>4265</v>
      </c>
      <c r="E2143" s="9">
        <v>386</v>
      </c>
      <c r="F2143" s="11">
        <v>45664</v>
      </c>
      <c r="G2143" s="8"/>
    </row>
    <row r="2144" spans="1:7" ht="18.75" customHeight="1" x14ac:dyDescent="0.2">
      <c r="A2144" s="8" t="s">
        <v>4268</v>
      </c>
      <c r="B2144" s="8">
        <v>53129</v>
      </c>
      <c r="C2144" s="8"/>
      <c r="D2144" s="10" t="s">
        <v>4269</v>
      </c>
      <c r="E2144" s="9">
        <v>343</v>
      </c>
      <c r="F2144" s="11">
        <v>45664</v>
      </c>
      <c r="G2144" s="8"/>
    </row>
    <row r="2145" spans="1:7" ht="18.75" customHeight="1" x14ac:dyDescent="0.2">
      <c r="A2145" s="8" t="s">
        <v>4270</v>
      </c>
      <c r="B2145" s="8">
        <v>53126</v>
      </c>
      <c r="C2145" s="8"/>
      <c r="D2145" s="10" t="s">
        <v>4269</v>
      </c>
      <c r="E2145" s="9">
        <v>392</v>
      </c>
      <c r="F2145" s="11">
        <v>45664</v>
      </c>
      <c r="G2145" s="8"/>
    </row>
    <row r="2146" spans="1:7" ht="18.75" customHeight="1" x14ac:dyDescent="0.2">
      <c r="A2146" s="8" t="s">
        <v>4271</v>
      </c>
      <c r="B2146" s="8">
        <v>53127</v>
      </c>
      <c r="C2146" s="8"/>
      <c r="D2146" s="10" t="s">
        <v>4269</v>
      </c>
      <c r="E2146" s="9">
        <v>392</v>
      </c>
      <c r="F2146" s="11">
        <v>45664</v>
      </c>
      <c r="G2146" s="8"/>
    </row>
    <row r="2147" spans="1:7" ht="18.75" customHeight="1" x14ac:dyDescent="0.2">
      <c r="A2147" s="8" t="s">
        <v>4272</v>
      </c>
      <c r="B2147" s="8">
        <v>53131</v>
      </c>
      <c r="C2147" s="8"/>
      <c r="D2147" s="10" t="s">
        <v>4273</v>
      </c>
      <c r="E2147" s="9">
        <v>343</v>
      </c>
      <c r="F2147" s="11">
        <v>45664</v>
      </c>
      <c r="G2147" s="8"/>
    </row>
    <row r="2148" spans="1:7" ht="18.75" customHeight="1" x14ac:dyDescent="0.2">
      <c r="A2148" s="8" t="s">
        <v>4274</v>
      </c>
      <c r="B2148" s="8">
        <v>53132</v>
      </c>
      <c r="C2148" s="8"/>
      <c r="D2148" s="10" t="s">
        <v>4273</v>
      </c>
      <c r="E2148" s="9">
        <v>392</v>
      </c>
      <c r="F2148" s="11">
        <v>45664</v>
      </c>
      <c r="G2148" s="8"/>
    </row>
    <row r="2149" spans="1:7" ht="18.75" customHeight="1" x14ac:dyDescent="0.2">
      <c r="A2149" s="8" t="s">
        <v>4275</v>
      </c>
      <c r="B2149" s="8">
        <v>53133</v>
      </c>
      <c r="C2149" s="8"/>
      <c r="D2149" s="10" t="s">
        <v>4273</v>
      </c>
      <c r="E2149" s="9">
        <v>392</v>
      </c>
      <c r="F2149" s="11">
        <v>45664</v>
      </c>
      <c r="G2149" s="8"/>
    </row>
    <row r="2150" spans="1:7" ht="18.75" customHeight="1" x14ac:dyDescent="0.2">
      <c r="A2150" s="8" t="s">
        <v>4276</v>
      </c>
      <c r="B2150" s="8">
        <v>53168</v>
      </c>
      <c r="C2150" s="8"/>
      <c r="D2150" s="10" t="s">
        <v>4277</v>
      </c>
      <c r="E2150" s="9">
        <v>300</v>
      </c>
      <c r="F2150" s="11">
        <v>45664</v>
      </c>
      <c r="G2150" s="8"/>
    </row>
    <row r="2151" spans="1:7" ht="18.75" customHeight="1" x14ac:dyDescent="0.2">
      <c r="A2151" s="8" t="s">
        <v>4278</v>
      </c>
      <c r="B2151" s="8">
        <v>53169</v>
      </c>
      <c r="C2151" s="8"/>
      <c r="D2151" s="10" t="s">
        <v>4277</v>
      </c>
      <c r="E2151" s="9">
        <v>402</v>
      </c>
      <c r="F2151" s="11">
        <v>45664</v>
      </c>
      <c r="G2151" s="8"/>
    </row>
    <row r="2152" spans="1:7" ht="18.75" customHeight="1" x14ac:dyDescent="0.2">
      <c r="A2152" s="8" t="s">
        <v>4279</v>
      </c>
      <c r="B2152" s="8">
        <v>53170</v>
      </c>
      <c r="C2152" s="8"/>
      <c r="D2152" s="10" t="s">
        <v>4277</v>
      </c>
      <c r="E2152" s="9">
        <v>402</v>
      </c>
      <c r="F2152" s="11">
        <v>45664</v>
      </c>
      <c r="G2152" s="8"/>
    </row>
    <row r="2153" spans="1:7" ht="18.75" customHeight="1" x14ac:dyDescent="0.2">
      <c r="A2153" s="8" t="s">
        <v>4280</v>
      </c>
      <c r="B2153" s="8">
        <v>53172</v>
      </c>
      <c r="C2153" s="8"/>
      <c r="D2153" s="10" t="s">
        <v>4281</v>
      </c>
      <c r="E2153" s="9">
        <v>300</v>
      </c>
      <c r="F2153" s="11">
        <v>45664</v>
      </c>
      <c r="G2153" s="8"/>
    </row>
    <row r="2154" spans="1:7" ht="18.75" customHeight="1" x14ac:dyDescent="0.2">
      <c r="A2154" s="8" t="s">
        <v>4282</v>
      </c>
      <c r="B2154" s="8">
        <v>53173</v>
      </c>
      <c r="C2154" s="8"/>
      <c r="D2154" s="10" t="s">
        <v>4281</v>
      </c>
      <c r="E2154" s="9">
        <v>402</v>
      </c>
      <c r="F2154" s="11">
        <v>45664</v>
      </c>
      <c r="G2154" s="8"/>
    </row>
    <row r="2155" spans="1:7" ht="18.75" customHeight="1" x14ac:dyDescent="0.2">
      <c r="A2155" s="8" t="s">
        <v>4283</v>
      </c>
      <c r="B2155" s="8">
        <v>53174</v>
      </c>
      <c r="C2155" s="8"/>
      <c r="D2155" s="10" t="s">
        <v>4281</v>
      </c>
      <c r="E2155" s="9">
        <v>402</v>
      </c>
      <c r="F2155" s="11">
        <v>45664</v>
      </c>
      <c r="G2155" s="8"/>
    </row>
    <row r="2156" spans="1:7" ht="18.75" customHeight="1" x14ac:dyDescent="0.2">
      <c r="A2156" s="8" t="s">
        <v>4284</v>
      </c>
      <c r="B2156" s="8">
        <v>53181</v>
      </c>
      <c r="C2156" s="8"/>
      <c r="D2156" s="10" t="s">
        <v>4285</v>
      </c>
      <c r="E2156" s="9">
        <v>402</v>
      </c>
      <c r="F2156" s="11">
        <v>45664</v>
      </c>
      <c r="G2156" s="8"/>
    </row>
    <row r="2157" spans="1:7" ht="18.75" customHeight="1" x14ac:dyDescent="0.2">
      <c r="A2157" s="8" t="s">
        <v>4286</v>
      </c>
      <c r="B2157" s="8">
        <v>53182</v>
      </c>
      <c r="C2157" s="8"/>
      <c r="D2157" s="10" t="s">
        <v>4285</v>
      </c>
      <c r="E2157" s="9">
        <v>402</v>
      </c>
      <c r="F2157" s="11">
        <v>45664</v>
      </c>
      <c r="G2157" s="8"/>
    </row>
    <row r="2158" spans="1:7" ht="18.75" customHeight="1" x14ac:dyDescent="0.2">
      <c r="A2158" s="8" t="s">
        <v>4287</v>
      </c>
      <c r="B2158" s="8">
        <v>53183</v>
      </c>
      <c r="C2158" s="8"/>
      <c r="D2158" s="10" t="s">
        <v>4285</v>
      </c>
      <c r="E2158" s="9">
        <v>431</v>
      </c>
      <c r="F2158" s="11">
        <v>45664</v>
      </c>
      <c r="G2158" s="8"/>
    </row>
    <row r="2159" spans="1:7" ht="18.75" customHeight="1" x14ac:dyDescent="0.2">
      <c r="A2159" s="8" t="s">
        <v>4288</v>
      </c>
      <c r="B2159" s="8">
        <v>53176</v>
      </c>
      <c r="C2159" s="8"/>
      <c r="D2159" s="10" t="s">
        <v>4289</v>
      </c>
      <c r="E2159" s="9">
        <v>300</v>
      </c>
      <c r="F2159" s="11">
        <v>45664</v>
      </c>
      <c r="G2159" s="8"/>
    </row>
    <row r="2160" spans="1:7" ht="18.75" customHeight="1" x14ac:dyDescent="0.2">
      <c r="A2160" s="8" t="s">
        <v>4290</v>
      </c>
      <c r="B2160" s="8">
        <v>53177</v>
      </c>
      <c r="C2160" s="8"/>
      <c r="D2160" s="10" t="s">
        <v>4289</v>
      </c>
      <c r="E2160" s="9">
        <v>402</v>
      </c>
      <c r="F2160" s="11">
        <v>45664</v>
      </c>
      <c r="G2160" s="8"/>
    </row>
    <row r="2161" spans="1:7" ht="18.75" customHeight="1" x14ac:dyDescent="0.2">
      <c r="A2161" s="8" t="s">
        <v>4291</v>
      </c>
      <c r="B2161" s="8">
        <v>53178</v>
      </c>
      <c r="C2161" s="8"/>
      <c r="D2161" s="10" t="s">
        <v>4289</v>
      </c>
      <c r="E2161" s="9">
        <v>402</v>
      </c>
      <c r="F2161" s="11">
        <v>45664</v>
      </c>
      <c r="G2161" s="8"/>
    </row>
    <row r="2162" spans="1:7" ht="18.75" customHeight="1" x14ac:dyDescent="0.2">
      <c r="A2162" s="8" t="s">
        <v>4292</v>
      </c>
      <c r="B2162" s="8">
        <v>53164</v>
      </c>
      <c r="C2162" s="8"/>
      <c r="D2162" s="10" t="s">
        <v>4293</v>
      </c>
      <c r="E2162" s="9">
        <v>300</v>
      </c>
      <c r="F2162" s="11">
        <v>45664</v>
      </c>
      <c r="G2162" s="8"/>
    </row>
    <row r="2163" spans="1:7" ht="18.75" customHeight="1" x14ac:dyDescent="0.2">
      <c r="A2163" s="8" t="s">
        <v>4294</v>
      </c>
      <c r="B2163" s="8">
        <v>53165</v>
      </c>
      <c r="C2163" s="8"/>
      <c r="D2163" s="10" t="s">
        <v>4293</v>
      </c>
      <c r="E2163" s="9">
        <v>402</v>
      </c>
      <c r="F2163" s="11">
        <v>45664</v>
      </c>
      <c r="G2163" s="8"/>
    </row>
    <row r="2164" spans="1:7" ht="18.75" customHeight="1" x14ac:dyDescent="0.2">
      <c r="A2164" s="8" t="s">
        <v>4295</v>
      </c>
      <c r="B2164" s="8">
        <v>53166</v>
      </c>
      <c r="C2164" s="8"/>
      <c r="D2164" s="10" t="s">
        <v>4293</v>
      </c>
      <c r="E2164" s="9">
        <v>402</v>
      </c>
      <c r="F2164" s="11">
        <v>45664</v>
      </c>
      <c r="G2164" s="8"/>
    </row>
    <row r="2165" spans="1:7" ht="18.75" customHeight="1" x14ac:dyDescent="0.2">
      <c r="A2165" s="8" t="s">
        <v>4296</v>
      </c>
      <c r="B2165" s="8">
        <v>53231</v>
      </c>
      <c r="C2165" s="8"/>
      <c r="D2165" s="10" t="s">
        <v>4297</v>
      </c>
      <c r="E2165" s="9">
        <v>445</v>
      </c>
      <c r="F2165" s="11">
        <v>45664</v>
      </c>
      <c r="G2165" s="8"/>
    </row>
    <row r="2166" spans="1:7" ht="18.75" customHeight="1" x14ac:dyDescent="0.2">
      <c r="A2166" s="8" t="s">
        <v>4298</v>
      </c>
      <c r="B2166" s="8">
        <v>53232</v>
      </c>
      <c r="C2166" s="8"/>
      <c r="D2166" s="10" t="s">
        <v>4297</v>
      </c>
      <c r="E2166" s="9">
        <v>504</v>
      </c>
      <c r="F2166" s="11">
        <v>45664</v>
      </c>
      <c r="G2166" s="8"/>
    </row>
    <row r="2167" spans="1:7" ht="18.75" customHeight="1" x14ac:dyDescent="0.2">
      <c r="A2167" s="8" t="s">
        <v>4299</v>
      </c>
      <c r="B2167" s="8">
        <v>53233</v>
      </c>
      <c r="C2167" s="8"/>
      <c r="D2167" s="10" t="s">
        <v>4297</v>
      </c>
      <c r="E2167" s="9">
        <v>504</v>
      </c>
      <c r="F2167" s="11">
        <v>45664</v>
      </c>
      <c r="G2167" s="8"/>
    </row>
    <row r="2168" spans="1:7" ht="18.75" customHeight="1" x14ac:dyDescent="0.2">
      <c r="A2168" s="8" t="s">
        <v>4300</v>
      </c>
      <c r="B2168" s="8">
        <v>53239</v>
      </c>
      <c r="C2168" s="8"/>
      <c r="D2168" s="10" t="s">
        <v>4301</v>
      </c>
      <c r="E2168" s="9">
        <v>445</v>
      </c>
      <c r="F2168" s="11">
        <v>45664</v>
      </c>
      <c r="G2168" s="8"/>
    </row>
    <row r="2169" spans="1:7" ht="18.75" customHeight="1" x14ac:dyDescent="0.2">
      <c r="A2169" s="8" t="s">
        <v>4302</v>
      </c>
      <c r="B2169" s="8">
        <v>53240</v>
      </c>
      <c r="C2169" s="8"/>
      <c r="D2169" s="10" t="s">
        <v>4301</v>
      </c>
      <c r="E2169" s="9">
        <v>504</v>
      </c>
      <c r="F2169" s="11">
        <v>45664</v>
      </c>
      <c r="G2169" s="8"/>
    </row>
    <row r="2170" spans="1:7" ht="18.75" customHeight="1" x14ac:dyDescent="0.2">
      <c r="A2170" s="8" t="s">
        <v>4303</v>
      </c>
      <c r="B2170" s="8">
        <v>53241</v>
      </c>
      <c r="C2170" s="8"/>
      <c r="D2170" s="10" t="s">
        <v>4301</v>
      </c>
      <c r="E2170" s="9">
        <v>445</v>
      </c>
      <c r="F2170" s="11">
        <v>45664</v>
      </c>
      <c r="G2170" s="8"/>
    </row>
    <row r="2171" spans="1:7" ht="18.75" customHeight="1" x14ac:dyDescent="0.2">
      <c r="A2171" s="8" t="s">
        <v>4304</v>
      </c>
      <c r="B2171" s="8">
        <v>53222</v>
      </c>
      <c r="C2171" s="8"/>
      <c r="D2171" s="10" t="s">
        <v>4305</v>
      </c>
      <c r="E2171" s="9">
        <v>475</v>
      </c>
      <c r="F2171" s="11">
        <v>45664</v>
      </c>
      <c r="G2171" s="8"/>
    </row>
    <row r="2172" spans="1:7" ht="18.75" customHeight="1" x14ac:dyDescent="0.2">
      <c r="A2172" s="8" t="s">
        <v>4306</v>
      </c>
      <c r="B2172" s="8">
        <v>53223</v>
      </c>
      <c r="C2172" s="8"/>
      <c r="D2172" s="10" t="s">
        <v>4305</v>
      </c>
      <c r="E2172" s="9">
        <v>533</v>
      </c>
      <c r="F2172" s="11">
        <v>45664</v>
      </c>
      <c r="G2172" s="8"/>
    </row>
    <row r="2173" spans="1:7" ht="18.75" customHeight="1" x14ac:dyDescent="0.2">
      <c r="A2173" s="8" t="s">
        <v>4307</v>
      </c>
      <c r="B2173" s="8">
        <v>53224</v>
      </c>
      <c r="C2173" s="8"/>
      <c r="D2173" s="10" t="s">
        <v>4305</v>
      </c>
      <c r="E2173" s="9">
        <v>533</v>
      </c>
      <c r="F2173" s="11">
        <v>45664</v>
      </c>
      <c r="G2173" s="8"/>
    </row>
    <row r="2174" spans="1:7" ht="18.75" customHeight="1" x14ac:dyDescent="0.2">
      <c r="A2174" s="8" t="s">
        <v>4308</v>
      </c>
      <c r="B2174" s="8">
        <v>53227</v>
      </c>
      <c r="C2174" s="8"/>
      <c r="D2174" s="10" t="s">
        <v>4309</v>
      </c>
      <c r="E2174" s="9">
        <v>445</v>
      </c>
      <c r="F2174" s="11">
        <v>45664</v>
      </c>
      <c r="G2174" s="8"/>
    </row>
    <row r="2175" spans="1:7" ht="18.75" customHeight="1" x14ac:dyDescent="0.2">
      <c r="A2175" s="8" t="s">
        <v>4310</v>
      </c>
      <c r="B2175" s="8">
        <v>53228</v>
      </c>
      <c r="C2175" s="8"/>
      <c r="D2175" s="10" t="s">
        <v>4309</v>
      </c>
      <c r="E2175" s="9">
        <v>504</v>
      </c>
      <c r="F2175" s="11">
        <v>45664</v>
      </c>
      <c r="G2175" s="8"/>
    </row>
    <row r="2176" spans="1:7" ht="18.75" customHeight="1" x14ac:dyDescent="0.2">
      <c r="A2176" s="8" t="s">
        <v>4311</v>
      </c>
      <c r="B2176" s="8">
        <v>53229</v>
      </c>
      <c r="C2176" s="8"/>
      <c r="D2176" s="10" t="s">
        <v>4309</v>
      </c>
      <c r="E2176" s="9">
        <v>504</v>
      </c>
      <c r="F2176" s="11">
        <v>45664</v>
      </c>
      <c r="G2176" s="8"/>
    </row>
    <row r="2177" spans="1:7" ht="18.75" customHeight="1" x14ac:dyDescent="0.2">
      <c r="A2177" s="8" t="s">
        <v>4312</v>
      </c>
      <c r="B2177" s="8">
        <v>53236</v>
      </c>
      <c r="C2177" s="8"/>
      <c r="D2177" s="10" t="s">
        <v>4313</v>
      </c>
      <c r="E2177" s="9">
        <v>504</v>
      </c>
      <c r="F2177" s="11">
        <v>45664</v>
      </c>
      <c r="G2177" s="8"/>
    </row>
    <row r="2178" spans="1:7" ht="18.75" customHeight="1" x14ac:dyDescent="0.2">
      <c r="A2178" s="8" t="s">
        <v>4314</v>
      </c>
      <c r="B2178" s="8">
        <v>53237</v>
      </c>
      <c r="C2178" s="8"/>
      <c r="D2178" s="10" t="s">
        <v>4313</v>
      </c>
      <c r="E2178" s="9">
        <v>504</v>
      </c>
      <c r="F2178" s="11">
        <v>45664</v>
      </c>
      <c r="G2178" s="8"/>
    </row>
    <row r="2179" spans="1:7" ht="18.75" customHeight="1" x14ac:dyDescent="0.2">
      <c r="A2179" s="8" t="s">
        <v>4315</v>
      </c>
      <c r="B2179" s="9">
        <v>45288</v>
      </c>
      <c r="C2179" s="9">
        <v>5902557375646</v>
      </c>
      <c r="D2179" s="10" t="s">
        <v>4316</v>
      </c>
      <c r="E2179" s="9">
        <v>133</v>
      </c>
      <c r="F2179" s="11">
        <v>45664</v>
      </c>
      <c r="G2179" s="8"/>
    </row>
    <row r="2180" spans="1:7" ht="18.75" customHeight="1" x14ac:dyDescent="0.2">
      <c r="A2180" s="8" t="s">
        <v>4317</v>
      </c>
      <c r="B2180" s="9">
        <v>45289</v>
      </c>
      <c r="C2180" s="9">
        <v>5902557375639</v>
      </c>
      <c r="D2180" s="10" t="s">
        <v>4318</v>
      </c>
      <c r="E2180" s="9">
        <v>141</v>
      </c>
      <c r="F2180" s="11">
        <v>45664</v>
      </c>
      <c r="G2180" s="8"/>
    </row>
    <row r="2181" spans="1:7" ht="18.75" customHeight="1" x14ac:dyDescent="0.2">
      <c r="A2181" s="8" t="s">
        <v>4319</v>
      </c>
      <c r="B2181" s="9">
        <v>52342</v>
      </c>
      <c r="C2181" s="8">
        <v>5902557398218</v>
      </c>
      <c r="D2181" s="10" t="s">
        <v>4320</v>
      </c>
      <c r="E2181" s="9">
        <v>124</v>
      </c>
      <c r="F2181" s="11">
        <v>45664</v>
      </c>
      <c r="G2181" s="8"/>
    </row>
    <row r="2182" spans="1:7" ht="18.75" customHeight="1" x14ac:dyDescent="0.2">
      <c r="A2182" s="8" t="s">
        <v>4321</v>
      </c>
      <c r="B2182" s="9">
        <v>52402</v>
      </c>
      <c r="C2182" s="9">
        <v>5902557398546</v>
      </c>
      <c r="D2182" s="10" t="s">
        <v>4322</v>
      </c>
      <c r="E2182" s="9">
        <v>141</v>
      </c>
      <c r="F2182" s="11">
        <v>45418</v>
      </c>
      <c r="G2182" s="8"/>
    </row>
    <row r="2183" spans="1:7" ht="18.75" customHeight="1" x14ac:dyDescent="0.2">
      <c r="A2183" s="8" t="s">
        <v>4323</v>
      </c>
      <c r="B2183" s="9">
        <v>52403</v>
      </c>
      <c r="C2183" s="9">
        <v>5902557375745</v>
      </c>
      <c r="D2183" s="10" t="s">
        <v>4324</v>
      </c>
      <c r="E2183" s="9">
        <v>138</v>
      </c>
      <c r="F2183" s="11">
        <v>45664</v>
      </c>
      <c r="G2183" s="8"/>
    </row>
    <row r="2184" spans="1:7" ht="18.75" customHeight="1" x14ac:dyDescent="0.2">
      <c r="A2184" s="8" t="s">
        <v>4325</v>
      </c>
      <c r="B2184" s="9">
        <v>45278</v>
      </c>
      <c r="C2184" s="9">
        <v>5902557375578</v>
      </c>
      <c r="D2184" s="10" t="s">
        <v>4326</v>
      </c>
      <c r="E2184" s="9">
        <v>106</v>
      </c>
      <c r="F2184" s="11">
        <v>45664</v>
      </c>
      <c r="G2184" s="8"/>
    </row>
    <row r="2185" spans="1:7" ht="18.75" customHeight="1" x14ac:dyDescent="0.2">
      <c r="A2185" s="8" t="s">
        <v>4327</v>
      </c>
      <c r="B2185" s="9">
        <v>45280</v>
      </c>
      <c r="C2185" s="9">
        <v>5902557375585</v>
      </c>
      <c r="D2185" s="10" t="s">
        <v>4328</v>
      </c>
      <c r="E2185" s="9">
        <v>106</v>
      </c>
      <c r="F2185" s="11">
        <v>45664</v>
      </c>
      <c r="G2185" s="8"/>
    </row>
    <row r="2186" spans="1:7" ht="18.75" customHeight="1" x14ac:dyDescent="0.2">
      <c r="A2186" s="8" t="s">
        <v>4329</v>
      </c>
      <c r="B2186" s="9">
        <v>45297</v>
      </c>
      <c r="C2186" s="9">
        <v>5902557375622</v>
      </c>
      <c r="D2186" s="10" t="s">
        <v>4330</v>
      </c>
      <c r="E2186" s="9">
        <v>133</v>
      </c>
      <c r="F2186" s="11">
        <v>45664</v>
      </c>
      <c r="G2186" s="8"/>
    </row>
    <row r="2187" spans="1:7" ht="18.75" customHeight="1" x14ac:dyDescent="0.2">
      <c r="A2187" s="8" t="s">
        <v>4331</v>
      </c>
      <c r="B2187" s="9">
        <v>45298</v>
      </c>
      <c r="C2187" s="9">
        <v>5902557375608</v>
      </c>
      <c r="D2187" s="10" t="s">
        <v>4332</v>
      </c>
      <c r="E2187" s="9">
        <v>133</v>
      </c>
      <c r="F2187" s="11">
        <v>45664</v>
      </c>
      <c r="G2187" s="8"/>
    </row>
    <row r="2188" spans="1:7" ht="18.75" customHeight="1" x14ac:dyDescent="0.2">
      <c r="A2188" s="8" t="s">
        <v>4333</v>
      </c>
      <c r="B2188" s="9">
        <v>45299</v>
      </c>
      <c r="C2188" s="9">
        <v>5902557375615</v>
      </c>
      <c r="D2188" s="10" t="s">
        <v>4334</v>
      </c>
      <c r="E2188" s="9">
        <v>133</v>
      </c>
      <c r="F2188" s="11">
        <v>45664</v>
      </c>
      <c r="G2188" s="8"/>
    </row>
    <row r="2189" spans="1:7" ht="18.75" customHeight="1" x14ac:dyDescent="0.2">
      <c r="A2189" s="8" t="s">
        <v>4335</v>
      </c>
      <c r="B2189" s="9">
        <v>52343</v>
      </c>
      <c r="C2189" s="8">
        <v>5902557398225</v>
      </c>
      <c r="D2189" s="10" t="s">
        <v>4336</v>
      </c>
      <c r="E2189" s="9">
        <v>106</v>
      </c>
      <c r="F2189" s="11">
        <v>45664</v>
      </c>
      <c r="G2189" s="8"/>
    </row>
    <row r="2190" spans="1:7" ht="18.75" customHeight="1" x14ac:dyDescent="0.2">
      <c r="A2190" s="8" t="s">
        <v>4337</v>
      </c>
      <c r="B2190" s="9">
        <v>52488</v>
      </c>
      <c r="C2190" s="9">
        <v>5902557398249</v>
      </c>
      <c r="D2190" s="10" t="s">
        <v>4338</v>
      </c>
      <c r="E2190" s="9">
        <v>138</v>
      </c>
      <c r="F2190" s="11">
        <v>45664</v>
      </c>
      <c r="G2190" s="8"/>
    </row>
    <row r="2191" spans="1:7" ht="18.75" customHeight="1" x14ac:dyDescent="0.2">
      <c r="A2191" s="8" t="s">
        <v>4339</v>
      </c>
      <c r="B2191" s="9">
        <v>52400</v>
      </c>
      <c r="C2191" s="9">
        <v>5902557398232</v>
      </c>
      <c r="D2191" s="10" t="s">
        <v>4340</v>
      </c>
      <c r="E2191" s="9">
        <v>138</v>
      </c>
      <c r="F2191" s="11">
        <v>45664</v>
      </c>
      <c r="G2191" s="8"/>
    </row>
    <row r="2192" spans="1:7" ht="18.75" customHeight="1" x14ac:dyDescent="0.2">
      <c r="A2192" s="8" t="s">
        <v>4341</v>
      </c>
      <c r="B2192" s="9">
        <v>52401</v>
      </c>
      <c r="C2192" s="9">
        <v>5902557398553</v>
      </c>
      <c r="D2192" s="10" t="s">
        <v>4342</v>
      </c>
      <c r="E2192" s="9">
        <v>138</v>
      </c>
      <c r="F2192" s="11">
        <v>45664</v>
      </c>
      <c r="G2192" s="8"/>
    </row>
    <row r="2193" spans="1:7" ht="18.75" customHeight="1" x14ac:dyDescent="0.2">
      <c r="A2193" s="8" t="s">
        <v>4343</v>
      </c>
      <c r="B2193" s="8">
        <v>53080</v>
      </c>
      <c r="C2193" s="8"/>
      <c r="D2193" s="10" t="s">
        <v>4344</v>
      </c>
      <c r="E2193" s="9">
        <v>241</v>
      </c>
      <c r="F2193" s="11">
        <v>45664</v>
      </c>
      <c r="G2193" s="8"/>
    </row>
    <row r="2194" spans="1:7" ht="18.75" customHeight="1" x14ac:dyDescent="0.2">
      <c r="A2194" s="8" t="s">
        <v>4345</v>
      </c>
      <c r="B2194" s="8">
        <v>53081</v>
      </c>
      <c r="C2194" s="8"/>
      <c r="D2194" s="10" t="s">
        <v>4346</v>
      </c>
      <c r="E2194" s="9">
        <v>373</v>
      </c>
      <c r="F2194" s="11">
        <v>45664</v>
      </c>
      <c r="G2194" s="8"/>
    </row>
    <row r="2195" spans="1:7" ht="18.75" customHeight="1" x14ac:dyDescent="0.2">
      <c r="A2195" s="8" t="s">
        <v>4347</v>
      </c>
      <c r="B2195" s="8">
        <v>53077</v>
      </c>
      <c r="C2195" s="8"/>
      <c r="D2195" s="10" t="s">
        <v>4348</v>
      </c>
      <c r="E2195" s="9">
        <v>300</v>
      </c>
      <c r="F2195" s="11">
        <v>45664</v>
      </c>
      <c r="G2195" s="8"/>
    </row>
    <row r="2196" spans="1:7" ht="18.75" customHeight="1" x14ac:dyDescent="0.2">
      <c r="A2196" s="13" t="s">
        <v>4349</v>
      </c>
      <c r="B2196" s="9">
        <v>53079</v>
      </c>
      <c r="C2196" s="9"/>
      <c r="D2196" s="10" t="s">
        <v>4350</v>
      </c>
      <c r="E2196" s="9">
        <v>457</v>
      </c>
      <c r="F2196" s="11">
        <v>45664</v>
      </c>
      <c r="G2196" s="8"/>
    </row>
    <row r="2197" spans="1:7" ht="18.75" customHeight="1" x14ac:dyDescent="0.2">
      <c r="A2197" s="13" t="s">
        <v>4351</v>
      </c>
      <c r="B2197" s="9">
        <v>53078</v>
      </c>
      <c r="C2197" s="9"/>
      <c r="D2197" s="10" t="s">
        <v>4352</v>
      </c>
      <c r="E2197" s="9">
        <v>457</v>
      </c>
      <c r="F2197" s="11">
        <v>45664</v>
      </c>
      <c r="G2197" s="8"/>
    </row>
    <row r="2198" spans="1:7" ht="18.75" customHeight="1" x14ac:dyDescent="0.2">
      <c r="A2198" s="8" t="s">
        <v>4353</v>
      </c>
      <c r="B2198" s="8">
        <v>53073</v>
      </c>
      <c r="C2198" s="8"/>
      <c r="D2198" s="10" t="s">
        <v>4354</v>
      </c>
      <c r="E2198" s="9">
        <v>553</v>
      </c>
      <c r="F2198" s="11">
        <v>45664</v>
      </c>
      <c r="G2198" s="8"/>
    </row>
    <row r="2199" spans="1:7" ht="18.75" customHeight="1" x14ac:dyDescent="0.2">
      <c r="A2199" s="8" t="s">
        <v>4355</v>
      </c>
      <c r="B2199" s="8">
        <v>53064</v>
      </c>
      <c r="C2199" s="8"/>
      <c r="D2199" s="10" t="s">
        <v>4356</v>
      </c>
      <c r="E2199" s="9">
        <v>650</v>
      </c>
      <c r="F2199" s="11">
        <v>45664</v>
      </c>
      <c r="G2199" s="8"/>
    </row>
    <row r="2200" spans="1:7" ht="18.75" customHeight="1" x14ac:dyDescent="0.2">
      <c r="A2200" s="8" t="s">
        <v>4357</v>
      </c>
      <c r="B2200" s="8">
        <v>53097</v>
      </c>
      <c r="C2200" s="8"/>
      <c r="D2200" s="10" t="s">
        <v>4358</v>
      </c>
      <c r="E2200" s="9">
        <v>300</v>
      </c>
      <c r="F2200" s="11">
        <v>45664</v>
      </c>
      <c r="G2200" s="8"/>
    </row>
    <row r="2201" spans="1:7" ht="18.75" customHeight="1" x14ac:dyDescent="0.2">
      <c r="A2201" s="13" t="s">
        <v>4359</v>
      </c>
      <c r="B2201" s="9">
        <v>53093</v>
      </c>
      <c r="C2201" s="9"/>
      <c r="D2201" s="10" t="s">
        <v>4360</v>
      </c>
      <c r="E2201" s="9">
        <v>329</v>
      </c>
      <c r="F2201" s="11">
        <v>45664</v>
      </c>
      <c r="G2201" s="8"/>
    </row>
    <row r="2202" spans="1:7" ht="18.75" customHeight="1" x14ac:dyDescent="0.2">
      <c r="A2202" s="13" t="s">
        <v>4361</v>
      </c>
      <c r="B2202" s="9">
        <v>53096</v>
      </c>
      <c r="C2202" s="9"/>
      <c r="D2202" s="10" t="s">
        <v>4362</v>
      </c>
      <c r="E2202" s="9">
        <v>300</v>
      </c>
      <c r="F2202" s="11">
        <v>45664</v>
      </c>
      <c r="G2202" s="8"/>
    </row>
    <row r="2203" spans="1:7" ht="18.75" customHeight="1" x14ac:dyDescent="0.2">
      <c r="A2203" s="8" t="s">
        <v>4363</v>
      </c>
      <c r="B2203" s="8">
        <v>53095</v>
      </c>
      <c r="C2203" s="8"/>
      <c r="D2203" s="10" t="s">
        <v>4364</v>
      </c>
      <c r="E2203" s="9">
        <v>300</v>
      </c>
      <c r="F2203" s="11">
        <v>45664</v>
      </c>
      <c r="G2203" s="8"/>
    </row>
    <row r="2204" spans="1:7" ht="18.75" customHeight="1" x14ac:dyDescent="0.2">
      <c r="A2204" s="13" t="s">
        <v>4365</v>
      </c>
      <c r="B2204" s="9">
        <v>53094</v>
      </c>
      <c r="C2204" s="9"/>
      <c r="D2204" s="10" t="s">
        <v>4366</v>
      </c>
      <c r="E2204" s="9">
        <v>300</v>
      </c>
      <c r="F2204" s="11">
        <v>45664</v>
      </c>
      <c r="G2204" s="8"/>
    </row>
    <row r="2205" spans="1:7" ht="18.75" customHeight="1" x14ac:dyDescent="0.2">
      <c r="A2205" s="8" t="s">
        <v>4367</v>
      </c>
      <c r="B2205" s="8">
        <v>53112</v>
      </c>
      <c r="C2205" s="8"/>
      <c r="D2205" s="10" t="s">
        <v>4368</v>
      </c>
      <c r="E2205" s="9">
        <v>387</v>
      </c>
      <c r="F2205" s="11">
        <v>45664</v>
      </c>
      <c r="G2205" s="8"/>
    </row>
    <row r="2206" spans="1:7" ht="18.75" customHeight="1" x14ac:dyDescent="0.2">
      <c r="A2206" s="8" t="s">
        <v>4369</v>
      </c>
      <c r="B2206" s="8">
        <v>53107</v>
      </c>
      <c r="C2206" s="8"/>
      <c r="D2206" s="10" t="s">
        <v>4370</v>
      </c>
      <c r="E2206" s="9">
        <v>285</v>
      </c>
      <c r="F2206" s="11">
        <v>45664</v>
      </c>
      <c r="G2206" s="8"/>
    </row>
    <row r="2207" spans="1:7" ht="18.75" customHeight="1" x14ac:dyDescent="0.2">
      <c r="A2207" s="13" t="s">
        <v>4371</v>
      </c>
      <c r="B2207" s="9">
        <v>53235</v>
      </c>
      <c r="C2207" s="9"/>
      <c r="D2207" s="10" t="s">
        <v>4372</v>
      </c>
      <c r="E2207" s="9">
        <v>445</v>
      </c>
      <c r="F2207" s="11">
        <v>45664</v>
      </c>
      <c r="G2207" s="8"/>
    </row>
    <row r="2208" spans="1:7" ht="18.75" customHeight="1" x14ac:dyDescent="0.2">
      <c r="A2208" s="8" t="s">
        <v>4373</v>
      </c>
      <c r="B2208" s="9">
        <v>46414</v>
      </c>
      <c r="C2208" s="9">
        <v>5902557375813</v>
      </c>
      <c r="D2208" s="10" t="s">
        <v>4374</v>
      </c>
      <c r="E2208" s="9">
        <v>133</v>
      </c>
      <c r="F2208" s="11">
        <v>45664</v>
      </c>
      <c r="G2208" s="8"/>
    </row>
    <row r="2209" spans="1:7" ht="18.75" customHeight="1" x14ac:dyDescent="0.2">
      <c r="A2209" s="8" t="s">
        <v>4375</v>
      </c>
      <c r="B2209" s="9">
        <v>46415</v>
      </c>
      <c r="C2209" s="9">
        <v>5902557375806</v>
      </c>
      <c r="D2209" s="10" t="s">
        <v>4376</v>
      </c>
      <c r="E2209" s="9">
        <v>133</v>
      </c>
      <c r="F2209" s="11">
        <v>45664</v>
      </c>
      <c r="G2209" s="8"/>
    </row>
    <row r="2210" spans="1:7" ht="18.75" customHeight="1" x14ac:dyDescent="0.2">
      <c r="A2210" s="8" t="s">
        <v>4377</v>
      </c>
      <c r="B2210" s="9">
        <v>46416</v>
      </c>
      <c r="C2210" s="9">
        <v>5902557375820</v>
      </c>
      <c r="D2210" s="10" t="s">
        <v>4378</v>
      </c>
      <c r="E2210" s="9">
        <v>133</v>
      </c>
      <c r="F2210" s="11">
        <v>45664</v>
      </c>
      <c r="G2210" s="8"/>
    </row>
    <row r="2211" spans="1:7" ht="18.75" customHeight="1" x14ac:dyDescent="0.2">
      <c r="A2211" s="8" t="s">
        <v>4379</v>
      </c>
      <c r="B2211" s="8">
        <v>53092</v>
      </c>
      <c r="C2211" s="8"/>
      <c r="D2211" s="10" t="s">
        <v>4380</v>
      </c>
      <c r="E2211" s="9">
        <v>457</v>
      </c>
      <c r="F2211" s="11">
        <v>45664</v>
      </c>
      <c r="G2211" s="8"/>
    </row>
    <row r="2212" spans="1:7" ht="18.75" customHeight="1" x14ac:dyDescent="0.2">
      <c r="A2212" s="13" t="s">
        <v>4381</v>
      </c>
      <c r="B2212" s="9">
        <v>53091</v>
      </c>
      <c r="C2212" s="9"/>
      <c r="D2212" s="10" t="s">
        <v>4382</v>
      </c>
      <c r="E2212" s="9">
        <v>457</v>
      </c>
      <c r="F2212" s="11">
        <v>45664</v>
      </c>
      <c r="G2212" s="8"/>
    </row>
    <row r="2213" spans="1:7" ht="18.75" customHeight="1" x14ac:dyDescent="0.2">
      <c r="A2213" s="13" t="s">
        <v>4383</v>
      </c>
      <c r="B2213" s="9">
        <v>53086</v>
      </c>
      <c r="C2213" s="9"/>
      <c r="D2213" s="10" t="s">
        <v>4384</v>
      </c>
      <c r="E2213" s="9">
        <v>273</v>
      </c>
      <c r="F2213" s="11">
        <v>45664</v>
      </c>
      <c r="G2213" s="8"/>
    </row>
    <row r="2214" spans="1:7" ht="18.75" customHeight="1" x14ac:dyDescent="0.2">
      <c r="A2214" s="8" t="s">
        <v>4385</v>
      </c>
      <c r="B2214" s="8">
        <v>53088</v>
      </c>
      <c r="C2214" s="8"/>
      <c r="D2214" s="10" t="s">
        <v>4386</v>
      </c>
      <c r="E2214" s="9">
        <v>489</v>
      </c>
      <c r="F2214" s="11">
        <v>45664</v>
      </c>
      <c r="G2214" s="8"/>
    </row>
    <row r="2215" spans="1:7" ht="18.75" customHeight="1" x14ac:dyDescent="0.2">
      <c r="A2215" s="8" t="s">
        <v>4387</v>
      </c>
      <c r="B2215" s="8">
        <v>53087</v>
      </c>
      <c r="C2215" s="8"/>
      <c r="D2215" s="10" t="s">
        <v>4388</v>
      </c>
      <c r="E2215" s="9">
        <v>446</v>
      </c>
      <c r="F2215" s="11">
        <v>45664</v>
      </c>
      <c r="G2215" s="8"/>
    </row>
    <row r="2216" spans="1:7" ht="18.75" customHeight="1" x14ac:dyDescent="0.2">
      <c r="A2216" s="8" t="s">
        <v>4389</v>
      </c>
      <c r="B2216" s="8">
        <v>53083</v>
      </c>
      <c r="C2216" s="8"/>
      <c r="D2216" s="10" t="s">
        <v>4390</v>
      </c>
      <c r="E2216" s="9">
        <v>358</v>
      </c>
      <c r="F2216" s="11">
        <v>45664</v>
      </c>
      <c r="G2216" s="8"/>
    </row>
    <row r="2217" spans="1:7" ht="18.75" customHeight="1" x14ac:dyDescent="0.2">
      <c r="A2217" s="8" t="s">
        <v>4391</v>
      </c>
      <c r="B2217" s="8">
        <v>53085</v>
      </c>
      <c r="C2217" s="8">
        <v>5905505502507</v>
      </c>
      <c r="D2217" s="10" t="s">
        <v>4392</v>
      </c>
      <c r="E2217" s="9">
        <v>562</v>
      </c>
      <c r="F2217" s="11">
        <v>45664</v>
      </c>
      <c r="G2217" s="8"/>
    </row>
    <row r="2218" spans="1:7" ht="18.75" customHeight="1" x14ac:dyDescent="0.2">
      <c r="A2218" s="8" t="s">
        <v>4393</v>
      </c>
      <c r="B2218" s="8">
        <v>53084</v>
      </c>
      <c r="C2218" s="8"/>
      <c r="D2218" s="10" t="s">
        <v>4394</v>
      </c>
      <c r="E2218" s="9">
        <v>512</v>
      </c>
      <c r="F2218" s="11">
        <v>45664</v>
      </c>
      <c r="G2218" s="8"/>
    </row>
    <row r="2219" spans="1:7" ht="18.75" customHeight="1" x14ac:dyDescent="0.2">
      <c r="A2219" s="8" t="s">
        <v>4395</v>
      </c>
      <c r="B2219" s="8">
        <v>53049</v>
      </c>
      <c r="C2219" s="8"/>
      <c r="D2219" s="10" t="s">
        <v>4396</v>
      </c>
      <c r="E2219" s="9">
        <v>504</v>
      </c>
      <c r="F2219" s="11">
        <v>45664</v>
      </c>
      <c r="G2219" s="8"/>
    </row>
    <row r="2220" spans="1:7" ht="18.75" customHeight="1" x14ac:dyDescent="0.2">
      <c r="A2220" s="8" t="s">
        <v>4397</v>
      </c>
      <c r="B2220" s="9">
        <v>45078</v>
      </c>
      <c r="C2220" s="9">
        <v>5902557376117</v>
      </c>
      <c r="D2220" s="10" t="s">
        <v>4398</v>
      </c>
      <c r="E2220" s="9">
        <v>186</v>
      </c>
      <c r="F2220" s="11">
        <v>45664</v>
      </c>
      <c r="G2220" s="8"/>
    </row>
    <row r="2221" spans="1:7" ht="18.75" customHeight="1" x14ac:dyDescent="0.2">
      <c r="A2221" s="8" t="s">
        <v>4399</v>
      </c>
      <c r="B2221" s="9">
        <v>45079</v>
      </c>
      <c r="C2221" s="9">
        <v>5902557376131</v>
      </c>
      <c r="D2221" s="10" t="s">
        <v>4400</v>
      </c>
      <c r="E2221" s="9">
        <v>186</v>
      </c>
      <c r="F2221" s="11">
        <v>45664</v>
      </c>
      <c r="G2221" s="8"/>
    </row>
    <row r="2222" spans="1:7" ht="18.75" customHeight="1" x14ac:dyDescent="0.2">
      <c r="A2222" s="8" t="s">
        <v>4401</v>
      </c>
      <c r="B2222" s="9">
        <v>45080</v>
      </c>
      <c r="C2222" s="9">
        <v>5902557376124</v>
      </c>
      <c r="D2222" s="10" t="s">
        <v>4402</v>
      </c>
      <c r="E2222" s="9">
        <v>186</v>
      </c>
      <c r="F2222" s="11">
        <v>45664</v>
      </c>
      <c r="G2222" s="8"/>
    </row>
    <row r="2223" spans="1:7" ht="18.75" customHeight="1" x14ac:dyDescent="0.2">
      <c r="A2223" s="8" t="s">
        <v>4403</v>
      </c>
      <c r="B2223" s="9">
        <v>46074</v>
      </c>
      <c r="C2223" s="9">
        <v>5902557375752</v>
      </c>
      <c r="D2223" s="10" t="s">
        <v>4404</v>
      </c>
      <c r="E2223" s="9">
        <v>106</v>
      </c>
      <c r="F2223" s="11">
        <v>45664</v>
      </c>
      <c r="G2223" s="8"/>
    </row>
    <row r="2224" spans="1:7" ht="18.75" customHeight="1" x14ac:dyDescent="0.2">
      <c r="A2224" s="8" t="s">
        <v>4405</v>
      </c>
      <c r="B2224" s="9">
        <v>46144</v>
      </c>
      <c r="C2224" s="9">
        <v>5902557375738</v>
      </c>
      <c r="D2224" s="10" t="s">
        <v>4406</v>
      </c>
      <c r="E2224" s="9">
        <v>94</v>
      </c>
      <c r="F2224" s="11">
        <v>45664</v>
      </c>
      <c r="G2224" s="8"/>
    </row>
    <row r="2225" spans="1:7" ht="18.75" customHeight="1" x14ac:dyDescent="0.2">
      <c r="A2225" s="8" t="s">
        <v>4407</v>
      </c>
      <c r="B2225" s="9">
        <v>46397</v>
      </c>
      <c r="C2225" s="9">
        <v>5902557375974</v>
      </c>
      <c r="D2225" s="10" t="s">
        <v>4408</v>
      </c>
      <c r="E2225" s="9">
        <v>94</v>
      </c>
      <c r="F2225" s="11">
        <v>45664</v>
      </c>
      <c r="G2225" s="8"/>
    </row>
    <row r="2226" spans="1:7" ht="18.75" customHeight="1" x14ac:dyDescent="0.2">
      <c r="A2226" s="8" t="s">
        <v>4409</v>
      </c>
      <c r="B2226" s="9">
        <v>45325</v>
      </c>
      <c r="C2226" s="9">
        <v>5902557375721</v>
      </c>
      <c r="D2226" s="10" t="s">
        <v>4410</v>
      </c>
      <c r="E2226" s="9">
        <v>103</v>
      </c>
      <c r="F2226" s="11">
        <v>45664</v>
      </c>
      <c r="G2226" s="8"/>
    </row>
    <row r="2227" spans="1:7" ht="18.75" customHeight="1" x14ac:dyDescent="0.2">
      <c r="A2227" s="8" t="s">
        <v>4411</v>
      </c>
      <c r="B2227" s="9">
        <v>46348</v>
      </c>
      <c r="C2227" s="9">
        <v>5902557375745</v>
      </c>
      <c r="D2227" s="10" t="s">
        <v>4412</v>
      </c>
      <c r="E2227" s="9">
        <v>106</v>
      </c>
      <c r="F2227" s="11">
        <v>45664</v>
      </c>
      <c r="G2227" s="8"/>
    </row>
    <row r="2228" spans="1:7" ht="18.75" customHeight="1" x14ac:dyDescent="0.2">
      <c r="A2228" s="13" t="s">
        <v>4413</v>
      </c>
      <c r="B2228" s="9">
        <v>53092</v>
      </c>
      <c r="C2228" s="14"/>
      <c r="D2228" s="10" t="s">
        <v>4414</v>
      </c>
      <c r="E2228" s="9">
        <v>446</v>
      </c>
      <c r="F2228" s="11">
        <v>45405</v>
      </c>
      <c r="G2228" s="8"/>
    </row>
    <row r="2229" spans="1:7" ht="18.75" customHeight="1" x14ac:dyDescent="0.2">
      <c r="A2229" s="13" t="s">
        <v>4415</v>
      </c>
      <c r="B2229" s="9">
        <v>53090</v>
      </c>
      <c r="C2229" s="14"/>
      <c r="D2229" s="10" t="s">
        <v>4416</v>
      </c>
      <c r="E2229" s="9">
        <v>270</v>
      </c>
      <c r="F2229" s="11">
        <v>45664</v>
      </c>
      <c r="G2229" s="8"/>
    </row>
    <row r="2230" spans="1:7" ht="18.75" customHeight="1" x14ac:dyDescent="0.2">
      <c r="A2230" s="13" t="s">
        <v>4417</v>
      </c>
      <c r="B2230" s="9">
        <v>53091</v>
      </c>
      <c r="C2230" s="14"/>
      <c r="D2230" s="10" t="s">
        <v>4418</v>
      </c>
      <c r="E2230" s="9">
        <v>446</v>
      </c>
      <c r="F2230" s="11">
        <v>45405</v>
      </c>
      <c r="G2230" s="8"/>
    </row>
    <row r="2231" spans="1:7" ht="18.75" customHeight="1" x14ac:dyDescent="0.2">
      <c r="A2231" s="13" t="s">
        <v>4419</v>
      </c>
      <c r="B2231" s="9">
        <v>53089</v>
      </c>
      <c r="C2231" s="14"/>
      <c r="D2231" s="10" t="s">
        <v>4420</v>
      </c>
      <c r="E2231" s="9">
        <v>489</v>
      </c>
      <c r="F2231" s="11">
        <v>45664</v>
      </c>
      <c r="G2231" s="8"/>
    </row>
    <row r="2232" spans="1:7" ht="18.75" customHeight="1" x14ac:dyDescent="0.2">
      <c r="A2232" s="13" t="s">
        <v>4421</v>
      </c>
      <c r="B2232" s="9">
        <v>53088</v>
      </c>
      <c r="C2232" s="14"/>
      <c r="D2232" s="10" t="s">
        <v>4422</v>
      </c>
      <c r="E2232" s="9">
        <v>478</v>
      </c>
      <c r="F2232" s="11">
        <v>45405</v>
      </c>
      <c r="G2232" s="8"/>
    </row>
    <row r="2233" spans="1:7" ht="18.75" customHeight="1" x14ac:dyDescent="0.2">
      <c r="A2233" s="13" t="s">
        <v>4423</v>
      </c>
      <c r="B2233" s="9">
        <v>53086</v>
      </c>
      <c r="C2233" s="14"/>
      <c r="D2233" s="10" t="s">
        <v>4424</v>
      </c>
      <c r="E2233" s="9">
        <v>290</v>
      </c>
      <c r="F2233" s="11">
        <v>45405</v>
      </c>
      <c r="G2233" s="8"/>
    </row>
    <row r="2234" spans="1:7" ht="18.75" customHeight="1" x14ac:dyDescent="0.2">
      <c r="A2234" s="13" t="s">
        <v>4425</v>
      </c>
      <c r="B2234" s="9">
        <v>53087</v>
      </c>
      <c r="C2234" s="14"/>
      <c r="D2234" s="10" t="s">
        <v>4426</v>
      </c>
      <c r="E2234" s="9">
        <v>478</v>
      </c>
      <c r="F2234" s="11">
        <v>45405</v>
      </c>
      <c r="G2234" s="8"/>
    </row>
    <row r="2235" spans="1:7" ht="18.75" customHeight="1" x14ac:dyDescent="0.2">
      <c r="A2235" s="13" t="s">
        <v>4427</v>
      </c>
      <c r="B2235" s="9">
        <v>53085</v>
      </c>
      <c r="C2235" s="14"/>
      <c r="D2235" s="10" t="s">
        <v>4428</v>
      </c>
      <c r="E2235" s="9">
        <v>551</v>
      </c>
      <c r="F2235" s="11">
        <v>45405</v>
      </c>
      <c r="G2235" s="8"/>
    </row>
    <row r="2236" spans="1:7" ht="18.75" customHeight="1" x14ac:dyDescent="0.2">
      <c r="A2236" s="13" t="s">
        <v>4429</v>
      </c>
      <c r="B2236" s="9">
        <v>53083</v>
      </c>
      <c r="C2236" s="14"/>
      <c r="D2236" s="10" t="s">
        <v>4430</v>
      </c>
      <c r="E2236" s="9">
        <v>348</v>
      </c>
      <c r="F2236" s="11">
        <v>45405</v>
      </c>
      <c r="G2236" s="8"/>
    </row>
    <row r="2237" spans="1:7" ht="18.75" customHeight="1" x14ac:dyDescent="0.2">
      <c r="A2237" s="13" t="s">
        <v>4431</v>
      </c>
      <c r="B2237" s="9">
        <v>53084</v>
      </c>
      <c r="C2237" s="14"/>
      <c r="D2237" s="10" t="s">
        <v>4432</v>
      </c>
      <c r="E2237" s="9">
        <v>551</v>
      </c>
      <c r="F2237" s="11">
        <v>45405</v>
      </c>
      <c r="G2237" s="8"/>
    </row>
    <row r="2238" spans="1:7" ht="18.75" customHeight="1" x14ac:dyDescent="0.2">
      <c r="A2238" s="13" t="s">
        <v>4433</v>
      </c>
      <c r="B2238" s="9">
        <v>53049</v>
      </c>
      <c r="C2238" s="14"/>
      <c r="D2238" s="10" t="s">
        <v>4434</v>
      </c>
      <c r="E2238" s="9">
        <v>493</v>
      </c>
      <c r="F2238" s="11">
        <v>45405</v>
      </c>
      <c r="G2238" s="8"/>
    </row>
    <row r="2239" spans="1:7" ht="18.75" customHeight="1" x14ac:dyDescent="0.2">
      <c r="A2239" s="13" t="s">
        <v>4435</v>
      </c>
      <c r="B2239" s="9">
        <v>52949</v>
      </c>
      <c r="C2239" s="14"/>
      <c r="D2239" s="10" t="s">
        <v>4436</v>
      </c>
      <c r="E2239" s="9">
        <v>118</v>
      </c>
      <c r="F2239" s="11">
        <v>45405</v>
      </c>
      <c r="G2239" s="8"/>
    </row>
    <row r="2240" spans="1:7" ht="18.75" customHeight="1" x14ac:dyDescent="0.2">
      <c r="A2240" s="13" t="s">
        <v>4437</v>
      </c>
      <c r="B2240" s="9">
        <v>52950</v>
      </c>
      <c r="C2240" s="14"/>
      <c r="D2240" s="10" t="s">
        <v>4438</v>
      </c>
      <c r="E2240" s="9">
        <v>152</v>
      </c>
      <c r="F2240" s="11">
        <v>45405</v>
      </c>
      <c r="G2240" s="8"/>
    </row>
    <row r="2241" spans="1:7" ht="18.75" customHeight="1" x14ac:dyDescent="0.2">
      <c r="A2241" s="13" t="s">
        <v>4439</v>
      </c>
      <c r="B2241" s="9">
        <v>52946</v>
      </c>
      <c r="C2241" s="14"/>
      <c r="D2241" s="10" t="s">
        <v>4440</v>
      </c>
      <c r="E2241" s="9">
        <v>89</v>
      </c>
      <c r="F2241" s="11">
        <v>45405</v>
      </c>
      <c r="G2241" s="8"/>
    </row>
    <row r="2242" spans="1:7" ht="18.75" customHeight="1" x14ac:dyDescent="0.2">
      <c r="A2242" s="13" t="s">
        <v>4441</v>
      </c>
      <c r="B2242" s="9">
        <v>52947</v>
      </c>
      <c r="C2242" s="14"/>
      <c r="D2242" s="10" t="s">
        <v>4442</v>
      </c>
      <c r="E2242" s="9">
        <v>121</v>
      </c>
      <c r="F2242" s="11">
        <v>45405</v>
      </c>
      <c r="G2242" s="8"/>
    </row>
    <row r="2243" spans="1:7" ht="18.75" customHeight="1" x14ac:dyDescent="0.2">
      <c r="A2243" s="13" t="s">
        <v>4443</v>
      </c>
      <c r="B2243" s="9">
        <v>52962</v>
      </c>
      <c r="C2243" s="14"/>
      <c r="D2243" s="10" t="s">
        <v>4444</v>
      </c>
      <c r="E2243" s="9">
        <v>199</v>
      </c>
      <c r="F2243" s="11">
        <v>45405</v>
      </c>
      <c r="G2243" s="8"/>
    </row>
    <row r="2244" spans="1:7" ht="18.75" customHeight="1" x14ac:dyDescent="0.2">
      <c r="A2244" s="13" t="s">
        <v>4445</v>
      </c>
      <c r="B2244" s="9">
        <v>52963</v>
      </c>
      <c r="C2244" s="14"/>
      <c r="D2244" s="10" t="s">
        <v>4446</v>
      </c>
      <c r="E2244" s="9">
        <v>242</v>
      </c>
      <c r="F2244" s="11">
        <v>45405</v>
      </c>
      <c r="G2244" s="8"/>
    </row>
    <row r="2245" spans="1:7" ht="18.75" customHeight="1" x14ac:dyDescent="0.2">
      <c r="A2245" s="13" t="s">
        <v>4447</v>
      </c>
      <c r="B2245" s="9">
        <v>52958</v>
      </c>
      <c r="C2245" s="14"/>
      <c r="D2245" s="10" t="s">
        <v>4448</v>
      </c>
      <c r="E2245" s="9">
        <v>179</v>
      </c>
      <c r="F2245" s="11">
        <v>45405</v>
      </c>
      <c r="G2245" s="8"/>
    </row>
    <row r="2246" spans="1:7" ht="18.75" customHeight="1" x14ac:dyDescent="0.2">
      <c r="A2246" s="13" t="s">
        <v>4449</v>
      </c>
      <c r="B2246" s="9">
        <v>52959</v>
      </c>
      <c r="C2246" s="14"/>
      <c r="D2246" s="10" t="s">
        <v>4450</v>
      </c>
      <c r="E2246" s="9">
        <v>213</v>
      </c>
      <c r="F2246" s="11">
        <v>45405</v>
      </c>
      <c r="G2246" s="8"/>
    </row>
    <row r="2247" spans="1:7" ht="18.75" customHeight="1" x14ac:dyDescent="0.2">
      <c r="A2247" s="13" t="s">
        <v>4451</v>
      </c>
      <c r="B2247" s="9">
        <v>52955</v>
      </c>
      <c r="C2247" s="14"/>
      <c r="D2247" s="10" t="s">
        <v>4452</v>
      </c>
      <c r="E2247" s="9">
        <v>176</v>
      </c>
      <c r="F2247" s="11">
        <v>45405</v>
      </c>
      <c r="G2247" s="8"/>
    </row>
    <row r="2248" spans="1:7" ht="18.75" customHeight="1" x14ac:dyDescent="0.2">
      <c r="A2248" s="13" t="s">
        <v>4453</v>
      </c>
      <c r="B2248" s="9">
        <v>52956</v>
      </c>
      <c r="C2248" s="14"/>
      <c r="D2248" s="10" t="s">
        <v>4454</v>
      </c>
      <c r="E2248" s="9">
        <v>225</v>
      </c>
      <c r="F2248" s="11">
        <v>45664</v>
      </c>
      <c r="G2248" s="8"/>
    </row>
    <row r="2249" spans="1:7" ht="18.75" customHeight="1" x14ac:dyDescent="0.2">
      <c r="A2249" s="13" t="s">
        <v>4455</v>
      </c>
      <c r="B2249" s="9">
        <v>52952</v>
      </c>
      <c r="C2249" s="14"/>
      <c r="D2249" s="10" t="s">
        <v>4456</v>
      </c>
      <c r="E2249" s="9">
        <v>145</v>
      </c>
      <c r="F2249" s="11">
        <v>45405</v>
      </c>
      <c r="G2249" s="8"/>
    </row>
    <row r="2250" spans="1:7" ht="18.75" customHeight="1" x14ac:dyDescent="0.2">
      <c r="A2250" s="13" t="s">
        <v>4457</v>
      </c>
      <c r="B2250" s="9">
        <v>52953</v>
      </c>
      <c r="C2250" s="14"/>
      <c r="D2250" s="10" t="s">
        <v>4458</v>
      </c>
      <c r="E2250" s="9">
        <v>179</v>
      </c>
      <c r="F2250" s="11">
        <v>45405</v>
      </c>
      <c r="G2250" s="8"/>
    </row>
    <row r="2251" spans="1:7" ht="18.75" customHeight="1" x14ac:dyDescent="0.2">
      <c r="A2251" s="13" t="s">
        <v>4459</v>
      </c>
      <c r="B2251" s="9">
        <v>52942</v>
      </c>
      <c r="C2251" s="14"/>
      <c r="D2251" s="10" t="s">
        <v>4460</v>
      </c>
      <c r="E2251" s="9">
        <v>116</v>
      </c>
      <c r="F2251" s="11">
        <v>45405</v>
      </c>
      <c r="G2251" s="8"/>
    </row>
    <row r="2252" spans="1:7" ht="18.75" customHeight="1" x14ac:dyDescent="0.2">
      <c r="A2252" s="13" t="s">
        <v>4461</v>
      </c>
      <c r="B2252" s="9">
        <v>52943</v>
      </c>
      <c r="C2252" s="14"/>
      <c r="D2252" s="10" t="s">
        <v>4462</v>
      </c>
      <c r="E2252" s="9">
        <v>150</v>
      </c>
      <c r="F2252" s="11">
        <v>45405</v>
      </c>
      <c r="G2252" s="8"/>
    </row>
    <row r="2253" spans="1:7" ht="18.75" customHeight="1" x14ac:dyDescent="0.2">
      <c r="A2253" s="13" t="s">
        <v>4463</v>
      </c>
      <c r="B2253" s="9">
        <v>52939</v>
      </c>
      <c r="C2253" s="14"/>
      <c r="D2253" s="10" t="s">
        <v>4464</v>
      </c>
      <c r="E2253" s="9">
        <v>87</v>
      </c>
      <c r="F2253" s="11">
        <v>45405</v>
      </c>
      <c r="G2253" s="8"/>
    </row>
    <row r="2254" spans="1:7" ht="18.75" customHeight="1" x14ac:dyDescent="0.2">
      <c r="A2254" s="13" t="s">
        <v>4465</v>
      </c>
      <c r="B2254" s="9">
        <v>52940</v>
      </c>
      <c r="C2254" s="14"/>
      <c r="D2254" s="10" t="s">
        <v>4466</v>
      </c>
      <c r="E2254" s="9">
        <v>118</v>
      </c>
      <c r="F2254" s="11">
        <v>45405</v>
      </c>
      <c r="G2254" s="8"/>
    </row>
    <row r="2255" spans="1:7" ht="18.75" customHeight="1" x14ac:dyDescent="0.2">
      <c r="A2255" s="13" t="s">
        <v>4467</v>
      </c>
      <c r="B2255" s="9">
        <v>53079</v>
      </c>
      <c r="C2255" s="14"/>
      <c r="D2255" s="10" t="s">
        <v>4468</v>
      </c>
      <c r="E2255" s="9">
        <v>446</v>
      </c>
      <c r="F2255" s="11">
        <v>45405</v>
      </c>
      <c r="G2255" s="8"/>
    </row>
    <row r="2256" spans="1:7" ht="18.75" customHeight="1" x14ac:dyDescent="0.2">
      <c r="A2256" s="13" t="s">
        <v>4469</v>
      </c>
      <c r="B2256" s="9">
        <v>53077</v>
      </c>
      <c r="C2256" s="14"/>
      <c r="D2256" s="10" t="s">
        <v>4470</v>
      </c>
      <c r="E2256" s="9">
        <v>290</v>
      </c>
      <c r="F2256" s="11">
        <v>45405</v>
      </c>
      <c r="G2256" s="8"/>
    </row>
    <row r="2257" spans="1:7" ht="18.75" customHeight="1" x14ac:dyDescent="0.2">
      <c r="A2257" s="13" t="s">
        <v>4471</v>
      </c>
      <c r="B2257" s="9">
        <v>53078</v>
      </c>
      <c r="C2257" s="14"/>
      <c r="D2257" s="10" t="s">
        <v>4472</v>
      </c>
      <c r="E2257" s="9">
        <v>446</v>
      </c>
      <c r="F2257" s="11">
        <v>45405</v>
      </c>
      <c r="G2257" s="8"/>
    </row>
    <row r="2258" spans="1:7" ht="18.75" customHeight="1" x14ac:dyDescent="0.2">
      <c r="A2258" s="13" t="s">
        <v>4473</v>
      </c>
      <c r="B2258" s="9">
        <v>53065</v>
      </c>
      <c r="C2258" s="14"/>
      <c r="D2258" s="10" t="s">
        <v>4474</v>
      </c>
      <c r="E2258" s="9">
        <v>650</v>
      </c>
      <c r="F2258" s="11">
        <v>45664</v>
      </c>
      <c r="G2258" s="8"/>
    </row>
    <row r="2259" spans="1:7" ht="18.75" customHeight="1" x14ac:dyDescent="0.2">
      <c r="A2259" s="13" t="s">
        <v>4475</v>
      </c>
      <c r="B2259" s="9">
        <v>53062</v>
      </c>
      <c r="C2259" s="14"/>
      <c r="D2259" s="10" t="s">
        <v>4476</v>
      </c>
      <c r="E2259" s="9">
        <v>434</v>
      </c>
      <c r="F2259" s="11">
        <v>45664</v>
      </c>
      <c r="G2259" s="8"/>
    </row>
    <row r="2260" spans="1:7" ht="18.75" customHeight="1" x14ac:dyDescent="0.2">
      <c r="A2260" s="13" t="s">
        <v>4477</v>
      </c>
      <c r="B2260" s="9">
        <v>53063</v>
      </c>
      <c r="C2260" s="14"/>
      <c r="D2260" s="10" t="s">
        <v>4478</v>
      </c>
      <c r="E2260" s="9">
        <v>434</v>
      </c>
      <c r="F2260" s="11">
        <v>45664</v>
      </c>
      <c r="G2260" s="8"/>
    </row>
    <row r="2261" spans="1:7" ht="18.75" customHeight="1" x14ac:dyDescent="0.2">
      <c r="A2261" s="13" t="s">
        <v>4479</v>
      </c>
      <c r="B2261" s="9">
        <v>53064</v>
      </c>
      <c r="C2261" s="14"/>
      <c r="D2261" s="10" t="s">
        <v>4480</v>
      </c>
      <c r="E2261" s="9">
        <v>638</v>
      </c>
      <c r="F2261" s="11">
        <v>45405</v>
      </c>
      <c r="G2261" s="8"/>
    </row>
    <row r="2262" spans="1:7" ht="18.75" customHeight="1" x14ac:dyDescent="0.2">
      <c r="A2262" s="13" t="s">
        <v>4481</v>
      </c>
      <c r="B2262" s="9">
        <v>53073</v>
      </c>
      <c r="C2262" s="14"/>
      <c r="D2262" s="10" t="s">
        <v>4482</v>
      </c>
      <c r="E2262" s="9">
        <v>542</v>
      </c>
      <c r="F2262" s="11">
        <v>45405</v>
      </c>
      <c r="G2262" s="8"/>
    </row>
    <row r="2263" spans="1:7" ht="18.75" customHeight="1" x14ac:dyDescent="0.2">
      <c r="A2263" s="13" t="s">
        <v>4483</v>
      </c>
      <c r="B2263" s="9">
        <v>53067</v>
      </c>
      <c r="C2263" s="14"/>
      <c r="D2263" s="10" t="s">
        <v>4484</v>
      </c>
      <c r="E2263" s="9">
        <v>376</v>
      </c>
      <c r="F2263" s="11">
        <v>45664</v>
      </c>
      <c r="G2263" s="8"/>
    </row>
    <row r="2264" spans="1:7" ht="18.75" customHeight="1" x14ac:dyDescent="0.2">
      <c r="A2264" s="13" t="s">
        <v>4485</v>
      </c>
      <c r="B2264" s="9">
        <v>53068</v>
      </c>
      <c r="C2264" s="14"/>
      <c r="D2264" s="10" t="s">
        <v>4486</v>
      </c>
      <c r="E2264" s="9">
        <v>376</v>
      </c>
      <c r="F2264" s="11">
        <v>45664</v>
      </c>
      <c r="G2264" s="8"/>
    </row>
    <row r="2265" spans="1:7" ht="18.75" customHeight="1" x14ac:dyDescent="0.2">
      <c r="A2265" s="13" t="s">
        <v>4487</v>
      </c>
      <c r="B2265" s="9">
        <v>53072</v>
      </c>
      <c r="C2265" s="14"/>
      <c r="D2265" s="10" t="s">
        <v>4488</v>
      </c>
      <c r="E2265" s="9">
        <v>553</v>
      </c>
      <c r="F2265" s="11">
        <v>45664</v>
      </c>
      <c r="G2265" s="8"/>
    </row>
    <row r="2266" spans="1:7" ht="18.75" customHeight="1" x14ac:dyDescent="0.2">
      <c r="A2266" s="13" t="s">
        <v>4489</v>
      </c>
      <c r="B2266" s="9">
        <v>53082</v>
      </c>
      <c r="C2266" s="14"/>
      <c r="D2266" s="10" t="s">
        <v>4490</v>
      </c>
      <c r="E2266" s="9">
        <v>373</v>
      </c>
      <c r="F2266" s="11">
        <v>45664</v>
      </c>
      <c r="G2266" s="8"/>
    </row>
    <row r="2267" spans="1:7" ht="18.75" customHeight="1" x14ac:dyDescent="0.2">
      <c r="A2267" s="13" t="s">
        <v>4491</v>
      </c>
      <c r="B2267" s="9">
        <v>53080</v>
      </c>
      <c r="C2267" s="14"/>
      <c r="D2267" s="10" t="s">
        <v>4492</v>
      </c>
      <c r="E2267" s="9">
        <v>232</v>
      </c>
      <c r="F2267" s="11">
        <v>45405</v>
      </c>
      <c r="G2267" s="8"/>
    </row>
    <row r="2268" spans="1:7" ht="18.75" customHeight="1" x14ac:dyDescent="0.2">
      <c r="A2268" s="13" t="s">
        <v>4493</v>
      </c>
      <c r="B2268" s="9">
        <v>53081</v>
      </c>
      <c r="C2268" s="14"/>
      <c r="D2268" s="10" t="s">
        <v>4494</v>
      </c>
      <c r="E2268" s="9">
        <v>362</v>
      </c>
      <c r="F2268" s="11">
        <v>45405</v>
      </c>
      <c r="G2268" s="8"/>
    </row>
    <row r="2269" spans="1:7" ht="18.75" customHeight="1" x14ac:dyDescent="0.2">
      <c r="A2269" s="8" t="s">
        <v>4495</v>
      </c>
      <c r="B2269" s="9">
        <v>45326</v>
      </c>
      <c r="C2269" s="9">
        <v>5902557375714</v>
      </c>
      <c r="D2269" s="10" t="s">
        <v>4496</v>
      </c>
      <c r="E2269" s="9">
        <v>103</v>
      </c>
      <c r="F2269" s="11">
        <v>45664</v>
      </c>
      <c r="G2269" s="8"/>
    </row>
    <row r="2270" spans="1:7" ht="18.75" customHeight="1" x14ac:dyDescent="0.2">
      <c r="A2270" s="8" t="s">
        <v>4497</v>
      </c>
      <c r="B2270" s="9">
        <v>45330</v>
      </c>
      <c r="C2270" s="9">
        <v>5902557375691</v>
      </c>
      <c r="D2270" s="10" t="s">
        <v>4498</v>
      </c>
      <c r="E2270" s="9">
        <v>94</v>
      </c>
      <c r="F2270" s="11">
        <v>45664</v>
      </c>
      <c r="G2270" s="8"/>
    </row>
    <row r="2271" spans="1:7" ht="18.75" customHeight="1" x14ac:dyDescent="0.2">
      <c r="A2271" s="8" t="s">
        <v>4499</v>
      </c>
      <c r="B2271" s="9">
        <v>45328</v>
      </c>
      <c r="C2271" s="9">
        <v>5902557375684</v>
      </c>
      <c r="D2271" s="10" t="s">
        <v>4500</v>
      </c>
      <c r="E2271" s="9">
        <v>103</v>
      </c>
      <c r="F2271" s="11">
        <v>45664</v>
      </c>
      <c r="G2271" s="8"/>
    </row>
    <row r="2272" spans="1:7" ht="18.75" customHeight="1" x14ac:dyDescent="0.2">
      <c r="A2272" s="8" t="s">
        <v>4501</v>
      </c>
      <c r="B2272" s="9">
        <v>45327</v>
      </c>
      <c r="C2272" s="9">
        <v>5902557375707</v>
      </c>
      <c r="D2272" s="10" t="s">
        <v>4502</v>
      </c>
      <c r="E2272" s="9">
        <v>106</v>
      </c>
      <c r="F2272" s="11">
        <v>45664</v>
      </c>
      <c r="G2272" s="8"/>
    </row>
    <row r="2273" spans="1:7" ht="18.75" customHeight="1" x14ac:dyDescent="0.2">
      <c r="A2273" s="8" t="s">
        <v>4503</v>
      </c>
      <c r="B2273" s="8">
        <v>52940</v>
      </c>
      <c r="C2273" s="8"/>
      <c r="D2273" s="10" t="s">
        <v>4504</v>
      </c>
      <c r="E2273" s="9">
        <v>127</v>
      </c>
      <c r="F2273" s="11">
        <v>45664</v>
      </c>
      <c r="G2273" s="8"/>
    </row>
    <row r="2274" spans="1:7" ht="18.75" customHeight="1" x14ac:dyDescent="0.2">
      <c r="A2274" s="8" t="s">
        <v>4505</v>
      </c>
      <c r="B2274" s="8">
        <v>52942</v>
      </c>
      <c r="C2274" s="8">
        <v>5905505503061</v>
      </c>
      <c r="D2274" s="10" t="s">
        <v>4506</v>
      </c>
      <c r="E2274" s="9">
        <v>125</v>
      </c>
      <c r="F2274" s="11">
        <v>45664</v>
      </c>
      <c r="G2274" s="8"/>
    </row>
    <row r="2275" spans="1:7" ht="18.75" customHeight="1" x14ac:dyDescent="0.2">
      <c r="A2275" s="8" t="s">
        <v>4507</v>
      </c>
      <c r="B2275" s="8">
        <v>52946</v>
      </c>
      <c r="C2275" s="8"/>
      <c r="D2275" s="10" t="s">
        <v>4508</v>
      </c>
      <c r="E2275" s="9">
        <v>98</v>
      </c>
      <c r="F2275" s="11">
        <v>45664</v>
      </c>
      <c r="G2275" s="8"/>
    </row>
    <row r="2276" spans="1:7" ht="18.75" customHeight="1" x14ac:dyDescent="0.2">
      <c r="A2276" s="13" t="s">
        <v>4509</v>
      </c>
      <c r="B2276" s="9">
        <v>52947</v>
      </c>
      <c r="C2276" s="9"/>
      <c r="D2276" s="10" t="s">
        <v>4510</v>
      </c>
      <c r="E2276" s="9">
        <v>130</v>
      </c>
      <c r="F2276" s="11">
        <v>45664</v>
      </c>
      <c r="G2276" s="8"/>
    </row>
    <row r="2277" spans="1:7" ht="18.75" customHeight="1" x14ac:dyDescent="0.2">
      <c r="A2277" s="13" t="s">
        <v>4511</v>
      </c>
      <c r="B2277" s="9">
        <v>52949</v>
      </c>
      <c r="C2277" s="9"/>
      <c r="D2277" s="10" t="s">
        <v>4512</v>
      </c>
      <c r="E2277" s="9">
        <v>127</v>
      </c>
      <c r="F2277" s="11">
        <v>45664</v>
      </c>
      <c r="G2277" s="8"/>
    </row>
    <row r="2278" spans="1:7" ht="18.75" customHeight="1" x14ac:dyDescent="0.2">
      <c r="A2278" s="13" t="s">
        <v>4513</v>
      </c>
      <c r="B2278" s="9">
        <v>52958</v>
      </c>
      <c r="C2278" s="9"/>
      <c r="D2278" s="10" t="s">
        <v>4514</v>
      </c>
      <c r="E2278" s="9">
        <v>188</v>
      </c>
      <c r="F2278" s="11">
        <v>45664</v>
      </c>
      <c r="G2278" s="8"/>
    </row>
    <row r="2279" spans="1:7" ht="18.75" customHeight="1" x14ac:dyDescent="0.2">
      <c r="A2279" s="13" t="s">
        <v>4515</v>
      </c>
      <c r="B2279" s="9">
        <v>52959</v>
      </c>
      <c r="C2279" s="9">
        <v>5905505503214</v>
      </c>
      <c r="D2279" s="10" t="s">
        <v>4516</v>
      </c>
      <c r="E2279" s="9">
        <v>222</v>
      </c>
      <c r="F2279" s="11">
        <v>45664</v>
      </c>
      <c r="G2279" s="8"/>
    </row>
    <row r="2280" spans="1:7" ht="18.75" customHeight="1" x14ac:dyDescent="0.2">
      <c r="A2280" s="13" t="s">
        <v>4517</v>
      </c>
      <c r="B2280" s="9">
        <v>52962</v>
      </c>
      <c r="C2280" s="9"/>
      <c r="D2280" s="10" t="s">
        <v>4518</v>
      </c>
      <c r="E2280" s="9">
        <v>220</v>
      </c>
      <c r="F2280" s="11">
        <v>45664</v>
      </c>
      <c r="G2280" s="8"/>
    </row>
    <row r="2281" spans="1:7" ht="18.75" customHeight="1" x14ac:dyDescent="0.2">
      <c r="A2281" s="8" t="s">
        <v>4519</v>
      </c>
      <c r="B2281" s="8">
        <v>52952</v>
      </c>
      <c r="C2281" s="8">
        <v>5905505503115</v>
      </c>
      <c r="D2281" s="10" t="s">
        <v>4520</v>
      </c>
      <c r="E2281" s="9">
        <v>154</v>
      </c>
      <c r="F2281" s="11">
        <v>45664</v>
      </c>
      <c r="G2281" s="8"/>
    </row>
    <row r="2282" spans="1:7" ht="18.75" customHeight="1" x14ac:dyDescent="0.2">
      <c r="A2282" s="8" t="s">
        <v>4521</v>
      </c>
      <c r="B2282" s="8">
        <v>52953</v>
      </c>
      <c r="C2282" s="8"/>
      <c r="D2282" s="10" t="s">
        <v>4522</v>
      </c>
      <c r="E2282" s="9">
        <v>188</v>
      </c>
      <c r="F2282" s="11">
        <v>45664</v>
      </c>
      <c r="G2282" s="8"/>
    </row>
    <row r="2283" spans="1:7" ht="18.75" customHeight="1" x14ac:dyDescent="0.2">
      <c r="A2283" s="8" t="s">
        <v>4523</v>
      </c>
      <c r="B2283" s="8">
        <v>52955</v>
      </c>
      <c r="C2283" s="8"/>
      <c r="D2283" s="10" t="s">
        <v>4524</v>
      </c>
      <c r="E2283" s="9">
        <v>186</v>
      </c>
      <c r="F2283" s="11">
        <v>45664</v>
      </c>
      <c r="G2283" s="8"/>
    </row>
    <row r="2284" spans="1:7" ht="18.75" customHeight="1" x14ac:dyDescent="0.2">
      <c r="A2284" s="8" t="s">
        <v>4525</v>
      </c>
      <c r="B2284" s="8">
        <v>54432</v>
      </c>
      <c r="C2284" s="8">
        <v>5906366007897</v>
      </c>
      <c r="D2284" s="10" t="s">
        <v>4526</v>
      </c>
      <c r="E2284" s="9">
        <v>33</v>
      </c>
      <c r="F2284" s="11">
        <v>45667</v>
      </c>
      <c r="G2284" s="8"/>
    </row>
    <row r="2285" spans="1:7" ht="18.75" customHeight="1" x14ac:dyDescent="0.2">
      <c r="A2285" s="8" t="s">
        <v>4527</v>
      </c>
      <c r="B2285" s="8">
        <v>52736</v>
      </c>
      <c r="C2285" s="8">
        <v>5902557398485</v>
      </c>
      <c r="D2285" s="10" t="s">
        <v>4528</v>
      </c>
      <c r="E2285" s="9">
        <v>45</v>
      </c>
      <c r="F2285" s="11">
        <v>45667</v>
      </c>
      <c r="G2285" s="8"/>
    </row>
    <row r="2286" spans="1:7" ht="18.75" customHeight="1" x14ac:dyDescent="0.2">
      <c r="A2286" s="8" t="s">
        <v>4529</v>
      </c>
      <c r="B2286" s="8">
        <v>52735</v>
      </c>
      <c r="C2286" s="8">
        <v>5902557398478</v>
      </c>
      <c r="D2286" s="10" t="s">
        <v>4530</v>
      </c>
      <c r="E2286" s="9">
        <v>35</v>
      </c>
      <c r="F2286" s="11">
        <v>45667</v>
      </c>
      <c r="G2286" s="8"/>
    </row>
    <row r="2287" spans="1:7" ht="18.75" customHeight="1" x14ac:dyDescent="0.2">
      <c r="A2287" s="8" t="s">
        <v>4531</v>
      </c>
      <c r="B2287" s="8">
        <v>54431</v>
      </c>
      <c r="C2287" s="8">
        <v>5906366007880</v>
      </c>
      <c r="D2287" s="10" t="s">
        <v>4532</v>
      </c>
      <c r="E2287" s="9">
        <v>33</v>
      </c>
      <c r="F2287" s="11">
        <v>45667</v>
      </c>
      <c r="G2287" s="8"/>
    </row>
    <row r="2288" spans="1:7" ht="18.75" customHeight="1" x14ac:dyDescent="0.2">
      <c r="A2288" s="8" t="s">
        <v>4533</v>
      </c>
      <c r="B2288" s="8">
        <v>52732</v>
      </c>
      <c r="C2288" s="8">
        <v>5902557398409</v>
      </c>
      <c r="D2288" s="10" t="s">
        <v>4534</v>
      </c>
      <c r="E2288" s="9">
        <v>45</v>
      </c>
      <c r="F2288" s="11">
        <v>45667</v>
      </c>
      <c r="G2288" s="8"/>
    </row>
    <row r="2289" spans="1:7" ht="18.75" customHeight="1" x14ac:dyDescent="0.2">
      <c r="A2289" s="8" t="s">
        <v>4535</v>
      </c>
      <c r="B2289" s="8">
        <v>52731</v>
      </c>
      <c r="C2289" s="8">
        <v>5902557398393</v>
      </c>
      <c r="D2289" s="10" t="s">
        <v>4536</v>
      </c>
      <c r="E2289" s="9">
        <v>35</v>
      </c>
      <c r="F2289" s="11">
        <v>45667</v>
      </c>
      <c r="G2289" s="8"/>
    </row>
    <row r="2290" spans="1:7" ht="18.75" customHeight="1" x14ac:dyDescent="0.2">
      <c r="A2290" s="8" t="s">
        <v>4537</v>
      </c>
      <c r="B2290" s="8">
        <v>54430</v>
      </c>
      <c r="C2290" s="8">
        <v>5906366007903</v>
      </c>
      <c r="D2290" s="10" t="s">
        <v>4538</v>
      </c>
      <c r="E2290" s="9">
        <v>33</v>
      </c>
      <c r="F2290" s="11">
        <v>45667</v>
      </c>
      <c r="G2290" s="8"/>
    </row>
    <row r="2291" spans="1:7" ht="18.75" customHeight="1" x14ac:dyDescent="0.2">
      <c r="A2291" s="8" t="s">
        <v>4539</v>
      </c>
      <c r="B2291" s="8">
        <v>52730</v>
      </c>
      <c r="C2291" s="8">
        <v>5902557398447</v>
      </c>
      <c r="D2291" s="10" t="s">
        <v>4540</v>
      </c>
      <c r="E2291" s="9">
        <v>45</v>
      </c>
      <c r="F2291" s="11">
        <v>45667</v>
      </c>
      <c r="G2291" s="8"/>
    </row>
    <row r="2292" spans="1:7" ht="18.75" customHeight="1" x14ac:dyDescent="0.2">
      <c r="A2292" s="8" t="s">
        <v>4541</v>
      </c>
      <c r="B2292" s="8">
        <v>52728</v>
      </c>
      <c r="C2292" s="8">
        <v>5902557398430</v>
      </c>
      <c r="D2292" s="10" t="s">
        <v>4542</v>
      </c>
      <c r="E2292" s="9">
        <v>35</v>
      </c>
      <c r="F2292" s="11">
        <v>45667</v>
      </c>
      <c r="G2292" s="8"/>
    </row>
    <row r="2293" spans="1:7" ht="18.75" customHeight="1" x14ac:dyDescent="0.2">
      <c r="A2293" s="8" t="s">
        <v>4543</v>
      </c>
      <c r="B2293" s="8">
        <v>54429</v>
      </c>
      <c r="C2293" s="8">
        <v>5906366007927</v>
      </c>
      <c r="D2293" s="10" t="s">
        <v>4544</v>
      </c>
      <c r="E2293" s="9">
        <v>28</v>
      </c>
      <c r="F2293" s="11">
        <v>45667</v>
      </c>
      <c r="G2293" s="8"/>
    </row>
    <row r="2294" spans="1:7" ht="18.75" customHeight="1" x14ac:dyDescent="0.2">
      <c r="A2294" s="8" t="s">
        <v>4545</v>
      </c>
      <c r="B2294" s="8">
        <v>52729</v>
      </c>
      <c r="C2294" s="8">
        <v>5902557398423</v>
      </c>
      <c r="D2294" s="10" t="s">
        <v>4546</v>
      </c>
      <c r="E2294" s="9">
        <v>33</v>
      </c>
      <c r="F2294" s="11">
        <v>45667</v>
      </c>
      <c r="G2294" s="8"/>
    </row>
    <row r="2295" spans="1:7" ht="18.75" customHeight="1" x14ac:dyDescent="0.2">
      <c r="A2295" s="8" t="s">
        <v>4547</v>
      </c>
      <c r="B2295" s="8">
        <v>52727</v>
      </c>
      <c r="C2295" s="8">
        <v>5902557398416</v>
      </c>
      <c r="D2295" s="10" t="s">
        <v>4548</v>
      </c>
      <c r="E2295" s="9">
        <v>28</v>
      </c>
      <c r="F2295" s="11">
        <v>45667</v>
      </c>
      <c r="G2295" s="8"/>
    </row>
    <row r="2296" spans="1:7" ht="18.75" customHeight="1" x14ac:dyDescent="0.2">
      <c r="A2296" s="8" t="s">
        <v>4549</v>
      </c>
      <c r="B2296" s="8">
        <v>54428</v>
      </c>
      <c r="C2296" s="8">
        <v>5906366007910</v>
      </c>
      <c r="D2296" s="10" t="s">
        <v>4550</v>
      </c>
      <c r="E2296" s="9">
        <v>35</v>
      </c>
      <c r="F2296" s="11">
        <v>45667</v>
      </c>
      <c r="G2296" s="8"/>
    </row>
    <row r="2297" spans="1:7" ht="18.75" customHeight="1" x14ac:dyDescent="0.2">
      <c r="A2297" s="8" t="s">
        <v>4551</v>
      </c>
      <c r="B2297" s="8">
        <v>52726</v>
      </c>
      <c r="C2297" s="8">
        <v>5902557398461</v>
      </c>
      <c r="D2297" s="10" t="s">
        <v>4552</v>
      </c>
      <c r="E2297" s="9">
        <v>42</v>
      </c>
      <c r="F2297" s="11">
        <v>45667</v>
      </c>
      <c r="G2297" s="8"/>
    </row>
    <row r="2298" spans="1:7" ht="18.75" customHeight="1" x14ac:dyDescent="0.2">
      <c r="A2298" s="8" t="s">
        <v>4553</v>
      </c>
      <c r="B2298" s="8">
        <v>52725</v>
      </c>
      <c r="C2298" s="8">
        <v>5902557398454</v>
      </c>
      <c r="D2298" s="10" t="s">
        <v>4554</v>
      </c>
      <c r="E2298" s="9">
        <v>35</v>
      </c>
      <c r="F2298" s="11">
        <v>45667</v>
      </c>
      <c r="G2298" s="8"/>
    </row>
    <row r="2299" spans="1:7" ht="18.75" customHeight="1" x14ac:dyDescent="0.2">
      <c r="A2299" s="8" t="s">
        <v>4555</v>
      </c>
      <c r="B2299" s="8">
        <v>54427</v>
      </c>
      <c r="C2299" s="8">
        <v>5906366007934</v>
      </c>
      <c r="D2299" s="10" t="s">
        <v>4556</v>
      </c>
      <c r="E2299" s="9">
        <v>33</v>
      </c>
      <c r="F2299" s="11">
        <v>45667</v>
      </c>
      <c r="G2299" s="8"/>
    </row>
    <row r="2300" spans="1:7" ht="18.75" customHeight="1" x14ac:dyDescent="0.2">
      <c r="A2300" s="8" t="s">
        <v>4557</v>
      </c>
      <c r="B2300" s="8">
        <v>52722</v>
      </c>
      <c r="C2300" s="8">
        <v>5902557398362</v>
      </c>
      <c r="D2300" s="10" t="s">
        <v>4558</v>
      </c>
      <c r="E2300" s="9">
        <v>40</v>
      </c>
      <c r="F2300" s="11">
        <v>45667</v>
      </c>
      <c r="G2300" s="8"/>
    </row>
    <row r="2301" spans="1:7" ht="18.75" customHeight="1" x14ac:dyDescent="0.2">
      <c r="A2301" s="8" t="s">
        <v>4559</v>
      </c>
      <c r="B2301" s="8">
        <v>52719</v>
      </c>
      <c r="C2301" s="8">
        <v>5902557398355</v>
      </c>
      <c r="D2301" s="10" t="s">
        <v>4560</v>
      </c>
      <c r="E2301" s="9">
        <v>33</v>
      </c>
      <c r="F2301" s="11">
        <v>45667</v>
      </c>
      <c r="G2301" s="8"/>
    </row>
    <row r="2302" spans="1:7" ht="18.75" customHeight="1" x14ac:dyDescent="0.2">
      <c r="A2302" s="8" t="s">
        <v>4561</v>
      </c>
      <c r="B2302" s="8">
        <v>54407</v>
      </c>
      <c r="C2302" s="8">
        <v>5906366008061</v>
      </c>
      <c r="D2302" s="10" t="s">
        <v>4562</v>
      </c>
      <c r="E2302" s="9">
        <v>82</v>
      </c>
      <c r="F2302" s="11">
        <v>45667</v>
      </c>
      <c r="G2302" s="8"/>
    </row>
    <row r="2303" spans="1:7" ht="18.75" customHeight="1" x14ac:dyDescent="0.2">
      <c r="A2303" s="8" t="s">
        <v>4563</v>
      </c>
      <c r="B2303" s="8">
        <v>54435</v>
      </c>
      <c r="C2303" s="8">
        <v>5906366000270</v>
      </c>
      <c r="D2303" s="10" t="s">
        <v>4564</v>
      </c>
      <c r="E2303" s="9">
        <v>59</v>
      </c>
      <c r="F2303" s="11">
        <v>45667</v>
      </c>
      <c r="G2303" s="8"/>
    </row>
    <row r="2304" spans="1:7" ht="18.75" customHeight="1" x14ac:dyDescent="0.2">
      <c r="A2304" s="8" t="s">
        <v>4565</v>
      </c>
      <c r="B2304" s="8">
        <v>54434</v>
      </c>
      <c r="C2304" s="8">
        <v>5906366000256</v>
      </c>
      <c r="D2304" s="10" t="s">
        <v>4566</v>
      </c>
      <c r="E2304" s="9">
        <v>54</v>
      </c>
      <c r="F2304" s="11">
        <v>45667</v>
      </c>
      <c r="G2304" s="8"/>
    </row>
    <row r="2305" spans="1:7" ht="18.75" customHeight="1" x14ac:dyDescent="0.2">
      <c r="A2305" s="8" t="s">
        <v>4567</v>
      </c>
      <c r="B2305" s="8">
        <v>54418</v>
      </c>
      <c r="C2305" s="8">
        <v>5906366007408</v>
      </c>
      <c r="D2305" s="10" t="s">
        <v>4568</v>
      </c>
      <c r="E2305" s="9">
        <v>84</v>
      </c>
      <c r="F2305" s="11">
        <v>45667</v>
      </c>
      <c r="G2305" s="8"/>
    </row>
    <row r="2306" spans="1:7" ht="18.75" customHeight="1" x14ac:dyDescent="0.2">
      <c r="A2306" s="8" t="s">
        <v>4569</v>
      </c>
      <c r="B2306" s="8">
        <v>54419</v>
      </c>
      <c r="C2306" s="8">
        <v>5906366007392</v>
      </c>
      <c r="D2306" s="10" t="s">
        <v>4570</v>
      </c>
      <c r="E2306" s="9">
        <v>77</v>
      </c>
      <c r="F2306" s="11">
        <v>45667</v>
      </c>
      <c r="G2306" s="8"/>
    </row>
    <row r="2307" spans="1:7" ht="18.75" customHeight="1" x14ac:dyDescent="0.2">
      <c r="A2307" s="8" t="s">
        <v>4571</v>
      </c>
      <c r="B2307" s="8">
        <v>54417</v>
      </c>
      <c r="C2307" s="8">
        <v>5906366007385</v>
      </c>
      <c r="D2307" s="10" t="s">
        <v>4572</v>
      </c>
      <c r="E2307" s="9">
        <v>73</v>
      </c>
      <c r="F2307" s="11">
        <v>45667</v>
      </c>
      <c r="G2307" s="8"/>
    </row>
    <row r="2308" spans="1:7" ht="18.75" customHeight="1" x14ac:dyDescent="0.2">
      <c r="A2308" s="8" t="s">
        <v>4573</v>
      </c>
      <c r="B2308" s="8">
        <v>54416</v>
      </c>
      <c r="C2308" s="8">
        <v>5906366007378</v>
      </c>
      <c r="D2308" s="10" t="s">
        <v>4574</v>
      </c>
      <c r="E2308" s="9">
        <v>70</v>
      </c>
      <c r="F2308" s="11">
        <v>45667</v>
      </c>
      <c r="G2308" s="8"/>
    </row>
    <row r="2309" spans="1:7" ht="18.75" customHeight="1" x14ac:dyDescent="0.2">
      <c r="A2309" s="8" t="s">
        <v>4575</v>
      </c>
      <c r="B2309" s="8">
        <v>54415</v>
      </c>
      <c r="C2309" s="8">
        <v>5906366007361</v>
      </c>
      <c r="D2309" s="10" t="s">
        <v>4576</v>
      </c>
      <c r="E2309" s="9">
        <v>66</v>
      </c>
      <c r="F2309" s="11">
        <v>45667</v>
      </c>
      <c r="G2309" s="8"/>
    </row>
    <row r="2310" spans="1:7" ht="18.75" customHeight="1" x14ac:dyDescent="0.2">
      <c r="A2310" s="8" t="s">
        <v>4577</v>
      </c>
      <c r="B2310" s="8">
        <v>54412</v>
      </c>
      <c r="C2310" s="8">
        <v>5906366007507</v>
      </c>
      <c r="D2310" s="10" t="s">
        <v>4578</v>
      </c>
      <c r="E2310" s="9">
        <v>87</v>
      </c>
      <c r="F2310" s="11">
        <v>45667</v>
      </c>
      <c r="G2310" s="8"/>
    </row>
    <row r="2311" spans="1:7" ht="18.75" customHeight="1" x14ac:dyDescent="0.2">
      <c r="A2311" s="8" t="s">
        <v>4579</v>
      </c>
      <c r="B2311" s="8">
        <v>54411</v>
      </c>
      <c r="C2311" s="8">
        <v>5906366007491</v>
      </c>
      <c r="D2311" s="10" t="s">
        <v>4580</v>
      </c>
      <c r="E2311" s="9">
        <v>80</v>
      </c>
      <c r="F2311" s="11">
        <v>45667</v>
      </c>
      <c r="G2311" s="8"/>
    </row>
    <row r="2312" spans="1:7" ht="18.75" customHeight="1" x14ac:dyDescent="0.2">
      <c r="A2312" s="8" t="s">
        <v>4581</v>
      </c>
      <c r="B2312" s="8">
        <v>54410</v>
      </c>
      <c r="C2312" s="8">
        <v>5906366007484</v>
      </c>
      <c r="D2312" s="10" t="s">
        <v>4582</v>
      </c>
      <c r="E2312" s="9">
        <v>75</v>
      </c>
      <c r="F2312" s="11">
        <v>45667</v>
      </c>
      <c r="G2312" s="8"/>
    </row>
    <row r="2313" spans="1:7" ht="18.75" customHeight="1" x14ac:dyDescent="0.2">
      <c r="A2313" s="8" t="s">
        <v>4583</v>
      </c>
      <c r="B2313" s="8">
        <v>54409</v>
      </c>
      <c r="C2313" s="8">
        <v>5906366007477</v>
      </c>
      <c r="D2313" s="10" t="s">
        <v>4584</v>
      </c>
      <c r="E2313" s="9">
        <v>73</v>
      </c>
      <c r="F2313" s="11">
        <v>45667</v>
      </c>
      <c r="G2313" s="8"/>
    </row>
    <row r="2314" spans="1:7" ht="18.75" customHeight="1" x14ac:dyDescent="0.2">
      <c r="A2314" s="8" t="s">
        <v>4585</v>
      </c>
      <c r="B2314" s="8">
        <v>54408</v>
      </c>
      <c r="C2314" s="8">
        <v>5906366007460</v>
      </c>
      <c r="D2314" s="10" t="s">
        <v>4586</v>
      </c>
      <c r="E2314" s="9">
        <v>68</v>
      </c>
      <c r="F2314" s="11">
        <v>45667</v>
      </c>
      <c r="G2314" s="8"/>
    </row>
    <row r="2315" spans="1:7" ht="18.75" customHeight="1" x14ac:dyDescent="0.2">
      <c r="A2315" s="8" t="s">
        <v>4587</v>
      </c>
      <c r="B2315" s="8">
        <v>54286</v>
      </c>
      <c r="C2315" s="8">
        <v>5906366007958</v>
      </c>
      <c r="D2315" s="10" t="s">
        <v>4588</v>
      </c>
      <c r="E2315" s="9">
        <v>83</v>
      </c>
      <c r="F2315" s="11">
        <v>45667</v>
      </c>
      <c r="G2315" s="8"/>
    </row>
    <row r="2316" spans="1:7" ht="18.75" customHeight="1" x14ac:dyDescent="0.2">
      <c r="A2316" s="8" t="s">
        <v>4589</v>
      </c>
      <c r="B2316" s="8">
        <v>54391</v>
      </c>
      <c r="C2316" s="8">
        <v>5906366006647</v>
      </c>
      <c r="D2316" s="10" t="s">
        <v>4590</v>
      </c>
      <c r="E2316" s="9">
        <v>249</v>
      </c>
      <c r="F2316" s="11">
        <v>45667</v>
      </c>
      <c r="G2316" s="8"/>
    </row>
    <row r="2317" spans="1:7" ht="18.75" customHeight="1" x14ac:dyDescent="0.2">
      <c r="A2317" s="8" t="s">
        <v>4591</v>
      </c>
      <c r="B2317" s="8">
        <v>54393</v>
      </c>
      <c r="C2317" s="8">
        <v>5906366006661</v>
      </c>
      <c r="D2317" s="10" t="s">
        <v>4592</v>
      </c>
      <c r="E2317" s="9">
        <v>259</v>
      </c>
      <c r="F2317" s="11">
        <v>45667</v>
      </c>
      <c r="G2317" s="8"/>
    </row>
    <row r="2318" spans="1:7" ht="18.75" customHeight="1" x14ac:dyDescent="0.2">
      <c r="A2318" s="8" t="s">
        <v>4593</v>
      </c>
      <c r="B2318" s="8">
        <v>54388</v>
      </c>
      <c r="C2318" s="8">
        <v>5906366006616</v>
      </c>
      <c r="D2318" s="10" t="s">
        <v>4594</v>
      </c>
      <c r="E2318" s="9">
        <v>188</v>
      </c>
      <c r="F2318" s="11">
        <v>45667</v>
      </c>
      <c r="G2318" s="8"/>
    </row>
    <row r="2319" spans="1:7" ht="18.75" customHeight="1" x14ac:dyDescent="0.2">
      <c r="A2319" s="8" t="s">
        <v>4595</v>
      </c>
      <c r="B2319" s="8">
        <v>54387</v>
      </c>
      <c r="C2319" s="8">
        <v>5906366006623</v>
      </c>
      <c r="D2319" s="10" t="s">
        <v>4596</v>
      </c>
      <c r="E2319" s="9">
        <v>179</v>
      </c>
      <c r="F2319" s="11">
        <v>45667</v>
      </c>
      <c r="G2319" s="8"/>
    </row>
    <row r="2320" spans="1:7" ht="18.75" customHeight="1" x14ac:dyDescent="0.2">
      <c r="A2320" s="8" t="s">
        <v>4597</v>
      </c>
      <c r="B2320" s="8">
        <v>54390</v>
      </c>
      <c r="C2320" s="8">
        <v>5906366006630</v>
      </c>
      <c r="D2320" s="10" t="s">
        <v>4598</v>
      </c>
      <c r="E2320" s="9">
        <v>179</v>
      </c>
      <c r="F2320" s="11">
        <v>45667</v>
      </c>
      <c r="G2320" s="8"/>
    </row>
    <row r="2321" spans="1:7" ht="18.75" customHeight="1" x14ac:dyDescent="0.2">
      <c r="A2321" s="8" t="s">
        <v>4599</v>
      </c>
      <c r="B2321" s="8">
        <v>54442</v>
      </c>
      <c r="C2321" s="8">
        <v>5906366006951</v>
      </c>
      <c r="D2321" s="10" t="s">
        <v>4600</v>
      </c>
      <c r="E2321" s="9">
        <v>82</v>
      </c>
      <c r="F2321" s="11">
        <v>45667</v>
      </c>
      <c r="G2321" s="8"/>
    </row>
    <row r="2322" spans="1:7" ht="18.75" customHeight="1" x14ac:dyDescent="0.2">
      <c r="A2322" s="8" t="s">
        <v>4601</v>
      </c>
      <c r="B2322" s="8">
        <v>54457</v>
      </c>
      <c r="C2322" s="8">
        <v>5906366006999</v>
      </c>
      <c r="D2322" s="10" t="s">
        <v>4602</v>
      </c>
      <c r="E2322" s="9">
        <v>96</v>
      </c>
      <c r="F2322" s="11">
        <v>45667</v>
      </c>
      <c r="G2322" s="8"/>
    </row>
    <row r="2323" spans="1:7" ht="18.75" customHeight="1" x14ac:dyDescent="0.2">
      <c r="A2323" s="8" t="s">
        <v>4603</v>
      </c>
      <c r="B2323" s="8">
        <v>54461</v>
      </c>
      <c r="C2323" s="8">
        <v>5906366006982</v>
      </c>
      <c r="D2323" s="10" t="s">
        <v>4604</v>
      </c>
      <c r="E2323" s="9">
        <v>84</v>
      </c>
      <c r="F2323" s="11">
        <v>45667</v>
      </c>
      <c r="G2323" s="8"/>
    </row>
    <row r="2324" spans="1:7" ht="18.75" customHeight="1" x14ac:dyDescent="0.2">
      <c r="A2324" s="8" t="s">
        <v>4605</v>
      </c>
      <c r="B2324" s="8">
        <v>54445</v>
      </c>
      <c r="C2324" s="8">
        <v>5906366006968</v>
      </c>
      <c r="D2324" s="10" t="s">
        <v>4606</v>
      </c>
      <c r="E2324" s="9">
        <v>92</v>
      </c>
      <c r="F2324" s="11">
        <v>45667</v>
      </c>
      <c r="G2324" s="8"/>
    </row>
    <row r="2325" spans="1:7" ht="18.75" customHeight="1" x14ac:dyDescent="0.2">
      <c r="A2325" s="8" t="s">
        <v>4607</v>
      </c>
      <c r="B2325" s="8">
        <v>54455</v>
      </c>
      <c r="C2325" s="8">
        <v>5906366007002</v>
      </c>
      <c r="D2325" s="10" t="s">
        <v>4608</v>
      </c>
      <c r="E2325" s="9">
        <v>101</v>
      </c>
      <c r="F2325" s="11">
        <v>45667</v>
      </c>
      <c r="G2325" s="8"/>
    </row>
    <row r="2326" spans="1:7" ht="18.75" customHeight="1" x14ac:dyDescent="0.2">
      <c r="A2326" s="8" t="s">
        <v>4609</v>
      </c>
      <c r="B2326" s="8">
        <v>54459</v>
      </c>
      <c r="C2326" s="8">
        <v>5906366006975</v>
      </c>
      <c r="D2326" s="10" t="s">
        <v>4610</v>
      </c>
      <c r="E2326" s="9">
        <v>94</v>
      </c>
      <c r="F2326" s="11">
        <v>45667</v>
      </c>
      <c r="G2326" s="8"/>
    </row>
    <row r="2327" spans="1:7" ht="18.75" customHeight="1" x14ac:dyDescent="0.2">
      <c r="A2327" s="8" t="s">
        <v>4611</v>
      </c>
      <c r="B2327" s="8">
        <v>54447</v>
      </c>
      <c r="C2327" s="8">
        <v>5906366007071</v>
      </c>
      <c r="D2327" s="10" t="s">
        <v>4612</v>
      </c>
      <c r="E2327" s="9">
        <v>101</v>
      </c>
      <c r="F2327" s="11">
        <v>45667</v>
      </c>
      <c r="G2327" s="8"/>
    </row>
    <row r="2328" spans="1:7" ht="18.75" customHeight="1" x14ac:dyDescent="0.2">
      <c r="A2328" s="8" t="s">
        <v>4613</v>
      </c>
      <c r="B2328" s="8">
        <v>54453</v>
      </c>
      <c r="C2328" s="8">
        <v>5906366007019</v>
      </c>
      <c r="D2328" s="10" t="s">
        <v>4614</v>
      </c>
      <c r="E2328" s="9">
        <v>110</v>
      </c>
      <c r="F2328" s="11">
        <v>45667</v>
      </c>
      <c r="G2328" s="8"/>
    </row>
    <row r="2329" spans="1:7" ht="18.75" customHeight="1" x14ac:dyDescent="0.2">
      <c r="A2329" s="8" t="s">
        <v>4615</v>
      </c>
      <c r="B2329" s="8">
        <v>54463</v>
      </c>
      <c r="C2329" s="8">
        <v>5906366007064</v>
      </c>
      <c r="D2329" s="10" t="s">
        <v>4616</v>
      </c>
      <c r="E2329" s="9">
        <v>103</v>
      </c>
      <c r="F2329" s="11">
        <v>45667</v>
      </c>
      <c r="G2329" s="8"/>
    </row>
    <row r="2330" spans="1:7" ht="18.75" customHeight="1" x14ac:dyDescent="0.2">
      <c r="A2330" s="8" t="s">
        <v>4617</v>
      </c>
      <c r="B2330" s="8">
        <v>54467</v>
      </c>
      <c r="C2330" s="8">
        <v>5906366007088</v>
      </c>
      <c r="D2330" s="10" t="s">
        <v>4618</v>
      </c>
      <c r="E2330" s="9">
        <v>127</v>
      </c>
      <c r="F2330" s="11">
        <v>45667</v>
      </c>
      <c r="G2330" s="8"/>
    </row>
    <row r="2331" spans="1:7" ht="18.75" customHeight="1" x14ac:dyDescent="0.2">
      <c r="A2331" s="8" t="s">
        <v>4619</v>
      </c>
      <c r="B2331" s="8">
        <v>54469</v>
      </c>
      <c r="C2331" s="8">
        <v>5906366007026</v>
      </c>
      <c r="D2331" s="10" t="s">
        <v>4620</v>
      </c>
      <c r="E2331" s="9">
        <v>136</v>
      </c>
      <c r="F2331" s="11">
        <v>45667</v>
      </c>
      <c r="G2331" s="8"/>
    </row>
    <row r="2332" spans="1:7" ht="18.75" customHeight="1" x14ac:dyDescent="0.2">
      <c r="A2332" s="8" t="s">
        <v>4621</v>
      </c>
      <c r="B2332" s="8">
        <v>54471</v>
      </c>
      <c r="C2332" s="8">
        <v>5906366007057</v>
      </c>
      <c r="D2332" s="10" t="s">
        <v>4622</v>
      </c>
      <c r="E2332" s="9">
        <v>129</v>
      </c>
      <c r="F2332" s="11">
        <v>45667</v>
      </c>
      <c r="G2332" s="8"/>
    </row>
    <row r="2333" spans="1:7" ht="18.75" customHeight="1" x14ac:dyDescent="0.2">
      <c r="A2333" s="8" t="s">
        <v>4623</v>
      </c>
      <c r="B2333" s="8">
        <v>54449</v>
      </c>
      <c r="C2333" s="8">
        <v>5906366007095</v>
      </c>
      <c r="D2333" s="10" t="s">
        <v>4624</v>
      </c>
      <c r="E2333" s="9">
        <v>136</v>
      </c>
      <c r="F2333" s="11">
        <v>45667</v>
      </c>
      <c r="G2333" s="8"/>
    </row>
    <row r="2334" spans="1:7" ht="18.75" customHeight="1" x14ac:dyDescent="0.2">
      <c r="A2334" s="8" t="s">
        <v>4625</v>
      </c>
      <c r="B2334" s="8">
        <v>54451</v>
      </c>
      <c r="C2334" s="8">
        <v>5906366007033</v>
      </c>
      <c r="D2334" s="10" t="s">
        <v>4626</v>
      </c>
      <c r="E2334" s="9">
        <v>146</v>
      </c>
      <c r="F2334" s="11">
        <v>45667</v>
      </c>
      <c r="G2334" s="8"/>
    </row>
    <row r="2335" spans="1:7" ht="18.75" customHeight="1" x14ac:dyDescent="0.2">
      <c r="A2335" s="8" t="s">
        <v>4627</v>
      </c>
      <c r="B2335" s="8">
        <v>54465</v>
      </c>
      <c r="C2335" s="8">
        <v>5906366007040</v>
      </c>
      <c r="D2335" s="10" t="s">
        <v>4628</v>
      </c>
      <c r="E2335" s="9">
        <v>139</v>
      </c>
      <c r="F2335" s="11">
        <v>45667</v>
      </c>
      <c r="G2335" s="8"/>
    </row>
    <row r="2336" spans="1:7" ht="18.75" customHeight="1" x14ac:dyDescent="0.2">
      <c r="A2336" s="8" t="s">
        <v>4629</v>
      </c>
      <c r="B2336" s="8">
        <v>54437</v>
      </c>
      <c r="C2336" s="8">
        <v>5906366008078</v>
      </c>
      <c r="D2336" s="10" t="s">
        <v>4630</v>
      </c>
      <c r="E2336" s="9">
        <v>59</v>
      </c>
      <c r="F2336" s="11">
        <v>45693</v>
      </c>
      <c r="G2336" s="8"/>
    </row>
    <row r="2337" spans="1:7" ht="18.75" customHeight="1" x14ac:dyDescent="0.2">
      <c r="A2337" s="8" t="s">
        <v>4631</v>
      </c>
      <c r="B2337" s="8">
        <v>54433</v>
      </c>
      <c r="C2337" s="8">
        <v>5906366007705</v>
      </c>
      <c r="D2337" s="10" t="s">
        <v>4632</v>
      </c>
      <c r="E2337" s="9">
        <v>753</v>
      </c>
      <c r="F2337" s="11">
        <v>45673</v>
      </c>
      <c r="G2337" s="8"/>
    </row>
    <row r="2338" spans="1:7" ht="18.75" customHeight="1" x14ac:dyDescent="0.2">
      <c r="A2338" s="8" t="s">
        <v>4633</v>
      </c>
      <c r="B2338" s="8">
        <v>54438</v>
      </c>
      <c r="C2338" s="8">
        <v>5906366008184</v>
      </c>
      <c r="D2338" s="10" t="s">
        <v>4634</v>
      </c>
      <c r="E2338" s="9">
        <v>277</v>
      </c>
      <c r="F2338" s="11">
        <v>45673</v>
      </c>
      <c r="G2338" s="8"/>
    </row>
    <row r="2339" spans="1:7" ht="18.75" customHeight="1" x14ac:dyDescent="0.2">
      <c r="A2339" s="9" t="s">
        <v>4635</v>
      </c>
      <c r="B2339" s="8">
        <v>54440</v>
      </c>
      <c r="C2339" s="8">
        <v>5906366008177</v>
      </c>
      <c r="D2339" s="10" t="s">
        <v>4636</v>
      </c>
      <c r="E2339" s="16">
        <v>70</v>
      </c>
      <c r="F2339" s="11">
        <v>45679</v>
      </c>
      <c r="G2339" s="8"/>
    </row>
    <row r="2340" spans="1:7" ht="18.75" customHeight="1" x14ac:dyDescent="0.2">
      <c r="A2340" s="9" t="s">
        <v>4637</v>
      </c>
      <c r="B2340" s="8">
        <v>54441</v>
      </c>
      <c r="C2340" s="8">
        <v>5906366008153</v>
      </c>
      <c r="D2340" s="10" t="s">
        <v>4638</v>
      </c>
      <c r="E2340" s="16">
        <v>75</v>
      </c>
      <c r="F2340" s="11">
        <v>45679</v>
      </c>
      <c r="G2340" s="8"/>
    </row>
    <row r="2341" spans="1:7" ht="18.75" customHeight="1" x14ac:dyDescent="0.2">
      <c r="A2341" s="9" t="s">
        <v>4639</v>
      </c>
      <c r="B2341" s="8">
        <v>54439</v>
      </c>
      <c r="C2341" s="8">
        <v>5906366008160</v>
      </c>
      <c r="D2341" s="10" t="s">
        <v>4640</v>
      </c>
      <c r="E2341" s="16">
        <v>59</v>
      </c>
      <c r="F2341" s="11">
        <v>45679</v>
      </c>
      <c r="G2341" s="8"/>
    </row>
    <row r="2342" spans="1:7" ht="18.75" customHeight="1" x14ac:dyDescent="0.2">
      <c r="A2342" s="9" t="s">
        <v>4641</v>
      </c>
      <c r="B2342" s="8">
        <v>54501</v>
      </c>
      <c r="C2342" s="8">
        <v>5906366007774</v>
      </c>
      <c r="D2342" s="10" t="s">
        <v>4642</v>
      </c>
      <c r="E2342" s="9">
        <v>132</v>
      </c>
      <c r="F2342" s="11">
        <v>45687</v>
      </c>
      <c r="G2342" s="8"/>
    </row>
    <row r="2343" spans="1:7" ht="18.75" customHeight="1" x14ac:dyDescent="0.2">
      <c r="A2343" s="9" t="s">
        <v>4643</v>
      </c>
      <c r="B2343" s="8">
        <v>54488</v>
      </c>
      <c r="C2343" s="8">
        <v>5906366007798</v>
      </c>
      <c r="D2343" s="10" t="s">
        <v>4644</v>
      </c>
      <c r="E2343" s="9">
        <v>157</v>
      </c>
      <c r="F2343" s="11">
        <v>45687</v>
      </c>
      <c r="G2343" s="8"/>
    </row>
    <row r="2344" spans="1:7" ht="18.75" customHeight="1" x14ac:dyDescent="0.2">
      <c r="A2344" s="9" t="s">
        <v>4645</v>
      </c>
      <c r="B2344" s="8">
        <v>54485</v>
      </c>
      <c r="C2344" s="8">
        <v>5906366013560</v>
      </c>
      <c r="D2344" s="10" t="s">
        <v>4646</v>
      </c>
      <c r="E2344" s="9">
        <v>94</v>
      </c>
      <c r="F2344" s="11">
        <v>45687</v>
      </c>
      <c r="G2344" s="8"/>
    </row>
    <row r="2345" spans="1:7" ht="18.75" customHeight="1" x14ac:dyDescent="0.2">
      <c r="A2345" s="9" t="s">
        <v>4647</v>
      </c>
      <c r="B2345" s="8">
        <v>54484</v>
      </c>
      <c r="C2345" s="8">
        <v>5906366007118</v>
      </c>
      <c r="D2345" s="10" t="s">
        <v>4648</v>
      </c>
      <c r="E2345" s="9">
        <v>141</v>
      </c>
      <c r="F2345" s="11">
        <v>45687</v>
      </c>
      <c r="G2345" s="8"/>
    </row>
    <row r="2346" spans="1:7" ht="18.75" customHeight="1" x14ac:dyDescent="0.2">
      <c r="A2346" s="9" t="s">
        <v>4649</v>
      </c>
      <c r="B2346" s="8">
        <v>54473</v>
      </c>
      <c r="C2346" s="8">
        <v>5906366007101</v>
      </c>
      <c r="D2346" s="10" t="s">
        <v>4650</v>
      </c>
      <c r="E2346" s="9">
        <v>141</v>
      </c>
      <c r="F2346" s="11">
        <v>45687</v>
      </c>
      <c r="G2346" s="8"/>
    </row>
    <row r="2347" spans="1:7" ht="18.75" customHeight="1" x14ac:dyDescent="0.2">
      <c r="A2347" s="9" t="s">
        <v>4651</v>
      </c>
      <c r="B2347" s="8">
        <v>54503</v>
      </c>
      <c r="C2347" s="8">
        <v>5907501821019</v>
      </c>
      <c r="D2347" s="10" t="s">
        <v>4652</v>
      </c>
      <c r="E2347" s="9">
        <v>18</v>
      </c>
      <c r="F2347" s="11">
        <v>45687</v>
      </c>
      <c r="G2347" s="8"/>
    </row>
    <row r="2348" spans="1:7" ht="18.75" customHeight="1" x14ac:dyDescent="0.2">
      <c r="A2348" s="9" t="s">
        <v>4653</v>
      </c>
      <c r="B2348" s="8">
        <v>54500</v>
      </c>
      <c r="C2348" s="8">
        <v>5906366007842</v>
      </c>
      <c r="D2348" s="10" t="s">
        <v>4654</v>
      </c>
      <c r="E2348" s="9">
        <v>117</v>
      </c>
      <c r="F2348" s="11">
        <v>45687</v>
      </c>
      <c r="G2348" s="8"/>
    </row>
    <row r="2349" spans="1:7" ht="18.75" customHeight="1" x14ac:dyDescent="0.2">
      <c r="A2349" s="9" t="s">
        <v>4655</v>
      </c>
      <c r="B2349" s="8">
        <v>54498</v>
      </c>
      <c r="C2349" s="8">
        <v>5906366007835</v>
      </c>
      <c r="D2349" s="10" t="s">
        <v>4656</v>
      </c>
      <c r="E2349" s="9">
        <v>101</v>
      </c>
      <c r="F2349" s="11">
        <v>45687</v>
      </c>
      <c r="G2349" s="8"/>
    </row>
    <row r="2350" spans="1:7" ht="18.75" customHeight="1" x14ac:dyDescent="0.2">
      <c r="A2350" s="9" t="s">
        <v>4657</v>
      </c>
      <c r="B2350" s="8">
        <v>54499</v>
      </c>
      <c r="C2350" s="8">
        <v>5906366007873</v>
      </c>
      <c r="D2350" s="10" t="s">
        <v>4658</v>
      </c>
      <c r="E2350" s="9">
        <v>68</v>
      </c>
      <c r="F2350" s="11">
        <v>45687</v>
      </c>
      <c r="G2350" s="8"/>
    </row>
    <row r="2351" spans="1:7" ht="18.75" customHeight="1" x14ac:dyDescent="0.2">
      <c r="A2351" s="9" t="s">
        <v>4659</v>
      </c>
      <c r="B2351" s="8">
        <v>54486</v>
      </c>
      <c r="C2351" s="8">
        <v>5906366007828</v>
      </c>
      <c r="D2351" s="10" t="s">
        <v>4660</v>
      </c>
      <c r="E2351" s="9">
        <v>70</v>
      </c>
      <c r="F2351" s="11">
        <v>45687</v>
      </c>
      <c r="G2351" s="8"/>
    </row>
    <row r="2352" spans="1:7" ht="18.75" customHeight="1" x14ac:dyDescent="0.2">
      <c r="A2352" s="9" t="s">
        <v>4661</v>
      </c>
      <c r="B2352" s="8">
        <v>54489</v>
      </c>
      <c r="C2352" s="8">
        <v>5906366008146</v>
      </c>
      <c r="D2352" s="10" t="s">
        <v>4662</v>
      </c>
      <c r="E2352" s="9">
        <v>346</v>
      </c>
      <c r="F2352" s="11">
        <v>45693</v>
      </c>
      <c r="G2352" s="8"/>
    </row>
    <row r="2353" spans="1:7" ht="18.75" customHeight="1" x14ac:dyDescent="0.2">
      <c r="A2353" s="9" t="s">
        <v>4663</v>
      </c>
      <c r="B2353" s="8">
        <v>54495</v>
      </c>
      <c r="C2353" s="8">
        <v>5906366008139</v>
      </c>
      <c r="D2353" s="10" t="s">
        <v>4664</v>
      </c>
      <c r="E2353" s="9">
        <v>310</v>
      </c>
      <c r="F2353" s="11">
        <v>45693</v>
      </c>
      <c r="G2353" s="8"/>
    </row>
    <row r="2354" spans="1:7" ht="18.75" customHeight="1" x14ac:dyDescent="0.2">
      <c r="A2354" s="9" t="s">
        <v>4665</v>
      </c>
      <c r="B2354" s="8">
        <v>54492</v>
      </c>
      <c r="C2354" s="8">
        <v>5906366008122</v>
      </c>
      <c r="D2354" s="10" t="s">
        <v>4666</v>
      </c>
      <c r="E2354" s="9">
        <v>310</v>
      </c>
      <c r="F2354" s="11">
        <v>45693</v>
      </c>
      <c r="G2354" s="8"/>
    </row>
    <row r="2355" spans="1:7" ht="18.75" customHeight="1" x14ac:dyDescent="0.2">
      <c r="A2355" s="9" t="s">
        <v>4667</v>
      </c>
      <c r="B2355" s="8">
        <v>54476</v>
      </c>
      <c r="C2355" s="8">
        <v>5906366008115</v>
      </c>
      <c r="D2355" s="10" t="s">
        <v>4668</v>
      </c>
      <c r="E2355" s="9">
        <v>341</v>
      </c>
      <c r="F2355" s="11">
        <v>45693</v>
      </c>
      <c r="G2355" s="8"/>
    </row>
    <row r="2356" spans="1:7" ht="18.75" customHeight="1" x14ac:dyDescent="0.2">
      <c r="A2356" s="9" t="s">
        <v>4669</v>
      </c>
      <c r="B2356" s="8">
        <v>54480</v>
      </c>
      <c r="C2356" s="8">
        <v>5906366008108</v>
      </c>
      <c r="D2356" s="10" t="s">
        <v>4670</v>
      </c>
      <c r="E2356" s="9">
        <v>306</v>
      </c>
      <c r="F2356" s="11">
        <v>45693</v>
      </c>
      <c r="G2356" s="8"/>
    </row>
    <row r="2357" spans="1:7" ht="18.75" customHeight="1" x14ac:dyDescent="0.2">
      <c r="A2357" s="9" t="s">
        <v>4671</v>
      </c>
      <c r="B2357" s="8">
        <v>54477</v>
      </c>
      <c r="C2357" s="8">
        <v>5906366008092</v>
      </c>
      <c r="D2357" s="10" t="s">
        <v>4672</v>
      </c>
      <c r="E2357" s="9">
        <v>306</v>
      </c>
      <c r="F2357" s="11">
        <v>45693</v>
      </c>
      <c r="G2357" s="8"/>
    </row>
    <row r="2358" spans="1:7" ht="18.75" customHeight="1" x14ac:dyDescent="0.2">
      <c r="A2358" s="9" t="s">
        <v>4673</v>
      </c>
      <c r="B2358" s="8">
        <v>54504</v>
      </c>
      <c r="C2358" s="8">
        <v>5906366007712</v>
      </c>
      <c r="D2358" s="10" t="s">
        <v>4674</v>
      </c>
      <c r="E2358" s="9">
        <v>219</v>
      </c>
      <c r="F2358" s="11">
        <v>45693</v>
      </c>
      <c r="G2358" s="8"/>
    </row>
    <row r="2359" spans="1:7" ht="18.75" customHeight="1" x14ac:dyDescent="0.2">
      <c r="A2359" s="9" t="s">
        <v>4675</v>
      </c>
      <c r="B2359" s="8"/>
      <c r="C2359" s="8"/>
      <c r="D2359" s="10" t="s">
        <v>4676</v>
      </c>
      <c r="E2359" s="9">
        <v>9</v>
      </c>
      <c r="F2359" s="11">
        <v>45715</v>
      </c>
      <c r="G2359" s="8"/>
    </row>
    <row r="2360" spans="1:7" ht="18.75" customHeight="1" x14ac:dyDescent="0.2">
      <c r="A2360" s="9" t="s">
        <v>4677</v>
      </c>
      <c r="B2360" s="8">
        <v>54287</v>
      </c>
      <c r="C2360" s="8">
        <v>5906366007996</v>
      </c>
      <c r="D2360" s="10" t="s">
        <v>4678</v>
      </c>
      <c r="E2360" s="9">
        <v>97</v>
      </c>
      <c r="F2360" s="11">
        <v>45715</v>
      </c>
      <c r="G2360" s="8"/>
    </row>
    <row r="2361" spans="1:7" ht="18.75" customHeight="1" x14ac:dyDescent="0.2">
      <c r="A2361" s="9" t="s">
        <v>4679</v>
      </c>
      <c r="B2361" s="8">
        <v>54359</v>
      </c>
      <c r="C2361" s="8">
        <v>5906366007965</v>
      </c>
      <c r="D2361" s="10" t="s">
        <v>4680</v>
      </c>
      <c r="E2361" s="9">
        <v>65</v>
      </c>
      <c r="F2361" s="11">
        <v>45715</v>
      </c>
      <c r="G2361" s="8"/>
    </row>
    <row r="2362" spans="1:7" ht="18.75" customHeight="1" x14ac:dyDescent="0.2">
      <c r="A2362" s="9" t="s">
        <v>4681</v>
      </c>
      <c r="B2362" s="8">
        <v>54285</v>
      </c>
      <c r="C2362" s="8">
        <v>5906366007941</v>
      </c>
      <c r="D2362" s="10" t="s">
        <v>4682</v>
      </c>
      <c r="E2362" s="9">
        <v>65</v>
      </c>
      <c r="F2362" s="11">
        <v>45715</v>
      </c>
      <c r="G2362" s="8"/>
    </row>
    <row r="2363" spans="1:7" ht="18.75" customHeight="1" x14ac:dyDescent="0.2">
      <c r="A2363" s="9" t="s">
        <v>4683</v>
      </c>
      <c r="B2363" s="8">
        <v>54288</v>
      </c>
      <c r="C2363" s="8">
        <v>5906366008009</v>
      </c>
      <c r="D2363" s="10" t="s">
        <v>4684</v>
      </c>
      <c r="E2363" s="9">
        <v>73</v>
      </c>
      <c r="F2363" s="11">
        <v>45715</v>
      </c>
      <c r="G2363" s="8"/>
    </row>
    <row r="2364" spans="1:7" ht="18.75" customHeight="1" x14ac:dyDescent="0.2">
      <c r="A2364" s="9" t="s">
        <v>4685</v>
      </c>
      <c r="B2364" s="8">
        <v>54528</v>
      </c>
      <c r="C2364" s="8">
        <v>5906366012266</v>
      </c>
      <c r="D2364" s="10" t="s">
        <v>4686</v>
      </c>
      <c r="E2364" s="9">
        <v>200</v>
      </c>
      <c r="F2364" s="11">
        <v>45729</v>
      </c>
      <c r="G2364" s="8"/>
    </row>
    <row r="2365" spans="1:7" ht="18.75" customHeight="1" x14ac:dyDescent="0.2">
      <c r="A2365" s="9" t="s">
        <v>4687</v>
      </c>
      <c r="B2365" s="8">
        <v>54524</v>
      </c>
      <c r="C2365" s="8">
        <v>5906366008856</v>
      </c>
      <c r="D2365" s="10" t="s">
        <v>4688</v>
      </c>
      <c r="E2365" s="9">
        <v>148</v>
      </c>
      <c r="F2365" s="11">
        <v>45729</v>
      </c>
      <c r="G2365" s="8"/>
    </row>
    <row r="2366" spans="1:7" ht="18.75" customHeight="1" x14ac:dyDescent="0.2">
      <c r="A2366" s="9" t="s">
        <v>4689</v>
      </c>
      <c r="B2366" s="8">
        <v>54525</v>
      </c>
      <c r="C2366" s="8">
        <v>5906366008870</v>
      </c>
      <c r="D2366" s="10" t="s">
        <v>4690</v>
      </c>
      <c r="E2366" s="9">
        <v>141</v>
      </c>
      <c r="F2366" s="11">
        <v>45729</v>
      </c>
      <c r="G2366" s="8"/>
    </row>
    <row r="2367" spans="1:7" ht="18.75" customHeight="1" x14ac:dyDescent="0.2">
      <c r="A2367" s="9" t="s">
        <v>4691</v>
      </c>
      <c r="B2367" s="8">
        <v>54526</v>
      </c>
      <c r="C2367" s="8">
        <v>5906366008832</v>
      </c>
      <c r="D2367" s="10" t="s">
        <v>4692</v>
      </c>
      <c r="E2367" s="9">
        <v>146</v>
      </c>
      <c r="F2367" s="11">
        <v>45729</v>
      </c>
      <c r="G2367" s="8"/>
    </row>
    <row r="2368" spans="1:7" ht="18.75" customHeight="1" x14ac:dyDescent="0.2">
      <c r="A2368" s="9" t="s">
        <v>4693</v>
      </c>
      <c r="B2368" s="8">
        <v>54530</v>
      </c>
      <c r="C2368" s="8">
        <v>5906366012310</v>
      </c>
      <c r="D2368" s="10" t="s">
        <v>4694</v>
      </c>
      <c r="E2368" s="9">
        <v>66</v>
      </c>
      <c r="F2368" s="11">
        <v>45729</v>
      </c>
      <c r="G2368" s="8"/>
    </row>
    <row r="2369" spans="1:7" ht="18.75" customHeight="1" x14ac:dyDescent="0.2">
      <c r="A2369" s="9" t="s">
        <v>4695</v>
      </c>
      <c r="B2369" s="8">
        <v>54527</v>
      </c>
      <c r="C2369" s="8">
        <v>5906366012273</v>
      </c>
      <c r="D2369" s="10" t="s">
        <v>4696</v>
      </c>
      <c r="E2369" s="9">
        <v>94</v>
      </c>
      <c r="F2369" s="11">
        <v>45729</v>
      </c>
      <c r="G2369" s="8"/>
    </row>
    <row r="2370" spans="1:7" ht="18.75" customHeight="1" x14ac:dyDescent="0.2">
      <c r="A2370" s="9" t="s">
        <v>4697</v>
      </c>
      <c r="B2370" s="8">
        <v>54544</v>
      </c>
      <c r="C2370" s="8">
        <v>5906366012341</v>
      </c>
      <c r="D2370" s="10" t="s">
        <v>4698</v>
      </c>
      <c r="E2370" s="9">
        <v>235</v>
      </c>
      <c r="F2370" s="11">
        <v>45736</v>
      </c>
      <c r="G2370" s="8"/>
    </row>
    <row r="2371" spans="1:7" ht="18.75" customHeight="1" x14ac:dyDescent="0.2">
      <c r="A2371" s="9" t="s">
        <v>4699</v>
      </c>
      <c r="B2371" s="8">
        <v>54550</v>
      </c>
      <c r="C2371" s="8">
        <v>5906366011030</v>
      </c>
      <c r="D2371" s="10" t="s">
        <v>4700</v>
      </c>
      <c r="E2371" s="9">
        <v>35</v>
      </c>
      <c r="F2371" s="11">
        <v>45736</v>
      </c>
      <c r="G2371" s="8"/>
    </row>
    <row r="2372" spans="1:7" ht="18.75" customHeight="1" x14ac:dyDescent="0.2">
      <c r="A2372" s="9" t="s">
        <v>4701</v>
      </c>
      <c r="B2372" s="8"/>
      <c r="C2372" s="8">
        <v>5906366011023</v>
      </c>
      <c r="D2372" s="10" t="s">
        <v>4702</v>
      </c>
      <c r="E2372" s="9">
        <v>35</v>
      </c>
      <c r="F2372" s="11">
        <v>45736</v>
      </c>
      <c r="G2372" s="8"/>
    </row>
    <row r="2373" spans="1:7" ht="18.75" customHeight="1" x14ac:dyDescent="0.2">
      <c r="A2373" s="9" t="s">
        <v>4703</v>
      </c>
      <c r="B2373" s="8">
        <v>54549</v>
      </c>
      <c r="C2373" s="8">
        <v>5906366011061</v>
      </c>
      <c r="D2373" s="10" t="s">
        <v>4704</v>
      </c>
      <c r="E2373" s="9">
        <v>47</v>
      </c>
      <c r="F2373" s="11">
        <v>45736</v>
      </c>
      <c r="G2373" s="8"/>
    </row>
    <row r="2374" spans="1:7" ht="18.75" customHeight="1" x14ac:dyDescent="0.2">
      <c r="A2374" s="9" t="s">
        <v>4705</v>
      </c>
      <c r="B2374" s="8"/>
      <c r="C2374" s="8">
        <v>5906366011016</v>
      </c>
      <c r="D2374" s="10" t="s">
        <v>4706</v>
      </c>
      <c r="E2374" s="9">
        <v>47</v>
      </c>
      <c r="F2374" s="11">
        <v>45736</v>
      </c>
      <c r="G2374" s="8"/>
    </row>
    <row r="2375" spans="1:7" ht="18.75" customHeight="1" x14ac:dyDescent="0.2">
      <c r="A2375" s="9" t="s">
        <v>4707</v>
      </c>
      <c r="B2375" s="8">
        <v>54551</v>
      </c>
      <c r="C2375" s="8">
        <v>5906366011009</v>
      </c>
      <c r="D2375" s="10" t="s">
        <v>4708</v>
      </c>
      <c r="E2375" s="9">
        <v>47</v>
      </c>
      <c r="F2375" s="11">
        <v>45736</v>
      </c>
      <c r="G2375" s="8"/>
    </row>
    <row r="2376" spans="1:7" ht="18.75" customHeight="1" x14ac:dyDescent="0.2">
      <c r="A2376" s="9" t="s">
        <v>4709</v>
      </c>
      <c r="B2376" s="8">
        <v>54546</v>
      </c>
      <c r="C2376" s="8">
        <v>5906366010996</v>
      </c>
      <c r="D2376" s="10" t="s">
        <v>4710</v>
      </c>
      <c r="E2376" s="9">
        <v>47</v>
      </c>
      <c r="F2376" s="11">
        <v>45736</v>
      </c>
      <c r="G2376" s="8"/>
    </row>
    <row r="2377" spans="1:7" ht="18.75" customHeight="1" x14ac:dyDescent="0.2">
      <c r="A2377" s="9" t="s">
        <v>4711</v>
      </c>
      <c r="B2377" s="8">
        <v>54547</v>
      </c>
      <c r="C2377" s="8">
        <v>5906366010989</v>
      </c>
      <c r="D2377" s="10" t="s">
        <v>4712</v>
      </c>
      <c r="E2377" s="9">
        <v>153</v>
      </c>
      <c r="F2377" s="11">
        <v>45736</v>
      </c>
      <c r="G2377" s="8"/>
    </row>
    <row r="2378" spans="1:7" ht="18.75" customHeight="1" x14ac:dyDescent="0.2">
      <c r="A2378" s="9" t="s">
        <v>4713</v>
      </c>
      <c r="B2378" s="8">
        <v>54535</v>
      </c>
      <c r="C2378" s="8">
        <v>5906366013065</v>
      </c>
      <c r="D2378" s="10" t="s">
        <v>4714</v>
      </c>
      <c r="E2378" s="9">
        <v>134</v>
      </c>
      <c r="F2378" s="11">
        <v>45736</v>
      </c>
      <c r="G2378" s="8"/>
    </row>
    <row r="2379" spans="1:7" ht="18.75" customHeight="1" x14ac:dyDescent="0.2">
      <c r="A2379" s="9" t="s">
        <v>4715</v>
      </c>
      <c r="B2379" s="8">
        <v>54529</v>
      </c>
      <c r="C2379" s="8">
        <v>5906366014291</v>
      </c>
      <c r="D2379" s="10" t="s">
        <v>4716</v>
      </c>
      <c r="E2379" s="9">
        <v>10</v>
      </c>
      <c r="F2379" s="11">
        <v>45736</v>
      </c>
      <c r="G2379" s="8"/>
    </row>
    <row r="2380" spans="1:7" ht="18.75" customHeight="1" x14ac:dyDescent="0.2">
      <c r="A2380" s="9" t="s">
        <v>4717</v>
      </c>
      <c r="B2380" s="8">
        <v>54532</v>
      </c>
      <c r="C2380" s="8">
        <v>5906366014260</v>
      </c>
      <c r="D2380" s="10" t="s">
        <v>4718</v>
      </c>
      <c r="E2380" s="9">
        <v>8</v>
      </c>
      <c r="F2380" s="11">
        <v>45736</v>
      </c>
      <c r="G2380" s="8"/>
    </row>
    <row r="2381" spans="1:7" ht="18.75" customHeight="1" x14ac:dyDescent="0.2">
      <c r="A2381" s="9" t="s">
        <v>4719</v>
      </c>
      <c r="B2381" s="8">
        <v>54531</v>
      </c>
      <c r="C2381" s="8">
        <v>5906366014307</v>
      </c>
      <c r="D2381" s="10" t="s">
        <v>4720</v>
      </c>
      <c r="E2381" s="9">
        <v>10</v>
      </c>
      <c r="F2381" s="11">
        <v>45736</v>
      </c>
      <c r="G2381" s="8"/>
    </row>
    <row r="2382" spans="1:7" ht="18.75" customHeight="1" x14ac:dyDescent="0.2">
      <c r="A2382" s="9" t="s">
        <v>4721</v>
      </c>
      <c r="B2382" s="8">
        <v>54533</v>
      </c>
      <c r="C2382" s="8">
        <v>5906366014277</v>
      </c>
      <c r="D2382" s="10" t="s">
        <v>4722</v>
      </c>
      <c r="E2382" s="9">
        <v>10</v>
      </c>
      <c r="F2382" s="11">
        <v>45736</v>
      </c>
      <c r="G2382" s="8"/>
    </row>
    <row r="2383" spans="1:7" ht="18.75" customHeight="1" x14ac:dyDescent="0.2">
      <c r="A2383" s="9" t="s">
        <v>4723</v>
      </c>
      <c r="B2383" s="8">
        <v>54534</v>
      </c>
      <c r="C2383" s="8">
        <v>5906366014284</v>
      </c>
      <c r="D2383" s="10" t="s">
        <v>4724</v>
      </c>
      <c r="E2383" s="9">
        <v>10</v>
      </c>
      <c r="F2383" s="11">
        <v>45736</v>
      </c>
      <c r="G2383" s="8"/>
    </row>
    <row r="2384" spans="1:7" ht="18.75" customHeight="1" x14ac:dyDescent="0.2">
      <c r="A2384" s="8" t="s">
        <v>4725</v>
      </c>
      <c r="B2384" s="8">
        <v>54543</v>
      </c>
      <c r="C2384" s="8">
        <v>5906366012334</v>
      </c>
      <c r="D2384" s="10" t="s">
        <v>4726</v>
      </c>
      <c r="E2384" s="9">
        <v>99</v>
      </c>
      <c r="F2384" s="11">
        <v>45736</v>
      </c>
      <c r="G2384" s="8"/>
    </row>
    <row r="2385" spans="1:7" ht="18.75" customHeight="1" x14ac:dyDescent="0.2">
      <c r="A2385" s="8" t="s">
        <v>4727</v>
      </c>
      <c r="B2385" s="8">
        <v>54541</v>
      </c>
      <c r="C2385" s="8">
        <v>5906366012303</v>
      </c>
      <c r="D2385" s="10" t="s">
        <v>4728</v>
      </c>
      <c r="E2385" s="9">
        <v>94</v>
      </c>
      <c r="F2385" s="11">
        <v>45736</v>
      </c>
      <c r="G2385" s="8"/>
    </row>
  </sheetData>
  <autoFilter ref="A1:G2385" xr:uid="{00000000-0009-0000-0000-000001000000}"/>
  <conditionalFormatting sqref="A2:F2385">
    <cfRule type="expression" dxfId="2" priority="1">
      <formula>$F2=MAX($F:$F)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523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2" width="12.625" customWidth="1"/>
    <col min="3" max="3" width="15.125" customWidth="1"/>
    <col min="4" max="4" width="70.125" customWidth="1"/>
    <col min="5" max="6" width="12.625" customWidth="1"/>
    <col min="7" max="11" width="10.125" customWidth="1"/>
    <col min="12" max="12" width="6.375" customWidth="1"/>
  </cols>
  <sheetData>
    <row r="1" spans="1:12" ht="33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4729</v>
      </c>
      <c r="H1" s="1" t="s">
        <v>4730</v>
      </c>
      <c r="I1" s="1" t="s">
        <v>4731</v>
      </c>
      <c r="J1" s="1" t="s">
        <v>4732</v>
      </c>
      <c r="K1" s="1" t="s">
        <v>4733</v>
      </c>
      <c r="L1" s="17" t="s">
        <v>6</v>
      </c>
    </row>
    <row r="2" spans="1:12" ht="18.75" customHeight="1" x14ac:dyDescent="0.2">
      <c r="A2" s="16" t="s">
        <v>4734</v>
      </c>
      <c r="B2" s="2">
        <v>54110</v>
      </c>
      <c r="C2" s="2">
        <v>5906366008825</v>
      </c>
      <c r="D2" s="4" t="s">
        <v>4735</v>
      </c>
      <c r="E2" s="3">
        <f t="array" aca="1" ref="E2" ca="1">IFERROR(_xludf.XLOOKUP(G2,'Rea - SK'!A:A,'Rea - SK'!E:E),0)+IFERROR(_xludf.XLOOKUP(H2,'Rea - SK'!A:A,'Rea - SK'!E:E),0)+IFERROR(_xludf.XLOOKUP(I2,'Rea - SK'!A:A,'Rea - SK'!E:E),0)+IFERROR(_xludf.XLOOKUP(J2,'Rea - SK'!A:A,'Rea - SK'!E:E),0)+IFERROR(_xludf.XLOOKUP(K2,'Rea - SK'!A:A,'Rea - SK'!E:E),0)</f>
        <v>0</v>
      </c>
      <c r="F2" s="11">
        <f t="array" aca="1" ref="F2" ca="1">MAX(IFERROR(_xludf.XLOOKUP(G2,'Rea - SK'!A:A,'Rea - SK'!F:F),DATE(1966,6,6)),IFERROR(_xludf.XLOOKUP(H2,'Rea - SK'!A:A,'Rea - SK'!F:F),DATE(1966,6,6)),IFERROR(_xludf.XLOOKUP(I2,'Rea - SK'!A:A,'Rea - SK'!F:F),DATE(1966,6,6)),IFERROR(_xludf.XLOOKUP(J2,'Rea - SK'!A:A,'Rea - SK'!F:F),DATE(1966,6,6)),IFERROR(_xludf.XLOOKUP(K2,'Rea - SK'!A:A,'Rea - SK'!F:F),DATE(1966,6,6)))</f>
        <v>24264</v>
      </c>
      <c r="G2" s="2" t="s">
        <v>1477</v>
      </c>
      <c r="H2" s="2" t="s">
        <v>2457</v>
      </c>
      <c r="I2" s="2"/>
      <c r="J2" s="2"/>
      <c r="K2" s="2"/>
      <c r="L2" s="18"/>
    </row>
    <row r="3" spans="1:12" ht="18.75" customHeight="1" x14ac:dyDescent="0.2">
      <c r="A3" s="16" t="s">
        <v>4736</v>
      </c>
      <c r="B3" s="2">
        <v>54109</v>
      </c>
      <c r="C3" s="2">
        <v>5906366008818</v>
      </c>
      <c r="D3" s="4" t="s">
        <v>4737</v>
      </c>
      <c r="E3" s="3">
        <f t="array" aca="1" ref="E3" ca="1">IFERROR(_xludf.XLOOKUP(G3,'Rea - SK'!A:A,'Rea - SK'!E:E),0)+IFERROR(_xludf.XLOOKUP(H3,'Rea - SK'!A:A,'Rea - SK'!E:E),0)+IFERROR(_xludf.XLOOKUP(I3,'Rea - SK'!A:A,'Rea - SK'!E:E),0)+IFERROR(_xludf.XLOOKUP(J3,'Rea - SK'!A:A,'Rea - SK'!E:E),0)+IFERROR(_xludf.XLOOKUP(K3,'Rea - SK'!A:A,'Rea - SK'!E:E),0)</f>
        <v>0</v>
      </c>
      <c r="F3" s="11">
        <f t="array" aca="1" ref="F3" ca="1">MAX(IFERROR(_xludf.XLOOKUP(G3,'Rea - SK'!A:A,'Rea - SK'!F:F),DATE(1966,6,6)),IFERROR(_xludf.XLOOKUP(H3,'Rea - SK'!A:A,'Rea - SK'!F:F),DATE(1966,6,6)),IFERROR(_xludf.XLOOKUP(I3,'Rea - SK'!A:A,'Rea - SK'!F:F),DATE(1966,6,6)),IFERROR(_xludf.XLOOKUP(J3,'Rea - SK'!A:A,'Rea - SK'!F:F),DATE(1966,6,6)),IFERROR(_xludf.XLOOKUP(K3,'Rea - SK'!A:A,'Rea - SK'!F:F),DATE(1966,6,6)))</f>
        <v>24264</v>
      </c>
      <c r="G3" s="2" t="s">
        <v>1477</v>
      </c>
      <c r="H3" s="2" t="s">
        <v>2461</v>
      </c>
      <c r="I3" s="2"/>
      <c r="J3" s="2"/>
      <c r="K3" s="2"/>
      <c r="L3" s="18"/>
    </row>
    <row r="4" spans="1:12" ht="18.75" customHeight="1" x14ac:dyDescent="0.2">
      <c r="A4" s="16" t="s">
        <v>4738</v>
      </c>
      <c r="B4" s="2">
        <v>54108</v>
      </c>
      <c r="C4" s="2">
        <v>5906366008801</v>
      </c>
      <c r="D4" s="4" t="s">
        <v>4739</v>
      </c>
      <c r="E4" s="3">
        <f t="array" aca="1" ref="E4" ca="1">IFERROR(_xludf.XLOOKUP(G4,'Rea - SK'!A:A,'Rea - SK'!E:E),0)+IFERROR(_xludf.XLOOKUP(H4,'Rea - SK'!A:A,'Rea - SK'!E:E),0)+IFERROR(_xludf.XLOOKUP(I4,'Rea - SK'!A:A,'Rea - SK'!E:E),0)+IFERROR(_xludf.XLOOKUP(J4,'Rea - SK'!A:A,'Rea - SK'!E:E),0)+IFERROR(_xludf.XLOOKUP(K4,'Rea - SK'!A:A,'Rea - SK'!E:E),0)</f>
        <v>0</v>
      </c>
      <c r="F4" s="11">
        <f t="array" aca="1" ref="F4" ca="1">MAX(IFERROR(_xludf.XLOOKUP(G4,'Rea - SK'!A:A,'Rea - SK'!F:F),DATE(1966,6,6)),IFERROR(_xludf.XLOOKUP(H4,'Rea - SK'!A:A,'Rea - SK'!F:F),DATE(1966,6,6)),IFERROR(_xludf.XLOOKUP(I4,'Rea - SK'!A:A,'Rea - SK'!F:F),DATE(1966,6,6)),IFERROR(_xludf.XLOOKUP(J4,'Rea - SK'!A:A,'Rea - SK'!F:F),DATE(1966,6,6)),IFERROR(_xludf.XLOOKUP(K4,'Rea - SK'!A:A,'Rea - SK'!F:F),DATE(1966,6,6)))</f>
        <v>24264</v>
      </c>
      <c r="G4" s="2" t="s">
        <v>1477</v>
      </c>
      <c r="H4" s="2" t="s">
        <v>2459</v>
      </c>
      <c r="I4" s="2"/>
      <c r="J4" s="2"/>
      <c r="K4" s="2"/>
      <c r="L4" s="18"/>
    </row>
    <row r="5" spans="1:12" ht="18.75" customHeight="1" x14ac:dyDescent="0.2">
      <c r="A5" s="16" t="s">
        <v>4740</v>
      </c>
      <c r="B5" s="2">
        <v>54107</v>
      </c>
      <c r="C5" s="2">
        <v>5906366008795</v>
      </c>
      <c r="D5" s="4" t="s">
        <v>4741</v>
      </c>
      <c r="E5" s="3">
        <f t="array" aca="1" ref="E5" ca="1">IFERROR(_xludf.XLOOKUP(G5,'Rea - SK'!A:A,'Rea - SK'!E:E),0)+IFERROR(_xludf.XLOOKUP(H5,'Rea - SK'!A:A,'Rea - SK'!E:E),0)+IFERROR(_xludf.XLOOKUP(I5,'Rea - SK'!A:A,'Rea - SK'!E:E),0)+IFERROR(_xludf.XLOOKUP(J5,'Rea - SK'!A:A,'Rea - SK'!E:E),0)+IFERROR(_xludf.XLOOKUP(K5,'Rea - SK'!A:A,'Rea - SK'!E:E),0)</f>
        <v>0</v>
      </c>
      <c r="F5" s="11">
        <f t="array" aca="1" ref="F5" ca="1">MAX(IFERROR(_xludf.XLOOKUP(G5,'Rea - SK'!A:A,'Rea - SK'!F:F),DATE(1966,6,6)),IFERROR(_xludf.XLOOKUP(H5,'Rea - SK'!A:A,'Rea - SK'!F:F),DATE(1966,6,6)),IFERROR(_xludf.XLOOKUP(I5,'Rea - SK'!A:A,'Rea - SK'!F:F),DATE(1966,6,6)),IFERROR(_xludf.XLOOKUP(J5,'Rea - SK'!A:A,'Rea - SK'!F:F),DATE(1966,6,6)),IFERROR(_xludf.XLOOKUP(K5,'Rea - SK'!A:A,'Rea - SK'!F:F),DATE(1966,6,6)))</f>
        <v>24264</v>
      </c>
      <c r="G5" s="2" t="s">
        <v>1475</v>
      </c>
      <c r="H5" s="2" t="s">
        <v>2457</v>
      </c>
      <c r="I5" s="2"/>
      <c r="J5" s="2"/>
      <c r="K5" s="2"/>
      <c r="L5" s="18"/>
    </row>
    <row r="6" spans="1:12" ht="18.75" customHeight="1" x14ac:dyDescent="0.2">
      <c r="A6" s="16" t="s">
        <v>4742</v>
      </c>
      <c r="B6" s="2">
        <v>54106</v>
      </c>
      <c r="C6" s="2">
        <v>5906366008788</v>
      </c>
      <c r="D6" s="4" t="s">
        <v>4743</v>
      </c>
      <c r="E6" s="3">
        <f t="array" aca="1" ref="E6" ca="1">IFERROR(_xludf.XLOOKUP(G6,'Rea - SK'!A:A,'Rea - SK'!E:E),0)+IFERROR(_xludf.XLOOKUP(H6,'Rea - SK'!A:A,'Rea - SK'!E:E),0)+IFERROR(_xludf.XLOOKUP(I6,'Rea - SK'!A:A,'Rea - SK'!E:E),0)+IFERROR(_xludf.XLOOKUP(J6,'Rea - SK'!A:A,'Rea - SK'!E:E),0)+IFERROR(_xludf.XLOOKUP(K6,'Rea - SK'!A:A,'Rea - SK'!E:E),0)</f>
        <v>0</v>
      </c>
      <c r="F6" s="11">
        <f t="array" aca="1" ref="F6" ca="1">MAX(IFERROR(_xludf.XLOOKUP(G6,'Rea - SK'!A:A,'Rea - SK'!F:F),DATE(1966,6,6)),IFERROR(_xludf.XLOOKUP(H6,'Rea - SK'!A:A,'Rea - SK'!F:F),DATE(1966,6,6)),IFERROR(_xludf.XLOOKUP(I6,'Rea - SK'!A:A,'Rea - SK'!F:F),DATE(1966,6,6)),IFERROR(_xludf.XLOOKUP(J6,'Rea - SK'!A:A,'Rea - SK'!F:F),DATE(1966,6,6)),IFERROR(_xludf.XLOOKUP(K6,'Rea - SK'!A:A,'Rea - SK'!F:F),DATE(1966,6,6)))</f>
        <v>24264</v>
      </c>
      <c r="G6" s="2" t="s">
        <v>1475</v>
      </c>
      <c r="H6" s="2" t="s">
        <v>2461</v>
      </c>
      <c r="I6" s="2"/>
      <c r="J6" s="2"/>
      <c r="K6" s="2"/>
      <c r="L6" s="18"/>
    </row>
    <row r="7" spans="1:12" ht="18.75" customHeight="1" x14ac:dyDescent="0.2">
      <c r="A7" s="16" t="s">
        <v>4744</v>
      </c>
      <c r="B7" s="2">
        <v>54105</v>
      </c>
      <c r="C7" s="2">
        <v>5906366008764</v>
      </c>
      <c r="D7" s="4" t="s">
        <v>4745</v>
      </c>
      <c r="E7" s="3">
        <f t="array" aca="1" ref="E7" ca="1">IFERROR(_xludf.XLOOKUP(G7,'Rea - SK'!A:A,'Rea - SK'!E:E),0)+IFERROR(_xludf.XLOOKUP(H7,'Rea - SK'!A:A,'Rea - SK'!E:E),0)+IFERROR(_xludf.XLOOKUP(I7,'Rea - SK'!A:A,'Rea - SK'!E:E),0)+IFERROR(_xludf.XLOOKUP(J7,'Rea - SK'!A:A,'Rea - SK'!E:E),0)+IFERROR(_xludf.XLOOKUP(K7,'Rea - SK'!A:A,'Rea - SK'!E:E),0)</f>
        <v>0</v>
      </c>
      <c r="F7" s="11">
        <f t="array" aca="1" ref="F7" ca="1">MAX(IFERROR(_xludf.XLOOKUP(G7,'Rea - SK'!A:A,'Rea - SK'!F:F),DATE(1966,6,6)),IFERROR(_xludf.XLOOKUP(H7,'Rea - SK'!A:A,'Rea - SK'!F:F),DATE(1966,6,6)),IFERROR(_xludf.XLOOKUP(I7,'Rea - SK'!A:A,'Rea - SK'!F:F),DATE(1966,6,6)),IFERROR(_xludf.XLOOKUP(J7,'Rea - SK'!A:A,'Rea - SK'!F:F),DATE(1966,6,6)),IFERROR(_xludf.XLOOKUP(K7,'Rea - SK'!A:A,'Rea - SK'!F:F),DATE(1966,6,6)))</f>
        <v>24264</v>
      </c>
      <c r="G7" s="2" t="s">
        <v>1475</v>
      </c>
      <c r="H7" s="2" t="s">
        <v>2459</v>
      </c>
      <c r="I7" s="2"/>
      <c r="J7" s="2"/>
      <c r="K7" s="2"/>
      <c r="L7" s="18"/>
    </row>
    <row r="8" spans="1:12" ht="18.75" customHeight="1" x14ac:dyDescent="0.2">
      <c r="A8" s="16" t="s">
        <v>4746</v>
      </c>
      <c r="B8" s="2">
        <v>54104</v>
      </c>
      <c r="C8" s="2">
        <v>5906366008719</v>
      </c>
      <c r="D8" s="4" t="s">
        <v>4747</v>
      </c>
      <c r="E8" s="3">
        <f t="array" aca="1" ref="E8" ca="1">IFERROR(_xludf.XLOOKUP(G8,'Rea - SK'!A:A,'Rea - SK'!E:E),0)+IFERROR(_xludf.XLOOKUP(H8,'Rea - SK'!A:A,'Rea - SK'!E:E),0)+IFERROR(_xludf.XLOOKUP(I8,'Rea - SK'!A:A,'Rea - SK'!E:E),0)+IFERROR(_xludf.XLOOKUP(J8,'Rea - SK'!A:A,'Rea - SK'!E:E),0)+IFERROR(_xludf.XLOOKUP(K8,'Rea - SK'!A:A,'Rea - SK'!E:E),0)</f>
        <v>0</v>
      </c>
      <c r="F8" s="11">
        <f t="array" aca="1" ref="F8" ca="1">MAX(IFERROR(_xludf.XLOOKUP(G8,'Rea - SK'!A:A,'Rea - SK'!F:F),DATE(1966,6,6)),IFERROR(_xludf.XLOOKUP(H8,'Rea - SK'!A:A,'Rea - SK'!F:F),DATE(1966,6,6)),IFERROR(_xludf.XLOOKUP(I8,'Rea - SK'!A:A,'Rea - SK'!F:F),DATE(1966,6,6)),IFERROR(_xludf.XLOOKUP(J8,'Rea - SK'!A:A,'Rea - SK'!F:F),DATE(1966,6,6)),IFERROR(_xludf.XLOOKUP(K8,'Rea - SK'!A:A,'Rea - SK'!F:F),DATE(1966,6,6)))</f>
        <v>24264</v>
      </c>
      <c r="G8" s="2" t="s">
        <v>1471</v>
      </c>
      <c r="H8" s="2" t="s">
        <v>2457</v>
      </c>
      <c r="I8" s="2"/>
      <c r="J8" s="2"/>
      <c r="K8" s="2"/>
      <c r="L8" s="18"/>
    </row>
    <row r="9" spans="1:12" ht="18.75" customHeight="1" x14ac:dyDescent="0.2">
      <c r="A9" s="16" t="s">
        <v>4748</v>
      </c>
      <c r="B9" s="2">
        <v>54103</v>
      </c>
      <c r="C9" s="2">
        <v>5906366008689</v>
      </c>
      <c r="D9" s="4" t="s">
        <v>4749</v>
      </c>
      <c r="E9" s="3">
        <f t="array" aca="1" ref="E9" ca="1">IFERROR(_xludf.XLOOKUP(G9,'Rea - SK'!A:A,'Rea - SK'!E:E),0)+IFERROR(_xludf.XLOOKUP(H9,'Rea - SK'!A:A,'Rea - SK'!E:E),0)+IFERROR(_xludf.XLOOKUP(I9,'Rea - SK'!A:A,'Rea - SK'!E:E),0)+IFERROR(_xludf.XLOOKUP(J9,'Rea - SK'!A:A,'Rea - SK'!E:E),0)+IFERROR(_xludf.XLOOKUP(K9,'Rea - SK'!A:A,'Rea - SK'!E:E),0)</f>
        <v>0</v>
      </c>
      <c r="F9" s="11">
        <f t="array" aca="1" ref="F9" ca="1">MAX(IFERROR(_xludf.XLOOKUP(G9,'Rea - SK'!A:A,'Rea - SK'!F:F),DATE(1966,6,6)),IFERROR(_xludf.XLOOKUP(H9,'Rea - SK'!A:A,'Rea - SK'!F:F),DATE(1966,6,6)),IFERROR(_xludf.XLOOKUP(I9,'Rea - SK'!A:A,'Rea - SK'!F:F),DATE(1966,6,6)),IFERROR(_xludf.XLOOKUP(J9,'Rea - SK'!A:A,'Rea - SK'!F:F),DATE(1966,6,6)),IFERROR(_xludf.XLOOKUP(K9,'Rea - SK'!A:A,'Rea - SK'!F:F),DATE(1966,6,6)))</f>
        <v>24264</v>
      </c>
      <c r="G9" s="2" t="s">
        <v>1471</v>
      </c>
      <c r="H9" s="2" t="s">
        <v>2461</v>
      </c>
      <c r="I9" s="2"/>
      <c r="J9" s="2"/>
      <c r="K9" s="2"/>
      <c r="L9" s="18"/>
    </row>
    <row r="10" spans="1:12" ht="18.75" customHeight="1" x14ac:dyDescent="0.2">
      <c r="A10" s="16" t="s">
        <v>4750</v>
      </c>
      <c r="B10" s="2">
        <v>54102</v>
      </c>
      <c r="C10" s="2">
        <v>5906366008665</v>
      </c>
      <c r="D10" s="4" t="s">
        <v>4751</v>
      </c>
      <c r="E10" s="3">
        <f t="array" aca="1" ref="E10" ca="1">IFERROR(_xludf.XLOOKUP(G10,'Rea - SK'!A:A,'Rea - SK'!E:E),0)+IFERROR(_xludf.XLOOKUP(H10,'Rea - SK'!A:A,'Rea - SK'!E:E),0)+IFERROR(_xludf.XLOOKUP(I10,'Rea - SK'!A:A,'Rea - SK'!E:E),0)+IFERROR(_xludf.XLOOKUP(J10,'Rea - SK'!A:A,'Rea - SK'!E:E),0)+IFERROR(_xludf.XLOOKUP(K10,'Rea - SK'!A:A,'Rea - SK'!E:E),0)</f>
        <v>0</v>
      </c>
      <c r="F10" s="11">
        <f t="array" aca="1" ref="F10" ca="1">MAX(IFERROR(_xludf.XLOOKUP(G10,'Rea - SK'!A:A,'Rea - SK'!F:F),DATE(1966,6,6)),IFERROR(_xludf.XLOOKUP(H10,'Rea - SK'!A:A,'Rea - SK'!F:F),DATE(1966,6,6)),IFERROR(_xludf.XLOOKUP(I10,'Rea - SK'!A:A,'Rea - SK'!F:F),DATE(1966,6,6)),IFERROR(_xludf.XLOOKUP(J10,'Rea - SK'!A:A,'Rea - SK'!F:F),DATE(1966,6,6)),IFERROR(_xludf.XLOOKUP(K10,'Rea - SK'!A:A,'Rea - SK'!F:F),DATE(1966,6,6)))</f>
        <v>24264</v>
      </c>
      <c r="G10" s="2" t="s">
        <v>1471</v>
      </c>
      <c r="H10" s="2" t="s">
        <v>2459</v>
      </c>
      <c r="I10" s="2"/>
      <c r="J10" s="2"/>
      <c r="K10" s="2"/>
      <c r="L10" s="18"/>
    </row>
    <row r="11" spans="1:12" ht="18.75" customHeight="1" x14ac:dyDescent="0.2">
      <c r="A11" s="16" t="s">
        <v>4752</v>
      </c>
      <c r="B11" s="2">
        <v>54101</v>
      </c>
      <c r="C11" s="2">
        <v>5906366008641</v>
      </c>
      <c r="D11" s="4" t="s">
        <v>4753</v>
      </c>
      <c r="E11" s="3">
        <f t="array" aca="1" ref="E11" ca="1">IFERROR(_xludf.XLOOKUP(G11,'Rea - SK'!A:A,'Rea - SK'!E:E),0)+IFERROR(_xludf.XLOOKUP(H11,'Rea - SK'!A:A,'Rea - SK'!E:E),0)+IFERROR(_xludf.XLOOKUP(I11,'Rea - SK'!A:A,'Rea - SK'!E:E),0)+IFERROR(_xludf.XLOOKUP(J11,'Rea - SK'!A:A,'Rea - SK'!E:E),0)+IFERROR(_xludf.XLOOKUP(K11,'Rea - SK'!A:A,'Rea - SK'!E:E),0)</f>
        <v>0</v>
      </c>
      <c r="F11" s="11">
        <f t="array" aca="1" ref="F11" ca="1">MAX(IFERROR(_xludf.XLOOKUP(G11,'Rea - SK'!A:A,'Rea - SK'!F:F),DATE(1966,6,6)),IFERROR(_xludf.XLOOKUP(H11,'Rea - SK'!A:A,'Rea - SK'!F:F),DATE(1966,6,6)),IFERROR(_xludf.XLOOKUP(I11,'Rea - SK'!A:A,'Rea - SK'!F:F),DATE(1966,6,6)),IFERROR(_xludf.XLOOKUP(J11,'Rea - SK'!A:A,'Rea - SK'!F:F),DATE(1966,6,6)),IFERROR(_xludf.XLOOKUP(K11,'Rea - SK'!A:A,'Rea - SK'!F:F),DATE(1966,6,6)))</f>
        <v>24264</v>
      </c>
      <c r="G11" s="2" t="s">
        <v>1471</v>
      </c>
      <c r="H11" s="2" t="s">
        <v>1841</v>
      </c>
      <c r="I11" s="2"/>
      <c r="J11" s="2"/>
      <c r="K11" s="2"/>
      <c r="L11" s="18"/>
    </row>
    <row r="12" spans="1:12" ht="18.75" customHeight="1" x14ac:dyDescent="0.2">
      <c r="A12" s="16" t="s">
        <v>4754</v>
      </c>
      <c r="B12" s="2">
        <v>54087</v>
      </c>
      <c r="C12" s="2">
        <v>5906366008627</v>
      </c>
      <c r="D12" s="4" t="s">
        <v>4755</v>
      </c>
      <c r="E12" s="3">
        <f t="array" aca="1" ref="E12" ca="1">IFERROR(_xludf.XLOOKUP(G12,'Rea - SK'!A:A,'Rea - SK'!E:E),0)+IFERROR(_xludf.XLOOKUP(H12,'Rea - SK'!A:A,'Rea - SK'!E:E),0)+IFERROR(_xludf.XLOOKUP(I12,'Rea - SK'!A:A,'Rea - SK'!E:E),0)+IFERROR(_xludf.XLOOKUP(J12,'Rea - SK'!A:A,'Rea - SK'!E:E),0)+IFERROR(_xludf.XLOOKUP(K12,'Rea - SK'!A:A,'Rea - SK'!E:E),0)</f>
        <v>0</v>
      </c>
      <c r="F12" s="11">
        <f t="array" aca="1" ref="F12" ca="1">MAX(IFERROR(_xludf.XLOOKUP(G12,'Rea - SK'!A:A,'Rea - SK'!F:F),DATE(1966,6,6)),IFERROR(_xludf.XLOOKUP(H12,'Rea - SK'!A:A,'Rea - SK'!F:F),DATE(1966,6,6)),IFERROR(_xludf.XLOOKUP(I12,'Rea - SK'!A:A,'Rea - SK'!F:F),DATE(1966,6,6)),IFERROR(_xludf.XLOOKUP(J12,'Rea - SK'!A:A,'Rea - SK'!F:F),DATE(1966,6,6)),IFERROR(_xludf.XLOOKUP(K12,'Rea - SK'!A:A,'Rea - SK'!F:F),DATE(1966,6,6)))</f>
        <v>24264</v>
      </c>
      <c r="G12" s="2" t="s">
        <v>1477</v>
      </c>
      <c r="H12" s="2" t="s">
        <v>1841</v>
      </c>
      <c r="I12" s="2"/>
      <c r="J12" s="2"/>
      <c r="K12" s="2"/>
      <c r="L12" s="18"/>
    </row>
    <row r="13" spans="1:12" ht="18.75" customHeight="1" x14ac:dyDescent="0.2">
      <c r="A13" s="16" t="s">
        <v>4756</v>
      </c>
      <c r="B13" s="2">
        <v>54086</v>
      </c>
      <c r="C13" s="2">
        <v>5906366008610</v>
      </c>
      <c r="D13" s="4" t="s">
        <v>4757</v>
      </c>
      <c r="E13" s="3">
        <f t="array" aca="1" ref="E13" ca="1">IFERROR(_xludf.XLOOKUP(G13,'Rea - SK'!A:A,'Rea - SK'!E:E),0)+IFERROR(_xludf.XLOOKUP(H13,'Rea - SK'!A:A,'Rea - SK'!E:E),0)+IFERROR(_xludf.XLOOKUP(I13,'Rea - SK'!A:A,'Rea - SK'!E:E),0)+IFERROR(_xludf.XLOOKUP(J13,'Rea - SK'!A:A,'Rea - SK'!E:E),0)+IFERROR(_xludf.XLOOKUP(K13,'Rea - SK'!A:A,'Rea - SK'!E:E),0)</f>
        <v>0</v>
      </c>
      <c r="F13" s="11">
        <f t="array" aca="1" ref="F13" ca="1">MAX(IFERROR(_xludf.XLOOKUP(G13,'Rea - SK'!A:A,'Rea - SK'!F:F),DATE(1966,6,6)),IFERROR(_xludf.XLOOKUP(H13,'Rea - SK'!A:A,'Rea - SK'!F:F),DATE(1966,6,6)),IFERROR(_xludf.XLOOKUP(I13,'Rea - SK'!A:A,'Rea - SK'!F:F),DATE(1966,6,6)),IFERROR(_xludf.XLOOKUP(J13,'Rea - SK'!A:A,'Rea - SK'!F:F),DATE(1966,6,6)),IFERROR(_xludf.XLOOKUP(K13,'Rea - SK'!A:A,'Rea - SK'!F:F),DATE(1966,6,6)))</f>
        <v>24264</v>
      </c>
      <c r="G13" s="2" t="s">
        <v>1475</v>
      </c>
      <c r="H13" s="2" t="s">
        <v>1841</v>
      </c>
      <c r="I13" s="2"/>
      <c r="J13" s="2"/>
      <c r="K13" s="2"/>
      <c r="L13" s="18"/>
    </row>
    <row r="14" spans="1:12" ht="18.75" customHeight="1" x14ac:dyDescent="0.2">
      <c r="A14" s="16" t="s">
        <v>4758</v>
      </c>
      <c r="B14" s="2">
        <v>54045</v>
      </c>
      <c r="C14" s="2">
        <v>5906366008573</v>
      </c>
      <c r="D14" s="4" t="s">
        <v>4759</v>
      </c>
      <c r="E14" s="3">
        <f t="array" aca="1" ref="E14" ca="1">IFERROR(_xludf.XLOOKUP(G14,'Rea - SK'!A:A,'Rea - SK'!E:E),0)+IFERROR(_xludf.XLOOKUP(H14,'Rea - SK'!A:A,'Rea - SK'!E:E),0)+IFERROR(_xludf.XLOOKUP(I14,'Rea - SK'!A:A,'Rea - SK'!E:E),0)+IFERROR(_xludf.XLOOKUP(J14,'Rea - SK'!A:A,'Rea - SK'!E:E),0)+IFERROR(_xludf.XLOOKUP(K14,'Rea - SK'!A:A,'Rea - SK'!E:E),0)</f>
        <v>0</v>
      </c>
      <c r="F14" s="11">
        <f t="array" aca="1" ref="F14" ca="1">MAX(IFERROR(_xludf.XLOOKUP(G14,'Rea - SK'!A:A,'Rea - SK'!F:F),DATE(1966,6,6)),IFERROR(_xludf.XLOOKUP(H14,'Rea - SK'!A:A,'Rea - SK'!F:F),DATE(1966,6,6)),IFERROR(_xludf.XLOOKUP(I14,'Rea - SK'!A:A,'Rea - SK'!F:F),DATE(1966,6,6)),IFERROR(_xludf.XLOOKUP(J14,'Rea - SK'!A:A,'Rea - SK'!F:F),DATE(1966,6,6)),IFERROR(_xludf.XLOOKUP(K14,'Rea - SK'!A:A,'Rea - SK'!F:F),DATE(1966,6,6)))</f>
        <v>24264</v>
      </c>
      <c r="G14" s="2" t="s">
        <v>1469</v>
      </c>
      <c r="H14" s="2" t="s">
        <v>1841</v>
      </c>
      <c r="I14" s="2"/>
      <c r="J14" s="2"/>
      <c r="K14" s="2"/>
      <c r="L14" s="18"/>
    </row>
    <row r="15" spans="1:12" ht="18.75" customHeight="1" x14ac:dyDescent="0.2">
      <c r="A15" s="16" t="s">
        <v>4760</v>
      </c>
      <c r="B15" s="2">
        <v>54044</v>
      </c>
      <c r="C15" s="2">
        <v>5906366008566</v>
      </c>
      <c r="D15" s="4" t="s">
        <v>4761</v>
      </c>
      <c r="E15" s="3">
        <f t="array" aca="1" ref="E15" ca="1">IFERROR(_xludf.XLOOKUP(G15,'Rea - SK'!A:A,'Rea - SK'!E:E),0)+IFERROR(_xludf.XLOOKUP(H15,'Rea - SK'!A:A,'Rea - SK'!E:E),0)+IFERROR(_xludf.XLOOKUP(I15,'Rea - SK'!A:A,'Rea - SK'!E:E),0)+IFERROR(_xludf.XLOOKUP(J15,'Rea - SK'!A:A,'Rea - SK'!E:E),0)+IFERROR(_xludf.XLOOKUP(K15,'Rea - SK'!A:A,'Rea - SK'!E:E),0)</f>
        <v>0</v>
      </c>
      <c r="F15" s="11">
        <f t="array" aca="1" ref="F15" ca="1">MAX(IFERROR(_xludf.XLOOKUP(G15,'Rea - SK'!A:A,'Rea - SK'!F:F),DATE(1966,6,6)),IFERROR(_xludf.XLOOKUP(H15,'Rea - SK'!A:A,'Rea - SK'!F:F),DATE(1966,6,6)),IFERROR(_xludf.XLOOKUP(I15,'Rea - SK'!A:A,'Rea - SK'!F:F),DATE(1966,6,6)),IFERROR(_xludf.XLOOKUP(J15,'Rea - SK'!A:A,'Rea - SK'!F:F),DATE(1966,6,6)),IFERROR(_xludf.XLOOKUP(K15,'Rea - SK'!A:A,'Rea - SK'!F:F),DATE(1966,6,6)))</f>
        <v>24264</v>
      </c>
      <c r="G15" s="2" t="s">
        <v>1473</v>
      </c>
      <c r="H15" s="2" t="s">
        <v>1841</v>
      </c>
      <c r="I15" s="2"/>
      <c r="J15" s="2"/>
      <c r="K15" s="2"/>
      <c r="L15" s="18"/>
    </row>
    <row r="16" spans="1:12" ht="18.75" customHeight="1" x14ac:dyDescent="0.2">
      <c r="A16" s="16" t="s">
        <v>4762</v>
      </c>
      <c r="B16" s="2">
        <v>54043</v>
      </c>
      <c r="C16" s="2">
        <v>5906366008559</v>
      </c>
      <c r="D16" s="4" t="s">
        <v>4763</v>
      </c>
      <c r="E16" s="3">
        <f t="array" aca="1" ref="E16" ca="1">IFERROR(_xludf.XLOOKUP(G16,'Rea - SK'!A:A,'Rea - SK'!E:E),0)+IFERROR(_xludf.XLOOKUP(H16,'Rea - SK'!A:A,'Rea - SK'!E:E),0)+IFERROR(_xludf.XLOOKUP(I16,'Rea - SK'!A:A,'Rea - SK'!E:E),0)+IFERROR(_xludf.XLOOKUP(J16,'Rea - SK'!A:A,'Rea - SK'!E:E),0)+IFERROR(_xludf.XLOOKUP(K16,'Rea - SK'!A:A,'Rea - SK'!E:E),0)</f>
        <v>0</v>
      </c>
      <c r="F16" s="11">
        <f t="array" aca="1" ref="F16" ca="1">MAX(IFERROR(_xludf.XLOOKUP(G16,'Rea - SK'!A:A,'Rea - SK'!F:F),DATE(1966,6,6)),IFERROR(_xludf.XLOOKUP(H16,'Rea - SK'!A:A,'Rea - SK'!F:F),DATE(1966,6,6)),IFERROR(_xludf.XLOOKUP(I16,'Rea - SK'!A:A,'Rea - SK'!F:F),DATE(1966,6,6)),IFERROR(_xludf.XLOOKUP(J16,'Rea - SK'!A:A,'Rea - SK'!F:F),DATE(1966,6,6)),IFERROR(_xludf.XLOOKUP(K16,'Rea - SK'!A:A,'Rea - SK'!F:F),DATE(1966,6,6)))</f>
        <v>24264</v>
      </c>
      <c r="G16" s="2" t="s">
        <v>1473</v>
      </c>
      <c r="H16" s="2" t="s">
        <v>2459</v>
      </c>
      <c r="I16" s="2"/>
      <c r="J16" s="2"/>
      <c r="K16" s="2"/>
      <c r="L16" s="18"/>
    </row>
    <row r="17" spans="1:12" ht="18.75" customHeight="1" x14ac:dyDescent="0.2">
      <c r="A17" s="16" t="s">
        <v>4764</v>
      </c>
      <c r="B17" s="2">
        <v>54042</v>
      </c>
      <c r="C17" s="2">
        <v>5906366008542</v>
      </c>
      <c r="D17" s="4" t="s">
        <v>4765</v>
      </c>
      <c r="E17" s="3">
        <f t="array" aca="1" ref="E17" ca="1">IFERROR(_xludf.XLOOKUP(G17,'Rea - SK'!A:A,'Rea - SK'!E:E),0)+IFERROR(_xludf.XLOOKUP(H17,'Rea - SK'!A:A,'Rea - SK'!E:E),0)+IFERROR(_xludf.XLOOKUP(I17,'Rea - SK'!A:A,'Rea - SK'!E:E),0)+IFERROR(_xludf.XLOOKUP(J17,'Rea - SK'!A:A,'Rea - SK'!E:E),0)+IFERROR(_xludf.XLOOKUP(K17,'Rea - SK'!A:A,'Rea - SK'!E:E),0)</f>
        <v>0</v>
      </c>
      <c r="F17" s="11">
        <f t="array" aca="1" ref="F17" ca="1">MAX(IFERROR(_xludf.XLOOKUP(G17,'Rea - SK'!A:A,'Rea - SK'!F:F),DATE(1966,6,6)),IFERROR(_xludf.XLOOKUP(H17,'Rea - SK'!A:A,'Rea - SK'!F:F),DATE(1966,6,6)),IFERROR(_xludf.XLOOKUP(I17,'Rea - SK'!A:A,'Rea - SK'!F:F),DATE(1966,6,6)),IFERROR(_xludf.XLOOKUP(J17,'Rea - SK'!A:A,'Rea - SK'!F:F),DATE(1966,6,6)),IFERROR(_xludf.XLOOKUP(K17,'Rea - SK'!A:A,'Rea - SK'!F:F),DATE(1966,6,6)))</f>
        <v>24264</v>
      </c>
      <c r="G17" s="2" t="s">
        <v>1473</v>
      </c>
      <c r="H17" s="2" t="s">
        <v>2461</v>
      </c>
      <c r="I17" s="2"/>
      <c r="J17" s="2"/>
      <c r="K17" s="2"/>
      <c r="L17" s="18"/>
    </row>
    <row r="18" spans="1:12" ht="18.75" customHeight="1" x14ac:dyDescent="0.2">
      <c r="A18" s="16" t="s">
        <v>4766</v>
      </c>
      <c r="B18" s="2">
        <v>54041</v>
      </c>
      <c r="C18" s="2">
        <v>5906366008535</v>
      </c>
      <c r="D18" s="4" t="s">
        <v>4767</v>
      </c>
      <c r="E18" s="3">
        <f t="array" aca="1" ref="E18" ca="1">IFERROR(_xludf.XLOOKUP(G18,'Rea - SK'!A:A,'Rea - SK'!E:E),0)+IFERROR(_xludf.XLOOKUP(H18,'Rea - SK'!A:A,'Rea - SK'!E:E),0)+IFERROR(_xludf.XLOOKUP(I18,'Rea - SK'!A:A,'Rea - SK'!E:E),0)+IFERROR(_xludf.XLOOKUP(J18,'Rea - SK'!A:A,'Rea - SK'!E:E),0)+IFERROR(_xludf.XLOOKUP(K18,'Rea - SK'!A:A,'Rea - SK'!E:E),0)</f>
        <v>0</v>
      </c>
      <c r="F18" s="11">
        <f t="array" aca="1" ref="F18" ca="1">MAX(IFERROR(_xludf.XLOOKUP(G18,'Rea - SK'!A:A,'Rea - SK'!F:F),DATE(1966,6,6)),IFERROR(_xludf.XLOOKUP(H18,'Rea - SK'!A:A,'Rea - SK'!F:F),DATE(1966,6,6)),IFERROR(_xludf.XLOOKUP(I18,'Rea - SK'!A:A,'Rea - SK'!F:F),DATE(1966,6,6)),IFERROR(_xludf.XLOOKUP(J18,'Rea - SK'!A:A,'Rea - SK'!F:F),DATE(1966,6,6)),IFERROR(_xludf.XLOOKUP(K18,'Rea - SK'!A:A,'Rea - SK'!F:F),DATE(1966,6,6)))</f>
        <v>24264</v>
      </c>
      <c r="G18" s="2" t="s">
        <v>1473</v>
      </c>
      <c r="H18" s="2" t="s">
        <v>2457</v>
      </c>
      <c r="I18" s="2"/>
      <c r="J18" s="2"/>
      <c r="K18" s="2"/>
      <c r="L18" s="18"/>
    </row>
    <row r="19" spans="1:12" ht="18.75" customHeight="1" x14ac:dyDescent="0.2">
      <c r="A19" s="16" t="s">
        <v>4768</v>
      </c>
      <c r="B19" s="2">
        <v>54040</v>
      </c>
      <c r="C19" s="2">
        <v>5906366008528</v>
      </c>
      <c r="D19" s="4" t="s">
        <v>4769</v>
      </c>
      <c r="E19" s="3">
        <f t="array" aca="1" ref="E19" ca="1">IFERROR(_xludf.XLOOKUP(G19,'Rea - SK'!A:A,'Rea - SK'!E:E),0)+IFERROR(_xludf.XLOOKUP(H19,'Rea - SK'!A:A,'Rea - SK'!E:E),0)+IFERROR(_xludf.XLOOKUP(I19,'Rea - SK'!A:A,'Rea - SK'!E:E),0)+IFERROR(_xludf.XLOOKUP(J19,'Rea - SK'!A:A,'Rea - SK'!E:E),0)+IFERROR(_xludf.XLOOKUP(K19,'Rea - SK'!A:A,'Rea - SK'!E:E),0)</f>
        <v>0</v>
      </c>
      <c r="F19" s="11">
        <f t="array" aca="1" ref="F19" ca="1">MAX(IFERROR(_xludf.XLOOKUP(G19,'Rea - SK'!A:A,'Rea - SK'!F:F),DATE(1966,6,6)),IFERROR(_xludf.XLOOKUP(H19,'Rea - SK'!A:A,'Rea - SK'!F:F),DATE(1966,6,6)),IFERROR(_xludf.XLOOKUP(I19,'Rea - SK'!A:A,'Rea - SK'!F:F),DATE(1966,6,6)),IFERROR(_xludf.XLOOKUP(J19,'Rea - SK'!A:A,'Rea - SK'!F:F),DATE(1966,6,6)),IFERROR(_xludf.XLOOKUP(K19,'Rea - SK'!A:A,'Rea - SK'!F:F),DATE(1966,6,6)))</f>
        <v>24264</v>
      </c>
      <c r="G19" s="2" t="s">
        <v>1469</v>
      </c>
      <c r="H19" s="2" t="s">
        <v>2457</v>
      </c>
      <c r="I19" s="2"/>
      <c r="J19" s="2"/>
      <c r="K19" s="2"/>
      <c r="L19" s="18"/>
    </row>
    <row r="20" spans="1:12" ht="18.75" customHeight="1" x14ac:dyDescent="0.2">
      <c r="A20" s="16" t="s">
        <v>4770</v>
      </c>
      <c r="B20" s="2">
        <v>54039</v>
      </c>
      <c r="C20" s="2">
        <v>5906366008511</v>
      </c>
      <c r="D20" s="4" t="s">
        <v>4771</v>
      </c>
      <c r="E20" s="3">
        <f t="array" aca="1" ref="E20" ca="1">IFERROR(_xludf.XLOOKUP(G20,'Rea - SK'!A:A,'Rea - SK'!E:E),0)+IFERROR(_xludf.XLOOKUP(H20,'Rea - SK'!A:A,'Rea - SK'!E:E),0)+IFERROR(_xludf.XLOOKUP(I20,'Rea - SK'!A:A,'Rea - SK'!E:E),0)+IFERROR(_xludf.XLOOKUP(J20,'Rea - SK'!A:A,'Rea - SK'!E:E),0)+IFERROR(_xludf.XLOOKUP(K20,'Rea - SK'!A:A,'Rea - SK'!E:E),0)</f>
        <v>0</v>
      </c>
      <c r="F20" s="11">
        <f t="array" aca="1" ref="F20" ca="1">MAX(IFERROR(_xludf.XLOOKUP(G20,'Rea - SK'!A:A,'Rea - SK'!F:F),DATE(1966,6,6)),IFERROR(_xludf.XLOOKUP(H20,'Rea - SK'!A:A,'Rea - SK'!F:F),DATE(1966,6,6)),IFERROR(_xludf.XLOOKUP(I20,'Rea - SK'!A:A,'Rea - SK'!F:F),DATE(1966,6,6)),IFERROR(_xludf.XLOOKUP(J20,'Rea - SK'!A:A,'Rea - SK'!F:F),DATE(1966,6,6)),IFERROR(_xludf.XLOOKUP(K20,'Rea - SK'!A:A,'Rea - SK'!F:F),DATE(1966,6,6)))</f>
        <v>24264</v>
      </c>
      <c r="G20" s="2" t="s">
        <v>1469</v>
      </c>
      <c r="H20" s="2" t="s">
        <v>2461</v>
      </c>
      <c r="I20" s="2"/>
      <c r="J20" s="2"/>
      <c r="K20" s="2"/>
      <c r="L20" s="18"/>
    </row>
    <row r="21" spans="1:12" ht="18.75" customHeight="1" x14ac:dyDescent="0.2">
      <c r="A21" s="16" t="s">
        <v>4772</v>
      </c>
      <c r="B21" s="2">
        <v>54038</v>
      </c>
      <c r="C21" s="2">
        <v>5906366008504</v>
      </c>
      <c r="D21" s="4" t="s">
        <v>4773</v>
      </c>
      <c r="E21" s="3">
        <f t="array" aca="1" ref="E21" ca="1">IFERROR(_xludf.XLOOKUP(G21,'Rea - SK'!A:A,'Rea - SK'!E:E),0)+IFERROR(_xludf.XLOOKUP(H21,'Rea - SK'!A:A,'Rea - SK'!E:E),0)+IFERROR(_xludf.XLOOKUP(I21,'Rea - SK'!A:A,'Rea - SK'!E:E),0)+IFERROR(_xludf.XLOOKUP(J21,'Rea - SK'!A:A,'Rea - SK'!E:E),0)+IFERROR(_xludf.XLOOKUP(K21,'Rea - SK'!A:A,'Rea - SK'!E:E),0)</f>
        <v>0</v>
      </c>
      <c r="F21" s="11">
        <f t="array" aca="1" ref="F21" ca="1">MAX(IFERROR(_xludf.XLOOKUP(G21,'Rea - SK'!A:A,'Rea - SK'!F:F),DATE(1966,6,6)),IFERROR(_xludf.XLOOKUP(H21,'Rea - SK'!A:A,'Rea - SK'!F:F),DATE(1966,6,6)),IFERROR(_xludf.XLOOKUP(I21,'Rea - SK'!A:A,'Rea - SK'!F:F),DATE(1966,6,6)),IFERROR(_xludf.XLOOKUP(J21,'Rea - SK'!A:A,'Rea - SK'!F:F),DATE(1966,6,6)),IFERROR(_xludf.XLOOKUP(K21,'Rea - SK'!A:A,'Rea - SK'!F:F),DATE(1966,6,6)))</f>
        <v>24264</v>
      </c>
      <c r="G21" s="2" t="s">
        <v>1469</v>
      </c>
      <c r="H21" s="2" t="s">
        <v>2459</v>
      </c>
      <c r="I21" s="2"/>
      <c r="J21" s="2"/>
      <c r="K21" s="2"/>
      <c r="L21" s="18"/>
    </row>
    <row r="22" spans="1:12" ht="18.75" customHeight="1" x14ac:dyDescent="0.2">
      <c r="A22" s="16" t="s">
        <v>4774</v>
      </c>
      <c r="B22" s="2">
        <v>53499</v>
      </c>
      <c r="C22" s="2">
        <v>5906366006364</v>
      </c>
      <c r="D22" s="4" t="s">
        <v>4775</v>
      </c>
      <c r="E22" s="3">
        <f t="array" aca="1" ref="E22" ca="1">IFERROR(_xludf.XLOOKUP(G22,'Rea - SK'!A:A,'Rea - SK'!E:E),0)+IFERROR(_xludf.XLOOKUP(H22,'Rea - SK'!A:A,'Rea - SK'!E:E),0)+IFERROR(_xludf.XLOOKUP(I22,'Rea - SK'!A:A,'Rea - SK'!E:E),0)+IFERROR(_xludf.XLOOKUP(J22,'Rea - SK'!A:A,'Rea - SK'!E:E),0)+IFERROR(_xludf.XLOOKUP(K22,'Rea - SK'!A:A,'Rea - SK'!E:E),0)</f>
        <v>0</v>
      </c>
      <c r="F22" s="11">
        <f t="array" aca="1" ref="F22" ca="1">MAX(IFERROR(_xludf.XLOOKUP(G22,'Rea - SK'!A:A,'Rea - SK'!F:F),DATE(1966,6,6)),IFERROR(_xludf.XLOOKUP(H22,'Rea - SK'!A:A,'Rea - SK'!F:F),DATE(1966,6,6)),IFERROR(_xludf.XLOOKUP(I22,'Rea - SK'!A:A,'Rea - SK'!F:F),DATE(1966,6,6)),IFERROR(_xludf.XLOOKUP(J22,'Rea - SK'!A:A,'Rea - SK'!F:F),DATE(1966,6,6)),IFERROR(_xludf.XLOOKUP(K22,'Rea - SK'!A:A,'Rea - SK'!F:F),DATE(1966,6,6)))</f>
        <v>24264</v>
      </c>
      <c r="G22" s="2" t="s">
        <v>3778</v>
      </c>
      <c r="H22" s="2" t="s">
        <v>1185</v>
      </c>
      <c r="I22" s="19"/>
      <c r="J22" s="19"/>
      <c r="K22" s="19"/>
      <c r="L22" s="18"/>
    </row>
    <row r="23" spans="1:12" ht="18.75" customHeight="1" x14ac:dyDescent="0.2">
      <c r="A23" s="16" t="s">
        <v>4776</v>
      </c>
      <c r="B23" s="2">
        <v>53433</v>
      </c>
      <c r="C23" s="2">
        <v>5906366005329</v>
      </c>
      <c r="D23" s="4" t="s">
        <v>4777</v>
      </c>
      <c r="E23" s="3">
        <f t="array" aca="1" ref="E23" ca="1">IFERROR(_xludf.XLOOKUP(G23,'Rea - SK'!A:A,'Rea - SK'!E:E),0)+IFERROR(_xludf.XLOOKUP(H23,'Rea - SK'!A:A,'Rea - SK'!E:E),0)+IFERROR(_xludf.XLOOKUP(I23,'Rea - SK'!A:A,'Rea - SK'!E:E),0)+IFERROR(_xludf.XLOOKUP(J23,'Rea - SK'!A:A,'Rea - SK'!E:E),0)+IFERROR(_xludf.XLOOKUP(K23,'Rea - SK'!A:A,'Rea - SK'!E:E),0)</f>
        <v>0</v>
      </c>
      <c r="F23" s="11">
        <f t="array" aca="1" ref="F23" ca="1">MAX(IFERROR(_xludf.XLOOKUP(G23,'Rea - SK'!A:A,'Rea - SK'!F:F),DATE(1966,6,6)),IFERROR(_xludf.XLOOKUP(H23,'Rea - SK'!A:A,'Rea - SK'!F:F),DATE(1966,6,6)),IFERROR(_xludf.XLOOKUP(I23,'Rea - SK'!A:A,'Rea - SK'!F:F),DATE(1966,6,6)),IFERROR(_xludf.XLOOKUP(J23,'Rea - SK'!A:A,'Rea - SK'!F:F),DATE(1966,6,6)),IFERROR(_xludf.XLOOKUP(K23,'Rea - SK'!A:A,'Rea - SK'!F:F),DATE(1966,6,6)))</f>
        <v>24264</v>
      </c>
      <c r="G23" s="2" t="s">
        <v>1647</v>
      </c>
      <c r="H23" s="2" t="s">
        <v>1357</v>
      </c>
      <c r="I23" s="19"/>
      <c r="J23" s="19"/>
      <c r="K23" s="19"/>
      <c r="L23" s="18"/>
    </row>
    <row r="24" spans="1:12" ht="18.75" customHeight="1" x14ac:dyDescent="0.2">
      <c r="A24" s="2" t="s">
        <v>4778</v>
      </c>
      <c r="B24" s="2">
        <v>53374</v>
      </c>
      <c r="C24" s="2">
        <v>5906366005053</v>
      </c>
      <c r="D24" s="4" t="s">
        <v>4779</v>
      </c>
      <c r="E24" s="3">
        <f t="array" aca="1" ref="E24" ca="1">IFERROR(_xludf.XLOOKUP(G24,'Rea - SK'!A:A,'Rea - SK'!E:E),0)+IFERROR(_xludf.XLOOKUP(H24,'Rea - SK'!A:A,'Rea - SK'!E:E),0)+IFERROR(_xludf.XLOOKUP(I24,'Rea - SK'!A:A,'Rea - SK'!E:E),0)+IFERROR(_xludf.XLOOKUP(J24,'Rea - SK'!A:A,'Rea - SK'!E:E),0)+IFERROR(_xludf.XLOOKUP(K24,'Rea - SK'!A:A,'Rea - SK'!E:E),0)</f>
        <v>0</v>
      </c>
      <c r="F24" s="11">
        <f t="array" aca="1" ref="F24" ca="1">MAX(IFERROR(_xludf.XLOOKUP(G24,'Rea - SK'!A:A,'Rea - SK'!F:F),DATE(1966,6,6)),IFERROR(_xludf.XLOOKUP(H24,'Rea - SK'!A:A,'Rea - SK'!F:F),DATE(1966,6,6)),IFERROR(_xludf.XLOOKUP(I24,'Rea - SK'!A:A,'Rea - SK'!F:F),DATE(1966,6,6)),IFERROR(_xludf.XLOOKUP(J24,'Rea - SK'!A:A,'Rea - SK'!F:F),DATE(1966,6,6)),IFERROR(_xludf.XLOOKUP(K24,'Rea - SK'!A:A,'Rea - SK'!F:F),DATE(1966,6,6)))</f>
        <v>24264</v>
      </c>
      <c r="G24" s="3" t="s">
        <v>1581</v>
      </c>
      <c r="H24" s="2" t="s">
        <v>2635</v>
      </c>
      <c r="I24" s="2" t="s">
        <v>2635</v>
      </c>
      <c r="J24" s="2" t="s">
        <v>2375</v>
      </c>
      <c r="K24" s="2" t="s">
        <v>2375</v>
      </c>
      <c r="L24" s="18"/>
    </row>
    <row r="25" spans="1:12" ht="18.75" customHeight="1" x14ac:dyDescent="0.2">
      <c r="A25" s="2" t="s">
        <v>4780</v>
      </c>
      <c r="B25" s="2">
        <v>53373</v>
      </c>
      <c r="C25" s="2">
        <v>5906366005046</v>
      </c>
      <c r="D25" s="4" t="s">
        <v>4781</v>
      </c>
      <c r="E25" s="3">
        <f t="array" aca="1" ref="E25" ca="1">IFERROR(_xludf.XLOOKUP(G25,'Rea - SK'!A:A,'Rea - SK'!E:E),0)+IFERROR(_xludf.XLOOKUP(H25,'Rea - SK'!A:A,'Rea - SK'!E:E),0)+IFERROR(_xludf.XLOOKUP(I25,'Rea - SK'!A:A,'Rea - SK'!E:E),0)+IFERROR(_xludf.XLOOKUP(J25,'Rea - SK'!A:A,'Rea - SK'!E:E),0)+IFERROR(_xludf.XLOOKUP(K25,'Rea - SK'!A:A,'Rea - SK'!E:E),0)</f>
        <v>0</v>
      </c>
      <c r="F25" s="11">
        <f t="array" aca="1" ref="F25" ca="1">MAX(IFERROR(_xludf.XLOOKUP(G25,'Rea - SK'!A:A,'Rea - SK'!F:F),DATE(1966,6,6)),IFERROR(_xludf.XLOOKUP(H25,'Rea - SK'!A:A,'Rea - SK'!F:F),DATE(1966,6,6)),IFERROR(_xludf.XLOOKUP(I25,'Rea - SK'!A:A,'Rea - SK'!F:F),DATE(1966,6,6)),IFERROR(_xludf.XLOOKUP(J25,'Rea - SK'!A:A,'Rea - SK'!F:F),DATE(1966,6,6)),IFERROR(_xludf.XLOOKUP(K25,'Rea - SK'!A:A,'Rea - SK'!F:F),DATE(1966,6,6)))</f>
        <v>24264</v>
      </c>
      <c r="G25" s="3" t="s">
        <v>1581</v>
      </c>
      <c r="H25" s="2" t="s">
        <v>2639</v>
      </c>
      <c r="I25" s="2" t="s">
        <v>2639</v>
      </c>
      <c r="J25" s="2" t="s">
        <v>2375</v>
      </c>
      <c r="K25" s="2" t="s">
        <v>2375</v>
      </c>
      <c r="L25" s="18"/>
    </row>
    <row r="26" spans="1:12" ht="18.75" customHeight="1" x14ac:dyDescent="0.2">
      <c r="A26" s="2" t="s">
        <v>4782</v>
      </c>
      <c r="B26" s="2">
        <v>53372</v>
      </c>
      <c r="C26" s="2">
        <v>5906366005039</v>
      </c>
      <c r="D26" s="4" t="s">
        <v>4783</v>
      </c>
      <c r="E26" s="3">
        <f t="array" aca="1" ref="E26" ca="1">IFERROR(_xludf.XLOOKUP(G26,'Rea - SK'!A:A,'Rea - SK'!E:E),0)+IFERROR(_xludf.XLOOKUP(H26,'Rea - SK'!A:A,'Rea - SK'!E:E),0)+IFERROR(_xludf.XLOOKUP(I26,'Rea - SK'!A:A,'Rea - SK'!E:E),0)+IFERROR(_xludf.XLOOKUP(J26,'Rea - SK'!A:A,'Rea - SK'!E:E),0)+IFERROR(_xludf.XLOOKUP(K26,'Rea - SK'!A:A,'Rea - SK'!E:E),0)</f>
        <v>0</v>
      </c>
      <c r="F26" s="11">
        <f t="array" aca="1" ref="F26" ca="1">MAX(IFERROR(_xludf.XLOOKUP(G26,'Rea - SK'!A:A,'Rea - SK'!F:F),DATE(1966,6,6)),IFERROR(_xludf.XLOOKUP(H26,'Rea - SK'!A:A,'Rea - SK'!F:F),DATE(1966,6,6)),IFERROR(_xludf.XLOOKUP(I26,'Rea - SK'!A:A,'Rea - SK'!F:F),DATE(1966,6,6)),IFERROR(_xludf.XLOOKUP(J26,'Rea - SK'!A:A,'Rea - SK'!F:F),DATE(1966,6,6)),IFERROR(_xludf.XLOOKUP(K26,'Rea - SK'!A:A,'Rea - SK'!F:F),DATE(1966,6,6)))</f>
        <v>24264</v>
      </c>
      <c r="G26" s="3" t="s">
        <v>1581</v>
      </c>
      <c r="H26" s="2" t="s">
        <v>2637</v>
      </c>
      <c r="I26" s="2" t="s">
        <v>2637</v>
      </c>
      <c r="J26" s="2" t="s">
        <v>2375</v>
      </c>
      <c r="K26" s="2" t="s">
        <v>2375</v>
      </c>
      <c r="L26" s="18"/>
    </row>
    <row r="27" spans="1:12" ht="18.75" customHeight="1" x14ac:dyDescent="0.2">
      <c r="A27" s="2" t="s">
        <v>4784</v>
      </c>
      <c r="B27" s="2">
        <v>53371</v>
      </c>
      <c r="C27" s="2">
        <v>5906366005022</v>
      </c>
      <c r="D27" s="4" t="s">
        <v>4785</v>
      </c>
      <c r="E27" s="3">
        <f t="array" aca="1" ref="E27" ca="1">IFERROR(_xludf.XLOOKUP(G27,'Rea - SK'!A:A,'Rea - SK'!E:E),0)+IFERROR(_xludf.XLOOKUP(H27,'Rea - SK'!A:A,'Rea - SK'!E:E),0)+IFERROR(_xludf.XLOOKUP(I27,'Rea - SK'!A:A,'Rea - SK'!E:E),0)+IFERROR(_xludf.XLOOKUP(J27,'Rea - SK'!A:A,'Rea - SK'!E:E),0)+IFERROR(_xludf.XLOOKUP(K27,'Rea - SK'!A:A,'Rea - SK'!E:E),0)</f>
        <v>0</v>
      </c>
      <c r="F27" s="11">
        <f t="array" aca="1" ref="F27" ca="1">MAX(IFERROR(_xludf.XLOOKUP(G27,'Rea - SK'!A:A,'Rea - SK'!F:F),DATE(1966,6,6)),IFERROR(_xludf.XLOOKUP(H27,'Rea - SK'!A:A,'Rea - SK'!F:F),DATE(1966,6,6)),IFERROR(_xludf.XLOOKUP(I27,'Rea - SK'!A:A,'Rea - SK'!F:F),DATE(1966,6,6)),IFERROR(_xludf.XLOOKUP(J27,'Rea - SK'!A:A,'Rea - SK'!F:F),DATE(1966,6,6)),IFERROR(_xludf.XLOOKUP(K27,'Rea - SK'!A:A,'Rea - SK'!F:F),DATE(1966,6,6)))</f>
        <v>24264</v>
      </c>
      <c r="G27" s="3" t="s">
        <v>1583</v>
      </c>
      <c r="H27" s="2" t="s">
        <v>2635</v>
      </c>
      <c r="I27" s="2" t="s">
        <v>2635</v>
      </c>
      <c r="J27" s="2" t="s">
        <v>2375</v>
      </c>
      <c r="K27" s="2" t="s">
        <v>2375</v>
      </c>
      <c r="L27" s="18"/>
    </row>
    <row r="28" spans="1:12" ht="18.75" customHeight="1" x14ac:dyDescent="0.2">
      <c r="A28" s="2" t="s">
        <v>4786</v>
      </c>
      <c r="B28" s="2">
        <v>53370</v>
      </c>
      <c r="C28" s="2">
        <v>5906366005015</v>
      </c>
      <c r="D28" s="4" t="s">
        <v>4787</v>
      </c>
      <c r="E28" s="3">
        <f t="array" aca="1" ref="E28" ca="1">IFERROR(_xludf.XLOOKUP(G28,'Rea - SK'!A:A,'Rea - SK'!E:E),0)+IFERROR(_xludf.XLOOKUP(H28,'Rea - SK'!A:A,'Rea - SK'!E:E),0)+IFERROR(_xludf.XLOOKUP(I28,'Rea - SK'!A:A,'Rea - SK'!E:E),0)+IFERROR(_xludf.XLOOKUP(J28,'Rea - SK'!A:A,'Rea - SK'!E:E),0)+IFERROR(_xludf.XLOOKUP(K28,'Rea - SK'!A:A,'Rea - SK'!E:E),0)</f>
        <v>0</v>
      </c>
      <c r="F28" s="11">
        <f t="array" aca="1" ref="F28" ca="1">MAX(IFERROR(_xludf.XLOOKUP(G28,'Rea - SK'!A:A,'Rea - SK'!F:F),DATE(1966,6,6)),IFERROR(_xludf.XLOOKUP(H28,'Rea - SK'!A:A,'Rea - SK'!F:F),DATE(1966,6,6)),IFERROR(_xludf.XLOOKUP(I28,'Rea - SK'!A:A,'Rea - SK'!F:F),DATE(1966,6,6)),IFERROR(_xludf.XLOOKUP(J28,'Rea - SK'!A:A,'Rea - SK'!F:F),DATE(1966,6,6)),IFERROR(_xludf.XLOOKUP(K28,'Rea - SK'!A:A,'Rea - SK'!F:F),DATE(1966,6,6)))</f>
        <v>24264</v>
      </c>
      <c r="G28" s="3" t="s">
        <v>1583</v>
      </c>
      <c r="H28" s="2" t="s">
        <v>2639</v>
      </c>
      <c r="I28" s="2" t="s">
        <v>2639</v>
      </c>
      <c r="J28" s="2" t="s">
        <v>2375</v>
      </c>
      <c r="K28" s="2" t="s">
        <v>2375</v>
      </c>
      <c r="L28" s="18"/>
    </row>
    <row r="29" spans="1:12" ht="18.75" customHeight="1" x14ac:dyDescent="0.2">
      <c r="A29" s="2" t="s">
        <v>4788</v>
      </c>
      <c r="B29" s="2">
        <v>53369</v>
      </c>
      <c r="C29" s="2">
        <v>5906366005008</v>
      </c>
      <c r="D29" s="4" t="s">
        <v>4789</v>
      </c>
      <c r="E29" s="3">
        <f t="array" aca="1" ref="E29" ca="1">IFERROR(_xludf.XLOOKUP(G29,'Rea - SK'!A:A,'Rea - SK'!E:E),0)+IFERROR(_xludf.XLOOKUP(H29,'Rea - SK'!A:A,'Rea - SK'!E:E),0)+IFERROR(_xludf.XLOOKUP(I29,'Rea - SK'!A:A,'Rea - SK'!E:E),0)+IFERROR(_xludf.XLOOKUP(J29,'Rea - SK'!A:A,'Rea - SK'!E:E),0)+IFERROR(_xludf.XLOOKUP(K29,'Rea - SK'!A:A,'Rea - SK'!E:E),0)</f>
        <v>0</v>
      </c>
      <c r="F29" s="11">
        <f t="array" aca="1" ref="F29" ca="1">MAX(IFERROR(_xludf.XLOOKUP(G29,'Rea - SK'!A:A,'Rea - SK'!F:F),DATE(1966,6,6)),IFERROR(_xludf.XLOOKUP(H29,'Rea - SK'!A:A,'Rea - SK'!F:F),DATE(1966,6,6)),IFERROR(_xludf.XLOOKUP(I29,'Rea - SK'!A:A,'Rea - SK'!F:F),DATE(1966,6,6)),IFERROR(_xludf.XLOOKUP(J29,'Rea - SK'!A:A,'Rea - SK'!F:F),DATE(1966,6,6)),IFERROR(_xludf.XLOOKUP(K29,'Rea - SK'!A:A,'Rea - SK'!F:F),DATE(1966,6,6)))</f>
        <v>24264</v>
      </c>
      <c r="G29" s="3" t="s">
        <v>1583</v>
      </c>
      <c r="H29" s="2" t="s">
        <v>2637</v>
      </c>
      <c r="I29" s="2" t="s">
        <v>2637</v>
      </c>
      <c r="J29" s="2" t="s">
        <v>2375</v>
      </c>
      <c r="K29" s="2" t="s">
        <v>2375</v>
      </c>
      <c r="L29" s="18"/>
    </row>
    <row r="30" spans="1:12" ht="18.75" customHeight="1" x14ac:dyDescent="0.2">
      <c r="A30" s="2" t="s">
        <v>4790</v>
      </c>
      <c r="B30" s="2">
        <v>53366</v>
      </c>
      <c r="C30" s="2">
        <v>5906366004995</v>
      </c>
      <c r="D30" s="4" t="s">
        <v>4791</v>
      </c>
      <c r="E30" s="3">
        <f t="array" aca="1" ref="E30" ca="1">IFERROR(_xludf.XLOOKUP(G30,'Rea - SK'!A:A,'Rea - SK'!E:E),0)+IFERROR(_xludf.XLOOKUP(H30,'Rea - SK'!A:A,'Rea - SK'!E:E),0)+IFERROR(_xludf.XLOOKUP(I30,'Rea - SK'!A:A,'Rea - SK'!E:E),0)+IFERROR(_xludf.XLOOKUP(J30,'Rea - SK'!A:A,'Rea - SK'!E:E),0)+IFERROR(_xludf.XLOOKUP(K30,'Rea - SK'!A:A,'Rea - SK'!E:E),0)</f>
        <v>0</v>
      </c>
      <c r="F30" s="11">
        <f t="array" aca="1" ref="F30" ca="1">MAX(IFERROR(_xludf.XLOOKUP(G30,'Rea - SK'!A:A,'Rea - SK'!F:F),DATE(1966,6,6)),IFERROR(_xludf.XLOOKUP(H30,'Rea - SK'!A:A,'Rea - SK'!F:F),DATE(1966,6,6)),IFERROR(_xludf.XLOOKUP(I30,'Rea - SK'!A:A,'Rea - SK'!F:F),DATE(1966,6,6)),IFERROR(_xludf.XLOOKUP(J30,'Rea - SK'!A:A,'Rea - SK'!F:F),DATE(1966,6,6)),IFERROR(_xludf.XLOOKUP(K30,'Rea - SK'!A:A,'Rea - SK'!F:F),DATE(1966,6,6)))</f>
        <v>24264</v>
      </c>
      <c r="G30" s="3" t="s">
        <v>1581</v>
      </c>
      <c r="H30" s="2" t="s">
        <v>2635</v>
      </c>
      <c r="I30" s="2"/>
      <c r="J30" s="2"/>
      <c r="K30" s="2"/>
      <c r="L30" s="18"/>
    </row>
    <row r="31" spans="1:12" ht="18.75" customHeight="1" x14ac:dyDescent="0.2">
      <c r="A31" s="2" t="s">
        <v>4792</v>
      </c>
      <c r="B31" s="2">
        <v>53365</v>
      </c>
      <c r="C31" s="2">
        <v>5906366004988</v>
      </c>
      <c r="D31" s="4" t="s">
        <v>4793</v>
      </c>
      <c r="E31" s="3">
        <f t="array" aca="1" ref="E31" ca="1">IFERROR(_xludf.XLOOKUP(G31,'Rea - SK'!A:A,'Rea - SK'!E:E),0)+IFERROR(_xludf.XLOOKUP(H31,'Rea - SK'!A:A,'Rea - SK'!E:E),0)+IFERROR(_xludf.XLOOKUP(I31,'Rea - SK'!A:A,'Rea - SK'!E:E),0)+IFERROR(_xludf.XLOOKUP(J31,'Rea - SK'!A:A,'Rea - SK'!E:E),0)+IFERROR(_xludf.XLOOKUP(K31,'Rea - SK'!A:A,'Rea - SK'!E:E),0)</f>
        <v>0</v>
      </c>
      <c r="F31" s="11">
        <f t="array" aca="1" ref="F31" ca="1">MAX(IFERROR(_xludf.XLOOKUP(G31,'Rea - SK'!A:A,'Rea - SK'!F:F),DATE(1966,6,6)),IFERROR(_xludf.XLOOKUP(H31,'Rea - SK'!A:A,'Rea - SK'!F:F),DATE(1966,6,6)),IFERROR(_xludf.XLOOKUP(I31,'Rea - SK'!A:A,'Rea - SK'!F:F),DATE(1966,6,6)),IFERROR(_xludf.XLOOKUP(J31,'Rea - SK'!A:A,'Rea - SK'!F:F),DATE(1966,6,6)),IFERROR(_xludf.XLOOKUP(K31,'Rea - SK'!A:A,'Rea - SK'!F:F),DATE(1966,6,6)))</f>
        <v>24264</v>
      </c>
      <c r="G31" s="3" t="s">
        <v>1581</v>
      </c>
      <c r="H31" s="2" t="s">
        <v>2639</v>
      </c>
      <c r="I31" s="2"/>
      <c r="J31" s="2"/>
      <c r="K31" s="2"/>
      <c r="L31" s="18"/>
    </row>
    <row r="32" spans="1:12" ht="18.75" customHeight="1" x14ac:dyDescent="0.2">
      <c r="A32" s="2" t="s">
        <v>4794</v>
      </c>
      <c r="B32" s="2">
        <v>53364</v>
      </c>
      <c r="C32" s="2">
        <v>5906366004971</v>
      </c>
      <c r="D32" s="4" t="s">
        <v>4795</v>
      </c>
      <c r="E32" s="3">
        <f t="array" aca="1" ref="E32" ca="1">IFERROR(_xludf.XLOOKUP(G32,'Rea - SK'!A:A,'Rea - SK'!E:E),0)+IFERROR(_xludf.XLOOKUP(H32,'Rea - SK'!A:A,'Rea - SK'!E:E),0)+IFERROR(_xludf.XLOOKUP(I32,'Rea - SK'!A:A,'Rea - SK'!E:E),0)+IFERROR(_xludf.XLOOKUP(J32,'Rea - SK'!A:A,'Rea - SK'!E:E),0)+IFERROR(_xludf.XLOOKUP(K32,'Rea - SK'!A:A,'Rea - SK'!E:E),0)</f>
        <v>0</v>
      </c>
      <c r="F32" s="11">
        <f t="array" aca="1" ref="F32" ca="1">MAX(IFERROR(_xludf.XLOOKUP(G32,'Rea - SK'!A:A,'Rea - SK'!F:F),DATE(1966,6,6)),IFERROR(_xludf.XLOOKUP(H32,'Rea - SK'!A:A,'Rea - SK'!F:F),DATE(1966,6,6)),IFERROR(_xludf.XLOOKUP(I32,'Rea - SK'!A:A,'Rea - SK'!F:F),DATE(1966,6,6)),IFERROR(_xludf.XLOOKUP(J32,'Rea - SK'!A:A,'Rea - SK'!F:F),DATE(1966,6,6)),IFERROR(_xludf.XLOOKUP(K32,'Rea - SK'!A:A,'Rea - SK'!F:F),DATE(1966,6,6)))</f>
        <v>24264</v>
      </c>
      <c r="G32" s="3" t="s">
        <v>1581</v>
      </c>
      <c r="H32" s="2" t="s">
        <v>2637</v>
      </c>
      <c r="I32" s="2"/>
      <c r="J32" s="2"/>
      <c r="K32" s="2"/>
      <c r="L32" s="18"/>
    </row>
    <row r="33" spans="1:12" ht="18.75" customHeight="1" x14ac:dyDescent="0.2">
      <c r="A33" s="2" t="s">
        <v>4796</v>
      </c>
      <c r="B33" s="2">
        <v>53363</v>
      </c>
      <c r="C33" s="2">
        <v>5906366004964</v>
      </c>
      <c r="D33" s="4" t="s">
        <v>4797</v>
      </c>
      <c r="E33" s="3">
        <f t="array" aca="1" ref="E33" ca="1">IFERROR(_xludf.XLOOKUP(G33,'Rea - SK'!A:A,'Rea - SK'!E:E),0)+IFERROR(_xludf.XLOOKUP(H33,'Rea - SK'!A:A,'Rea - SK'!E:E),0)+IFERROR(_xludf.XLOOKUP(I33,'Rea - SK'!A:A,'Rea - SK'!E:E),0)+IFERROR(_xludf.XLOOKUP(J33,'Rea - SK'!A:A,'Rea - SK'!E:E),0)+IFERROR(_xludf.XLOOKUP(K33,'Rea - SK'!A:A,'Rea - SK'!E:E),0)</f>
        <v>0</v>
      </c>
      <c r="F33" s="11">
        <f t="array" aca="1" ref="F33" ca="1">MAX(IFERROR(_xludf.XLOOKUP(G33,'Rea - SK'!A:A,'Rea - SK'!F:F),DATE(1966,6,6)),IFERROR(_xludf.XLOOKUP(H33,'Rea - SK'!A:A,'Rea - SK'!F:F),DATE(1966,6,6)),IFERROR(_xludf.XLOOKUP(I33,'Rea - SK'!A:A,'Rea - SK'!F:F),DATE(1966,6,6)),IFERROR(_xludf.XLOOKUP(J33,'Rea - SK'!A:A,'Rea - SK'!F:F),DATE(1966,6,6)),IFERROR(_xludf.XLOOKUP(K33,'Rea - SK'!A:A,'Rea - SK'!F:F),DATE(1966,6,6)))</f>
        <v>24264</v>
      </c>
      <c r="G33" s="3" t="s">
        <v>1583</v>
      </c>
      <c r="H33" s="2" t="s">
        <v>2635</v>
      </c>
      <c r="I33" s="2"/>
      <c r="J33" s="2"/>
      <c r="K33" s="2"/>
      <c r="L33" s="18"/>
    </row>
    <row r="34" spans="1:12" ht="18.75" customHeight="1" x14ac:dyDescent="0.2">
      <c r="A34" s="2" t="s">
        <v>4798</v>
      </c>
      <c r="B34" s="2">
        <v>53362</v>
      </c>
      <c r="C34" s="2">
        <v>5906366004957</v>
      </c>
      <c r="D34" s="4" t="s">
        <v>4799</v>
      </c>
      <c r="E34" s="3">
        <f t="array" aca="1" ref="E34" ca="1">IFERROR(_xludf.XLOOKUP(G34,'Rea - SK'!A:A,'Rea - SK'!E:E),0)+IFERROR(_xludf.XLOOKUP(H34,'Rea - SK'!A:A,'Rea - SK'!E:E),0)+IFERROR(_xludf.XLOOKUP(I34,'Rea - SK'!A:A,'Rea - SK'!E:E),0)+IFERROR(_xludf.XLOOKUP(J34,'Rea - SK'!A:A,'Rea - SK'!E:E),0)+IFERROR(_xludf.XLOOKUP(K34,'Rea - SK'!A:A,'Rea - SK'!E:E),0)</f>
        <v>0</v>
      </c>
      <c r="F34" s="11">
        <f t="array" aca="1" ref="F34" ca="1">MAX(IFERROR(_xludf.XLOOKUP(G34,'Rea - SK'!A:A,'Rea - SK'!F:F),DATE(1966,6,6)),IFERROR(_xludf.XLOOKUP(H34,'Rea - SK'!A:A,'Rea - SK'!F:F),DATE(1966,6,6)),IFERROR(_xludf.XLOOKUP(I34,'Rea - SK'!A:A,'Rea - SK'!F:F),DATE(1966,6,6)),IFERROR(_xludf.XLOOKUP(J34,'Rea - SK'!A:A,'Rea - SK'!F:F),DATE(1966,6,6)),IFERROR(_xludf.XLOOKUP(K34,'Rea - SK'!A:A,'Rea - SK'!F:F),DATE(1966,6,6)))</f>
        <v>24264</v>
      </c>
      <c r="G34" s="3" t="s">
        <v>1583</v>
      </c>
      <c r="H34" s="2" t="s">
        <v>2639</v>
      </c>
      <c r="I34" s="2"/>
      <c r="J34" s="2"/>
      <c r="K34" s="2"/>
      <c r="L34" s="18"/>
    </row>
    <row r="35" spans="1:12" ht="18.75" customHeight="1" x14ac:dyDescent="0.2">
      <c r="A35" s="2" t="s">
        <v>4800</v>
      </c>
      <c r="B35" s="2">
        <v>53361</v>
      </c>
      <c r="C35" s="2">
        <v>5906366004940</v>
      </c>
      <c r="D35" s="4" t="s">
        <v>4801</v>
      </c>
      <c r="E35" s="3">
        <f t="array" aca="1" ref="E35" ca="1">IFERROR(_xludf.XLOOKUP(G35,'Rea - SK'!A:A,'Rea - SK'!E:E),0)+IFERROR(_xludf.XLOOKUP(H35,'Rea - SK'!A:A,'Rea - SK'!E:E),0)+IFERROR(_xludf.XLOOKUP(I35,'Rea - SK'!A:A,'Rea - SK'!E:E),0)+IFERROR(_xludf.XLOOKUP(J35,'Rea - SK'!A:A,'Rea - SK'!E:E),0)+IFERROR(_xludf.XLOOKUP(K35,'Rea - SK'!A:A,'Rea - SK'!E:E),0)</f>
        <v>0</v>
      </c>
      <c r="F35" s="11">
        <f t="array" aca="1" ref="F35" ca="1">MAX(IFERROR(_xludf.XLOOKUP(G35,'Rea - SK'!A:A,'Rea - SK'!F:F),DATE(1966,6,6)),IFERROR(_xludf.XLOOKUP(H35,'Rea - SK'!A:A,'Rea - SK'!F:F),DATE(1966,6,6)),IFERROR(_xludf.XLOOKUP(I35,'Rea - SK'!A:A,'Rea - SK'!F:F),DATE(1966,6,6)),IFERROR(_xludf.XLOOKUP(J35,'Rea - SK'!A:A,'Rea - SK'!F:F),DATE(1966,6,6)),IFERROR(_xludf.XLOOKUP(K35,'Rea - SK'!A:A,'Rea - SK'!F:F),DATE(1966,6,6)))</f>
        <v>24264</v>
      </c>
      <c r="G35" s="3" t="s">
        <v>1583</v>
      </c>
      <c r="H35" s="2" t="s">
        <v>2637</v>
      </c>
      <c r="I35" s="2"/>
      <c r="J35" s="2"/>
      <c r="K35" s="2"/>
      <c r="L35" s="18"/>
    </row>
    <row r="36" spans="1:12" ht="18.75" customHeight="1" x14ac:dyDescent="0.2">
      <c r="A36" s="16" t="s">
        <v>4802</v>
      </c>
      <c r="B36" s="2">
        <v>52866</v>
      </c>
      <c r="C36" s="2">
        <v>5906366003332</v>
      </c>
      <c r="D36" s="4" t="s">
        <v>4803</v>
      </c>
      <c r="E36" s="3">
        <f t="array" aca="1" ref="E36" ca="1">IFERROR(_xludf.XLOOKUP(G36,'Rea - SK'!A:A,'Rea - SK'!E:E),0)+IFERROR(_xludf.XLOOKUP(H36,'Rea - SK'!A:A,'Rea - SK'!E:E),0)+IFERROR(_xludf.XLOOKUP(I36,'Rea - SK'!A:A,'Rea - SK'!E:E),0)+IFERROR(_xludf.XLOOKUP(J36,'Rea - SK'!A:A,'Rea - SK'!E:E),0)+IFERROR(_xludf.XLOOKUP(K36,'Rea - SK'!A:A,'Rea - SK'!E:E),0)</f>
        <v>0</v>
      </c>
      <c r="F36" s="11">
        <f t="array" aca="1" ref="F36" ca="1">MAX(IFERROR(_xludf.XLOOKUP(G36,'Rea - SK'!A:A,'Rea - SK'!F:F),DATE(1966,6,6)),IFERROR(_xludf.XLOOKUP(H36,'Rea - SK'!A:A,'Rea - SK'!F:F),DATE(1966,6,6)),IFERROR(_xludf.XLOOKUP(I36,'Rea - SK'!A:A,'Rea - SK'!F:F),DATE(1966,6,6)),IFERROR(_xludf.XLOOKUP(J36,'Rea - SK'!A:A,'Rea - SK'!F:F),DATE(1966,6,6)),IFERROR(_xludf.XLOOKUP(K36,'Rea - SK'!A:A,'Rea - SK'!F:F),DATE(1966,6,6)))</f>
        <v>24264</v>
      </c>
      <c r="G36" s="2" t="s">
        <v>1671</v>
      </c>
      <c r="H36" s="2" t="s">
        <v>1355</v>
      </c>
      <c r="I36" s="19"/>
      <c r="J36" s="19"/>
      <c r="K36" s="19"/>
      <c r="L36" s="18"/>
    </row>
    <row r="37" spans="1:12" ht="18.75" customHeight="1" x14ac:dyDescent="0.2">
      <c r="A37" s="16" t="s">
        <v>4804</v>
      </c>
      <c r="B37" s="2">
        <v>52865</v>
      </c>
      <c r="C37" s="2">
        <v>5906366003325</v>
      </c>
      <c r="D37" s="4" t="s">
        <v>4805</v>
      </c>
      <c r="E37" s="3">
        <f t="array" aca="1" ref="E37" ca="1">IFERROR(_xludf.XLOOKUP(G37,'Rea - SK'!A:A,'Rea - SK'!E:E),0)+IFERROR(_xludf.XLOOKUP(H37,'Rea - SK'!A:A,'Rea - SK'!E:E),0)+IFERROR(_xludf.XLOOKUP(I37,'Rea - SK'!A:A,'Rea - SK'!E:E),0)+IFERROR(_xludf.XLOOKUP(J37,'Rea - SK'!A:A,'Rea - SK'!E:E),0)+IFERROR(_xludf.XLOOKUP(K37,'Rea - SK'!A:A,'Rea - SK'!E:E),0)</f>
        <v>0</v>
      </c>
      <c r="F37" s="11">
        <f t="array" aca="1" ref="F37" ca="1">MAX(IFERROR(_xludf.XLOOKUP(G37,'Rea - SK'!A:A,'Rea - SK'!F:F),DATE(1966,6,6)),IFERROR(_xludf.XLOOKUP(H37,'Rea - SK'!A:A,'Rea - SK'!F:F),DATE(1966,6,6)),IFERROR(_xludf.XLOOKUP(I37,'Rea - SK'!A:A,'Rea - SK'!F:F),DATE(1966,6,6)),IFERROR(_xludf.XLOOKUP(J37,'Rea - SK'!A:A,'Rea - SK'!F:F),DATE(1966,6,6)),IFERROR(_xludf.XLOOKUP(K37,'Rea - SK'!A:A,'Rea - SK'!F:F),DATE(1966,6,6)))</f>
        <v>24264</v>
      </c>
      <c r="G37" s="2" t="s">
        <v>1671</v>
      </c>
      <c r="H37" s="2" t="s">
        <v>1361</v>
      </c>
      <c r="I37" s="19"/>
      <c r="J37" s="19"/>
      <c r="K37" s="19"/>
      <c r="L37" s="18"/>
    </row>
    <row r="38" spans="1:12" ht="18.75" customHeight="1" x14ac:dyDescent="0.2">
      <c r="A38" s="16" t="s">
        <v>4806</v>
      </c>
      <c r="B38" s="2">
        <v>52861</v>
      </c>
      <c r="C38" s="2">
        <v>5906366003295</v>
      </c>
      <c r="D38" s="4" t="s">
        <v>4807</v>
      </c>
      <c r="E38" s="3">
        <f t="array" aca="1" ref="E38" ca="1">IFERROR(_xludf.XLOOKUP(G38,'Rea - SK'!A:A,'Rea - SK'!E:E),0)+IFERROR(_xludf.XLOOKUP(H38,'Rea - SK'!A:A,'Rea - SK'!E:E),0)+IFERROR(_xludf.XLOOKUP(I38,'Rea - SK'!A:A,'Rea - SK'!E:E),0)+IFERROR(_xludf.XLOOKUP(J38,'Rea - SK'!A:A,'Rea - SK'!E:E),0)+IFERROR(_xludf.XLOOKUP(K38,'Rea - SK'!A:A,'Rea - SK'!E:E),0)</f>
        <v>0</v>
      </c>
      <c r="F38" s="11">
        <f t="array" aca="1" ref="F38" ca="1">MAX(IFERROR(_xludf.XLOOKUP(G38,'Rea - SK'!A:A,'Rea - SK'!F:F),DATE(1966,6,6)),IFERROR(_xludf.XLOOKUP(H38,'Rea - SK'!A:A,'Rea - SK'!F:F),DATE(1966,6,6)),IFERROR(_xludf.XLOOKUP(I38,'Rea - SK'!A:A,'Rea - SK'!F:F),DATE(1966,6,6)),IFERROR(_xludf.XLOOKUP(J38,'Rea - SK'!A:A,'Rea - SK'!F:F),DATE(1966,6,6)),IFERROR(_xludf.XLOOKUP(K38,'Rea - SK'!A:A,'Rea - SK'!F:F),DATE(1966,6,6)))</f>
        <v>24264</v>
      </c>
      <c r="G38" s="2" t="s">
        <v>1677</v>
      </c>
      <c r="H38" s="2" t="s">
        <v>1355</v>
      </c>
      <c r="I38" s="19"/>
      <c r="J38" s="19"/>
      <c r="K38" s="19"/>
      <c r="L38" s="18"/>
    </row>
    <row r="39" spans="1:12" ht="18.75" customHeight="1" x14ac:dyDescent="0.2">
      <c r="A39" s="16" t="s">
        <v>4808</v>
      </c>
      <c r="B39" s="2">
        <v>52860</v>
      </c>
      <c r="C39" s="2">
        <v>5906366003288</v>
      </c>
      <c r="D39" s="4" t="s">
        <v>4809</v>
      </c>
      <c r="E39" s="3">
        <f t="array" aca="1" ref="E39" ca="1">IFERROR(_xludf.XLOOKUP(G39,'Rea - SK'!A:A,'Rea - SK'!E:E),0)+IFERROR(_xludf.XLOOKUP(H39,'Rea - SK'!A:A,'Rea - SK'!E:E),0)+IFERROR(_xludf.XLOOKUP(I39,'Rea - SK'!A:A,'Rea - SK'!E:E),0)+IFERROR(_xludf.XLOOKUP(J39,'Rea - SK'!A:A,'Rea - SK'!E:E),0)+IFERROR(_xludf.XLOOKUP(K39,'Rea - SK'!A:A,'Rea - SK'!E:E),0)</f>
        <v>0</v>
      </c>
      <c r="F39" s="11">
        <f t="array" aca="1" ref="F39" ca="1">MAX(IFERROR(_xludf.XLOOKUP(G39,'Rea - SK'!A:A,'Rea - SK'!F:F),DATE(1966,6,6)),IFERROR(_xludf.XLOOKUP(H39,'Rea - SK'!A:A,'Rea - SK'!F:F),DATE(1966,6,6)),IFERROR(_xludf.XLOOKUP(I39,'Rea - SK'!A:A,'Rea - SK'!F:F),DATE(1966,6,6)),IFERROR(_xludf.XLOOKUP(J39,'Rea - SK'!A:A,'Rea - SK'!F:F),DATE(1966,6,6)),IFERROR(_xludf.XLOOKUP(K39,'Rea - SK'!A:A,'Rea - SK'!F:F),DATE(1966,6,6)))</f>
        <v>24264</v>
      </c>
      <c r="G39" s="2" t="s">
        <v>1677</v>
      </c>
      <c r="H39" s="2" t="s">
        <v>1361</v>
      </c>
      <c r="I39" s="19"/>
      <c r="J39" s="19"/>
      <c r="K39" s="19"/>
      <c r="L39" s="18"/>
    </row>
    <row r="40" spans="1:12" ht="18.75" customHeight="1" x14ac:dyDescent="0.2">
      <c r="A40" s="16" t="s">
        <v>4810</v>
      </c>
      <c r="B40" s="2">
        <v>52855</v>
      </c>
      <c r="C40" s="2">
        <v>5906366004544</v>
      </c>
      <c r="D40" s="4" t="s">
        <v>4811</v>
      </c>
      <c r="E40" s="3">
        <f t="array" aca="1" ref="E40" ca="1">IFERROR(_xludf.XLOOKUP(G40,'Rea - SK'!A:A,'Rea - SK'!E:E),0)+IFERROR(_xludf.XLOOKUP(H40,'Rea - SK'!A:A,'Rea - SK'!E:E),0)+IFERROR(_xludf.XLOOKUP(I40,'Rea - SK'!A:A,'Rea - SK'!E:E),0)+IFERROR(_xludf.XLOOKUP(J40,'Rea - SK'!A:A,'Rea - SK'!E:E),0)+IFERROR(_xludf.XLOOKUP(K40,'Rea - SK'!A:A,'Rea - SK'!E:E),0)</f>
        <v>0</v>
      </c>
      <c r="F40" s="11">
        <f t="array" aca="1" ref="F40" ca="1">MAX(IFERROR(_xludf.XLOOKUP(G40,'Rea - SK'!A:A,'Rea - SK'!F:F),DATE(1966,6,6)),IFERROR(_xludf.XLOOKUP(H40,'Rea - SK'!A:A,'Rea - SK'!F:F),DATE(1966,6,6)),IFERROR(_xludf.XLOOKUP(I40,'Rea - SK'!A:A,'Rea - SK'!F:F),DATE(1966,6,6)),IFERROR(_xludf.XLOOKUP(J40,'Rea - SK'!A:A,'Rea - SK'!F:F),DATE(1966,6,6)),IFERROR(_xludf.XLOOKUP(K40,'Rea - SK'!A:A,'Rea - SK'!F:F),DATE(1966,6,6)))</f>
        <v>24264</v>
      </c>
      <c r="G40" s="2" t="s">
        <v>1681</v>
      </c>
      <c r="H40" s="2" t="s">
        <v>1359</v>
      </c>
      <c r="I40" s="19"/>
      <c r="J40" s="19"/>
      <c r="K40" s="19"/>
      <c r="L40" s="18"/>
    </row>
    <row r="41" spans="1:12" ht="18.75" customHeight="1" x14ac:dyDescent="0.2">
      <c r="A41" s="16" t="s">
        <v>4812</v>
      </c>
      <c r="B41" s="2">
        <v>52854</v>
      </c>
      <c r="C41" s="2">
        <v>5906366004537</v>
      </c>
      <c r="D41" s="4" t="s">
        <v>4813</v>
      </c>
      <c r="E41" s="3">
        <f t="array" aca="1" ref="E41" ca="1">IFERROR(_xludf.XLOOKUP(G41,'Rea - SK'!A:A,'Rea - SK'!E:E),0)+IFERROR(_xludf.XLOOKUP(H41,'Rea - SK'!A:A,'Rea - SK'!E:E),0)+IFERROR(_xludf.XLOOKUP(I41,'Rea - SK'!A:A,'Rea - SK'!E:E),0)+IFERROR(_xludf.XLOOKUP(J41,'Rea - SK'!A:A,'Rea - SK'!E:E),0)+IFERROR(_xludf.XLOOKUP(K41,'Rea - SK'!A:A,'Rea - SK'!E:E),0)</f>
        <v>0</v>
      </c>
      <c r="F41" s="11">
        <f t="array" aca="1" ref="F41" ca="1">MAX(IFERROR(_xludf.XLOOKUP(G41,'Rea - SK'!A:A,'Rea - SK'!F:F),DATE(1966,6,6)),IFERROR(_xludf.XLOOKUP(H41,'Rea - SK'!A:A,'Rea - SK'!F:F),DATE(1966,6,6)),IFERROR(_xludf.XLOOKUP(I41,'Rea - SK'!A:A,'Rea - SK'!F:F),DATE(1966,6,6)),IFERROR(_xludf.XLOOKUP(J41,'Rea - SK'!A:A,'Rea - SK'!F:F),DATE(1966,6,6)),IFERROR(_xludf.XLOOKUP(K41,'Rea - SK'!A:A,'Rea - SK'!F:F),DATE(1966,6,6)))</f>
        <v>24264</v>
      </c>
      <c r="G41" s="2" t="s">
        <v>1365</v>
      </c>
      <c r="H41" s="2" t="s">
        <v>1681</v>
      </c>
      <c r="I41" s="2"/>
      <c r="J41" s="2"/>
      <c r="K41" s="2"/>
      <c r="L41" s="18"/>
    </row>
    <row r="42" spans="1:12" ht="18.75" customHeight="1" x14ac:dyDescent="0.2">
      <c r="A42" s="16" t="s">
        <v>4814</v>
      </c>
      <c r="B42" s="2">
        <v>52852</v>
      </c>
      <c r="C42" s="2">
        <v>5906366003318</v>
      </c>
      <c r="D42" s="4" t="s">
        <v>4815</v>
      </c>
      <c r="E42" s="3">
        <f t="array" aca="1" ref="E42" ca="1">IFERROR(_xludf.XLOOKUP(G42,'Rea - SK'!A:A,'Rea - SK'!E:E),0)+IFERROR(_xludf.XLOOKUP(H42,'Rea - SK'!A:A,'Rea - SK'!E:E),0)+IFERROR(_xludf.XLOOKUP(I42,'Rea - SK'!A:A,'Rea - SK'!E:E),0)+IFERROR(_xludf.XLOOKUP(J42,'Rea - SK'!A:A,'Rea - SK'!E:E),0)+IFERROR(_xludf.XLOOKUP(K42,'Rea - SK'!A:A,'Rea - SK'!E:E),0)</f>
        <v>0</v>
      </c>
      <c r="F42" s="11">
        <f t="array" aca="1" ref="F42" ca="1">MAX(IFERROR(_xludf.XLOOKUP(G42,'Rea - SK'!A:A,'Rea - SK'!F:F),DATE(1966,6,6)),IFERROR(_xludf.XLOOKUP(H42,'Rea - SK'!A:A,'Rea - SK'!F:F),DATE(1966,6,6)),IFERROR(_xludf.XLOOKUP(I42,'Rea - SK'!A:A,'Rea - SK'!F:F),DATE(1966,6,6)),IFERROR(_xludf.XLOOKUP(J42,'Rea - SK'!A:A,'Rea - SK'!F:F),DATE(1966,6,6)),IFERROR(_xludf.XLOOKUP(K42,'Rea - SK'!A:A,'Rea - SK'!F:F),DATE(1966,6,6)))</f>
        <v>24264</v>
      </c>
      <c r="G42" s="2" t="s">
        <v>1675</v>
      </c>
      <c r="H42" s="2" t="s">
        <v>1359</v>
      </c>
      <c r="I42" s="19"/>
      <c r="J42" s="19"/>
      <c r="K42" s="19"/>
      <c r="L42" s="18"/>
    </row>
    <row r="43" spans="1:12" ht="18.75" customHeight="1" x14ac:dyDescent="0.2">
      <c r="A43" s="16" t="s">
        <v>4816</v>
      </c>
      <c r="B43" s="2">
        <v>52851</v>
      </c>
      <c r="C43" s="2">
        <v>5906366003301</v>
      </c>
      <c r="D43" s="4" t="s">
        <v>4817</v>
      </c>
      <c r="E43" s="3">
        <f t="array" aca="1" ref="E43" ca="1">IFERROR(_xludf.XLOOKUP(G43,'Rea - SK'!A:A,'Rea - SK'!E:E),0)+IFERROR(_xludf.XLOOKUP(H43,'Rea - SK'!A:A,'Rea - SK'!E:E),0)+IFERROR(_xludf.XLOOKUP(I43,'Rea - SK'!A:A,'Rea - SK'!E:E),0)+IFERROR(_xludf.XLOOKUP(J43,'Rea - SK'!A:A,'Rea - SK'!E:E),0)+IFERROR(_xludf.XLOOKUP(K43,'Rea - SK'!A:A,'Rea - SK'!E:E),0)</f>
        <v>0</v>
      </c>
      <c r="F43" s="11">
        <f t="array" aca="1" ref="F43" ca="1">MAX(IFERROR(_xludf.XLOOKUP(G43,'Rea - SK'!A:A,'Rea - SK'!F:F),DATE(1966,6,6)),IFERROR(_xludf.XLOOKUP(H43,'Rea - SK'!A:A,'Rea - SK'!F:F),DATE(1966,6,6)),IFERROR(_xludf.XLOOKUP(I43,'Rea - SK'!A:A,'Rea - SK'!F:F),DATE(1966,6,6)),IFERROR(_xludf.XLOOKUP(J43,'Rea - SK'!A:A,'Rea - SK'!F:F),DATE(1966,6,6)),IFERROR(_xludf.XLOOKUP(K43,'Rea - SK'!A:A,'Rea - SK'!F:F),DATE(1966,6,6)))</f>
        <v>24264</v>
      </c>
      <c r="G43" s="2" t="s">
        <v>1365</v>
      </c>
      <c r="H43" s="2" t="s">
        <v>1675</v>
      </c>
      <c r="I43" s="2"/>
      <c r="J43" s="2"/>
      <c r="K43" s="2"/>
      <c r="L43" s="18"/>
    </row>
    <row r="44" spans="1:12" ht="18.75" customHeight="1" x14ac:dyDescent="0.2">
      <c r="A44" s="16" t="s">
        <v>4818</v>
      </c>
      <c r="B44" s="2">
        <v>52849</v>
      </c>
      <c r="C44" s="2">
        <v>5906366003264</v>
      </c>
      <c r="D44" s="4" t="s">
        <v>4819</v>
      </c>
      <c r="E44" s="3">
        <f t="array" aca="1" ref="E44" ca="1">IFERROR(_xludf.XLOOKUP(G44,'Rea - SK'!A:A,'Rea - SK'!E:E),0)+IFERROR(_xludf.XLOOKUP(H44,'Rea - SK'!A:A,'Rea - SK'!E:E),0)+IFERROR(_xludf.XLOOKUP(I44,'Rea - SK'!A:A,'Rea - SK'!E:E),0)+IFERROR(_xludf.XLOOKUP(J44,'Rea - SK'!A:A,'Rea - SK'!E:E),0)+IFERROR(_xludf.XLOOKUP(K44,'Rea - SK'!A:A,'Rea - SK'!E:E),0)</f>
        <v>0</v>
      </c>
      <c r="F44" s="11">
        <f t="array" aca="1" ref="F44" ca="1">MAX(IFERROR(_xludf.XLOOKUP(G44,'Rea - SK'!A:A,'Rea - SK'!F:F),DATE(1966,6,6)),IFERROR(_xludf.XLOOKUP(H44,'Rea - SK'!A:A,'Rea - SK'!F:F),DATE(1966,6,6)),IFERROR(_xludf.XLOOKUP(I44,'Rea - SK'!A:A,'Rea - SK'!F:F),DATE(1966,6,6)),IFERROR(_xludf.XLOOKUP(J44,'Rea - SK'!A:A,'Rea - SK'!F:F),DATE(1966,6,6)),IFERROR(_xludf.XLOOKUP(K44,'Rea - SK'!A:A,'Rea - SK'!F:F),DATE(1966,6,6)))</f>
        <v>24264</v>
      </c>
      <c r="G44" s="2" t="s">
        <v>1779</v>
      </c>
      <c r="H44" s="2" t="s">
        <v>1355</v>
      </c>
      <c r="I44" s="19"/>
      <c r="J44" s="19"/>
      <c r="K44" s="19"/>
      <c r="L44" s="18"/>
    </row>
    <row r="45" spans="1:12" ht="18.75" customHeight="1" x14ac:dyDescent="0.2">
      <c r="A45" s="16" t="s">
        <v>4820</v>
      </c>
      <c r="B45" s="2">
        <v>52848</v>
      </c>
      <c r="C45" s="2">
        <v>5906366003271</v>
      </c>
      <c r="D45" s="4" t="s">
        <v>4821</v>
      </c>
      <c r="E45" s="3">
        <f t="array" aca="1" ref="E45" ca="1">IFERROR(_xludf.XLOOKUP(G45,'Rea - SK'!A:A,'Rea - SK'!E:E),0)+IFERROR(_xludf.XLOOKUP(H45,'Rea - SK'!A:A,'Rea - SK'!E:E),0)+IFERROR(_xludf.XLOOKUP(I45,'Rea - SK'!A:A,'Rea - SK'!E:E),0)+IFERROR(_xludf.XLOOKUP(J45,'Rea - SK'!A:A,'Rea - SK'!E:E),0)+IFERROR(_xludf.XLOOKUP(K45,'Rea - SK'!A:A,'Rea - SK'!E:E),0)</f>
        <v>0</v>
      </c>
      <c r="F45" s="11">
        <f t="array" aca="1" ref="F45" ca="1">MAX(IFERROR(_xludf.XLOOKUP(G45,'Rea - SK'!A:A,'Rea - SK'!F:F),DATE(1966,6,6)),IFERROR(_xludf.XLOOKUP(H45,'Rea - SK'!A:A,'Rea - SK'!F:F),DATE(1966,6,6)),IFERROR(_xludf.XLOOKUP(I45,'Rea - SK'!A:A,'Rea - SK'!F:F),DATE(1966,6,6)),IFERROR(_xludf.XLOOKUP(J45,'Rea - SK'!A:A,'Rea - SK'!F:F),DATE(1966,6,6)),IFERROR(_xludf.XLOOKUP(K45,'Rea - SK'!A:A,'Rea - SK'!F:F),DATE(1966,6,6)))</f>
        <v>24264</v>
      </c>
      <c r="G45" s="2" t="s">
        <v>1779</v>
      </c>
      <c r="H45" s="2" t="s">
        <v>1361</v>
      </c>
      <c r="I45" s="19"/>
      <c r="J45" s="19"/>
      <c r="K45" s="19"/>
      <c r="L45" s="18"/>
    </row>
    <row r="46" spans="1:12" ht="18.75" customHeight="1" x14ac:dyDescent="0.2">
      <c r="A46" s="16" t="s">
        <v>4822</v>
      </c>
      <c r="B46" s="2">
        <v>52846</v>
      </c>
      <c r="C46" s="2">
        <v>5906366003240</v>
      </c>
      <c r="D46" s="4" t="s">
        <v>4823</v>
      </c>
      <c r="E46" s="3">
        <f t="array" aca="1" ref="E46" ca="1">IFERROR(_xludf.XLOOKUP(G46,'Rea - SK'!A:A,'Rea - SK'!E:E),0)+IFERROR(_xludf.XLOOKUP(H46,'Rea - SK'!A:A,'Rea - SK'!E:E),0)+IFERROR(_xludf.XLOOKUP(I46,'Rea - SK'!A:A,'Rea - SK'!E:E),0)+IFERROR(_xludf.XLOOKUP(J46,'Rea - SK'!A:A,'Rea - SK'!E:E),0)+IFERROR(_xludf.XLOOKUP(K46,'Rea - SK'!A:A,'Rea - SK'!E:E),0)</f>
        <v>0</v>
      </c>
      <c r="F46" s="11">
        <f t="array" aca="1" ref="F46" ca="1">MAX(IFERROR(_xludf.XLOOKUP(G46,'Rea - SK'!A:A,'Rea - SK'!F:F),DATE(1966,6,6)),IFERROR(_xludf.XLOOKUP(H46,'Rea - SK'!A:A,'Rea - SK'!F:F),DATE(1966,6,6)),IFERROR(_xludf.XLOOKUP(I46,'Rea - SK'!A:A,'Rea - SK'!F:F),DATE(1966,6,6)),IFERROR(_xludf.XLOOKUP(J46,'Rea - SK'!A:A,'Rea - SK'!F:F),DATE(1966,6,6)),IFERROR(_xludf.XLOOKUP(K46,'Rea - SK'!A:A,'Rea - SK'!F:F),DATE(1966,6,6)))</f>
        <v>24264</v>
      </c>
      <c r="G46" s="2" t="s">
        <v>1783</v>
      </c>
      <c r="H46" s="2" t="s">
        <v>1359</v>
      </c>
      <c r="I46" s="19"/>
      <c r="J46" s="19"/>
      <c r="K46" s="19"/>
      <c r="L46" s="18"/>
    </row>
    <row r="47" spans="1:12" ht="18.75" customHeight="1" x14ac:dyDescent="0.2">
      <c r="A47" s="16" t="s">
        <v>4824</v>
      </c>
      <c r="B47" s="2">
        <v>52845</v>
      </c>
      <c r="C47" s="2">
        <v>5906366003257</v>
      </c>
      <c r="D47" s="4" t="s">
        <v>4825</v>
      </c>
      <c r="E47" s="3">
        <f t="array" aca="1" ref="E47" ca="1">IFERROR(_xludf.XLOOKUP(G47,'Rea - SK'!A:A,'Rea - SK'!E:E),0)+IFERROR(_xludf.XLOOKUP(H47,'Rea - SK'!A:A,'Rea - SK'!E:E),0)+IFERROR(_xludf.XLOOKUP(I47,'Rea - SK'!A:A,'Rea - SK'!E:E),0)+IFERROR(_xludf.XLOOKUP(J47,'Rea - SK'!A:A,'Rea - SK'!E:E),0)+IFERROR(_xludf.XLOOKUP(K47,'Rea - SK'!A:A,'Rea - SK'!E:E),0)</f>
        <v>0</v>
      </c>
      <c r="F47" s="11">
        <f t="array" aca="1" ref="F47" ca="1">MAX(IFERROR(_xludf.XLOOKUP(G47,'Rea - SK'!A:A,'Rea - SK'!F:F),DATE(1966,6,6)),IFERROR(_xludf.XLOOKUP(H47,'Rea - SK'!A:A,'Rea - SK'!F:F),DATE(1966,6,6)),IFERROR(_xludf.XLOOKUP(I47,'Rea - SK'!A:A,'Rea - SK'!F:F),DATE(1966,6,6)),IFERROR(_xludf.XLOOKUP(J47,'Rea - SK'!A:A,'Rea - SK'!F:F),DATE(1966,6,6)),IFERROR(_xludf.XLOOKUP(K47,'Rea - SK'!A:A,'Rea - SK'!F:F),DATE(1966,6,6)))</f>
        <v>24264</v>
      </c>
      <c r="G47" s="2" t="s">
        <v>1365</v>
      </c>
      <c r="H47" s="2" t="s">
        <v>1783</v>
      </c>
      <c r="I47" s="2"/>
      <c r="J47" s="2"/>
      <c r="K47" s="2"/>
      <c r="L47" s="18"/>
    </row>
    <row r="48" spans="1:12" ht="18.75" customHeight="1" x14ac:dyDescent="0.2">
      <c r="A48" s="16" t="s">
        <v>4826</v>
      </c>
      <c r="B48" s="2">
        <v>52843</v>
      </c>
      <c r="C48" s="2">
        <v>5906366003226</v>
      </c>
      <c r="D48" s="4" t="s">
        <v>4827</v>
      </c>
      <c r="E48" s="3">
        <f t="array" aca="1" ref="E48" ca="1">IFERROR(_xludf.XLOOKUP(G48,'Rea - SK'!A:A,'Rea - SK'!E:E),0)+IFERROR(_xludf.XLOOKUP(H48,'Rea - SK'!A:A,'Rea - SK'!E:E),0)+IFERROR(_xludf.XLOOKUP(I48,'Rea - SK'!A:A,'Rea - SK'!E:E),0)+IFERROR(_xludf.XLOOKUP(J48,'Rea - SK'!A:A,'Rea - SK'!E:E),0)+IFERROR(_xludf.XLOOKUP(K48,'Rea - SK'!A:A,'Rea - SK'!E:E),0)</f>
        <v>0</v>
      </c>
      <c r="F48" s="11">
        <f t="array" aca="1" ref="F48" ca="1">MAX(IFERROR(_xludf.XLOOKUP(G48,'Rea - SK'!A:A,'Rea - SK'!F:F),DATE(1966,6,6)),IFERROR(_xludf.XLOOKUP(H48,'Rea - SK'!A:A,'Rea - SK'!F:F),DATE(1966,6,6)),IFERROR(_xludf.XLOOKUP(I48,'Rea - SK'!A:A,'Rea - SK'!F:F),DATE(1966,6,6)),IFERROR(_xludf.XLOOKUP(J48,'Rea - SK'!A:A,'Rea - SK'!F:F),DATE(1966,6,6)),IFERROR(_xludf.XLOOKUP(K48,'Rea - SK'!A:A,'Rea - SK'!F:F),DATE(1966,6,6)))</f>
        <v>24264</v>
      </c>
      <c r="G48" s="2" t="s">
        <v>1777</v>
      </c>
      <c r="H48" s="2" t="s">
        <v>1359</v>
      </c>
      <c r="I48" s="19"/>
      <c r="J48" s="19"/>
      <c r="K48" s="19"/>
      <c r="L48" s="18"/>
    </row>
    <row r="49" spans="1:12" ht="18.75" customHeight="1" x14ac:dyDescent="0.2">
      <c r="A49" s="16" t="s">
        <v>4828</v>
      </c>
      <c r="B49" s="2">
        <v>52842</v>
      </c>
      <c r="C49" s="2">
        <v>5906366003233</v>
      </c>
      <c r="D49" s="4" t="s">
        <v>4829</v>
      </c>
      <c r="E49" s="3">
        <f t="array" aca="1" ref="E49" ca="1">IFERROR(_xludf.XLOOKUP(G49,'Rea - SK'!A:A,'Rea - SK'!E:E),0)+IFERROR(_xludf.XLOOKUP(H49,'Rea - SK'!A:A,'Rea - SK'!E:E),0)+IFERROR(_xludf.XLOOKUP(I49,'Rea - SK'!A:A,'Rea - SK'!E:E),0)+IFERROR(_xludf.XLOOKUP(J49,'Rea - SK'!A:A,'Rea - SK'!E:E),0)+IFERROR(_xludf.XLOOKUP(K49,'Rea - SK'!A:A,'Rea - SK'!E:E),0)</f>
        <v>0</v>
      </c>
      <c r="F49" s="11">
        <f t="array" aca="1" ref="F49" ca="1">MAX(IFERROR(_xludf.XLOOKUP(G49,'Rea - SK'!A:A,'Rea - SK'!F:F),DATE(1966,6,6)),IFERROR(_xludf.XLOOKUP(H49,'Rea - SK'!A:A,'Rea - SK'!F:F),DATE(1966,6,6)),IFERROR(_xludf.XLOOKUP(I49,'Rea - SK'!A:A,'Rea - SK'!F:F),DATE(1966,6,6)),IFERROR(_xludf.XLOOKUP(J49,'Rea - SK'!A:A,'Rea - SK'!F:F),DATE(1966,6,6)),IFERROR(_xludf.XLOOKUP(K49,'Rea - SK'!A:A,'Rea - SK'!F:F),DATE(1966,6,6)))</f>
        <v>24264</v>
      </c>
      <c r="G49" s="2" t="s">
        <v>1365</v>
      </c>
      <c r="H49" s="2" t="s">
        <v>1777</v>
      </c>
      <c r="I49" s="2"/>
      <c r="J49" s="2"/>
      <c r="K49" s="2"/>
      <c r="L49" s="18"/>
    </row>
    <row r="50" spans="1:12" ht="18.75" customHeight="1" x14ac:dyDescent="0.2">
      <c r="A50" s="16" t="s">
        <v>4830</v>
      </c>
      <c r="B50" s="2">
        <v>52840</v>
      </c>
      <c r="C50" s="2">
        <v>5906366003219</v>
      </c>
      <c r="D50" s="4" t="s">
        <v>4831</v>
      </c>
      <c r="E50" s="3">
        <f t="array" aca="1" ref="E50" ca="1">IFERROR(_xludf.XLOOKUP(G50,'Rea - SK'!A:A,'Rea - SK'!E:E),0)+IFERROR(_xludf.XLOOKUP(H50,'Rea - SK'!A:A,'Rea - SK'!E:E),0)+IFERROR(_xludf.XLOOKUP(I50,'Rea - SK'!A:A,'Rea - SK'!E:E),0)+IFERROR(_xludf.XLOOKUP(J50,'Rea - SK'!A:A,'Rea - SK'!E:E),0)+IFERROR(_xludf.XLOOKUP(K50,'Rea - SK'!A:A,'Rea - SK'!E:E),0)</f>
        <v>0</v>
      </c>
      <c r="F50" s="11">
        <f t="array" aca="1" ref="F50" ca="1">MAX(IFERROR(_xludf.XLOOKUP(G50,'Rea - SK'!A:A,'Rea - SK'!F:F),DATE(1966,6,6)),IFERROR(_xludf.XLOOKUP(H50,'Rea - SK'!A:A,'Rea - SK'!F:F),DATE(1966,6,6)),IFERROR(_xludf.XLOOKUP(I50,'Rea - SK'!A:A,'Rea - SK'!F:F),DATE(1966,6,6)),IFERROR(_xludf.XLOOKUP(J50,'Rea - SK'!A:A,'Rea - SK'!F:F),DATE(1966,6,6)),IFERROR(_xludf.XLOOKUP(K50,'Rea - SK'!A:A,'Rea - SK'!F:F),DATE(1966,6,6)))</f>
        <v>24264</v>
      </c>
      <c r="G50" s="2" t="s">
        <v>1773</v>
      </c>
      <c r="H50" s="2" t="s">
        <v>1355</v>
      </c>
      <c r="I50" s="19"/>
      <c r="J50" s="19"/>
      <c r="K50" s="19"/>
      <c r="L50" s="18"/>
    </row>
    <row r="51" spans="1:12" ht="18.75" customHeight="1" x14ac:dyDescent="0.2">
      <c r="A51" s="16" t="s">
        <v>4832</v>
      </c>
      <c r="B51" s="2">
        <v>52839</v>
      </c>
      <c r="C51" s="2">
        <v>5906366003202</v>
      </c>
      <c r="D51" s="4" t="s">
        <v>4833</v>
      </c>
      <c r="E51" s="3">
        <f t="array" aca="1" ref="E51" ca="1">IFERROR(_xludf.XLOOKUP(G51,'Rea - SK'!A:A,'Rea - SK'!E:E),0)+IFERROR(_xludf.XLOOKUP(H51,'Rea - SK'!A:A,'Rea - SK'!E:E),0)+IFERROR(_xludf.XLOOKUP(I51,'Rea - SK'!A:A,'Rea - SK'!E:E),0)+IFERROR(_xludf.XLOOKUP(J51,'Rea - SK'!A:A,'Rea - SK'!E:E),0)+IFERROR(_xludf.XLOOKUP(K51,'Rea - SK'!A:A,'Rea - SK'!E:E),0)</f>
        <v>0</v>
      </c>
      <c r="F51" s="11">
        <f t="array" aca="1" ref="F51" ca="1">MAX(IFERROR(_xludf.XLOOKUP(G51,'Rea - SK'!A:A,'Rea - SK'!F:F),DATE(1966,6,6)),IFERROR(_xludf.XLOOKUP(H51,'Rea - SK'!A:A,'Rea - SK'!F:F),DATE(1966,6,6)),IFERROR(_xludf.XLOOKUP(I51,'Rea - SK'!A:A,'Rea - SK'!F:F),DATE(1966,6,6)),IFERROR(_xludf.XLOOKUP(J51,'Rea - SK'!A:A,'Rea - SK'!F:F),DATE(1966,6,6)),IFERROR(_xludf.XLOOKUP(K51,'Rea - SK'!A:A,'Rea - SK'!F:F),DATE(1966,6,6)))</f>
        <v>24264</v>
      </c>
      <c r="G51" s="2" t="s">
        <v>1773</v>
      </c>
      <c r="H51" s="2" t="s">
        <v>1361</v>
      </c>
      <c r="I51" s="19"/>
      <c r="J51" s="19"/>
      <c r="K51" s="19"/>
      <c r="L51" s="18"/>
    </row>
    <row r="52" spans="1:12" ht="18.75" customHeight="1" x14ac:dyDescent="0.2">
      <c r="A52" s="16" t="s">
        <v>4834</v>
      </c>
      <c r="B52" s="2">
        <v>52837</v>
      </c>
      <c r="C52" s="2">
        <v>5906366003158</v>
      </c>
      <c r="D52" s="4" t="s">
        <v>4835</v>
      </c>
      <c r="E52" s="3">
        <f t="array" aca="1" ref="E52" ca="1">IFERROR(_xludf.XLOOKUP(G52,'Rea - SK'!A:A,'Rea - SK'!E:E),0)+IFERROR(_xludf.XLOOKUP(H52,'Rea - SK'!A:A,'Rea - SK'!E:E),0)+IFERROR(_xludf.XLOOKUP(I52,'Rea - SK'!A:A,'Rea - SK'!E:E),0)+IFERROR(_xludf.XLOOKUP(J52,'Rea - SK'!A:A,'Rea - SK'!E:E),0)+IFERROR(_xludf.XLOOKUP(K52,'Rea - SK'!A:A,'Rea - SK'!E:E),0)</f>
        <v>0</v>
      </c>
      <c r="F52" s="11">
        <f t="array" aca="1" ref="F52" ca="1">MAX(IFERROR(_xludf.XLOOKUP(G52,'Rea - SK'!A:A,'Rea - SK'!F:F),DATE(1966,6,6)),IFERROR(_xludf.XLOOKUP(H52,'Rea - SK'!A:A,'Rea - SK'!F:F),DATE(1966,6,6)),IFERROR(_xludf.XLOOKUP(I52,'Rea - SK'!A:A,'Rea - SK'!F:F),DATE(1966,6,6)),IFERROR(_xludf.XLOOKUP(J52,'Rea - SK'!A:A,'Rea - SK'!F:F),DATE(1966,6,6)),IFERROR(_xludf.XLOOKUP(K52,'Rea - SK'!A:A,'Rea - SK'!F:F),DATE(1966,6,6)))</f>
        <v>24264</v>
      </c>
      <c r="G52" s="2" t="s">
        <v>1785</v>
      </c>
      <c r="H52" s="2" t="s">
        <v>1355</v>
      </c>
      <c r="I52" s="19"/>
      <c r="J52" s="19"/>
      <c r="K52" s="19"/>
      <c r="L52" s="18"/>
    </row>
    <row r="53" spans="1:12" ht="18.75" customHeight="1" x14ac:dyDescent="0.2">
      <c r="A53" s="16" t="s">
        <v>4836</v>
      </c>
      <c r="B53" s="2">
        <v>52836</v>
      </c>
      <c r="C53" s="2">
        <v>5906366003141</v>
      </c>
      <c r="D53" s="4" t="s">
        <v>4837</v>
      </c>
      <c r="E53" s="3">
        <f t="array" aca="1" ref="E53" ca="1">IFERROR(_xludf.XLOOKUP(G53,'Rea - SK'!A:A,'Rea - SK'!E:E),0)+IFERROR(_xludf.XLOOKUP(H53,'Rea - SK'!A:A,'Rea - SK'!E:E),0)+IFERROR(_xludf.XLOOKUP(I53,'Rea - SK'!A:A,'Rea - SK'!E:E),0)+IFERROR(_xludf.XLOOKUP(J53,'Rea - SK'!A:A,'Rea - SK'!E:E),0)+IFERROR(_xludf.XLOOKUP(K53,'Rea - SK'!A:A,'Rea - SK'!E:E),0)</f>
        <v>0</v>
      </c>
      <c r="F53" s="11">
        <f t="array" aca="1" ref="F53" ca="1">MAX(IFERROR(_xludf.XLOOKUP(G53,'Rea - SK'!A:A,'Rea - SK'!F:F),DATE(1966,6,6)),IFERROR(_xludf.XLOOKUP(H53,'Rea - SK'!A:A,'Rea - SK'!F:F),DATE(1966,6,6)),IFERROR(_xludf.XLOOKUP(I53,'Rea - SK'!A:A,'Rea - SK'!F:F),DATE(1966,6,6)),IFERROR(_xludf.XLOOKUP(J53,'Rea - SK'!A:A,'Rea - SK'!F:F),DATE(1966,6,6)),IFERROR(_xludf.XLOOKUP(K53,'Rea - SK'!A:A,'Rea - SK'!F:F),DATE(1966,6,6)))</f>
        <v>24264</v>
      </c>
      <c r="G53" s="2" t="s">
        <v>1785</v>
      </c>
      <c r="H53" s="2" t="s">
        <v>1361</v>
      </c>
      <c r="I53" s="19"/>
      <c r="J53" s="19"/>
      <c r="K53" s="19"/>
      <c r="L53" s="18"/>
    </row>
    <row r="54" spans="1:12" ht="18.75" customHeight="1" x14ac:dyDescent="0.2">
      <c r="A54" s="2" t="s">
        <v>4838</v>
      </c>
      <c r="B54" s="2">
        <v>52834</v>
      </c>
      <c r="C54" s="2">
        <v>5906366003103</v>
      </c>
      <c r="D54" s="4" t="s">
        <v>4839</v>
      </c>
      <c r="E54" s="3">
        <f t="array" aca="1" ref="E54" ca="1">IFERROR(_xludf.XLOOKUP(G54,'Rea - SK'!A:A,'Rea - SK'!E:E),0)+IFERROR(_xludf.XLOOKUP(H54,'Rea - SK'!A:A,'Rea - SK'!E:E),0)+IFERROR(_xludf.XLOOKUP(I54,'Rea - SK'!A:A,'Rea - SK'!E:E),0)+IFERROR(_xludf.XLOOKUP(J54,'Rea - SK'!A:A,'Rea - SK'!E:E),0)+IFERROR(_xludf.XLOOKUP(K54,'Rea - SK'!A:A,'Rea - SK'!E:E),0)</f>
        <v>0</v>
      </c>
      <c r="F54" s="11">
        <f t="array" aca="1" ref="F54" ca="1">MAX(IFERROR(_xludf.XLOOKUP(G54,'Rea - SK'!A:A,'Rea - SK'!F:F),DATE(1966,6,6)),IFERROR(_xludf.XLOOKUP(H54,'Rea - SK'!A:A,'Rea - SK'!F:F),DATE(1966,6,6)),IFERROR(_xludf.XLOOKUP(I54,'Rea - SK'!A:A,'Rea - SK'!F:F),DATE(1966,6,6)),IFERROR(_xludf.XLOOKUP(J54,'Rea - SK'!A:A,'Rea - SK'!F:F),DATE(1966,6,6)),IFERROR(_xludf.XLOOKUP(K54,'Rea - SK'!A:A,'Rea - SK'!F:F),DATE(1966,6,6)))</f>
        <v>24264</v>
      </c>
      <c r="G54" s="2" t="s">
        <v>1761</v>
      </c>
      <c r="H54" s="2" t="s">
        <v>1357</v>
      </c>
      <c r="I54" s="19"/>
      <c r="J54" s="19"/>
      <c r="K54" s="19"/>
      <c r="L54" s="18"/>
    </row>
    <row r="55" spans="1:12" ht="18.75" customHeight="1" x14ac:dyDescent="0.2">
      <c r="A55" s="16" t="s">
        <v>4840</v>
      </c>
      <c r="B55" s="2">
        <v>52705</v>
      </c>
      <c r="C55" s="2">
        <v>5906366007262</v>
      </c>
      <c r="D55" s="4" t="s">
        <v>4841</v>
      </c>
      <c r="E55" s="3">
        <f t="array" aca="1" ref="E55" ca="1">IFERROR(_xludf.XLOOKUP(G55,'Rea - SK'!A:A,'Rea - SK'!E:E),0)+IFERROR(_xludf.XLOOKUP(H55,'Rea - SK'!A:A,'Rea - SK'!E:E),0)+IFERROR(_xludf.XLOOKUP(I55,'Rea - SK'!A:A,'Rea - SK'!E:E),0)+IFERROR(_xludf.XLOOKUP(J55,'Rea - SK'!A:A,'Rea - SK'!E:E),0)+IFERROR(_xludf.XLOOKUP(K55,'Rea - SK'!A:A,'Rea - SK'!E:E),0)</f>
        <v>0</v>
      </c>
      <c r="F55" s="11">
        <f t="array" aca="1" ref="F55" ca="1">MAX(IFERROR(_xludf.XLOOKUP(G55,'Rea - SK'!A:A,'Rea - SK'!F:F),DATE(1966,6,6)),IFERROR(_xludf.XLOOKUP(H55,'Rea - SK'!A:A,'Rea - SK'!F:F),DATE(1966,6,6)),IFERROR(_xludf.XLOOKUP(I55,'Rea - SK'!A:A,'Rea - SK'!F:F),DATE(1966,6,6)),IFERROR(_xludf.XLOOKUP(J55,'Rea - SK'!A:A,'Rea - SK'!F:F),DATE(1966,6,6)),IFERROR(_xludf.XLOOKUP(K55,'Rea - SK'!A:A,'Rea - SK'!F:F),DATE(1966,6,6)))</f>
        <v>24264</v>
      </c>
      <c r="G55" s="2" t="s">
        <v>1531</v>
      </c>
      <c r="H55" s="2" t="s">
        <v>2635</v>
      </c>
      <c r="I55" s="2" t="s">
        <v>2635</v>
      </c>
      <c r="J55" s="2" t="s">
        <v>2375</v>
      </c>
      <c r="K55" s="2" t="s">
        <v>2375</v>
      </c>
      <c r="L55" s="18"/>
    </row>
    <row r="56" spans="1:12" ht="18.75" customHeight="1" x14ac:dyDescent="0.2">
      <c r="A56" s="16" t="s">
        <v>4842</v>
      </c>
      <c r="B56" s="2">
        <v>52704</v>
      </c>
      <c r="C56" s="2">
        <v>5906366007255</v>
      </c>
      <c r="D56" s="4" t="s">
        <v>4841</v>
      </c>
      <c r="E56" s="3">
        <f t="array" aca="1" ref="E56" ca="1">IFERROR(_xludf.XLOOKUP(G56,'Rea - SK'!A:A,'Rea - SK'!E:E),0)+IFERROR(_xludf.XLOOKUP(H56,'Rea - SK'!A:A,'Rea - SK'!E:E),0)+IFERROR(_xludf.XLOOKUP(I56,'Rea - SK'!A:A,'Rea - SK'!E:E),0)+IFERROR(_xludf.XLOOKUP(J56,'Rea - SK'!A:A,'Rea - SK'!E:E),0)+IFERROR(_xludf.XLOOKUP(K56,'Rea - SK'!A:A,'Rea - SK'!E:E),0)</f>
        <v>0</v>
      </c>
      <c r="F56" s="11">
        <f t="array" aca="1" ref="F56" ca="1">MAX(IFERROR(_xludf.XLOOKUP(G56,'Rea - SK'!A:A,'Rea - SK'!F:F),DATE(1966,6,6)),IFERROR(_xludf.XLOOKUP(H56,'Rea - SK'!A:A,'Rea - SK'!F:F),DATE(1966,6,6)),IFERROR(_xludf.XLOOKUP(I56,'Rea - SK'!A:A,'Rea - SK'!F:F),DATE(1966,6,6)),IFERROR(_xludf.XLOOKUP(J56,'Rea - SK'!A:A,'Rea - SK'!F:F),DATE(1966,6,6)),IFERROR(_xludf.XLOOKUP(K56,'Rea - SK'!A:A,'Rea - SK'!F:F),DATE(1966,6,6)))</f>
        <v>24264</v>
      </c>
      <c r="G56" s="2" t="s">
        <v>1531</v>
      </c>
      <c r="H56" s="2" t="s">
        <v>2639</v>
      </c>
      <c r="I56" s="2" t="s">
        <v>2639</v>
      </c>
      <c r="J56" s="2" t="s">
        <v>2375</v>
      </c>
      <c r="K56" s="2" t="s">
        <v>2375</v>
      </c>
      <c r="L56" s="18"/>
    </row>
    <row r="57" spans="1:12" ht="18.75" customHeight="1" x14ac:dyDescent="0.2">
      <c r="A57" s="16" t="s">
        <v>4843</v>
      </c>
      <c r="B57" s="2">
        <v>52703</v>
      </c>
      <c r="C57" s="2">
        <v>5906366007248</v>
      </c>
      <c r="D57" s="4" t="s">
        <v>4844</v>
      </c>
      <c r="E57" s="3">
        <f t="array" aca="1" ref="E57" ca="1">IFERROR(_xludf.XLOOKUP(G57,'Rea - SK'!A:A,'Rea - SK'!E:E),0)+IFERROR(_xludf.XLOOKUP(H57,'Rea - SK'!A:A,'Rea - SK'!E:E),0)+IFERROR(_xludf.XLOOKUP(I57,'Rea - SK'!A:A,'Rea - SK'!E:E),0)+IFERROR(_xludf.XLOOKUP(J57,'Rea - SK'!A:A,'Rea - SK'!E:E),0)+IFERROR(_xludf.XLOOKUP(K57,'Rea - SK'!A:A,'Rea - SK'!E:E),0)</f>
        <v>0</v>
      </c>
      <c r="F57" s="11">
        <f t="array" aca="1" ref="F57" ca="1">MAX(IFERROR(_xludf.XLOOKUP(G57,'Rea - SK'!A:A,'Rea - SK'!F:F),DATE(1966,6,6)),IFERROR(_xludf.XLOOKUP(H57,'Rea - SK'!A:A,'Rea - SK'!F:F),DATE(1966,6,6)),IFERROR(_xludf.XLOOKUP(I57,'Rea - SK'!A:A,'Rea - SK'!F:F),DATE(1966,6,6)),IFERROR(_xludf.XLOOKUP(J57,'Rea - SK'!A:A,'Rea - SK'!F:F),DATE(1966,6,6)),IFERROR(_xludf.XLOOKUP(K57,'Rea - SK'!A:A,'Rea - SK'!F:F),DATE(1966,6,6)))</f>
        <v>24264</v>
      </c>
      <c r="G57" s="2" t="s">
        <v>1531</v>
      </c>
      <c r="H57" s="2" t="s">
        <v>2637</v>
      </c>
      <c r="I57" s="2" t="s">
        <v>2637</v>
      </c>
      <c r="J57" s="2" t="s">
        <v>2375</v>
      </c>
      <c r="K57" s="2" t="s">
        <v>2375</v>
      </c>
      <c r="L57" s="18"/>
    </row>
    <row r="58" spans="1:12" ht="18.75" customHeight="1" x14ac:dyDescent="0.2">
      <c r="A58" s="16" t="s">
        <v>4845</v>
      </c>
      <c r="B58" s="2">
        <v>52702</v>
      </c>
      <c r="C58" s="2">
        <v>5906366007231</v>
      </c>
      <c r="D58" s="4" t="s">
        <v>4846</v>
      </c>
      <c r="E58" s="3">
        <f t="array" aca="1" ref="E58" ca="1">IFERROR(_xludf.XLOOKUP(G58,'Rea - SK'!A:A,'Rea - SK'!E:E),0)+IFERROR(_xludf.XLOOKUP(H58,'Rea - SK'!A:A,'Rea - SK'!E:E),0)+IFERROR(_xludf.XLOOKUP(I58,'Rea - SK'!A:A,'Rea - SK'!E:E),0)+IFERROR(_xludf.XLOOKUP(J58,'Rea - SK'!A:A,'Rea - SK'!E:E),0)+IFERROR(_xludf.XLOOKUP(K58,'Rea - SK'!A:A,'Rea - SK'!E:E),0)</f>
        <v>0</v>
      </c>
      <c r="F58" s="11">
        <f t="array" aca="1" ref="F58" ca="1">MAX(IFERROR(_xludf.XLOOKUP(G58,'Rea - SK'!A:A,'Rea - SK'!F:F),DATE(1966,6,6)),IFERROR(_xludf.XLOOKUP(H58,'Rea - SK'!A:A,'Rea - SK'!F:F),DATE(1966,6,6)),IFERROR(_xludf.XLOOKUP(I58,'Rea - SK'!A:A,'Rea - SK'!F:F),DATE(1966,6,6)),IFERROR(_xludf.XLOOKUP(J58,'Rea - SK'!A:A,'Rea - SK'!F:F),DATE(1966,6,6)),IFERROR(_xludf.XLOOKUP(K58,'Rea - SK'!A:A,'Rea - SK'!F:F),DATE(1966,6,6)))</f>
        <v>24264</v>
      </c>
      <c r="G58" s="2" t="s">
        <v>1529</v>
      </c>
      <c r="H58" s="2" t="s">
        <v>2635</v>
      </c>
      <c r="I58" s="2" t="s">
        <v>2635</v>
      </c>
      <c r="J58" s="2" t="s">
        <v>2375</v>
      </c>
      <c r="K58" s="2" t="s">
        <v>2375</v>
      </c>
      <c r="L58" s="18"/>
    </row>
    <row r="59" spans="1:12" ht="18.75" customHeight="1" x14ac:dyDescent="0.2">
      <c r="A59" s="16" t="s">
        <v>4847</v>
      </c>
      <c r="B59" s="2">
        <v>52701</v>
      </c>
      <c r="C59" s="2">
        <v>5906366007224</v>
      </c>
      <c r="D59" s="4" t="s">
        <v>4848</v>
      </c>
      <c r="E59" s="3">
        <f t="array" aca="1" ref="E59" ca="1">IFERROR(_xludf.XLOOKUP(G59,'Rea - SK'!A:A,'Rea - SK'!E:E),0)+IFERROR(_xludf.XLOOKUP(H59,'Rea - SK'!A:A,'Rea - SK'!E:E),0)+IFERROR(_xludf.XLOOKUP(I59,'Rea - SK'!A:A,'Rea - SK'!E:E),0)+IFERROR(_xludf.XLOOKUP(J59,'Rea - SK'!A:A,'Rea - SK'!E:E),0)+IFERROR(_xludf.XLOOKUP(K59,'Rea - SK'!A:A,'Rea - SK'!E:E),0)</f>
        <v>0</v>
      </c>
      <c r="F59" s="11">
        <f t="array" aca="1" ref="F59" ca="1">MAX(IFERROR(_xludf.XLOOKUP(G59,'Rea - SK'!A:A,'Rea - SK'!F:F),DATE(1966,6,6)),IFERROR(_xludf.XLOOKUP(H59,'Rea - SK'!A:A,'Rea - SK'!F:F),DATE(1966,6,6)),IFERROR(_xludf.XLOOKUP(I59,'Rea - SK'!A:A,'Rea - SK'!F:F),DATE(1966,6,6)),IFERROR(_xludf.XLOOKUP(J59,'Rea - SK'!A:A,'Rea - SK'!F:F),DATE(1966,6,6)),IFERROR(_xludf.XLOOKUP(K59,'Rea - SK'!A:A,'Rea - SK'!F:F),DATE(1966,6,6)))</f>
        <v>24264</v>
      </c>
      <c r="G59" s="2" t="s">
        <v>1529</v>
      </c>
      <c r="H59" s="2" t="s">
        <v>2639</v>
      </c>
      <c r="I59" s="2" t="s">
        <v>2639</v>
      </c>
      <c r="J59" s="2" t="s">
        <v>2375</v>
      </c>
      <c r="K59" s="2" t="s">
        <v>2375</v>
      </c>
      <c r="L59" s="18"/>
    </row>
    <row r="60" spans="1:12" ht="18.75" customHeight="1" x14ac:dyDescent="0.2">
      <c r="A60" s="16" t="s">
        <v>4849</v>
      </c>
      <c r="B60" s="2">
        <v>52700</v>
      </c>
      <c r="C60" s="2">
        <v>5906366007217</v>
      </c>
      <c r="D60" s="4" t="s">
        <v>4850</v>
      </c>
      <c r="E60" s="3">
        <f t="array" aca="1" ref="E60" ca="1">IFERROR(_xludf.XLOOKUP(G60,'Rea - SK'!A:A,'Rea - SK'!E:E),0)+IFERROR(_xludf.XLOOKUP(H60,'Rea - SK'!A:A,'Rea - SK'!E:E),0)+IFERROR(_xludf.XLOOKUP(I60,'Rea - SK'!A:A,'Rea - SK'!E:E),0)+IFERROR(_xludf.XLOOKUP(J60,'Rea - SK'!A:A,'Rea - SK'!E:E),0)+IFERROR(_xludf.XLOOKUP(K60,'Rea - SK'!A:A,'Rea - SK'!E:E),0)</f>
        <v>0</v>
      </c>
      <c r="F60" s="11">
        <f t="array" aca="1" ref="F60" ca="1">MAX(IFERROR(_xludf.XLOOKUP(G60,'Rea - SK'!A:A,'Rea - SK'!F:F),DATE(1966,6,6)),IFERROR(_xludf.XLOOKUP(H60,'Rea - SK'!A:A,'Rea - SK'!F:F),DATE(1966,6,6)),IFERROR(_xludf.XLOOKUP(I60,'Rea - SK'!A:A,'Rea - SK'!F:F),DATE(1966,6,6)),IFERROR(_xludf.XLOOKUP(J60,'Rea - SK'!A:A,'Rea - SK'!F:F),DATE(1966,6,6)),IFERROR(_xludf.XLOOKUP(K60,'Rea - SK'!A:A,'Rea - SK'!F:F),DATE(1966,6,6)))</f>
        <v>24264</v>
      </c>
      <c r="G60" s="2" t="s">
        <v>1529</v>
      </c>
      <c r="H60" s="2" t="s">
        <v>2637</v>
      </c>
      <c r="I60" s="2" t="s">
        <v>2637</v>
      </c>
      <c r="J60" s="2" t="s">
        <v>2375</v>
      </c>
      <c r="K60" s="2" t="s">
        <v>2375</v>
      </c>
      <c r="L60" s="18"/>
    </row>
    <row r="61" spans="1:12" ht="18.75" customHeight="1" x14ac:dyDescent="0.2">
      <c r="A61" s="2" t="s">
        <v>4851</v>
      </c>
      <c r="B61" s="2">
        <v>52699</v>
      </c>
      <c r="C61" s="2">
        <v>5906366002540</v>
      </c>
      <c r="D61" s="4" t="s">
        <v>4852</v>
      </c>
      <c r="E61" s="3">
        <f t="array" aca="1" ref="E61" ca="1">IFERROR(_xludf.XLOOKUP(G61,'Rea - SK'!A:A,'Rea - SK'!E:E),0)+IFERROR(_xludf.XLOOKUP(H61,'Rea - SK'!A:A,'Rea - SK'!E:E),0)+IFERROR(_xludf.XLOOKUP(I61,'Rea - SK'!A:A,'Rea - SK'!E:E),0)+IFERROR(_xludf.XLOOKUP(J61,'Rea - SK'!A:A,'Rea - SK'!E:E),0)+IFERROR(_xludf.XLOOKUP(K61,'Rea - SK'!A:A,'Rea - SK'!E:E),0)</f>
        <v>0</v>
      </c>
      <c r="F61" s="11">
        <f t="array" aca="1" ref="F61" ca="1">MAX(IFERROR(_xludf.XLOOKUP(G61,'Rea - SK'!A:A,'Rea - SK'!F:F),DATE(1966,6,6)),IFERROR(_xludf.XLOOKUP(H61,'Rea - SK'!A:A,'Rea - SK'!F:F),DATE(1966,6,6)),IFERROR(_xludf.XLOOKUP(I61,'Rea - SK'!A:A,'Rea - SK'!F:F),DATE(1966,6,6)),IFERROR(_xludf.XLOOKUP(J61,'Rea - SK'!A:A,'Rea - SK'!F:F),DATE(1966,6,6)),IFERROR(_xludf.XLOOKUP(K61,'Rea - SK'!A:A,'Rea - SK'!F:F),DATE(1966,6,6)))</f>
        <v>24264</v>
      </c>
      <c r="G61" s="3" t="s">
        <v>1561</v>
      </c>
      <c r="H61" s="2" t="s">
        <v>2635</v>
      </c>
      <c r="I61" s="2" t="s">
        <v>2635</v>
      </c>
      <c r="J61" s="2" t="s">
        <v>2375</v>
      </c>
      <c r="K61" s="2" t="s">
        <v>2375</v>
      </c>
      <c r="L61" s="18"/>
    </row>
    <row r="62" spans="1:12" ht="18.75" customHeight="1" x14ac:dyDescent="0.2">
      <c r="A62" s="2" t="s">
        <v>4853</v>
      </c>
      <c r="B62" s="2">
        <v>52698</v>
      </c>
      <c r="C62" s="2">
        <v>5906366002533</v>
      </c>
      <c r="D62" s="4" t="s">
        <v>4854</v>
      </c>
      <c r="E62" s="3">
        <f t="array" aca="1" ref="E62" ca="1">IFERROR(_xludf.XLOOKUP(G62,'Rea - SK'!A:A,'Rea - SK'!E:E),0)+IFERROR(_xludf.XLOOKUP(H62,'Rea - SK'!A:A,'Rea - SK'!E:E),0)+IFERROR(_xludf.XLOOKUP(I62,'Rea - SK'!A:A,'Rea - SK'!E:E),0)+IFERROR(_xludf.XLOOKUP(J62,'Rea - SK'!A:A,'Rea - SK'!E:E),0)+IFERROR(_xludf.XLOOKUP(K62,'Rea - SK'!A:A,'Rea - SK'!E:E),0)</f>
        <v>0</v>
      </c>
      <c r="F62" s="11">
        <f t="array" aca="1" ref="F62" ca="1">MAX(IFERROR(_xludf.XLOOKUP(G62,'Rea - SK'!A:A,'Rea - SK'!F:F),DATE(1966,6,6)),IFERROR(_xludf.XLOOKUP(H62,'Rea - SK'!A:A,'Rea - SK'!F:F),DATE(1966,6,6)),IFERROR(_xludf.XLOOKUP(I62,'Rea - SK'!A:A,'Rea - SK'!F:F),DATE(1966,6,6)),IFERROR(_xludf.XLOOKUP(J62,'Rea - SK'!A:A,'Rea - SK'!F:F),DATE(1966,6,6)),IFERROR(_xludf.XLOOKUP(K62,'Rea - SK'!A:A,'Rea - SK'!F:F),DATE(1966,6,6)))</f>
        <v>24264</v>
      </c>
      <c r="G62" s="3" t="s">
        <v>1561</v>
      </c>
      <c r="H62" s="2" t="s">
        <v>2639</v>
      </c>
      <c r="I62" s="2" t="s">
        <v>2639</v>
      </c>
      <c r="J62" s="2" t="s">
        <v>2375</v>
      </c>
      <c r="K62" s="2" t="s">
        <v>2375</v>
      </c>
      <c r="L62" s="18"/>
    </row>
    <row r="63" spans="1:12" ht="18.75" customHeight="1" x14ac:dyDescent="0.2">
      <c r="A63" s="2" t="s">
        <v>4855</v>
      </c>
      <c r="B63" s="2">
        <v>52697</v>
      </c>
      <c r="C63" s="2">
        <v>5906366002526</v>
      </c>
      <c r="D63" s="4" t="s">
        <v>4856</v>
      </c>
      <c r="E63" s="3">
        <f t="array" aca="1" ref="E63" ca="1">IFERROR(_xludf.XLOOKUP(G63,'Rea - SK'!A:A,'Rea - SK'!E:E),0)+IFERROR(_xludf.XLOOKUP(H63,'Rea - SK'!A:A,'Rea - SK'!E:E),0)+IFERROR(_xludf.XLOOKUP(I63,'Rea - SK'!A:A,'Rea - SK'!E:E),0)+IFERROR(_xludf.XLOOKUP(J63,'Rea - SK'!A:A,'Rea - SK'!E:E),0)+IFERROR(_xludf.XLOOKUP(K63,'Rea - SK'!A:A,'Rea - SK'!E:E),0)</f>
        <v>0</v>
      </c>
      <c r="F63" s="11">
        <f t="array" aca="1" ref="F63" ca="1">MAX(IFERROR(_xludf.XLOOKUP(G63,'Rea - SK'!A:A,'Rea - SK'!F:F),DATE(1966,6,6)),IFERROR(_xludf.XLOOKUP(H63,'Rea - SK'!A:A,'Rea - SK'!F:F),DATE(1966,6,6)),IFERROR(_xludf.XLOOKUP(I63,'Rea - SK'!A:A,'Rea - SK'!F:F),DATE(1966,6,6)),IFERROR(_xludf.XLOOKUP(J63,'Rea - SK'!A:A,'Rea - SK'!F:F),DATE(1966,6,6)),IFERROR(_xludf.XLOOKUP(K63,'Rea - SK'!A:A,'Rea - SK'!F:F),DATE(1966,6,6)))</f>
        <v>24264</v>
      </c>
      <c r="G63" s="3" t="s">
        <v>1561</v>
      </c>
      <c r="H63" s="2" t="s">
        <v>2637</v>
      </c>
      <c r="I63" s="2" t="s">
        <v>2637</v>
      </c>
      <c r="J63" s="2" t="s">
        <v>2375</v>
      </c>
      <c r="K63" s="2" t="s">
        <v>2375</v>
      </c>
      <c r="L63" s="18"/>
    </row>
    <row r="64" spans="1:12" ht="18.75" customHeight="1" x14ac:dyDescent="0.2">
      <c r="A64" s="2" t="s">
        <v>4857</v>
      </c>
      <c r="B64" s="2">
        <v>52696</v>
      </c>
      <c r="C64" s="2">
        <v>5906366002519</v>
      </c>
      <c r="D64" s="4" t="s">
        <v>4858</v>
      </c>
      <c r="E64" s="3">
        <f t="array" aca="1" ref="E64" ca="1">IFERROR(_xludf.XLOOKUP(G64,'Rea - SK'!A:A,'Rea - SK'!E:E),0)+IFERROR(_xludf.XLOOKUP(H64,'Rea - SK'!A:A,'Rea - SK'!E:E),0)+IFERROR(_xludf.XLOOKUP(I64,'Rea - SK'!A:A,'Rea - SK'!E:E),0)+IFERROR(_xludf.XLOOKUP(J64,'Rea - SK'!A:A,'Rea - SK'!E:E),0)+IFERROR(_xludf.XLOOKUP(K64,'Rea - SK'!A:A,'Rea - SK'!E:E),0)</f>
        <v>0</v>
      </c>
      <c r="F64" s="11">
        <f t="array" aca="1" ref="F64" ca="1">MAX(IFERROR(_xludf.XLOOKUP(G64,'Rea - SK'!A:A,'Rea - SK'!F:F),DATE(1966,6,6)),IFERROR(_xludf.XLOOKUP(H64,'Rea - SK'!A:A,'Rea - SK'!F:F),DATE(1966,6,6)),IFERROR(_xludf.XLOOKUP(I64,'Rea - SK'!A:A,'Rea - SK'!F:F),DATE(1966,6,6)),IFERROR(_xludf.XLOOKUP(J64,'Rea - SK'!A:A,'Rea - SK'!F:F),DATE(1966,6,6)),IFERROR(_xludf.XLOOKUP(K64,'Rea - SK'!A:A,'Rea - SK'!F:F),DATE(1966,6,6)))</f>
        <v>24264</v>
      </c>
      <c r="G64" s="3" t="s">
        <v>1559</v>
      </c>
      <c r="H64" s="2" t="s">
        <v>2635</v>
      </c>
      <c r="I64" s="2" t="s">
        <v>2635</v>
      </c>
      <c r="J64" s="2" t="s">
        <v>2375</v>
      </c>
      <c r="K64" s="2" t="s">
        <v>2375</v>
      </c>
      <c r="L64" s="18"/>
    </row>
    <row r="65" spans="1:12" ht="18.75" customHeight="1" x14ac:dyDescent="0.2">
      <c r="A65" s="2" t="s">
        <v>4859</v>
      </c>
      <c r="B65" s="2">
        <v>52695</v>
      </c>
      <c r="C65" s="2">
        <v>5906366002502</v>
      </c>
      <c r="D65" s="4" t="s">
        <v>4860</v>
      </c>
      <c r="E65" s="3">
        <f t="array" aca="1" ref="E65" ca="1">IFERROR(_xludf.XLOOKUP(G65,'Rea - SK'!A:A,'Rea - SK'!E:E),0)+IFERROR(_xludf.XLOOKUP(H65,'Rea - SK'!A:A,'Rea - SK'!E:E),0)+IFERROR(_xludf.XLOOKUP(I65,'Rea - SK'!A:A,'Rea - SK'!E:E),0)+IFERROR(_xludf.XLOOKUP(J65,'Rea - SK'!A:A,'Rea - SK'!E:E),0)+IFERROR(_xludf.XLOOKUP(K65,'Rea - SK'!A:A,'Rea - SK'!E:E),0)</f>
        <v>0</v>
      </c>
      <c r="F65" s="11">
        <f t="array" aca="1" ref="F65" ca="1">MAX(IFERROR(_xludf.XLOOKUP(G65,'Rea - SK'!A:A,'Rea - SK'!F:F),DATE(1966,6,6)),IFERROR(_xludf.XLOOKUP(H65,'Rea - SK'!A:A,'Rea - SK'!F:F),DATE(1966,6,6)),IFERROR(_xludf.XLOOKUP(I65,'Rea - SK'!A:A,'Rea - SK'!F:F),DATE(1966,6,6)),IFERROR(_xludf.XLOOKUP(J65,'Rea - SK'!A:A,'Rea - SK'!F:F),DATE(1966,6,6)),IFERROR(_xludf.XLOOKUP(K65,'Rea - SK'!A:A,'Rea - SK'!F:F),DATE(1966,6,6)))</f>
        <v>24264</v>
      </c>
      <c r="G65" s="3" t="s">
        <v>1559</v>
      </c>
      <c r="H65" s="2" t="s">
        <v>2639</v>
      </c>
      <c r="I65" s="2" t="s">
        <v>2639</v>
      </c>
      <c r="J65" s="2" t="s">
        <v>2375</v>
      </c>
      <c r="K65" s="2" t="s">
        <v>2375</v>
      </c>
      <c r="L65" s="18"/>
    </row>
    <row r="66" spans="1:12" ht="18.75" customHeight="1" x14ac:dyDescent="0.2">
      <c r="A66" s="2" t="s">
        <v>4861</v>
      </c>
      <c r="B66" s="2">
        <v>52694</v>
      </c>
      <c r="C66" s="2">
        <v>5906366002496</v>
      </c>
      <c r="D66" s="4" t="s">
        <v>4862</v>
      </c>
      <c r="E66" s="3">
        <f t="array" aca="1" ref="E66" ca="1">IFERROR(_xludf.XLOOKUP(G66,'Rea - SK'!A:A,'Rea - SK'!E:E),0)+IFERROR(_xludf.XLOOKUP(H66,'Rea - SK'!A:A,'Rea - SK'!E:E),0)+IFERROR(_xludf.XLOOKUP(I66,'Rea - SK'!A:A,'Rea - SK'!E:E),0)+IFERROR(_xludf.XLOOKUP(J66,'Rea - SK'!A:A,'Rea - SK'!E:E),0)+IFERROR(_xludf.XLOOKUP(K66,'Rea - SK'!A:A,'Rea - SK'!E:E),0)</f>
        <v>0</v>
      </c>
      <c r="F66" s="11">
        <f t="array" aca="1" ref="F66" ca="1">MAX(IFERROR(_xludf.XLOOKUP(G66,'Rea - SK'!A:A,'Rea - SK'!F:F),DATE(1966,6,6)),IFERROR(_xludf.XLOOKUP(H66,'Rea - SK'!A:A,'Rea - SK'!F:F),DATE(1966,6,6)),IFERROR(_xludf.XLOOKUP(I66,'Rea - SK'!A:A,'Rea - SK'!F:F),DATE(1966,6,6)),IFERROR(_xludf.XLOOKUP(J66,'Rea - SK'!A:A,'Rea - SK'!F:F),DATE(1966,6,6)),IFERROR(_xludf.XLOOKUP(K66,'Rea - SK'!A:A,'Rea - SK'!F:F),DATE(1966,6,6)))</f>
        <v>24264</v>
      </c>
      <c r="G66" s="3" t="s">
        <v>1559</v>
      </c>
      <c r="H66" s="2" t="s">
        <v>2637</v>
      </c>
      <c r="I66" s="2" t="s">
        <v>2637</v>
      </c>
      <c r="J66" s="2" t="s">
        <v>2375</v>
      </c>
      <c r="K66" s="2" t="s">
        <v>2375</v>
      </c>
      <c r="L66" s="18"/>
    </row>
    <row r="67" spans="1:12" ht="18.75" customHeight="1" x14ac:dyDescent="0.2">
      <c r="A67" s="2" t="s">
        <v>4863</v>
      </c>
      <c r="B67" s="2">
        <v>52693</v>
      </c>
      <c r="C67" s="2">
        <v>5906366002489</v>
      </c>
      <c r="D67" s="4" t="s">
        <v>4864</v>
      </c>
      <c r="E67" s="3">
        <f t="array" aca="1" ref="E67" ca="1">IFERROR(_xludf.XLOOKUP(G67,'Rea - SK'!A:A,'Rea - SK'!E:E),0)+IFERROR(_xludf.XLOOKUP(H67,'Rea - SK'!A:A,'Rea - SK'!E:E),0)+IFERROR(_xludf.XLOOKUP(I67,'Rea - SK'!A:A,'Rea - SK'!E:E),0)+IFERROR(_xludf.XLOOKUP(J67,'Rea - SK'!A:A,'Rea - SK'!E:E),0)+IFERROR(_xludf.XLOOKUP(K67,'Rea - SK'!A:A,'Rea - SK'!E:E),0)</f>
        <v>0</v>
      </c>
      <c r="F67" s="11">
        <f t="array" aca="1" ref="F67" ca="1">MAX(IFERROR(_xludf.XLOOKUP(G67,'Rea - SK'!A:A,'Rea - SK'!F:F),DATE(1966,6,6)),IFERROR(_xludf.XLOOKUP(H67,'Rea - SK'!A:A,'Rea - SK'!F:F),DATE(1966,6,6)),IFERROR(_xludf.XLOOKUP(I67,'Rea - SK'!A:A,'Rea - SK'!F:F),DATE(1966,6,6)),IFERROR(_xludf.XLOOKUP(J67,'Rea - SK'!A:A,'Rea - SK'!F:F),DATE(1966,6,6)),IFERROR(_xludf.XLOOKUP(K67,'Rea - SK'!A:A,'Rea - SK'!F:F),DATE(1966,6,6)))</f>
        <v>24264</v>
      </c>
      <c r="G67" s="3" t="s">
        <v>1557</v>
      </c>
      <c r="H67" s="2" t="s">
        <v>2635</v>
      </c>
      <c r="I67" s="2" t="s">
        <v>2635</v>
      </c>
      <c r="J67" s="2" t="s">
        <v>2375</v>
      </c>
      <c r="K67" s="2" t="s">
        <v>2375</v>
      </c>
      <c r="L67" s="18"/>
    </row>
    <row r="68" spans="1:12" ht="18.75" customHeight="1" x14ac:dyDescent="0.2">
      <c r="A68" s="2" t="s">
        <v>4865</v>
      </c>
      <c r="B68" s="2">
        <v>52692</v>
      </c>
      <c r="C68" s="2">
        <v>5906366002472</v>
      </c>
      <c r="D68" s="4" t="s">
        <v>4866</v>
      </c>
      <c r="E68" s="3">
        <f t="array" aca="1" ref="E68" ca="1">IFERROR(_xludf.XLOOKUP(G68,'Rea - SK'!A:A,'Rea - SK'!E:E),0)+IFERROR(_xludf.XLOOKUP(H68,'Rea - SK'!A:A,'Rea - SK'!E:E),0)+IFERROR(_xludf.XLOOKUP(I68,'Rea - SK'!A:A,'Rea - SK'!E:E),0)+IFERROR(_xludf.XLOOKUP(J68,'Rea - SK'!A:A,'Rea - SK'!E:E),0)+IFERROR(_xludf.XLOOKUP(K68,'Rea - SK'!A:A,'Rea - SK'!E:E),0)</f>
        <v>0</v>
      </c>
      <c r="F68" s="11">
        <f t="array" aca="1" ref="F68" ca="1">MAX(IFERROR(_xludf.XLOOKUP(G68,'Rea - SK'!A:A,'Rea - SK'!F:F),DATE(1966,6,6)),IFERROR(_xludf.XLOOKUP(H68,'Rea - SK'!A:A,'Rea - SK'!F:F),DATE(1966,6,6)),IFERROR(_xludf.XLOOKUP(I68,'Rea - SK'!A:A,'Rea - SK'!F:F),DATE(1966,6,6)),IFERROR(_xludf.XLOOKUP(J68,'Rea - SK'!A:A,'Rea - SK'!F:F),DATE(1966,6,6)),IFERROR(_xludf.XLOOKUP(K68,'Rea - SK'!A:A,'Rea - SK'!F:F),DATE(1966,6,6)))</f>
        <v>24264</v>
      </c>
      <c r="G68" s="3" t="s">
        <v>1557</v>
      </c>
      <c r="H68" s="2" t="s">
        <v>2639</v>
      </c>
      <c r="I68" s="2" t="s">
        <v>2639</v>
      </c>
      <c r="J68" s="2" t="s">
        <v>2375</v>
      </c>
      <c r="K68" s="2" t="s">
        <v>2375</v>
      </c>
      <c r="L68" s="18"/>
    </row>
    <row r="69" spans="1:12" ht="18.75" customHeight="1" x14ac:dyDescent="0.2">
      <c r="A69" s="2" t="s">
        <v>4867</v>
      </c>
      <c r="B69" s="2">
        <v>52691</v>
      </c>
      <c r="C69" s="2">
        <v>5906366002465</v>
      </c>
      <c r="D69" s="4" t="s">
        <v>4868</v>
      </c>
      <c r="E69" s="3">
        <f t="array" aca="1" ref="E69" ca="1">IFERROR(_xludf.XLOOKUP(G69,'Rea - SK'!A:A,'Rea - SK'!E:E),0)+IFERROR(_xludf.XLOOKUP(H69,'Rea - SK'!A:A,'Rea - SK'!E:E),0)+IFERROR(_xludf.XLOOKUP(I69,'Rea - SK'!A:A,'Rea - SK'!E:E),0)+IFERROR(_xludf.XLOOKUP(J69,'Rea - SK'!A:A,'Rea - SK'!E:E),0)+IFERROR(_xludf.XLOOKUP(K69,'Rea - SK'!A:A,'Rea - SK'!E:E),0)</f>
        <v>0</v>
      </c>
      <c r="F69" s="11">
        <f t="array" aca="1" ref="F69" ca="1">MAX(IFERROR(_xludf.XLOOKUP(G69,'Rea - SK'!A:A,'Rea - SK'!F:F),DATE(1966,6,6)),IFERROR(_xludf.XLOOKUP(H69,'Rea - SK'!A:A,'Rea - SK'!F:F),DATE(1966,6,6)),IFERROR(_xludf.XLOOKUP(I69,'Rea - SK'!A:A,'Rea - SK'!F:F),DATE(1966,6,6)),IFERROR(_xludf.XLOOKUP(J69,'Rea - SK'!A:A,'Rea - SK'!F:F),DATE(1966,6,6)),IFERROR(_xludf.XLOOKUP(K69,'Rea - SK'!A:A,'Rea - SK'!F:F),DATE(1966,6,6)))</f>
        <v>24264</v>
      </c>
      <c r="G69" s="3" t="s">
        <v>1557</v>
      </c>
      <c r="H69" s="2" t="s">
        <v>2637</v>
      </c>
      <c r="I69" s="2" t="s">
        <v>2637</v>
      </c>
      <c r="J69" s="2" t="s">
        <v>2375</v>
      </c>
      <c r="K69" s="2" t="s">
        <v>2375</v>
      </c>
      <c r="L69" s="18"/>
    </row>
    <row r="70" spans="1:12" ht="18.75" customHeight="1" x14ac:dyDescent="0.2">
      <c r="A70" s="2" t="s">
        <v>4869</v>
      </c>
      <c r="B70" s="2">
        <v>52688</v>
      </c>
      <c r="C70" s="2">
        <v>5906366000546</v>
      </c>
      <c r="D70" s="4" t="s">
        <v>4870</v>
      </c>
      <c r="E70" s="3">
        <f t="array" aca="1" ref="E70" ca="1">IFERROR(_xludf.XLOOKUP(G70,'Rea - SK'!A:A,'Rea - SK'!E:E),0)+IFERROR(_xludf.XLOOKUP(H70,'Rea - SK'!A:A,'Rea - SK'!E:E),0)+IFERROR(_xludf.XLOOKUP(I70,'Rea - SK'!A:A,'Rea - SK'!E:E),0)+IFERROR(_xludf.XLOOKUP(J70,'Rea - SK'!A:A,'Rea - SK'!E:E),0)+IFERROR(_xludf.XLOOKUP(K70,'Rea - SK'!A:A,'Rea - SK'!E:E),0)</f>
        <v>0</v>
      </c>
      <c r="F70" s="11">
        <f t="array" aca="1" ref="F70" ca="1">MAX(IFERROR(_xludf.XLOOKUP(G70,'Rea - SK'!A:A,'Rea - SK'!F:F),DATE(1966,6,6)),IFERROR(_xludf.XLOOKUP(H70,'Rea - SK'!A:A,'Rea - SK'!F:F),DATE(1966,6,6)),IFERROR(_xludf.XLOOKUP(I70,'Rea - SK'!A:A,'Rea - SK'!F:F),DATE(1966,6,6)),IFERROR(_xludf.XLOOKUP(J70,'Rea - SK'!A:A,'Rea - SK'!F:F),DATE(1966,6,6)),IFERROR(_xludf.XLOOKUP(K70,'Rea - SK'!A:A,'Rea - SK'!F:F),DATE(1966,6,6)))</f>
        <v>24264</v>
      </c>
      <c r="G70" s="2" t="s">
        <v>1641</v>
      </c>
      <c r="H70" s="2" t="s">
        <v>1357</v>
      </c>
      <c r="I70" s="19"/>
      <c r="J70" s="19"/>
      <c r="K70" s="19"/>
      <c r="L70" s="18"/>
    </row>
    <row r="71" spans="1:12" ht="18.75" customHeight="1" x14ac:dyDescent="0.2">
      <c r="A71" s="2" t="s">
        <v>4871</v>
      </c>
      <c r="B71" s="2">
        <v>52399</v>
      </c>
      <c r="C71" s="2">
        <v>5906366000515</v>
      </c>
      <c r="D71" s="4" t="s">
        <v>4872</v>
      </c>
      <c r="E71" s="3">
        <f t="array" aca="1" ref="E71" ca="1">IFERROR(_xludf.XLOOKUP(G71,'Rea - SK'!A:A,'Rea - SK'!E:E),0)+IFERROR(_xludf.XLOOKUP(H71,'Rea - SK'!A:A,'Rea - SK'!E:E),0)+IFERROR(_xludf.XLOOKUP(I71,'Rea - SK'!A:A,'Rea - SK'!E:E),0)+IFERROR(_xludf.XLOOKUP(J71,'Rea - SK'!A:A,'Rea - SK'!E:E),0)+IFERROR(_xludf.XLOOKUP(K71,'Rea - SK'!A:A,'Rea - SK'!E:E),0)</f>
        <v>0</v>
      </c>
      <c r="F71" s="11">
        <f t="array" aca="1" ref="F71" ca="1">MAX(IFERROR(_xludf.XLOOKUP(G71,'Rea - SK'!A:A,'Rea - SK'!F:F),DATE(1966,6,6)),IFERROR(_xludf.XLOOKUP(H71,'Rea - SK'!A:A,'Rea - SK'!F:F),DATE(1966,6,6)),IFERROR(_xludf.XLOOKUP(I71,'Rea - SK'!A:A,'Rea - SK'!F:F),DATE(1966,6,6)),IFERROR(_xludf.XLOOKUP(J71,'Rea - SK'!A:A,'Rea - SK'!F:F),DATE(1966,6,6)),IFERROR(_xludf.XLOOKUP(K71,'Rea - SK'!A:A,'Rea - SK'!F:F),DATE(1966,6,6)))</f>
        <v>24264</v>
      </c>
      <c r="G71" s="2" t="s">
        <v>1639</v>
      </c>
      <c r="H71" s="2" t="s">
        <v>1355</v>
      </c>
      <c r="I71" s="19"/>
      <c r="J71" s="19"/>
      <c r="K71" s="19"/>
      <c r="L71" s="18"/>
    </row>
    <row r="72" spans="1:12" ht="18.75" customHeight="1" x14ac:dyDescent="0.2">
      <c r="A72" s="2" t="s">
        <v>4873</v>
      </c>
      <c r="B72" s="2">
        <v>52398</v>
      </c>
      <c r="C72" s="2">
        <v>5906366000522</v>
      </c>
      <c r="D72" s="4" t="s">
        <v>4874</v>
      </c>
      <c r="E72" s="3">
        <f t="array" aca="1" ref="E72" ca="1">IFERROR(_xludf.XLOOKUP(G72,'Rea - SK'!A:A,'Rea - SK'!E:E),0)+IFERROR(_xludf.XLOOKUP(H72,'Rea - SK'!A:A,'Rea - SK'!E:E),0)+IFERROR(_xludf.XLOOKUP(I72,'Rea - SK'!A:A,'Rea - SK'!E:E),0)+IFERROR(_xludf.XLOOKUP(J72,'Rea - SK'!A:A,'Rea - SK'!E:E),0)+IFERROR(_xludf.XLOOKUP(K72,'Rea - SK'!A:A,'Rea - SK'!E:E),0)</f>
        <v>0</v>
      </c>
      <c r="F72" s="11">
        <f t="array" aca="1" ref="F72" ca="1">MAX(IFERROR(_xludf.XLOOKUP(G72,'Rea - SK'!A:A,'Rea - SK'!F:F),DATE(1966,6,6)),IFERROR(_xludf.XLOOKUP(H72,'Rea - SK'!A:A,'Rea - SK'!F:F),DATE(1966,6,6)),IFERROR(_xludf.XLOOKUP(I72,'Rea - SK'!A:A,'Rea - SK'!F:F),DATE(1966,6,6)),IFERROR(_xludf.XLOOKUP(J72,'Rea - SK'!A:A,'Rea - SK'!F:F),DATE(1966,6,6)),IFERROR(_xludf.XLOOKUP(K72,'Rea - SK'!A:A,'Rea - SK'!F:F),DATE(1966,6,6)))</f>
        <v>24264</v>
      </c>
      <c r="G72" s="2" t="s">
        <v>1639</v>
      </c>
      <c r="H72" s="2" t="s">
        <v>1361</v>
      </c>
      <c r="I72" s="19"/>
      <c r="J72" s="19"/>
      <c r="K72" s="19"/>
      <c r="L72" s="18"/>
    </row>
    <row r="73" spans="1:12" ht="18.75" customHeight="1" x14ac:dyDescent="0.2">
      <c r="A73" s="2" t="s">
        <v>4875</v>
      </c>
      <c r="B73" s="2">
        <v>52396</v>
      </c>
      <c r="C73" s="2">
        <v>5906366000539</v>
      </c>
      <c r="D73" s="4" t="s">
        <v>4876</v>
      </c>
      <c r="E73" s="3">
        <f t="array" aca="1" ref="E73" ca="1">IFERROR(_xludf.XLOOKUP(G73,'Rea - SK'!A:A,'Rea - SK'!E:E),0)+IFERROR(_xludf.XLOOKUP(H73,'Rea - SK'!A:A,'Rea - SK'!E:E),0)+IFERROR(_xludf.XLOOKUP(I73,'Rea - SK'!A:A,'Rea - SK'!E:E),0)+IFERROR(_xludf.XLOOKUP(J73,'Rea - SK'!A:A,'Rea - SK'!E:E),0)+IFERROR(_xludf.XLOOKUP(K73,'Rea - SK'!A:A,'Rea - SK'!E:E),0)</f>
        <v>0</v>
      </c>
      <c r="F73" s="11">
        <f t="array" aca="1" ref="F73" ca="1">MAX(IFERROR(_xludf.XLOOKUP(G73,'Rea - SK'!A:A,'Rea - SK'!F:F),DATE(1966,6,6)),IFERROR(_xludf.XLOOKUP(H73,'Rea - SK'!A:A,'Rea - SK'!F:F),DATE(1966,6,6)),IFERROR(_xludf.XLOOKUP(I73,'Rea - SK'!A:A,'Rea - SK'!F:F),DATE(1966,6,6)),IFERROR(_xludf.XLOOKUP(J73,'Rea - SK'!A:A,'Rea - SK'!F:F),DATE(1966,6,6)),IFERROR(_xludf.XLOOKUP(K73,'Rea - SK'!A:A,'Rea - SK'!F:F),DATE(1966,6,6)))</f>
        <v>24264</v>
      </c>
      <c r="G73" s="2" t="s">
        <v>1641</v>
      </c>
      <c r="H73" s="2" t="s">
        <v>1363</v>
      </c>
      <c r="I73" s="19"/>
      <c r="J73" s="19"/>
      <c r="K73" s="19"/>
      <c r="L73" s="18"/>
    </row>
    <row r="74" spans="1:12" ht="18.75" customHeight="1" x14ac:dyDescent="0.2">
      <c r="A74" s="2" t="s">
        <v>4877</v>
      </c>
      <c r="B74" s="2">
        <v>52394</v>
      </c>
      <c r="C74" s="2">
        <v>5906366000553</v>
      </c>
      <c r="D74" s="4" t="s">
        <v>4878</v>
      </c>
      <c r="E74" s="3">
        <f t="array" aca="1" ref="E74" ca="1">IFERROR(_xludf.XLOOKUP(G74,'Rea - SK'!A:A,'Rea - SK'!E:E),0)+IFERROR(_xludf.XLOOKUP(H74,'Rea - SK'!A:A,'Rea - SK'!E:E),0)+IFERROR(_xludf.XLOOKUP(I74,'Rea - SK'!A:A,'Rea - SK'!E:E),0)+IFERROR(_xludf.XLOOKUP(J74,'Rea - SK'!A:A,'Rea - SK'!E:E),0)+IFERROR(_xludf.XLOOKUP(K74,'Rea - SK'!A:A,'Rea - SK'!E:E),0)</f>
        <v>0</v>
      </c>
      <c r="F74" s="11">
        <f t="array" aca="1" ref="F74" ca="1">MAX(IFERROR(_xludf.XLOOKUP(G74,'Rea - SK'!A:A,'Rea - SK'!F:F),DATE(1966,6,6)),IFERROR(_xludf.XLOOKUP(H74,'Rea - SK'!A:A,'Rea - SK'!F:F),DATE(1966,6,6)),IFERROR(_xludf.XLOOKUP(I74,'Rea - SK'!A:A,'Rea - SK'!F:F),DATE(1966,6,6)),IFERROR(_xludf.XLOOKUP(J74,'Rea - SK'!A:A,'Rea - SK'!F:F),DATE(1966,6,6)),IFERROR(_xludf.XLOOKUP(K74,'Rea - SK'!A:A,'Rea - SK'!F:F),DATE(1966,6,6)))</f>
        <v>24264</v>
      </c>
      <c r="G74" s="2" t="s">
        <v>1643</v>
      </c>
      <c r="H74" s="2" t="s">
        <v>1359</v>
      </c>
      <c r="I74" s="19"/>
      <c r="J74" s="19"/>
      <c r="K74" s="19"/>
      <c r="L74" s="18"/>
    </row>
    <row r="75" spans="1:12" ht="18.75" customHeight="1" x14ac:dyDescent="0.2">
      <c r="A75" s="2" t="s">
        <v>4879</v>
      </c>
      <c r="B75" s="2">
        <v>52393</v>
      </c>
      <c r="C75" s="2">
        <v>5906366000560</v>
      </c>
      <c r="D75" s="4" t="s">
        <v>4880</v>
      </c>
      <c r="E75" s="3">
        <f t="array" aca="1" ref="E75" ca="1">IFERROR(_xludf.XLOOKUP(G75,'Rea - SK'!A:A,'Rea - SK'!E:E),0)+IFERROR(_xludf.XLOOKUP(H75,'Rea - SK'!A:A,'Rea - SK'!E:E),0)+IFERROR(_xludf.XLOOKUP(I75,'Rea - SK'!A:A,'Rea - SK'!E:E),0)+IFERROR(_xludf.XLOOKUP(J75,'Rea - SK'!A:A,'Rea - SK'!E:E),0)+IFERROR(_xludf.XLOOKUP(K75,'Rea - SK'!A:A,'Rea - SK'!E:E),0)</f>
        <v>0</v>
      </c>
      <c r="F75" s="11">
        <f t="array" aca="1" ref="F75" ca="1">MAX(IFERROR(_xludf.XLOOKUP(G75,'Rea - SK'!A:A,'Rea - SK'!F:F),DATE(1966,6,6)),IFERROR(_xludf.XLOOKUP(H75,'Rea - SK'!A:A,'Rea - SK'!F:F),DATE(1966,6,6)),IFERROR(_xludf.XLOOKUP(I75,'Rea - SK'!A:A,'Rea - SK'!F:F),DATE(1966,6,6)),IFERROR(_xludf.XLOOKUP(J75,'Rea - SK'!A:A,'Rea - SK'!F:F),DATE(1966,6,6)),IFERROR(_xludf.XLOOKUP(K75,'Rea - SK'!A:A,'Rea - SK'!F:F),DATE(1966,6,6)))</f>
        <v>24264</v>
      </c>
      <c r="G75" s="2" t="s">
        <v>1643</v>
      </c>
      <c r="H75" s="2" t="s">
        <v>1365</v>
      </c>
      <c r="I75" s="19"/>
      <c r="J75" s="19"/>
      <c r="K75" s="19"/>
      <c r="L75" s="18"/>
    </row>
    <row r="76" spans="1:12" ht="18.75" customHeight="1" x14ac:dyDescent="0.2">
      <c r="A76" s="2" t="s">
        <v>4881</v>
      </c>
      <c r="B76" s="2">
        <v>52388</v>
      </c>
      <c r="C76" s="2"/>
      <c r="D76" s="4" t="s">
        <v>4882</v>
      </c>
      <c r="E76" s="3">
        <f t="array" aca="1" ref="E76" ca="1">IFERROR(_xludf.XLOOKUP(G76,'Rea - SK'!A:A,'Rea - SK'!E:E),0)+IFERROR(_xludf.XLOOKUP(H76,'Rea - SK'!A:A,'Rea - SK'!E:E),0)+IFERROR(_xludf.XLOOKUP(I76,'Rea - SK'!A:A,'Rea - SK'!E:E),0)+IFERROR(_xludf.XLOOKUP(J76,'Rea - SK'!A:A,'Rea - SK'!E:E),0)+IFERROR(_xludf.XLOOKUP(K76,'Rea - SK'!A:A,'Rea - SK'!E:E),0)</f>
        <v>0</v>
      </c>
      <c r="F76" s="11">
        <f t="array" aca="1" ref="F76" ca="1">MAX(IFERROR(_xludf.XLOOKUP(G76,'Rea - SK'!A:A,'Rea - SK'!F:F),DATE(1966,6,6)),IFERROR(_xludf.XLOOKUP(H76,'Rea - SK'!A:A,'Rea - SK'!F:F),DATE(1966,6,6)),IFERROR(_xludf.XLOOKUP(I76,'Rea - SK'!A:A,'Rea - SK'!F:F),DATE(1966,6,6)),IFERROR(_xludf.XLOOKUP(J76,'Rea - SK'!A:A,'Rea - SK'!F:F),DATE(1966,6,6)),IFERROR(_xludf.XLOOKUP(K76,'Rea - SK'!A:A,'Rea - SK'!F:F),DATE(1966,6,6)))</f>
        <v>24264</v>
      </c>
      <c r="G76" s="2" t="s">
        <v>1645</v>
      </c>
      <c r="H76" s="2" t="s">
        <v>1355</v>
      </c>
      <c r="I76" s="19"/>
      <c r="J76" s="19"/>
      <c r="K76" s="19"/>
      <c r="L76" s="18"/>
    </row>
    <row r="77" spans="1:12" ht="18.75" customHeight="1" x14ac:dyDescent="0.2">
      <c r="A77" s="2" t="s">
        <v>4883</v>
      </c>
      <c r="B77" s="2">
        <v>52387</v>
      </c>
      <c r="C77" s="2"/>
      <c r="D77" s="4" t="s">
        <v>4884</v>
      </c>
      <c r="E77" s="3">
        <f t="array" aca="1" ref="E77" ca="1">IFERROR(_xludf.XLOOKUP(G77,'Rea - SK'!A:A,'Rea - SK'!E:E),0)+IFERROR(_xludf.XLOOKUP(H77,'Rea - SK'!A:A,'Rea - SK'!E:E),0)+IFERROR(_xludf.XLOOKUP(I77,'Rea - SK'!A:A,'Rea - SK'!E:E),0)+IFERROR(_xludf.XLOOKUP(J77,'Rea - SK'!A:A,'Rea - SK'!E:E),0)+IFERROR(_xludf.XLOOKUP(K77,'Rea - SK'!A:A,'Rea - SK'!E:E),0)</f>
        <v>0</v>
      </c>
      <c r="F77" s="11">
        <f t="array" aca="1" ref="F77" ca="1">MAX(IFERROR(_xludf.XLOOKUP(G77,'Rea - SK'!A:A,'Rea - SK'!F:F),DATE(1966,6,6)),IFERROR(_xludf.XLOOKUP(H77,'Rea - SK'!A:A,'Rea - SK'!F:F),DATE(1966,6,6)),IFERROR(_xludf.XLOOKUP(I77,'Rea - SK'!A:A,'Rea - SK'!F:F),DATE(1966,6,6)),IFERROR(_xludf.XLOOKUP(J77,'Rea - SK'!A:A,'Rea - SK'!F:F),DATE(1966,6,6)),IFERROR(_xludf.XLOOKUP(K77,'Rea - SK'!A:A,'Rea - SK'!F:F),DATE(1966,6,6)))</f>
        <v>24264</v>
      </c>
      <c r="G77" s="2" t="s">
        <v>1645</v>
      </c>
      <c r="H77" s="2" t="s">
        <v>1361</v>
      </c>
      <c r="I77" s="19"/>
      <c r="J77" s="19"/>
      <c r="K77" s="19"/>
      <c r="L77" s="18"/>
    </row>
    <row r="78" spans="1:12" ht="18.75" customHeight="1" x14ac:dyDescent="0.2">
      <c r="A78" s="16" t="s">
        <v>4885</v>
      </c>
      <c r="B78" s="2">
        <v>52384</v>
      </c>
      <c r="C78" s="2">
        <v>5906366005312</v>
      </c>
      <c r="D78" s="4" t="s">
        <v>4886</v>
      </c>
      <c r="E78" s="3">
        <f t="array" aca="1" ref="E78" ca="1">IFERROR(_xludf.XLOOKUP(G78,'Rea - SK'!A:A,'Rea - SK'!E:E),0)+IFERROR(_xludf.XLOOKUP(H78,'Rea - SK'!A:A,'Rea - SK'!E:E),0)+IFERROR(_xludf.XLOOKUP(I78,'Rea - SK'!A:A,'Rea - SK'!E:E),0)+IFERROR(_xludf.XLOOKUP(J78,'Rea - SK'!A:A,'Rea - SK'!E:E),0)+IFERROR(_xludf.XLOOKUP(K78,'Rea - SK'!A:A,'Rea - SK'!E:E),0)</f>
        <v>0</v>
      </c>
      <c r="F78" s="11">
        <f t="array" aca="1" ref="F78" ca="1">MAX(IFERROR(_xludf.XLOOKUP(G78,'Rea - SK'!A:A,'Rea - SK'!F:F),DATE(1966,6,6)),IFERROR(_xludf.XLOOKUP(H78,'Rea - SK'!A:A,'Rea - SK'!F:F),DATE(1966,6,6)),IFERROR(_xludf.XLOOKUP(I78,'Rea - SK'!A:A,'Rea - SK'!F:F),DATE(1966,6,6)),IFERROR(_xludf.XLOOKUP(J78,'Rea - SK'!A:A,'Rea - SK'!F:F),DATE(1966,6,6)),IFERROR(_xludf.XLOOKUP(K78,'Rea - SK'!A:A,'Rea - SK'!F:F),DATE(1966,6,6)))</f>
        <v>24264</v>
      </c>
      <c r="G78" s="2" t="s">
        <v>1649</v>
      </c>
      <c r="H78" s="2" t="s">
        <v>1359</v>
      </c>
      <c r="I78" s="19"/>
      <c r="J78" s="19"/>
      <c r="K78" s="19"/>
      <c r="L78" s="18"/>
    </row>
    <row r="79" spans="1:12" ht="18.75" customHeight="1" x14ac:dyDescent="0.2">
      <c r="A79" s="2" t="s">
        <v>4887</v>
      </c>
      <c r="B79" s="2">
        <v>52383</v>
      </c>
      <c r="C79" s="2">
        <v>5906366002458</v>
      </c>
      <c r="D79" s="4" t="s">
        <v>4888</v>
      </c>
      <c r="E79" s="3">
        <f t="array" aca="1" ref="E79" ca="1">IFERROR(_xludf.XLOOKUP(G79,'Rea - SK'!A:A,'Rea - SK'!E:E),0)+IFERROR(_xludf.XLOOKUP(H79,'Rea - SK'!A:A,'Rea - SK'!E:E),0)+IFERROR(_xludf.XLOOKUP(I79,'Rea - SK'!A:A,'Rea - SK'!E:E),0)+IFERROR(_xludf.XLOOKUP(J79,'Rea - SK'!A:A,'Rea - SK'!E:E),0)+IFERROR(_xludf.XLOOKUP(K79,'Rea - SK'!A:A,'Rea - SK'!E:E),0)</f>
        <v>0</v>
      </c>
      <c r="F79" s="11">
        <f t="array" aca="1" ref="F79" ca="1">MAX(IFERROR(_xludf.XLOOKUP(G79,'Rea - SK'!A:A,'Rea - SK'!F:F),DATE(1966,6,6)),IFERROR(_xludf.XLOOKUP(H79,'Rea - SK'!A:A,'Rea - SK'!F:F),DATE(1966,6,6)),IFERROR(_xludf.XLOOKUP(I79,'Rea - SK'!A:A,'Rea - SK'!F:F),DATE(1966,6,6)),IFERROR(_xludf.XLOOKUP(J79,'Rea - SK'!A:A,'Rea - SK'!F:F),DATE(1966,6,6)),IFERROR(_xludf.XLOOKUP(K79,'Rea - SK'!A:A,'Rea - SK'!F:F),DATE(1966,6,6)))</f>
        <v>24264</v>
      </c>
      <c r="G79" s="2" t="s">
        <v>1649</v>
      </c>
      <c r="H79" s="2" t="s">
        <v>1365</v>
      </c>
      <c r="I79" s="19"/>
      <c r="J79" s="19"/>
      <c r="K79" s="19"/>
      <c r="L79" s="18"/>
    </row>
    <row r="80" spans="1:12" ht="18.75" customHeight="1" x14ac:dyDescent="0.2">
      <c r="A80" s="2" t="s">
        <v>4889</v>
      </c>
      <c r="B80" s="2">
        <v>52379</v>
      </c>
      <c r="C80" s="2">
        <v>5906366002441</v>
      </c>
      <c r="D80" s="4" t="s">
        <v>4890</v>
      </c>
      <c r="E80" s="3">
        <f t="array" aca="1" ref="E80" ca="1">IFERROR(_xludf.XLOOKUP(G80,'Rea - SK'!A:A,'Rea - SK'!E:E),0)+IFERROR(_xludf.XLOOKUP(H80,'Rea - SK'!A:A,'Rea - SK'!E:E),0)+IFERROR(_xludf.XLOOKUP(I80,'Rea - SK'!A:A,'Rea - SK'!E:E),0)+IFERROR(_xludf.XLOOKUP(J80,'Rea - SK'!A:A,'Rea - SK'!E:E),0)+IFERROR(_xludf.XLOOKUP(K80,'Rea - SK'!A:A,'Rea - SK'!E:E),0)</f>
        <v>0</v>
      </c>
      <c r="F80" s="11">
        <f t="array" aca="1" ref="F80" ca="1">MAX(IFERROR(_xludf.XLOOKUP(G80,'Rea - SK'!A:A,'Rea - SK'!F:F),DATE(1966,6,6)),IFERROR(_xludf.XLOOKUP(H80,'Rea - SK'!A:A,'Rea - SK'!F:F),DATE(1966,6,6)),IFERROR(_xludf.XLOOKUP(I80,'Rea - SK'!A:A,'Rea - SK'!F:F),DATE(1966,6,6)),IFERROR(_xludf.XLOOKUP(J80,'Rea - SK'!A:A,'Rea - SK'!F:F),DATE(1966,6,6)),IFERROR(_xludf.XLOOKUP(K80,'Rea - SK'!A:A,'Rea - SK'!F:F),DATE(1966,6,6)))</f>
        <v>24264</v>
      </c>
      <c r="G80" s="2" t="s">
        <v>1647</v>
      </c>
      <c r="H80" s="2" t="s">
        <v>1363</v>
      </c>
      <c r="I80" s="19"/>
      <c r="J80" s="19"/>
      <c r="K80" s="19"/>
      <c r="L80" s="18"/>
    </row>
    <row r="81" spans="1:12" ht="18.75" customHeight="1" x14ac:dyDescent="0.2">
      <c r="A81" s="2" t="s">
        <v>4891</v>
      </c>
      <c r="B81" s="2">
        <v>52372</v>
      </c>
      <c r="C81" s="2">
        <v>5906366003097</v>
      </c>
      <c r="D81" s="4" t="s">
        <v>4892</v>
      </c>
      <c r="E81" s="3">
        <f t="array" aca="1" ref="E81" ca="1">IFERROR(_xludf.XLOOKUP(G81,'Rea - SK'!A:A,'Rea - SK'!E:E),0)+IFERROR(_xludf.XLOOKUP(H81,'Rea - SK'!A:A,'Rea - SK'!E:E),0)+IFERROR(_xludf.XLOOKUP(I81,'Rea - SK'!A:A,'Rea - SK'!E:E),0)+IFERROR(_xludf.XLOOKUP(J81,'Rea - SK'!A:A,'Rea - SK'!E:E),0)+IFERROR(_xludf.XLOOKUP(K81,'Rea - SK'!A:A,'Rea - SK'!E:E),0)</f>
        <v>0</v>
      </c>
      <c r="F81" s="11">
        <f t="array" aca="1" ref="F81" ca="1">MAX(IFERROR(_xludf.XLOOKUP(G81,'Rea - SK'!A:A,'Rea - SK'!F:F),DATE(1966,6,6)),IFERROR(_xludf.XLOOKUP(H81,'Rea - SK'!A:A,'Rea - SK'!F:F),DATE(1966,6,6)),IFERROR(_xludf.XLOOKUP(I81,'Rea - SK'!A:A,'Rea - SK'!F:F),DATE(1966,6,6)),IFERROR(_xludf.XLOOKUP(J81,'Rea - SK'!A:A,'Rea - SK'!F:F),DATE(1966,6,6)),IFERROR(_xludf.XLOOKUP(K81,'Rea - SK'!A:A,'Rea - SK'!F:F),DATE(1966,6,6)))</f>
        <v>24264</v>
      </c>
      <c r="G81" s="2" t="s">
        <v>1761</v>
      </c>
      <c r="H81" s="2" t="s">
        <v>1363</v>
      </c>
      <c r="I81" s="19"/>
      <c r="J81" s="19"/>
      <c r="K81" s="19"/>
      <c r="L81" s="18"/>
    </row>
    <row r="82" spans="1:12" ht="18.75" customHeight="1" x14ac:dyDescent="0.2">
      <c r="A82" s="2" t="s">
        <v>4893</v>
      </c>
      <c r="B82" s="2">
        <v>52370</v>
      </c>
      <c r="C82" s="2">
        <v>5906366003073</v>
      </c>
      <c r="D82" s="4" t="s">
        <v>4894</v>
      </c>
      <c r="E82" s="3">
        <f t="array" aca="1" ref="E82" ca="1">IFERROR(_xludf.XLOOKUP(G82,'Rea - SK'!A:A,'Rea - SK'!E:E),0)+IFERROR(_xludf.XLOOKUP(H82,'Rea - SK'!A:A,'Rea - SK'!E:E),0)+IFERROR(_xludf.XLOOKUP(I82,'Rea - SK'!A:A,'Rea - SK'!E:E),0)+IFERROR(_xludf.XLOOKUP(J82,'Rea - SK'!A:A,'Rea - SK'!E:E),0)+IFERROR(_xludf.XLOOKUP(K82,'Rea - SK'!A:A,'Rea - SK'!E:E),0)</f>
        <v>0</v>
      </c>
      <c r="F82" s="11">
        <f t="array" aca="1" ref="F82" ca="1">MAX(IFERROR(_xludf.XLOOKUP(G82,'Rea - SK'!A:A,'Rea - SK'!F:F),DATE(1966,6,6)),IFERROR(_xludf.XLOOKUP(H82,'Rea - SK'!A:A,'Rea - SK'!F:F),DATE(1966,6,6)),IFERROR(_xludf.XLOOKUP(I82,'Rea - SK'!A:A,'Rea - SK'!F:F),DATE(1966,6,6)),IFERROR(_xludf.XLOOKUP(J82,'Rea - SK'!A:A,'Rea - SK'!F:F),DATE(1966,6,6)),IFERROR(_xludf.XLOOKUP(K82,'Rea - SK'!A:A,'Rea - SK'!F:F),DATE(1966,6,6)))</f>
        <v>24264</v>
      </c>
      <c r="G82" s="2" t="s">
        <v>1759</v>
      </c>
      <c r="H82" s="2" t="s">
        <v>1355</v>
      </c>
      <c r="I82" s="19"/>
      <c r="J82" s="19"/>
      <c r="K82" s="19"/>
      <c r="L82" s="18"/>
    </row>
    <row r="83" spans="1:12" ht="18.75" customHeight="1" x14ac:dyDescent="0.2">
      <c r="A83" s="2" t="s">
        <v>4895</v>
      </c>
      <c r="B83" s="2">
        <v>52369</v>
      </c>
      <c r="C83" s="2">
        <v>5906366003080</v>
      </c>
      <c r="D83" s="4" t="s">
        <v>4896</v>
      </c>
      <c r="E83" s="3">
        <f t="array" aca="1" ref="E83" ca="1">IFERROR(_xludf.XLOOKUP(G83,'Rea - SK'!A:A,'Rea - SK'!E:E),0)+IFERROR(_xludf.XLOOKUP(H83,'Rea - SK'!A:A,'Rea - SK'!E:E),0)+IFERROR(_xludf.XLOOKUP(I83,'Rea - SK'!A:A,'Rea - SK'!E:E),0)+IFERROR(_xludf.XLOOKUP(J83,'Rea - SK'!A:A,'Rea - SK'!E:E),0)+IFERROR(_xludf.XLOOKUP(K83,'Rea - SK'!A:A,'Rea - SK'!E:E),0)</f>
        <v>0</v>
      </c>
      <c r="F83" s="11">
        <f t="array" aca="1" ref="F83" ca="1">MAX(IFERROR(_xludf.XLOOKUP(G83,'Rea - SK'!A:A,'Rea - SK'!F:F),DATE(1966,6,6)),IFERROR(_xludf.XLOOKUP(H83,'Rea - SK'!A:A,'Rea - SK'!F:F),DATE(1966,6,6)),IFERROR(_xludf.XLOOKUP(I83,'Rea - SK'!A:A,'Rea - SK'!F:F),DATE(1966,6,6)),IFERROR(_xludf.XLOOKUP(J83,'Rea - SK'!A:A,'Rea - SK'!F:F),DATE(1966,6,6)),IFERROR(_xludf.XLOOKUP(K83,'Rea - SK'!A:A,'Rea - SK'!F:F),DATE(1966,6,6)))</f>
        <v>24264</v>
      </c>
      <c r="G83" s="2" t="s">
        <v>1759</v>
      </c>
      <c r="H83" s="2" t="s">
        <v>1361</v>
      </c>
      <c r="I83" s="19"/>
      <c r="J83" s="19"/>
      <c r="K83" s="19"/>
      <c r="L83" s="18"/>
    </row>
    <row r="84" spans="1:12" ht="18.75" customHeight="1" x14ac:dyDescent="0.2">
      <c r="A84" s="2" t="s">
        <v>4897</v>
      </c>
      <c r="B84" s="2">
        <v>52367</v>
      </c>
      <c r="C84" s="2">
        <v>5906366003066</v>
      </c>
      <c r="D84" s="4" t="s">
        <v>4898</v>
      </c>
      <c r="E84" s="3">
        <f t="array" aca="1" ref="E84" ca="1">IFERROR(_xludf.XLOOKUP(G84,'Rea - SK'!A:A,'Rea - SK'!E:E),0)+IFERROR(_xludf.XLOOKUP(H84,'Rea - SK'!A:A,'Rea - SK'!E:E),0)+IFERROR(_xludf.XLOOKUP(I84,'Rea - SK'!A:A,'Rea - SK'!E:E),0)+IFERROR(_xludf.XLOOKUP(J84,'Rea - SK'!A:A,'Rea - SK'!E:E),0)+IFERROR(_xludf.XLOOKUP(K84,'Rea - SK'!A:A,'Rea - SK'!E:E),0)</f>
        <v>0</v>
      </c>
      <c r="F84" s="11">
        <f t="array" aca="1" ref="F84" ca="1">MAX(IFERROR(_xludf.XLOOKUP(G84,'Rea - SK'!A:A,'Rea - SK'!F:F),DATE(1966,6,6)),IFERROR(_xludf.XLOOKUP(H84,'Rea - SK'!A:A,'Rea - SK'!F:F),DATE(1966,6,6)),IFERROR(_xludf.XLOOKUP(I84,'Rea - SK'!A:A,'Rea - SK'!F:F),DATE(1966,6,6)),IFERROR(_xludf.XLOOKUP(J84,'Rea - SK'!A:A,'Rea - SK'!F:F),DATE(1966,6,6)),IFERROR(_xludf.XLOOKUP(K84,'Rea - SK'!A:A,'Rea - SK'!F:F),DATE(1966,6,6)))</f>
        <v>24264</v>
      </c>
      <c r="G84" s="2" t="s">
        <v>1763</v>
      </c>
      <c r="H84" s="2" t="s">
        <v>1359</v>
      </c>
      <c r="I84" s="19"/>
      <c r="J84" s="19"/>
      <c r="K84" s="19"/>
      <c r="L84" s="18"/>
    </row>
    <row r="85" spans="1:12" ht="18.75" customHeight="1" x14ac:dyDescent="0.2">
      <c r="A85" s="2" t="s">
        <v>4899</v>
      </c>
      <c r="B85" s="2">
        <v>52366</v>
      </c>
      <c r="C85" s="2">
        <v>5906366003059</v>
      </c>
      <c r="D85" s="4" t="s">
        <v>4900</v>
      </c>
      <c r="E85" s="3">
        <f t="array" aca="1" ref="E85" ca="1">IFERROR(_xludf.XLOOKUP(G85,'Rea - SK'!A:A,'Rea - SK'!E:E),0)+IFERROR(_xludf.XLOOKUP(H85,'Rea - SK'!A:A,'Rea - SK'!E:E),0)+IFERROR(_xludf.XLOOKUP(I85,'Rea - SK'!A:A,'Rea - SK'!E:E),0)+IFERROR(_xludf.XLOOKUP(J85,'Rea - SK'!A:A,'Rea - SK'!E:E),0)+IFERROR(_xludf.XLOOKUP(K85,'Rea - SK'!A:A,'Rea - SK'!E:E),0)</f>
        <v>0</v>
      </c>
      <c r="F85" s="11">
        <f t="array" aca="1" ref="F85" ca="1">MAX(IFERROR(_xludf.XLOOKUP(G85,'Rea - SK'!A:A,'Rea - SK'!F:F),DATE(1966,6,6)),IFERROR(_xludf.XLOOKUP(H85,'Rea - SK'!A:A,'Rea - SK'!F:F),DATE(1966,6,6)),IFERROR(_xludf.XLOOKUP(I85,'Rea - SK'!A:A,'Rea - SK'!F:F),DATE(1966,6,6)),IFERROR(_xludf.XLOOKUP(J85,'Rea - SK'!A:A,'Rea - SK'!F:F),DATE(1966,6,6)),IFERROR(_xludf.XLOOKUP(K85,'Rea - SK'!A:A,'Rea - SK'!F:F),DATE(1966,6,6)))</f>
        <v>24264</v>
      </c>
      <c r="G85" s="2" t="s">
        <v>1763</v>
      </c>
      <c r="H85" s="2" t="s">
        <v>1365</v>
      </c>
      <c r="I85" s="19"/>
      <c r="J85" s="19"/>
      <c r="K85" s="19"/>
      <c r="L85" s="18"/>
    </row>
    <row r="86" spans="1:12" ht="18.75" customHeight="1" x14ac:dyDescent="0.2">
      <c r="A86" s="2" t="s">
        <v>4901</v>
      </c>
      <c r="B86" s="2">
        <v>52354</v>
      </c>
      <c r="C86" s="2">
        <v>5902557399864</v>
      </c>
      <c r="D86" s="4" t="s">
        <v>4902</v>
      </c>
      <c r="E86" s="3">
        <f t="array" aca="1" ref="E86" ca="1">IFERROR(_xludf.XLOOKUP(G86,'Rea - SK'!A:A,'Rea - SK'!E:E),0)+IFERROR(_xludf.XLOOKUP(H86,'Rea - SK'!A:A,'Rea - SK'!E:E),0)+IFERROR(_xludf.XLOOKUP(I86,'Rea - SK'!A:A,'Rea - SK'!E:E),0)+IFERROR(_xludf.XLOOKUP(J86,'Rea - SK'!A:A,'Rea - SK'!E:E),0)+IFERROR(_xludf.XLOOKUP(K86,'Rea - SK'!A:A,'Rea - SK'!E:E),0)</f>
        <v>0</v>
      </c>
      <c r="F86" s="11">
        <f t="array" aca="1" ref="F86" ca="1">MAX(IFERROR(_xludf.XLOOKUP(G86,'Rea - SK'!A:A,'Rea - SK'!F:F),DATE(1966,6,6)),IFERROR(_xludf.XLOOKUP(H86,'Rea - SK'!A:A,'Rea - SK'!F:F),DATE(1966,6,6)),IFERROR(_xludf.XLOOKUP(I86,'Rea - SK'!A:A,'Rea - SK'!F:F),DATE(1966,6,6)),IFERROR(_xludf.XLOOKUP(J86,'Rea - SK'!A:A,'Rea - SK'!F:F),DATE(1966,6,6)),IFERROR(_xludf.XLOOKUP(K86,'Rea - SK'!A:A,'Rea - SK'!F:F),DATE(1966,6,6)))</f>
        <v>24264</v>
      </c>
      <c r="G86" s="2" t="s">
        <v>2519</v>
      </c>
      <c r="H86" s="2" t="s">
        <v>3826</v>
      </c>
      <c r="I86" s="19"/>
      <c r="J86" s="19"/>
      <c r="K86" s="19"/>
      <c r="L86" s="18"/>
    </row>
    <row r="87" spans="1:12" ht="18.75" customHeight="1" x14ac:dyDescent="0.2">
      <c r="A87" s="2" t="s">
        <v>4903</v>
      </c>
      <c r="B87" s="2">
        <v>52307</v>
      </c>
      <c r="C87" s="2">
        <v>5902557398904</v>
      </c>
      <c r="D87" s="4" t="s">
        <v>4904</v>
      </c>
      <c r="E87" s="3">
        <f t="array" aca="1" ref="E87" ca="1">IFERROR(_xludf.XLOOKUP(G87,'Rea - SK'!A:A,'Rea - SK'!E:E),0)+IFERROR(_xludf.XLOOKUP(H87,'Rea - SK'!A:A,'Rea - SK'!E:E),0)+IFERROR(_xludf.XLOOKUP(I87,'Rea - SK'!A:A,'Rea - SK'!E:E),0)+IFERROR(_xludf.XLOOKUP(J87,'Rea - SK'!A:A,'Rea - SK'!E:E),0)+IFERROR(_xludf.XLOOKUP(K87,'Rea - SK'!A:A,'Rea - SK'!E:E),0)</f>
        <v>0</v>
      </c>
      <c r="F87" s="11">
        <f t="array" aca="1" ref="F87" ca="1">MAX(IFERROR(_xludf.XLOOKUP(G87,'Rea - SK'!A:A,'Rea - SK'!F:F),DATE(1966,6,6)),IFERROR(_xludf.XLOOKUP(H87,'Rea - SK'!A:A,'Rea - SK'!F:F),DATE(1966,6,6)),IFERROR(_xludf.XLOOKUP(I87,'Rea - SK'!A:A,'Rea - SK'!F:F),DATE(1966,6,6)),IFERROR(_xludf.XLOOKUP(J87,'Rea - SK'!A:A,'Rea - SK'!F:F),DATE(1966,6,6)),IFERROR(_xludf.XLOOKUP(K87,'Rea - SK'!A:A,'Rea - SK'!F:F),DATE(1966,6,6)))</f>
        <v>24264</v>
      </c>
      <c r="G87" s="3" t="s">
        <v>1463</v>
      </c>
      <c r="H87" s="2" t="s">
        <v>13</v>
      </c>
      <c r="I87" s="19"/>
      <c r="J87" s="19"/>
      <c r="K87" s="19"/>
      <c r="L87" s="18"/>
    </row>
    <row r="88" spans="1:12" ht="18.75" customHeight="1" x14ac:dyDescent="0.2">
      <c r="A88" s="2" t="s">
        <v>4905</v>
      </c>
      <c r="B88" s="2">
        <v>52306</v>
      </c>
      <c r="C88" s="2">
        <v>5902557398898</v>
      </c>
      <c r="D88" s="4" t="s">
        <v>4906</v>
      </c>
      <c r="E88" s="3">
        <f t="array" aca="1" ref="E88" ca="1">IFERROR(_xludf.XLOOKUP(G88,'Rea - SK'!A:A,'Rea - SK'!E:E),0)+IFERROR(_xludf.XLOOKUP(H88,'Rea - SK'!A:A,'Rea - SK'!E:E),0)+IFERROR(_xludf.XLOOKUP(I88,'Rea - SK'!A:A,'Rea - SK'!E:E),0)+IFERROR(_xludf.XLOOKUP(J88,'Rea - SK'!A:A,'Rea - SK'!E:E),0)+IFERROR(_xludf.XLOOKUP(K88,'Rea - SK'!A:A,'Rea - SK'!E:E),0)</f>
        <v>0</v>
      </c>
      <c r="F88" s="11">
        <f t="array" aca="1" ref="F88" ca="1">MAX(IFERROR(_xludf.XLOOKUP(G88,'Rea - SK'!A:A,'Rea - SK'!F:F),DATE(1966,6,6)),IFERROR(_xludf.XLOOKUP(H88,'Rea - SK'!A:A,'Rea - SK'!F:F),DATE(1966,6,6)),IFERROR(_xludf.XLOOKUP(I88,'Rea - SK'!A:A,'Rea - SK'!F:F),DATE(1966,6,6)),IFERROR(_xludf.XLOOKUP(J88,'Rea - SK'!A:A,'Rea - SK'!F:F),DATE(1966,6,6)),IFERROR(_xludf.XLOOKUP(K88,'Rea - SK'!A:A,'Rea - SK'!F:F),DATE(1966,6,6)))</f>
        <v>24264</v>
      </c>
      <c r="G88" s="3" t="s">
        <v>1467</v>
      </c>
      <c r="H88" s="2" t="s">
        <v>13</v>
      </c>
      <c r="I88" s="19"/>
      <c r="J88" s="19"/>
      <c r="K88" s="19"/>
      <c r="L88" s="18"/>
    </row>
    <row r="89" spans="1:12" ht="18.75" customHeight="1" x14ac:dyDescent="0.2">
      <c r="A89" s="2" t="s">
        <v>4907</v>
      </c>
      <c r="B89" s="2">
        <v>52305</v>
      </c>
      <c r="C89" s="2">
        <v>5902557398881</v>
      </c>
      <c r="D89" s="4" t="s">
        <v>4908</v>
      </c>
      <c r="E89" s="3">
        <f t="array" aca="1" ref="E89" ca="1">IFERROR(_xludf.XLOOKUP(G89,'Rea - SK'!A:A,'Rea - SK'!E:E),0)+IFERROR(_xludf.XLOOKUP(H89,'Rea - SK'!A:A,'Rea - SK'!E:E),0)+IFERROR(_xludf.XLOOKUP(I89,'Rea - SK'!A:A,'Rea - SK'!E:E),0)+IFERROR(_xludf.XLOOKUP(J89,'Rea - SK'!A:A,'Rea - SK'!E:E),0)+IFERROR(_xludf.XLOOKUP(K89,'Rea - SK'!A:A,'Rea - SK'!E:E),0)</f>
        <v>0</v>
      </c>
      <c r="F89" s="11">
        <f t="array" aca="1" ref="F89" ca="1">MAX(IFERROR(_xludf.XLOOKUP(G89,'Rea - SK'!A:A,'Rea - SK'!F:F),DATE(1966,6,6)),IFERROR(_xludf.XLOOKUP(H89,'Rea - SK'!A:A,'Rea - SK'!F:F),DATE(1966,6,6)),IFERROR(_xludf.XLOOKUP(I89,'Rea - SK'!A:A,'Rea - SK'!F:F),DATE(1966,6,6)),IFERROR(_xludf.XLOOKUP(J89,'Rea - SK'!A:A,'Rea - SK'!F:F),DATE(1966,6,6)),IFERROR(_xludf.XLOOKUP(K89,'Rea - SK'!A:A,'Rea - SK'!F:F),DATE(1966,6,6)))</f>
        <v>24264</v>
      </c>
      <c r="G89" s="3" t="s">
        <v>1465</v>
      </c>
      <c r="H89" s="2" t="s">
        <v>13</v>
      </c>
      <c r="I89" s="19"/>
      <c r="J89" s="19"/>
      <c r="K89" s="19"/>
      <c r="L89" s="18"/>
    </row>
    <row r="90" spans="1:12" ht="18.75" customHeight="1" x14ac:dyDescent="0.2">
      <c r="A90" s="2" t="s">
        <v>4909</v>
      </c>
      <c r="B90" s="2">
        <v>52226</v>
      </c>
      <c r="C90" s="2">
        <v>5902557392780</v>
      </c>
      <c r="D90" s="4" t="s">
        <v>4910</v>
      </c>
      <c r="E90" s="3">
        <f t="array" aca="1" ref="E90" ca="1">IFERROR(_xludf.XLOOKUP(G90,'Rea - SK'!A:A,'Rea - SK'!E:E),0)+IFERROR(_xludf.XLOOKUP(H90,'Rea - SK'!A:A,'Rea - SK'!E:E),0)+IFERROR(_xludf.XLOOKUP(I90,'Rea - SK'!A:A,'Rea - SK'!E:E),0)+IFERROR(_xludf.XLOOKUP(J90,'Rea - SK'!A:A,'Rea - SK'!E:E),0)+IFERROR(_xludf.XLOOKUP(K90,'Rea - SK'!A:A,'Rea - SK'!E:E),0)</f>
        <v>0</v>
      </c>
      <c r="F90" s="11">
        <f t="array" aca="1" ref="F90" ca="1">MAX(IFERROR(_xludf.XLOOKUP(G90,'Rea - SK'!A:A,'Rea - SK'!F:F),DATE(1966,6,6)),IFERROR(_xludf.XLOOKUP(H90,'Rea - SK'!A:A,'Rea - SK'!F:F),DATE(1966,6,6)),IFERROR(_xludf.XLOOKUP(I90,'Rea - SK'!A:A,'Rea - SK'!F:F),DATE(1966,6,6)),IFERROR(_xludf.XLOOKUP(J90,'Rea - SK'!A:A,'Rea - SK'!F:F),DATE(1966,6,6)),IFERROR(_xludf.XLOOKUP(K90,'Rea - SK'!A:A,'Rea - SK'!F:F),DATE(1966,6,6)))</f>
        <v>24264</v>
      </c>
      <c r="G90" s="3" t="s">
        <v>1457</v>
      </c>
      <c r="H90" s="2" t="s">
        <v>2607</v>
      </c>
      <c r="I90" s="19"/>
      <c r="J90" s="19"/>
      <c r="K90" s="19"/>
      <c r="L90" s="18"/>
    </row>
    <row r="91" spans="1:12" ht="18.75" customHeight="1" x14ac:dyDescent="0.2">
      <c r="A91" s="16" t="s">
        <v>4911</v>
      </c>
      <c r="B91" s="2">
        <v>52009</v>
      </c>
      <c r="C91" s="2">
        <v>5902557381142</v>
      </c>
      <c r="D91" s="4" t="s">
        <v>4912</v>
      </c>
      <c r="E91" s="3">
        <f t="array" aca="1" ref="E91" ca="1">IFERROR(_xludf.XLOOKUP(G91,'Rea - SK'!A:A,'Rea - SK'!E:E),0)+IFERROR(_xludf.XLOOKUP(H91,'Rea - SK'!A:A,'Rea - SK'!E:E),0)+IFERROR(_xludf.XLOOKUP(I91,'Rea - SK'!A:A,'Rea - SK'!E:E),0)+IFERROR(_xludf.XLOOKUP(J91,'Rea - SK'!A:A,'Rea - SK'!E:E),0)+IFERROR(_xludf.XLOOKUP(K91,'Rea - SK'!A:A,'Rea - SK'!E:E),0)</f>
        <v>0</v>
      </c>
      <c r="F91" s="11">
        <f t="array" aca="1" ref="F91" ca="1">MAX(IFERROR(_xludf.XLOOKUP(G91,'Rea - SK'!A:A,'Rea - SK'!F:F),DATE(1966,6,6)),IFERROR(_xludf.XLOOKUP(H91,'Rea - SK'!A:A,'Rea - SK'!F:F),DATE(1966,6,6)),IFERROR(_xludf.XLOOKUP(I91,'Rea - SK'!A:A,'Rea - SK'!F:F),DATE(1966,6,6)),IFERROR(_xludf.XLOOKUP(J91,'Rea - SK'!A:A,'Rea - SK'!F:F),DATE(1966,6,6)),IFERROR(_xludf.XLOOKUP(K91,'Rea - SK'!A:A,'Rea - SK'!F:F),DATE(1966,6,6)))</f>
        <v>24264</v>
      </c>
      <c r="G91" s="2" t="s">
        <v>1451</v>
      </c>
      <c r="H91" s="2" t="s">
        <v>2597</v>
      </c>
      <c r="I91" s="19"/>
      <c r="J91" s="19"/>
      <c r="K91" s="19"/>
      <c r="L91" s="18"/>
    </row>
    <row r="92" spans="1:12" ht="18.75" customHeight="1" x14ac:dyDescent="0.2">
      <c r="A92" s="16" t="s">
        <v>4913</v>
      </c>
      <c r="B92" s="2">
        <v>51998</v>
      </c>
      <c r="C92" s="2">
        <v>5902557381166</v>
      </c>
      <c r="D92" s="4" t="s">
        <v>4914</v>
      </c>
      <c r="E92" s="3">
        <f t="array" aca="1" ref="E92" ca="1">IFERROR(_xludf.XLOOKUP(G92,'Rea - SK'!A:A,'Rea - SK'!E:E),0)+IFERROR(_xludf.XLOOKUP(H92,'Rea - SK'!A:A,'Rea - SK'!E:E),0)+IFERROR(_xludf.XLOOKUP(I92,'Rea - SK'!A:A,'Rea - SK'!E:E),0)+IFERROR(_xludf.XLOOKUP(J92,'Rea - SK'!A:A,'Rea - SK'!E:E),0)+IFERROR(_xludf.XLOOKUP(K92,'Rea - SK'!A:A,'Rea - SK'!E:E),0)</f>
        <v>0</v>
      </c>
      <c r="F92" s="11">
        <f t="array" aca="1" ref="F92" ca="1">MAX(IFERROR(_xludf.XLOOKUP(G92,'Rea - SK'!A:A,'Rea - SK'!F:F),DATE(1966,6,6)),IFERROR(_xludf.XLOOKUP(H92,'Rea - SK'!A:A,'Rea - SK'!F:F),DATE(1966,6,6)),IFERROR(_xludf.XLOOKUP(I92,'Rea - SK'!A:A,'Rea - SK'!F:F),DATE(1966,6,6)),IFERROR(_xludf.XLOOKUP(J92,'Rea - SK'!A:A,'Rea - SK'!F:F),DATE(1966,6,6)),IFERROR(_xludf.XLOOKUP(K92,'Rea - SK'!A:A,'Rea - SK'!F:F),DATE(1966,6,6)))</f>
        <v>24264</v>
      </c>
      <c r="G92" s="2" t="s">
        <v>1451</v>
      </c>
      <c r="H92" s="2" t="s">
        <v>2599</v>
      </c>
      <c r="I92" s="19"/>
      <c r="J92" s="19"/>
      <c r="K92" s="19"/>
      <c r="L92" s="18"/>
    </row>
    <row r="93" spans="1:12" ht="18.75" customHeight="1" x14ac:dyDescent="0.2">
      <c r="A93" s="16" t="s">
        <v>4915</v>
      </c>
      <c r="B93" s="2">
        <v>51984</v>
      </c>
      <c r="C93" s="2">
        <v>5902557381159</v>
      </c>
      <c r="D93" s="4" t="s">
        <v>4916</v>
      </c>
      <c r="E93" s="3">
        <f t="array" aca="1" ref="E93" ca="1">IFERROR(_xludf.XLOOKUP(G93,'Rea - SK'!A:A,'Rea - SK'!E:E),0)+IFERROR(_xludf.XLOOKUP(H93,'Rea - SK'!A:A,'Rea - SK'!E:E),0)+IFERROR(_xludf.XLOOKUP(I93,'Rea - SK'!A:A,'Rea - SK'!E:E),0)+IFERROR(_xludf.XLOOKUP(J93,'Rea - SK'!A:A,'Rea - SK'!E:E),0)+IFERROR(_xludf.XLOOKUP(K93,'Rea - SK'!A:A,'Rea - SK'!E:E),0)</f>
        <v>0</v>
      </c>
      <c r="F93" s="11">
        <f t="array" aca="1" ref="F93" ca="1">MAX(IFERROR(_xludf.XLOOKUP(G93,'Rea - SK'!A:A,'Rea - SK'!F:F),DATE(1966,6,6)),IFERROR(_xludf.XLOOKUP(H93,'Rea - SK'!A:A,'Rea - SK'!F:F),DATE(1966,6,6)),IFERROR(_xludf.XLOOKUP(I93,'Rea - SK'!A:A,'Rea - SK'!F:F),DATE(1966,6,6)),IFERROR(_xludf.XLOOKUP(J93,'Rea - SK'!A:A,'Rea - SK'!F:F),DATE(1966,6,6)),IFERROR(_xludf.XLOOKUP(K93,'Rea - SK'!A:A,'Rea - SK'!F:F),DATE(1966,6,6)))</f>
        <v>24264</v>
      </c>
      <c r="G93" s="2" t="s">
        <v>1453</v>
      </c>
      <c r="H93" s="2" t="s">
        <v>2599</v>
      </c>
      <c r="I93" s="19"/>
      <c r="J93" s="19"/>
      <c r="K93" s="19"/>
      <c r="L93" s="18"/>
    </row>
    <row r="94" spans="1:12" ht="18.75" customHeight="1" x14ac:dyDescent="0.2">
      <c r="A94" s="16" t="s">
        <v>4917</v>
      </c>
      <c r="B94" s="2">
        <v>51971</v>
      </c>
      <c r="C94" s="2">
        <v>5902557381173</v>
      </c>
      <c r="D94" s="4" t="s">
        <v>4918</v>
      </c>
      <c r="E94" s="3">
        <f t="array" aca="1" ref="E94" ca="1">IFERROR(_xludf.XLOOKUP(G94,'Rea - SK'!A:A,'Rea - SK'!E:E),0)+IFERROR(_xludf.XLOOKUP(H94,'Rea - SK'!A:A,'Rea - SK'!E:E),0)+IFERROR(_xludf.XLOOKUP(I94,'Rea - SK'!A:A,'Rea - SK'!E:E),0)+IFERROR(_xludf.XLOOKUP(J94,'Rea - SK'!A:A,'Rea - SK'!E:E),0)+IFERROR(_xludf.XLOOKUP(K94,'Rea - SK'!A:A,'Rea - SK'!E:E),0)</f>
        <v>0</v>
      </c>
      <c r="F94" s="11">
        <f t="array" aca="1" ref="F94" ca="1">MAX(IFERROR(_xludf.XLOOKUP(G94,'Rea - SK'!A:A,'Rea - SK'!F:F),DATE(1966,6,6)),IFERROR(_xludf.XLOOKUP(H94,'Rea - SK'!A:A,'Rea - SK'!F:F),DATE(1966,6,6)),IFERROR(_xludf.XLOOKUP(I94,'Rea - SK'!A:A,'Rea - SK'!F:F),DATE(1966,6,6)),IFERROR(_xludf.XLOOKUP(J94,'Rea - SK'!A:A,'Rea - SK'!F:F),DATE(1966,6,6)),IFERROR(_xludf.XLOOKUP(K94,'Rea - SK'!A:A,'Rea - SK'!F:F),DATE(1966,6,6)))</f>
        <v>24264</v>
      </c>
      <c r="G94" s="2" t="s">
        <v>1453</v>
      </c>
      <c r="H94" s="2" t="s">
        <v>2597</v>
      </c>
      <c r="I94" s="19"/>
      <c r="J94" s="19"/>
      <c r="K94" s="19"/>
      <c r="L94" s="18"/>
    </row>
    <row r="95" spans="1:12" ht="18.75" customHeight="1" x14ac:dyDescent="0.2">
      <c r="A95" s="16" t="s">
        <v>4919</v>
      </c>
      <c r="B95" s="2">
        <v>51957</v>
      </c>
      <c r="C95" s="2">
        <v>5902557381180</v>
      </c>
      <c r="D95" s="4" t="s">
        <v>4920</v>
      </c>
      <c r="E95" s="3">
        <f t="array" aca="1" ref="E95" ca="1">IFERROR(_xludf.XLOOKUP(G95,'Rea - SK'!A:A,'Rea - SK'!E:E),0)+IFERROR(_xludf.XLOOKUP(H95,'Rea - SK'!A:A,'Rea - SK'!E:E),0)+IFERROR(_xludf.XLOOKUP(I95,'Rea - SK'!A:A,'Rea - SK'!E:E),0)+IFERROR(_xludf.XLOOKUP(J95,'Rea - SK'!A:A,'Rea - SK'!E:E),0)+IFERROR(_xludf.XLOOKUP(K95,'Rea - SK'!A:A,'Rea - SK'!E:E),0)</f>
        <v>0</v>
      </c>
      <c r="F95" s="11">
        <f t="array" aca="1" ref="F95" ca="1">MAX(IFERROR(_xludf.XLOOKUP(G95,'Rea - SK'!A:A,'Rea - SK'!F:F),DATE(1966,6,6)),IFERROR(_xludf.XLOOKUP(H95,'Rea - SK'!A:A,'Rea - SK'!F:F),DATE(1966,6,6)),IFERROR(_xludf.XLOOKUP(I95,'Rea - SK'!A:A,'Rea - SK'!F:F),DATE(1966,6,6)),IFERROR(_xludf.XLOOKUP(J95,'Rea - SK'!A:A,'Rea - SK'!F:F),DATE(1966,6,6)),IFERROR(_xludf.XLOOKUP(K95,'Rea - SK'!A:A,'Rea - SK'!F:F),DATE(1966,6,6)))</f>
        <v>24264</v>
      </c>
      <c r="G95" s="2" t="s">
        <v>1449</v>
      </c>
      <c r="H95" s="2" t="s">
        <v>2597</v>
      </c>
      <c r="I95" s="19"/>
      <c r="J95" s="19"/>
      <c r="K95" s="19"/>
      <c r="L95" s="18"/>
    </row>
    <row r="96" spans="1:12" ht="18.75" customHeight="1" x14ac:dyDescent="0.2">
      <c r="A96" s="16" t="s">
        <v>4921</v>
      </c>
      <c r="B96" s="2">
        <v>51946</v>
      </c>
      <c r="C96" s="2">
        <v>5902557381197</v>
      </c>
      <c r="D96" s="4" t="s">
        <v>4922</v>
      </c>
      <c r="E96" s="3">
        <f t="array" aca="1" ref="E96" ca="1">IFERROR(_xludf.XLOOKUP(G96,'Rea - SK'!A:A,'Rea - SK'!E:E),0)+IFERROR(_xludf.XLOOKUP(H96,'Rea - SK'!A:A,'Rea - SK'!E:E),0)+IFERROR(_xludf.XLOOKUP(I96,'Rea - SK'!A:A,'Rea - SK'!E:E),0)+IFERROR(_xludf.XLOOKUP(J96,'Rea - SK'!A:A,'Rea - SK'!E:E),0)+IFERROR(_xludf.XLOOKUP(K96,'Rea - SK'!A:A,'Rea - SK'!E:E),0)</f>
        <v>0</v>
      </c>
      <c r="F96" s="11">
        <f t="array" aca="1" ref="F96" ca="1">MAX(IFERROR(_xludf.XLOOKUP(G96,'Rea - SK'!A:A,'Rea - SK'!F:F),DATE(1966,6,6)),IFERROR(_xludf.XLOOKUP(H96,'Rea - SK'!A:A,'Rea - SK'!F:F),DATE(1966,6,6)),IFERROR(_xludf.XLOOKUP(I96,'Rea - SK'!A:A,'Rea - SK'!F:F),DATE(1966,6,6)),IFERROR(_xludf.XLOOKUP(J96,'Rea - SK'!A:A,'Rea - SK'!F:F),DATE(1966,6,6)),IFERROR(_xludf.XLOOKUP(K96,'Rea - SK'!A:A,'Rea - SK'!F:F),DATE(1966,6,6)))</f>
        <v>24264</v>
      </c>
      <c r="G96" s="2" t="s">
        <v>1449</v>
      </c>
      <c r="H96" s="2" t="s">
        <v>2599</v>
      </c>
      <c r="I96" s="19"/>
      <c r="J96" s="19"/>
      <c r="K96" s="19"/>
      <c r="L96" s="18"/>
    </row>
    <row r="97" spans="1:12" ht="18.75" customHeight="1" x14ac:dyDescent="0.2">
      <c r="A97" s="16" t="s">
        <v>4923</v>
      </c>
      <c r="B97" s="2">
        <v>51906</v>
      </c>
      <c r="C97" s="2">
        <v>5902557397334</v>
      </c>
      <c r="D97" s="4" t="s">
        <v>4924</v>
      </c>
      <c r="E97" s="3">
        <f t="array" aca="1" ref="E97" ca="1">IFERROR(_xludf.XLOOKUP(G97,'Rea - SK'!A:A,'Rea - SK'!E:E),0)+IFERROR(_xludf.XLOOKUP(H97,'Rea - SK'!A:A,'Rea - SK'!E:E),0)+IFERROR(_xludf.XLOOKUP(I97,'Rea - SK'!A:A,'Rea - SK'!E:E),0)+IFERROR(_xludf.XLOOKUP(J97,'Rea - SK'!A:A,'Rea - SK'!E:E),0)+IFERROR(_xludf.XLOOKUP(K97,'Rea - SK'!A:A,'Rea - SK'!E:E),0)</f>
        <v>0</v>
      </c>
      <c r="F97" s="11">
        <f t="array" aca="1" ref="F97" ca="1">MAX(IFERROR(_xludf.XLOOKUP(G97,'Rea - SK'!A:A,'Rea - SK'!F:F),DATE(1966,6,6)),IFERROR(_xludf.XLOOKUP(H97,'Rea - SK'!A:A,'Rea - SK'!F:F),DATE(1966,6,6)),IFERROR(_xludf.XLOOKUP(I97,'Rea - SK'!A:A,'Rea - SK'!F:F),DATE(1966,6,6)),IFERROR(_xludf.XLOOKUP(J97,'Rea - SK'!A:A,'Rea - SK'!F:F),DATE(1966,6,6)),IFERROR(_xludf.XLOOKUP(K97,'Rea - SK'!A:A,'Rea - SK'!F:F),DATE(1966,6,6)))</f>
        <v>24264</v>
      </c>
      <c r="G97" s="2" t="s">
        <v>1451</v>
      </c>
      <c r="H97" s="2" t="s">
        <v>1453</v>
      </c>
      <c r="I97" s="19"/>
      <c r="J97" s="19"/>
      <c r="K97" s="19"/>
      <c r="L97" s="18"/>
    </row>
    <row r="98" spans="1:12" ht="18.75" customHeight="1" x14ac:dyDescent="0.2">
      <c r="A98" s="16" t="s">
        <v>4925</v>
      </c>
      <c r="B98" s="2">
        <v>51895</v>
      </c>
      <c r="C98" s="2">
        <v>5902557397341</v>
      </c>
      <c r="D98" s="4" t="s">
        <v>4926</v>
      </c>
      <c r="E98" s="3">
        <f t="array" aca="1" ref="E98" ca="1">IFERROR(_xludf.XLOOKUP(G98,'Rea - SK'!A:A,'Rea - SK'!E:E),0)+IFERROR(_xludf.XLOOKUP(H98,'Rea - SK'!A:A,'Rea - SK'!E:E),0)+IFERROR(_xludf.XLOOKUP(I98,'Rea - SK'!A:A,'Rea - SK'!E:E),0)+IFERROR(_xludf.XLOOKUP(J98,'Rea - SK'!A:A,'Rea - SK'!E:E),0)+IFERROR(_xludf.XLOOKUP(K98,'Rea - SK'!A:A,'Rea - SK'!E:E),0)</f>
        <v>0</v>
      </c>
      <c r="F98" s="11">
        <f t="array" aca="1" ref="F98" ca="1">MAX(IFERROR(_xludf.XLOOKUP(G98,'Rea - SK'!A:A,'Rea - SK'!F:F),DATE(1966,6,6)),IFERROR(_xludf.XLOOKUP(H98,'Rea - SK'!A:A,'Rea - SK'!F:F),DATE(1966,6,6)),IFERROR(_xludf.XLOOKUP(I98,'Rea - SK'!A:A,'Rea - SK'!F:F),DATE(1966,6,6)),IFERROR(_xludf.XLOOKUP(J98,'Rea - SK'!A:A,'Rea - SK'!F:F),DATE(1966,6,6)),IFERROR(_xludf.XLOOKUP(K98,'Rea - SK'!A:A,'Rea - SK'!F:F),DATE(1966,6,6)))</f>
        <v>24264</v>
      </c>
      <c r="G98" s="2" t="s">
        <v>1451</v>
      </c>
      <c r="H98" s="2" t="s">
        <v>1449</v>
      </c>
      <c r="I98" s="19"/>
      <c r="J98" s="19"/>
      <c r="K98" s="19"/>
      <c r="L98" s="18"/>
    </row>
    <row r="99" spans="1:12" ht="18.75" customHeight="1" x14ac:dyDescent="0.2">
      <c r="A99" s="16" t="s">
        <v>4927</v>
      </c>
      <c r="B99" s="2">
        <v>51884</v>
      </c>
      <c r="C99" s="2">
        <v>5902557397358</v>
      </c>
      <c r="D99" s="4" t="s">
        <v>4928</v>
      </c>
      <c r="E99" s="3">
        <f t="array" aca="1" ref="E99" ca="1">IFERROR(_xludf.XLOOKUP(G99,'Rea - SK'!A:A,'Rea - SK'!E:E),0)+IFERROR(_xludf.XLOOKUP(H99,'Rea - SK'!A:A,'Rea - SK'!E:E),0)+IFERROR(_xludf.XLOOKUP(I99,'Rea - SK'!A:A,'Rea - SK'!E:E),0)+IFERROR(_xludf.XLOOKUP(J99,'Rea - SK'!A:A,'Rea - SK'!E:E),0)+IFERROR(_xludf.XLOOKUP(K99,'Rea - SK'!A:A,'Rea - SK'!E:E),0)</f>
        <v>0</v>
      </c>
      <c r="F99" s="11">
        <f t="array" aca="1" ref="F99" ca="1">MAX(IFERROR(_xludf.XLOOKUP(G99,'Rea - SK'!A:A,'Rea - SK'!F:F),DATE(1966,6,6)),IFERROR(_xludf.XLOOKUP(H99,'Rea - SK'!A:A,'Rea - SK'!F:F),DATE(1966,6,6)),IFERROR(_xludf.XLOOKUP(I99,'Rea - SK'!A:A,'Rea - SK'!F:F),DATE(1966,6,6)),IFERROR(_xludf.XLOOKUP(J99,'Rea - SK'!A:A,'Rea - SK'!F:F),DATE(1966,6,6)),IFERROR(_xludf.XLOOKUP(K99,'Rea - SK'!A:A,'Rea - SK'!F:F),DATE(1966,6,6)))</f>
        <v>24264</v>
      </c>
      <c r="G99" s="2" t="s">
        <v>1453</v>
      </c>
      <c r="H99" s="2" t="s">
        <v>1449</v>
      </c>
      <c r="I99" s="19"/>
      <c r="J99" s="19"/>
      <c r="K99" s="19"/>
      <c r="L99" s="18"/>
    </row>
    <row r="100" spans="1:12" ht="18.75" customHeight="1" x14ac:dyDescent="0.2">
      <c r="A100" s="2" t="s">
        <v>4929</v>
      </c>
      <c r="B100" s="2">
        <v>51861</v>
      </c>
      <c r="C100" s="2"/>
      <c r="D100" s="4" t="s">
        <v>4930</v>
      </c>
      <c r="E100" s="3">
        <f t="array" aca="1" ref="E100" ca="1">IFERROR(_xludf.XLOOKUP(G100,'Rea - SK'!A:A,'Rea - SK'!E:E),0)+IFERROR(_xludf.XLOOKUP(H100,'Rea - SK'!A:A,'Rea - SK'!E:E),0)+IFERROR(_xludf.XLOOKUP(I100,'Rea - SK'!A:A,'Rea - SK'!E:E),0)+IFERROR(_xludf.XLOOKUP(J100,'Rea - SK'!A:A,'Rea - SK'!E:E),0)+IFERROR(_xludf.XLOOKUP(K100,'Rea - SK'!A:A,'Rea - SK'!E:E),0)</f>
        <v>0</v>
      </c>
      <c r="F100" s="11">
        <f t="array" aca="1" ref="F100" ca="1">MAX(IFERROR(_xludf.XLOOKUP(G100,'Rea - SK'!A:A,'Rea - SK'!F:F),DATE(1966,6,6)),IFERROR(_xludf.XLOOKUP(H100,'Rea - SK'!A:A,'Rea - SK'!F:F),DATE(1966,6,6)),IFERROR(_xludf.XLOOKUP(I100,'Rea - SK'!A:A,'Rea - SK'!F:F),DATE(1966,6,6)),IFERROR(_xludf.XLOOKUP(J100,'Rea - SK'!A:A,'Rea - SK'!F:F),DATE(1966,6,6)),IFERROR(_xludf.XLOOKUP(K100,'Rea - SK'!A:A,'Rea - SK'!F:F),DATE(1966,6,6)))</f>
        <v>24264</v>
      </c>
      <c r="G100" s="3" t="s">
        <v>1443</v>
      </c>
      <c r="H100" s="2" t="s">
        <v>2595</v>
      </c>
      <c r="I100" s="19"/>
      <c r="J100" s="19"/>
      <c r="K100" s="19"/>
      <c r="L100" s="18"/>
    </row>
    <row r="101" spans="1:12" ht="18.75" customHeight="1" x14ac:dyDescent="0.2">
      <c r="A101" s="2" t="s">
        <v>4931</v>
      </c>
      <c r="B101" s="2">
        <v>51851</v>
      </c>
      <c r="C101" s="2"/>
      <c r="D101" s="4" t="s">
        <v>1698</v>
      </c>
      <c r="E101" s="3">
        <f t="array" aca="1" ref="E101" ca="1">IFERROR(_xludf.XLOOKUP(G101,'Rea - SK'!A:A,'Rea - SK'!E:E),0)+IFERROR(_xludf.XLOOKUP(H101,'Rea - SK'!A:A,'Rea - SK'!E:E),0)+IFERROR(_xludf.XLOOKUP(I101,'Rea - SK'!A:A,'Rea - SK'!E:E),0)+IFERROR(_xludf.XLOOKUP(J101,'Rea - SK'!A:A,'Rea - SK'!E:E),0)+IFERROR(_xludf.XLOOKUP(K101,'Rea - SK'!A:A,'Rea - SK'!E:E),0)</f>
        <v>0</v>
      </c>
      <c r="F101" s="11">
        <f t="array" aca="1" ref="F101" ca="1">MAX(IFERROR(_xludf.XLOOKUP(G101,'Rea - SK'!A:A,'Rea - SK'!F:F),DATE(1966,6,6)),IFERROR(_xludf.XLOOKUP(H101,'Rea - SK'!A:A,'Rea - SK'!F:F),DATE(1966,6,6)),IFERROR(_xludf.XLOOKUP(I101,'Rea - SK'!A:A,'Rea - SK'!F:F),DATE(1966,6,6)),IFERROR(_xludf.XLOOKUP(J101,'Rea - SK'!A:A,'Rea - SK'!F:F),DATE(1966,6,6)),IFERROR(_xludf.XLOOKUP(K101,'Rea - SK'!A:A,'Rea - SK'!F:F),DATE(1966,6,6)))</f>
        <v>24264</v>
      </c>
      <c r="G101" s="3" t="s">
        <v>1447</v>
      </c>
      <c r="H101" s="2" t="s">
        <v>2595</v>
      </c>
      <c r="I101" s="19"/>
      <c r="J101" s="19"/>
      <c r="K101" s="19"/>
      <c r="L101" s="18"/>
    </row>
    <row r="102" spans="1:12" ht="18.75" customHeight="1" x14ac:dyDescent="0.2">
      <c r="A102" s="2" t="s">
        <v>4932</v>
      </c>
      <c r="B102" s="2">
        <v>51841</v>
      </c>
      <c r="C102" s="2"/>
      <c r="D102" s="4" t="s">
        <v>4933</v>
      </c>
      <c r="E102" s="3">
        <f t="array" aca="1" ref="E102" ca="1">IFERROR(_xludf.XLOOKUP(G102,'Rea - SK'!A:A,'Rea - SK'!E:E),0)+IFERROR(_xludf.XLOOKUP(H102,'Rea - SK'!A:A,'Rea - SK'!E:E),0)+IFERROR(_xludf.XLOOKUP(I102,'Rea - SK'!A:A,'Rea - SK'!E:E),0)+IFERROR(_xludf.XLOOKUP(J102,'Rea - SK'!A:A,'Rea - SK'!E:E),0)+IFERROR(_xludf.XLOOKUP(K102,'Rea - SK'!A:A,'Rea - SK'!E:E),0)</f>
        <v>0</v>
      </c>
      <c r="F102" s="11">
        <f t="array" aca="1" ref="F102" ca="1">MAX(IFERROR(_xludf.XLOOKUP(G102,'Rea - SK'!A:A,'Rea - SK'!F:F),DATE(1966,6,6)),IFERROR(_xludf.XLOOKUP(H102,'Rea - SK'!A:A,'Rea - SK'!F:F),DATE(1966,6,6)),IFERROR(_xludf.XLOOKUP(I102,'Rea - SK'!A:A,'Rea - SK'!F:F),DATE(1966,6,6)),IFERROR(_xludf.XLOOKUP(J102,'Rea - SK'!A:A,'Rea - SK'!F:F),DATE(1966,6,6)),IFERROR(_xludf.XLOOKUP(K102,'Rea - SK'!A:A,'Rea - SK'!F:F),DATE(1966,6,6)))</f>
        <v>24264</v>
      </c>
      <c r="G102" s="3" t="s">
        <v>1445</v>
      </c>
      <c r="H102" s="2" t="s">
        <v>2595</v>
      </c>
      <c r="I102" s="19"/>
      <c r="J102" s="19"/>
      <c r="K102" s="19"/>
      <c r="L102" s="18"/>
    </row>
    <row r="103" spans="1:12" ht="18.75" customHeight="1" x14ac:dyDescent="0.2">
      <c r="A103" s="2" t="s">
        <v>4934</v>
      </c>
      <c r="B103" s="2">
        <v>51824</v>
      </c>
      <c r="C103" s="2"/>
      <c r="D103" s="4" t="s">
        <v>4935</v>
      </c>
      <c r="E103" s="3">
        <f t="array" aca="1" ref="E103" ca="1">IFERROR(_xludf.XLOOKUP(G103,'Rea - SK'!A:A,'Rea - SK'!E:E),0)+IFERROR(_xludf.XLOOKUP(H103,'Rea - SK'!A:A,'Rea - SK'!E:E),0)+IFERROR(_xludf.XLOOKUP(I103,'Rea - SK'!A:A,'Rea - SK'!E:E),0)+IFERROR(_xludf.XLOOKUP(J103,'Rea - SK'!A:A,'Rea - SK'!E:E),0)+IFERROR(_xludf.XLOOKUP(K103,'Rea - SK'!A:A,'Rea - SK'!E:E),0)</f>
        <v>0</v>
      </c>
      <c r="F103" s="11">
        <f t="array" aca="1" ref="F103" ca="1">MAX(IFERROR(_xludf.XLOOKUP(G103,'Rea - SK'!A:A,'Rea - SK'!F:F),DATE(1966,6,6)),IFERROR(_xludf.XLOOKUP(H103,'Rea - SK'!A:A,'Rea - SK'!F:F),DATE(1966,6,6)),IFERROR(_xludf.XLOOKUP(I103,'Rea - SK'!A:A,'Rea - SK'!F:F),DATE(1966,6,6)),IFERROR(_xludf.XLOOKUP(J103,'Rea - SK'!A:A,'Rea - SK'!F:F),DATE(1966,6,6)),IFERROR(_xludf.XLOOKUP(K103,'Rea - SK'!A:A,'Rea - SK'!F:F),DATE(1966,6,6)))</f>
        <v>24264</v>
      </c>
      <c r="G103" s="3" t="s">
        <v>1443</v>
      </c>
      <c r="H103" s="2" t="s">
        <v>2593</v>
      </c>
      <c r="I103" s="19"/>
      <c r="J103" s="19"/>
      <c r="K103" s="19"/>
      <c r="L103" s="18"/>
    </row>
    <row r="104" spans="1:12" ht="18.75" customHeight="1" x14ac:dyDescent="0.2">
      <c r="A104" s="2" t="s">
        <v>4936</v>
      </c>
      <c r="B104" s="2">
        <v>51814</v>
      </c>
      <c r="C104" s="2">
        <v>5902557382798</v>
      </c>
      <c r="D104" s="4" t="s">
        <v>4937</v>
      </c>
      <c r="E104" s="3">
        <f t="array" aca="1" ref="E104" ca="1">IFERROR(_xludf.XLOOKUP(G104,'Rea - SK'!A:A,'Rea - SK'!E:E),0)+IFERROR(_xludf.XLOOKUP(H104,'Rea - SK'!A:A,'Rea - SK'!E:E),0)+IFERROR(_xludf.XLOOKUP(I104,'Rea - SK'!A:A,'Rea - SK'!E:E),0)+IFERROR(_xludf.XLOOKUP(J104,'Rea - SK'!A:A,'Rea - SK'!E:E),0)+IFERROR(_xludf.XLOOKUP(K104,'Rea - SK'!A:A,'Rea - SK'!E:E),0)</f>
        <v>0</v>
      </c>
      <c r="F104" s="11">
        <f t="array" aca="1" ref="F104" ca="1">MAX(IFERROR(_xludf.XLOOKUP(G104,'Rea - SK'!A:A,'Rea - SK'!F:F),DATE(1966,6,6)),IFERROR(_xludf.XLOOKUP(H104,'Rea - SK'!A:A,'Rea - SK'!F:F),DATE(1966,6,6)),IFERROR(_xludf.XLOOKUP(I104,'Rea - SK'!A:A,'Rea - SK'!F:F),DATE(1966,6,6)),IFERROR(_xludf.XLOOKUP(J104,'Rea - SK'!A:A,'Rea - SK'!F:F),DATE(1966,6,6)),IFERROR(_xludf.XLOOKUP(K104,'Rea - SK'!A:A,'Rea - SK'!F:F),DATE(1966,6,6)))</f>
        <v>24264</v>
      </c>
      <c r="G104" s="3" t="s">
        <v>1447</v>
      </c>
      <c r="H104" s="2" t="s">
        <v>2593</v>
      </c>
      <c r="I104" s="19"/>
      <c r="J104" s="19"/>
      <c r="K104" s="19"/>
      <c r="L104" s="18"/>
    </row>
    <row r="105" spans="1:12" ht="18.75" customHeight="1" x14ac:dyDescent="0.2">
      <c r="A105" s="2" t="s">
        <v>4938</v>
      </c>
      <c r="B105" s="2">
        <v>51804</v>
      </c>
      <c r="C105" s="2">
        <v>5902557382767</v>
      </c>
      <c r="D105" s="4" t="s">
        <v>1696</v>
      </c>
      <c r="E105" s="3">
        <f t="array" aca="1" ref="E105" ca="1">IFERROR(_xludf.XLOOKUP(G105,'Rea - SK'!A:A,'Rea - SK'!E:E),0)+IFERROR(_xludf.XLOOKUP(H105,'Rea - SK'!A:A,'Rea - SK'!E:E),0)+IFERROR(_xludf.XLOOKUP(I105,'Rea - SK'!A:A,'Rea - SK'!E:E),0)+IFERROR(_xludf.XLOOKUP(J105,'Rea - SK'!A:A,'Rea - SK'!E:E),0)+IFERROR(_xludf.XLOOKUP(K105,'Rea - SK'!A:A,'Rea - SK'!E:E),0)</f>
        <v>0</v>
      </c>
      <c r="F105" s="11">
        <f t="array" aca="1" ref="F105" ca="1">MAX(IFERROR(_xludf.XLOOKUP(G105,'Rea - SK'!A:A,'Rea - SK'!F:F),DATE(1966,6,6)),IFERROR(_xludf.XLOOKUP(H105,'Rea - SK'!A:A,'Rea - SK'!F:F),DATE(1966,6,6)),IFERROR(_xludf.XLOOKUP(I105,'Rea - SK'!A:A,'Rea - SK'!F:F),DATE(1966,6,6)),IFERROR(_xludf.XLOOKUP(J105,'Rea - SK'!A:A,'Rea - SK'!F:F),DATE(1966,6,6)),IFERROR(_xludf.XLOOKUP(K105,'Rea - SK'!A:A,'Rea - SK'!F:F),DATE(1966,6,6)))</f>
        <v>24264</v>
      </c>
      <c r="G105" s="3" t="s">
        <v>1445</v>
      </c>
      <c r="H105" s="2" t="s">
        <v>2593</v>
      </c>
      <c r="I105" s="19"/>
      <c r="J105" s="19"/>
      <c r="K105" s="19"/>
      <c r="L105" s="18"/>
    </row>
    <row r="106" spans="1:12" ht="18.75" customHeight="1" x14ac:dyDescent="0.2">
      <c r="A106" s="2" t="s">
        <v>4939</v>
      </c>
      <c r="B106" s="2">
        <v>51798</v>
      </c>
      <c r="C106" s="2">
        <v>5902557382859</v>
      </c>
      <c r="D106" s="4" t="s">
        <v>4940</v>
      </c>
      <c r="E106" s="3">
        <f t="array" aca="1" ref="E106" ca="1">IFERROR(_xludf.XLOOKUP(G106,'Rea - SK'!A:A,'Rea - SK'!E:E),0)+IFERROR(_xludf.XLOOKUP(H106,'Rea - SK'!A:A,'Rea - SK'!E:E),0)+IFERROR(_xludf.XLOOKUP(I106,'Rea - SK'!A:A,'Rea - SK'!E:E),0)+IFERROR(_xludf.XLOOKUP(J106,'Rea - SK'!A:A,'Rea - SK'!E:E),0)+IFERROR(_xludf.XLOOKUP(K106,'Rea - SK'!A:A,'Rea - SK'!E:E),0)</f>
        <v>0</v>
      </c>
      <c r="F106" s="11">
        <f t="array" aca="1" ref="F106" ca="1">MAX(IFERROR(_xludf.XLOOKUP(G106,'Rea - SK'!A:A,'Rea - SK'!F:F),DATE(1966,6,6)),IFERROR(_xludf.XLOOKUP(H106,'Rea - SK'!A:A,'Rea - SK'!F:F),DATE(1966,6,6)),IFERROR(_xludf.XLOOKUP(I106,'Rea - SK'!A:A,'Rea - SK'!F:F),DATE(1966,6,6)),IFERROR(_xludf.XLOOKUP(J106,'Rea - SK'!A:A,'Rea - SK'!F:F),DATE(1966,6,6)),IFERROR(_xludf.XLOOKUP(K106,'Rea - SK'!A:A,'Rea - SK'!F:F),DATE(1966,6,6)))</f>
        <v>24264</v>
      </c>
      <c r="G106" s="3" t="s">
        <v>1445</v>
      </c>
      <c r="H106" s="2" t="s">
        <v>1443</v>
      </c>
      <c r="I106" s="19"/>
      <c r="J106" s="19"/>
      <c r="K106" s="19"/>
      <c r="L106" s="18"/>
    </row>
    <row r="107" spans="1:12" ht="18.75" customHeight="1" x14ac:dyDescent="0.2">
      <c r="A107" s="2" t="s">
        <v>4941</v>
      </c>
      <c r="B107" s="2">
        <v>51785</v>
      </c>
      <c r="C107" s="2">
        <v>5902557382842</v>
      </c>
      <c r="D107" s="4" t="s">
        <v>4942</v>
      </c>
      <c r="E107" s="3">
        <f t="array" aca="1" ref="E107" ca="1">IFERROR(_xludf.XLOOKUP(G107,'Rea - SK'!A:A,'Rea - SK'!E:E),0)+IFERROR(_xludf.XLOOKUP(H107,'Rea - SK'!A:A,'Rea - SK'!E:E),0)+IFERROR(_xludf.XLOOKUP(I107,'Rea - SK'!A:A,'Rea - SK'!E:E),0)+IFERROR(_xludf.XLOOKUP(J107,'Rea - SK'!A:A,'Rea - SK'!E:E),0)+IFERROR(_xludf.XLOOKUP(K107,'Rea - SK'!A:A,'Rea - SK'!E:E),0)</f>
        <v>0</v>
      </c>
      <c r="F107" s="11">
        <f t="array" aca="1" ref="F107" ca="1">MAX(IFERROR(_xludf.XLOOKUP(G107,'Rea - SK'!A:A,'Rea - SK'!F:F),DATE(1966,6,6)),IFERROR(_xludf.XLOOKUP(H107,'Rea - SK'!A:A,'Rea - SK'!F:F),DATE(1966,6,6)),IFERROR(_xludf.XLOOKUP(I107,'Rea - SK'!A:A,'Rea - SK'!F:F),DATE(1966,6,6)),IFERROR(_xludf.XLOOKUP(J107,'Rea - SK'!A:A,'Rea - SK'!F:F),DATE(1966,6,6)),IFERROR(_xludf.XLOOKUP(K107,'Rea - SK'!A:A,'Rea - SK'!F:F),DATE(1966,6,6)))</f>
        <v>24264</v>
      </c>
      <c r="G107" s="3" t="s">
        <v>1445</v>
      </c>
      <c r="H107" s="2" t="s">
        <v>1447</v>
      </c>
      <c r="I107" s="19"/>
      <c r="J107" s="19"/>
      <c r="K107" s="19"/>
      <c r="L107" s="18"/>
    </row>
    <row r="108" spans="1:12" ht="18.75" customHeight="1" x14ac:dyDescent="0.2">
      <c r="A108" s="2" t="s">
        <v>4943</v>
      </c>
      <c r="B108" s="2">
        <v>51739</v>
      </c>
      <c r="C108" s="2">
        <v>5902557382866</v>
      </c>
      <c r="D108" s="4" t="s">
        <v>4944</v>
      </c>
      <c r="E108" s="3">
        <f t="array" aca="1" ref="E108" ca="1">IFERROR(_xludf.XLOOKUP(G108,'Rea - SK'!A:A,'Rea - SK'!E:E),0)+IFERROR(_xludf.XLOOKUP(H108,'Rea - SK'!A:A,'Rea - SK'!E:E),0)+IFERROR(_xludf.XLOOKUP(I108,'Rea - SK'!A:A,'Rea - SK'!E:E),0)+IFERROR(_xludf.XLOOKUP(J108,'Rea - SK'!A:A,'Rea - SK'!E:E),0)+IFERROR(_xludf.XLOOKUP(K108,'Rea - SK'!A:A,'Rea - SK'!E:E),0)</f>
        <v>0</v>
      </c>
      <c r="F108" s="11">
        <f t="array" aca="1" ref="F108" ca="1">MAX(IFERROR(_xludf.XLOOKUP(G108,'Rea - SK'!A:A,'Rea - SK'!F:F),DATE(1966,6,6)),IFERROR(_xludf.XLOOKUP(H108,'Rea - SK'!A:A,'Rea - SK'!F:F),DATE(1966,6,6)),IFERROR(_xludf.XLOOKUP(I108,'Rea - SK'!A:A,'Rea - SK'!F:F),DATE(1966,6,6)),IFERROR(_xludf.XLOOKUP(J108,'Rea - SK'!A:A,'Rea - SK'!F:F),DATE(1966,6,6)),IFERROR(_xludf.XLOOKUP(K108,'Rea - SK'!A:A,'Rea - SK'!F:F),DATE(1966,6,6)))</f>
        <v>24264</v>
      </c>
      <c r="G108" s="3" t="s">
        <v>1447</v>
      </c>
      <c r="H108" s="2" t="s">
        <v>1443</v>
      </c>
      <c r="I108" s="19"/>
      <c r="J108" s="19"/>
      <c r="K108" s="19"/>
      <c r="L108" s="18"/>
    </row>
    <row r="109" spans="1:12" ht="18.75" customHeight="1" x14ac:dyDescent="0.2">
      <c r="A109" s="16" t="s">
        <v>4945</v>
      </c>
      <c r="B109" s="2">
        <v>51378</v>
      </c>
      <c r="C109" s="2">
        <v>5902557396856</v>
      </c>
      <c r="D109" s="4" t="s">
        <v>4946</v>
      </c>
      <c r="E109" s="3">
        <f t="array" aca="1" ref="E109" ca="1">IFERROR(_xludf.XLOOKUP(G109,'Rea - SK'!A:A,'Rea - SK'!E:E),0)+IFERROR(_xludf.XLOOKUP(H109,'Rea - SK'!A:A,'Rea - SK'!E:E),0)+IFERROR(_xludf.XLOOKUP(I109,'Rea - SK'!A:A,'Rea - SK'!E:E),0)+IFERROR(_xludf.XLOOKUP(J109,'Rea - SK'!A:A,'Rea - SK'!E:E),0)+IFERROR(_xludf.XLOOKUP(K109,'Rea - SK'!A:A,'Rea - SK'!E:E),0)</f>
        <v>0</v>
      </c>
      <c r="F109" s="11">
        <f t="array" aca="1" ref="F109" ca="1">MAX(IFERROR(_xludf.XLOOKUP(G109,'Rea - SK'!A:A,'Rea - SK'!F:F),DATE(1966,6,6)),IFERROR(_xludf.XLOOKUP(H109,'Rea - SK'!A:A,'Rea - SK'!F:F),DATE(1966,6,6)),IFERROR(_xludf.XLOOKUP(I109,'Rea - SK'!A:A,'Rea - SK'!F:F),DATE(1966,6,6)),IFERROR(_xludf.XLOOKUP(J109,'Rea - SK'!A:A,'Rea - SK'!F:F),DATE(1966,6,6)),IFERROR(_xludf.XLOOKUP(K109,'Rea - SK'!A:A,'Rea - SK'!F:F),DATE(1966,6,6)))</f>
        <v>24264</v>
      </c>
      <c r="G109" s="2" t="s">
        <v>1787</v>
      </c>
      <c r="H109" s="2" t="s">
        <v>1359</v>
      </c>
      <c r="I109" s="19"/>
      <c r="J109" s="19"/>
      <c r="K109" s="19"/>
      <c r="L109" s="18"/>
    </row>
    <row r="110" spans="1:12" ht="18.75" customHeight="1" x14ac:dyDescent="0.2">
      <c r="A110" s="16" t="s">
        <v>4947</v>
      </c>
      <c r="B110" s="2">
        <v>51377</v>
      </c>
      <c r="C110" s="2">
        <v>5902557396863</v>
      </c>
      <c r="D110" s="4" t="s">
        <v>4948</v>
      </c>
      <c r="E110" s="3">
        <f t="array" aca="1" ref="E110" ca="1">IFERROR(_xludf.XLOOKUP(G110,'Rea - SK'!A:A,'Rea - SK'!E:E),0)+IFERROR(_xludf.XLOOKUP(H110,'Rea - SK'!A:A,'Rea - SK'!E:E),0)+IFERROR(_xludf.XLOOKUP(I110,'Rea - SK'!A:A,'Rea - SK'!E:E),0)+IFERROR(_xludf.XLOOKUP(J110,'Rea - SK'!A:A,'Rea - SK'!E:E),0)+IFERROR(_xludf.XLOOKUP(K110,'Rea - SK'!A:A,'Rea - SK'!E:E),0)</f>
        <v>0</v>
      </c>
      <c r="F110" s="11">
        <f t="array" aca="1" ref="F110" ca="1">MAX(IFERROR(_xludf.XLOOKUP(G110,'Rea - SK'!A:A,'Rea - SK'!F:F),DATE(1966,6,6)),IFERROR(_xludf.XLOOKUP(H110,'Rea - SK'!A:A,'Rea - SK'!F:F),DATE(1966,6,6)),IFERROR(_xludf.XLOOKUP(I110,'Rea - SK'!A:A,'Rea - SK'!F:F),DATE(1966,6,6)),IFERROR(_xludf.XLOOKUP(J110,'Rea - SK'!A:A,'Rea - SK'!F:F),DATE(1966,6,6)),IFERROR(_xludf.XLOOKUP(K110,'Rea - SK'!A:A,'Rea - SK'!F:F),DATE(1966,6,6)))</f>
        <v>24264</v>
      </c>
      <c r="G110" s="2" t="s">
        <v>1365</v>
      </c>
      <c r="H110" s="2" t="s">
        <v>1787</v>
      </c>
      <c r="I110" s="2"/>
      <c r="J110" s="2"/>
      <c r="K110" s="2"/>
      <c r="L110" s="18"/>
    </row>
    <row r="111" spans="1:12" ht="18.75" customHeight="1" x14ac:dyDescent="0.2">
      <c r="A111" s="2" t="s">
        <v>4949</v>
      </c>
      <c r="B111" s="2">
        <v>51021</v>
      </c>
      <c r="C111" s="2">
        <v>5902557396078</v>
      </c>
      <c r="D111" s="4" t="s">
        <v>4950</v>
      </c>
      <c r="E111" s="3">
        <f t="array" aca="1" ref="E111" ca="1">IFERROR(_xludf.XLOOKUP(G111,'Rea - SK'!A:A,'Rea - SK'!E:E),0)+IFERROR(_xludf.XLOOKUP(H111,'Rea - SK'!A:A,'Rea - SK'!E:E),0)+IFERROR(_xludf.XLOOKUP(I111,'Rea - SK'!A:A,'Rea - SK'!E:E),0)+IFERROR(_xludf.XLOOKUP(J111,'Rea - SK'!A:A,'Rea - SK'!E:E),0)+IFERROR(_xludf.XLOOKUP(K111,'Rea - SK'!A:A,'Rea - SK'!E:E),0)</f>
        <v>0</v>
      </c>
      <c r="F111" s="11">
        <f t="array" aca="1" ref="F111" ca="1">MAX(IFERROR(_xludf.XLOOKUP(G111,'Rea - SK'!A:A,'Rea - SK'!F:F),DATE(1966,6,6)),IFERROR(_xludf.XLOOKUP(H111,'Rea - SK'!A:A,'Rea - SK'!F:F),DATE(1966,6,6)),IFERROR(_xludf.XLOOKUP(I111,'Rea - SK'!A:A,'Rea - SK'!F:F),DATE(1966,6,6)),IFERROR(_xludf.XLOOKUP(J111,'Rea - SK'!A:A,'Rea - SK'!F:F),DATE(1966,6,6)),IFERROR(_xludf.XLOOKUP(K111,'Rea - SK'!A:A,'Rea - SK'!F:F),DATE(1966,6,6)))</f>
        <v>24264</v>
      </c>
      <c r="G111" s="2" t="s">
        <v>2535</v>
      </c>
      <c r="H111" s="2" t="s">
        <v>3826</v>
      </c>
      <c r="I111" s="19"/>
      <c r="J111" s="19"/>
      <c r="K111" s="19"/>
      <c r="L111" s="18"/>
    </row>
    <row r="112" spans="1:12" ht="18.75" customHeight="1" x14ac:dyDescent="0.2">
      <c r="A112" s="2" t="s">
        <v>4951</v>
      </c>
      <c r="B112" s="2">
        <v>51020</v>
      </c>
      <c r="C112" s="2">
        <v>5902557396061</v>
      </c>
      <c r="D112" s="4" t="s">
        <v>4952</v>
      </c>
      <c r="E112" s="3">
        <f t="array" aca="1" ref="E112" ca="1">IFERROR(_xludf.XLOOKUP(G112,'Rea - SK'!A:A,'Rea - SK'!E:E),0)+IFERROR(_xludf.XLOOKUP(H112,'Rea - SK'!A:A,'Rea - SK'!E:E),0)+IFERROR(_xludf.XLOOKUP(I112,'Rea - SK'!A:A,'Rea - SK'!E:E),0)+IFERROR(_xludf.XLOOKUP(J112,'Rea - SK'!A:A,'Rea - SK'!E:E),0)+IFERROR(_xludf.XLOOKUP(K112,'Rea - SK'!A:A,'Rea - SK'!E:E),0)</f>
        <v>0</v>
      </c>
      <c r="F112" s="11">
        <f t="array" aca="1" ref="F112" ca="1">MAX(IFERROR(_xludf.XLOOKUP(G112,'Rea - SK'!A:A,'Rea - SK'!F:F),DATE(1966,6,6)),IFERROR(_xludf.XLOOKUP(H112,'Rea - SK'!A:A,'Rea - SK'!F:F),DATE(1966,6,6)),IFERROR(_xludf.XLOOKUP(I112,'Rea - SK'!A:A,'Rea - SK'!F:F),DATE(1966,6,6)),IFERROR(_xludf.XLOOKUP(J112,'Rea - SK'!A:A,'Rea - SK'!F:F),DATE(1966,6,6)),IFERROR(_xludf.XLOOKUP(K112,'Rea - SK'!A:A,'Rea - SK'!F:F),DATE(1966,6,6)))</f>
        <v>24264</v>
      </c>
      <c r="G112" s="2" t="s">
        <v>2531</v>
      </c>
      <c r="H112" s="2" t="s">
        <v>3826</v>
      </c>
      <c r="I112" s="19"/>
      <c r="J112" s="19"/>
      <c r="K112" s="19"/>
      <c r="L112" s="18"/>
    </row>
    <row r="113" spans="1:12" ht="18.75" customHeight="1" x14ac:dyDescent="0.2">
      <c r="A113" s="2" t="s">
        <v>4953</v>
      </c>
      <c r="B113" s="2">
        <v>51019</v>
      </c>
      <c r="C113" s="2">
        <v>5902557396054</v>
      </c>
      <c r="D113" s="4" t="s">
        <v>4954</v>
      </c>
      <c r="E113" s="3">
        <f t="array" aca="1" ref="E113" ca="1">IFERROR(_xludf.XLOOKUP(G113,'Rea - SK'!A:A,'Rea - SK'!E:E),0)+IFERROR(_xludf.XLOOKUP(H113,'Rea - SK'!A:A,'Rea - SK'!E:E),0)+IFERROR(_xludf.XLOOKUP(I113,'Rea - SK'!A:A,'Rea - SK'!E:E),0)+IFERROR(_xludf.XLOOKUP(J113,'Rea - SK'!A:A,'Rea - SK'!E:E),0)+IFERROR(_xludf.XLOOKUP(K113,'Rea - SK'!A:A,'Rea - SK'!E:E),0)</f>
        <v>0</v>
      </c>
      <c r="F113" s="11">
        <f t="array" aca="1" ref="F113" ca="1">MAX(IFERROR(_xludf.XLOOKUP(G113,'Rea - SK'!A:A,'Rea - SK'!F:F),DATE(1966,6,6)),IFERROR(_xludf.XLOOKUP(H113,'Rea - SK'!A:A,'Rea - SK'!F:F),DATE(1966,6,6)),IFERROR(_xludf.XLOOKUP(I113,'Rea - SK'!A:A,'Rea - SK'!F:F),DATE(1966,6,6)),IFERROR(_xludf.XLOOKUP(J113,'Rea - SK'!A:A,'Rea - SK'!F:F),DATE(1966,6,6)),IFERROR(_xludf.XLOOKUP(K113,'Rea - SK'!A:A,'Rea - SK'!F:F),DATE(1966,6,6)))</f>
        <v>24264</v>
      </c>
      <c r="G113" s="2" t="s">
        <v>2533</v>
      </c>
      <c r="H113" s="2" t="s">
        <v>3826</v>
      </c>
      <c r="I113" s="19"/>
      <c r="J113" s="19"/>
      <c r="K113" s="19"/>
      <c r="L113" s="18"/>
    </row>
    <row r="114" spans="1:12" ht="18.75" customHeight="1" x14ac:dyDescent="0.2">
      <c r="A114" s="2" t="s">
        <v>4955</v>
      </c>
      <c r="B114" s="2">
        <v>51017</v>
      </c>
      <c r="C114" s="2">
        <v>5902557396030</v>
      </c>
      <c r="D114" s="4" t="s">
        <v>4956</v>
      </c>
      <c r="E114" s="3">
        <f t="array" aca="1" ref="E114" ca="1">IFERROR(_xludf.XLOOKUP(G114,'Rea - SK'!A:A,'Rea - SK'!E:E),0)+IFERROR(_xludf.XLOOKUP(H114,'Rea - SK'!A:A,'Rea - SK'!E:E),0)+IFERROR(_xludf.XLOOKUP(I114,'Rea - SK'!A:A,'Rea - SK'!E:E),0)+IFERROR(_xludf.XLOOKUP(J114,'Rea - SK'!A:A,'Rea - SK'!E:E),0)+IFERROR(_xludf.XLOOKUP(K114,'Rea - SK'!A:A,'Rea - SK'!E:E),0)</f>
        <v>0</v>
      </c>
      <c r="F114" s="11">
        <f t="array" aca="1" ref="F114" ca="1">MAX(IFERROR(_xludf.XLOOKUP(G114,'Rea - SK'!A:A,'Rea - SK'!F:F),DATE(1966,6,6)),IFERROR(_xludf.XLOOKUP(H114,'Rea - SK'!A:A,'Rea - SK'!F:F),DATE(1966,6,6)),IFERROR(_xludf.XLOOKUP(I114,'Rea - SK'!A:A,'Rea - SK'!F:F),DATE(1966,6,6)),IFERROR(_xludf.XLOOKUP(J114,'Rea - SK'!A:A,'Rea - SK'!F:F),DATE(1966,6,6)),IFERROR(_xludf.XLOOKUP(K114,'Rea - SK'!A:A,'Rea - SK'!F:F),DATE(1966,6,6)))</f>
        <v>24264</v>
      </c>
      <c r="G114" s="2" t="s">
        <v>2517</v>
      </c>
      <c r="H114" s="2" t="s">
        <v>3826</v>
      </c>
      <c r="I114" s="19"/>
      <c r="J114" s="19"/>
      <c r="K114" s="19"/>
      <c r="L114" s="18"/>
    </row>
    <row r="115" spans="1:12" ht="18.75" customHeight="1" x14ac:dyDescent="0.2">
      <c r="A115" s="2" t="s">
        <v>4957</v>
      </c>
      <c r="B115" s="2">
        <v>51016</v>
      </c>
      <c r="C115" s="2">
        <v>5902557396023</v>
      </c>
      <c r="D115" s="4" t="s">
        <v>4958</v>
      </c>
      <c r="E115" s="3">
        <f t="array" aca="1" ref="E115" ca="1">IFERROR(_xludf.XLOOKUP(G115,'Rea - SK'!A:A,'Rea - SK'!E:E),0)+IFERROR(_xludf.XLOOKUP(H115,'Rea - SK'!A:A,'Rea - SK'!E:E),0)+IFERROR(_xludf.XLOOKUP(I115,'Rea - SK'!A:A,'Rea - SK'!E:E),0)+IFERROR(_xludf.XLOOKUP(J115,'Rea - SK'!A:A,'Rea - SK'!E:E),0)+IFERROR(_xludf.XLOOKUP(K115,'Rea - SK'!A:A,'Rea - SK'!E:E),0)</f>
        <v>0</v>
      </c>
      <c r="F115" s="11">
        <f t="array" aca="1" ref="F115" ca="1">MAX(IFERROR(_xludf.XLOOKUP(G115,'Rea - SK'!A:A,'Rea - SK'!F:F),DATE(1966,6,6)),IFERROR(_xludf.XLOOKUP(H115,'Rea - SK'!A:A,'Rea - SK'!F:F),DATE(1966,6,6)),IFERROR(_xludf.XLOOKUP(I115,'Rea - SK'!A:A,'Rea - SK'!F:F),DATE(1966,6,6)),IFERROR(_xludf.XLOOKUP(J115,'Rea - SK'!A:A,'Rea - SK'!F:F),DATE(1966,6,6)),IFERROR(_xludf.XLOOKUP(K115,'Rea - SK'!A:A,'Rea - SK'!F:F),DATE(1966,6,6)))</f>
        <v>24264</v>
      </c>
      <c r="G115" s="2" t="s">
        <v>2523</v>
      </c>
      <c r="H115" s="2" t="s">
        <v>3826</v>
      </c>
      <c r="I115" s="19"/>
      <c r="J115" s="19"/>
      <c r="K115" s="19"/>
      <c r="L115" s="18"/>
    </row>
    <row r="116" spans="1:12" ht="18.75" customHeight="1" x14ac:dyDescent="0.2">
      <c r="A116" s="2" t="s">
        <v>4959</v>
      </c>
      <c r="B116" s="2">
        <v>51015</v>
      </c>
      <c r="C116" s="2">
        <v>5902557396047</v>
      </c>
      <c r="D116" s="4" t="s">
        <v>4960</v>
      </c>
      <c r="E116" s="3">
        <f t="array" aca="1" ref="E116" ca="1">IFERROR(_xludf.XLOOKUP(G116,'Rea - SK'!A:A,'Rea - SK'!E:E),0)+IFERROR(_xludf.XLOOKUP(H116,'Rea - SK'!A:A,'Rea - SK'!E:E),0)+IFERROR(_xludf.XLOOKUP(I116,'Rea - SK'!A:A,'Rea - SK'!E:E),0)+IFERROR(_xludf.XLOOKUP(J116,'Rea - SK'!A:A,'Rea - SK'!E:E),0)+IFERROR(_xludf.XLOOKUP(K116,'Rea - SK'!A:A,'Rea - SK'!E:E),0)</f>
        <v>0</v>
      </c>
      <c r="F116" s="11">
        <f t="array" aca="1" ref="F116" ca="1">MAX(IFERROR(_xludf.XLOOKUP(G116,'Rea - SK'!A:A,'Rea - SK'!F:F),DATE(1966,6,6)),IFERROR(_xludf.XLOOKUP(H116,'Rea - SK'!A:A,'Rea - SK'!F:F),DATE(1966,6,6)),IFERROR(_xludf.XLOOKUP(I116,'Rea - SK'!A:A,'Rea - SK'!F:F),DATE(1966,6,6)),IFERROR(_xludf.XLOOKUP(J116,'Rea - SK'!A:A,'Rea - SK'!F:F),DATE(1966,6,6)),IFERROR(_xludf.XLOOKUP(K116,'Rea - SK'!A:A,'Rea - SK'!F:F),DATE(1966,6,6)))</f>
        <v>24264</v>
      </c>
      <c r="G116" s="2" t="s">
        <v>2521</v>
      </c>
      <c r="H116" s="2" t="s">
        <v>3826</v>
      </c>
      <c r="I116" s="19"/>
      <c r="J116" s="19"/>
      <c r="K116" s="19"/>
      <c r="L116" s="18"/>
    </row>
    <row r="117" spans="1:12" ht="18.75" customHeight="1" x14ac:dyDescent="0.2">
      <c r="A117" s="2" t="s">
        <v>4961</v>
      </c>
      <c r="B117" s="2">
        <v>50892</v>
      </c>
      <c r="C117" s="2">
        <v>5902557395484</v>
      </c>
      <c r="D117" s="4" t="s">
        <v>4962</v>
      </c>
      <c r="E117" s="3">
        <f t="array" aca="1" ref="E117" ca="1">IFERROR(_xludf.XLOOKUP(G117,'Rea - SK'!A:A,'Rea - SK'!E:E),0)+IFERROR(_xludf.XLOOKUP(H117,'Rea - SK'!A:A,'Rea - SK'!E:E),0)+IFERROR(_xludf.XLOOKUP(I117,'Rea - SK'!A:A,'Rea - SK'!E:E),0)+IFERROR(_xludf.XLOOKUP(J117,'Rea - SK'!A:A,'Rea - SK'!E:E),0)+IFERROR(_xludf.XLOOKUP(K117,'Rea - SK'!A:A,'Rea - SK'!E:E),0)</f>
        <v>0</v>
      </c>
      <c r="F117" s="11">
        <f t="array" aca="1" ref="F117" ca="1">MAX(IFERROR(_xludf.XLOOKUP(G117,'Rea - SK'!A:A,'Rea - SK'!F:F),DATE(1966,6,6)),IFERROR(_xludf.XLOOKUP(H117,'Rea - SK'!A:A,'Rea - SK'!F:F),DATE(1966,6,6)),IFERROR(_xludf.XLOOKUP(I117,'Rea - SK'!A:A,'Rea - SK'!F:F),DATE(1966,6,6)),IFERROR(_xludf.XLOOKUP(J117,'Rea - SK'!A:A,'Rea - SK'!F:F),DATE(1966,6,6)),IFERROR(_xludf.XLOOKUP(K117,'Rea - SK'!A:A,'Rea - SK'!F:F),DATE(1966,6,6)))</f>
        <v>24264</v>
      </c>
      <c r="G117" s="2" t="s">
        <v>1573</v>
      </c>
      <c r="H117" s="2" t="s">
        <v>2623</v>
      </c>
      <c r="I117" s="2" t="s">
        <v>2623</v>
      </c>
      <c r="J117" s="2" t="s">
        <v>2371</v>
      </c>
      <c r="K117" s="2" t="s">
        <v>2371</v>
      </c>
      <c r="L117" s="18"/>
    </row>
    <row r="118" spans="1:12" ht="18.75" customHeight="1" x14ac:dyDescent="0.2">
      <c r="A118" s="2" t="s">
        <v>4963</v>
      </c>
      <c r="B118" s="2">
        <v>50891</v>
      </c>
      <c r="C118" s="2">
        <v>5902557395477</v>
      </c>
      <c r="D118" s="4" t="s">
        <v>4964</v>
      </c>
      <c r="E118" s="3">
        <f t="array" aca="1" ref="E118" ca="1">IFERROR(_xludf.XLOOKUP(G118,'Rea - SK'!A:A,'Rea - SK'!E:E),0)+IFERROR(_xludf.XLOOKUP(H118,'Rea - SK'!A:A,'Rea - SK'!E:E),0)+IFERROR(_xludf.XLOOKUP(I118,'Rea - SK'!A:A,'Rea - SK'!E:E),0)+IFERROR(_xludf.XLOOKUP(J118,'Rea - SK'!A:A,'Rea - SK'!E:E),0)+IFERROR(_xludf.XLOOKUP(K118,'Rea - SK'!A:A,'Rea - SK'!E:E),0)</f>
        <v>0</v>
      </c>
      <c r="F118" s="11">
        <f t="array" aca="1" ref="F118" ca="1">MAX(IFERROR(_xludf.XLOOKUP(G118,'Rea - SK'!A:A,'Rea - SK'!F:F),DATE(1966,6,6)),IFERROR(_xludf.XLOOKUP(H118,'Rea - SK'!A:A,'Rea - SK'!F:F),DATE(1966,6,6)),IFERROR(_xludf.XLOOKUP(I118,'Rea - SK'!A:A,'Rea - SK'!F:F),DATE(1966,6,6)),IFERROR(_xludf.XLOOKUP(J118,'Rea - SK'!A:A,'Rea - SK'!F:F),DATE(1966,6,6)),IFERROR(_xludf.XLOOKUP(K118,'Rea - SK'!A:A,'Rea - SK'!F:F),DATE(1966,6,6)))</f>
        <v>24264</v>
      </c>
      <c r="G118" s="2" t="s">
        <v>1573</v>
      </c>
      <c r="H118" s="2" t="s">
        <v>2627</v>
      </c>
      <c r="I118" s="2" t="s">
        <v>2627</v>
      </c>
      <c r="J118" s="2" t="s">
        <v>2371</v>
      </c>
      <c r="K118" s="2" t="s">
        <v>2371</v>
      </c>
      <c r="L118" s="18"/>
    </row>
    <row r="119" spans="1:12" ht="18.75" customHeight="1" x14ac:dyDescent="0.2">
      <c r="A119" s="2" t="s">
        <v>4965</v>
      </c>
      <c r="B119" s="2">
        <v>50890</v>
      </c>
      <c r="C119" s="2">
        <v>5902557395460</v>
      </c>
      <c r="D119" s="4" t="s">
        <v>4966</v>
      </c>
      <c r="E119" s="3">
        <f t="array" aca="1" ref="E119" ca="1">IFERROR(_xludf.XLOOKUP(G119,'Rea - SK'!A:A,'Rea - SK'!E:E),0)+IFERROR(_xludf.XLOOKUP(H119,'Rea - SK'!A:A,'Rea - SK'!E:E),0)+IFERROR(_xludf.XLOOKUP(I119,'Rea - SK'!A:A,'Rea - SK'!E:E),0)+IFERROR(_xludf.XLOOKUP(J119,'Rea - SK'!A:A,'Rea - SK'!E:E),0)+IFERROR(_xludf.XLOOKUP(K119,'Rea - SK'!A:A,'Rea - SK'!E:E),0)</f>
        <v>0</v>
      </c>
      <c r="F119" s="11">
        <f t="array" aca="1" ref="F119" ca="1">MAX(IFERROR(_xludf.XLOOKUP(G119,'Rea - SK'!A:A,'Rea - SK'!F:F),DATE(1966,6,6)),IFERROR(_xludf.XLOOKUP(H119,'Rea - SK'!A:A,'Rea - SK'!F:F),DATE(1966,6,6)),IFERROR(_xludf.XLOOKUP(I119,'Rea - SK'!A:A,'Rea - SK'!F:F),DATE(1966,6,6)),IFERROR(_xludf.XLOOKUP(J119,'Rea - SK'!A:A,'Rea - SK'!F:F),DATE(1966,6,6)),IFERROR(_xludf.XLOOKUP(K119,'Rea - SK'!A:A,'Rea - SK'!F:F),DATE(1966,6,6)))</f>
        <v>24264</v>
      </c>
      <c r="G119" s="2" t="s">
        <v>1573</v>
      </c>
      <c r="H119" s="2" t="s">
        <v>2625</v>
      </c>
      <c r="I119" s="2" t="s">
        <v>2625</v>
      </c>
      <c r="J119" s="2" t="s">
        <v>2371</v>
      </c>
      <c r="K119" s="2" t="s">
        <v>2371</v>
      </c>
      <c r="L119" s="18"/>
    </row>
    <row r="120" spans="1:12" ht="18.75" customHeight="1" x14ac:dyDescent="0.2">
      <c r="A120" s="2" t="s">
        <v>4967</v>
      </c>
      <c r="B120" s="2">
        <v>50889</v>
      </c>
      <c r="C120" s="2">
        <v>5902557395453</v>
      </c>
      <c r="D120" s="4" t="s">
        <v>4968</v>
      </c>
      <c r="E120" s="3">
        <f t="array" aca="1" ref="E120" ca="1">IFERROR(_xludf.XLOOKUP(G120,'Rea - SK'!A:A,'Rea - SK'!E:E),0)+IFERROR(_xludf.XLOOKUP(H120,'Rea - SK'!A:A,'Rea - SK'!E:E),0)+IFERROR(_xludf.XLOOKUP(I120,'Rea - SK'!A:A,'Rea - SK'!E:E),0)+IFERROR(_xludf.XLOOKUP(J120,'Rea - SK'!A:A,'Rea - SK'!E:E),0)+IFERROR(_xludf.XLOOKUP(K120,'Rea - SK'!A:A,'Rea - SK'!E:E),0)</f>
        <v>0</v>
      </c>
      <c r="F120" s="11">
        <f t="array" aca="1" ref="F120" ca="1">MAX(IFERROR(_xludf.XLOOKUP(G120,'Rea - SK'!A:A,'Rea - SK'!F:F),DATE(1966,6,6)),IFERROR(_xludf.XLOOKUP(H120,'Rea - SK'!A:A,'Rea - SK'!F:F),DATE(1966,6,6)),IFERROR(_xludf.XLOOKUP(I120,'Rea - SK'!A:A,'Rea - SK'!F:F),DATE(1966,6,6)),IFERROR(_xludf.XLOOKUP(J120,'Rea - SK'!A:A,'Rea - SK'!F:F),DATE(1966,6,6)),IFERROR(_xludf.XLOOKUP(K120,'Rea - SK'!A:A,'Rea - SK'!F:F),DATE(1966,6,6)))</f>
        <v>24264</v>
      </c>
      <c r="G120" s="2" t="s">
        <v>1575</v>
      </c>
      <c r="H120" s="2" t="s">
        <v>2623</v>
      </c>
      <c r="I120" s="2" t="s">
        <v>2623</v>
      </c>
      <c r="J120" s="2" t="s">
        <v>2371</v>
      </c>
      <c r="K120" s="2" t="s">
        <v>2371</v>
      </c>
      <c r="L120" s="18"/>
    </row>
    <row r="121" spans="1:12" ht="18.75" customHeight="1" x14ac:dyDescent="0.2">
      <c r="A121" s="2" t="s">
        <v>4969</v>
      </c>
      <c r="B121" s="2">
        <v>50888</v>
      </c>
      <c r="C121" s="2">
        <v>5902557395446</v>
      </c>
      <c r="D121" s="4" t="s">
        <v>4970</v>
      </c>
      <c r="E121" s="3">
        <f t="array" aca="1" ref="E121" ca="1">IFERROR(_xludf.XLOOKUP(G121,'Rea - SK'!A:A,'Rea - SK'!E:E),0)+IFERROR(_xludf.XLOOKUP(H121,'Rea - SK'!A:A,'Rea - SK'!E:E),0)+IFERROR(_xludf.XLOOKUP(I121,'Rea - SK'!A:A,'Rea - SK'!E:E),0)+IFERROR(_xludf.XLOOKUP(J121,'Rea - SK'!A:A,'Rea - SK'!E:E),0)+IFERROR(_xludf.XLOOKUP(K121,'Rea - SK'!A:A,'Rea - SK'!E:E),0)</f>
        <v>0</v>
      </c>
      <c r="F121" s="11">
        <f t="array" aca="1" ref="F121" ca="1">MAX(IFERROR(_xludf.XLOOKUP(G121,'Rea - SK'!A:A,'Rea - SK'!F:F),DATE(1966,6,6)),IFERROR(_xludf.XLOOKUP(H121,'Rea - SK'!A:A,'Rea - SK'!F:F),DATE(1966,6,6)),IFERROR(_xludf.XLOOKUP(I121,'Rea - SK'!A:A,'Rea - SK'!F:F),DATE(1966,6,6)),IFERROR(_xludf.XLOOKUP(J121,'Rea - SK'!A:A,'Rea - SK'!F:F),DATE(1966,6,6)),IFERROR(_xludf.XLOOKUP(K121,'Rea - SK'!A:A,'Rea - SK'!F:F),DATE(1966,6,6)))</f>
        <v>24264</v>
      </c>
      <c r="G121" s="3" t="s">
        <v>1575</v>
      </c>
      <c r="H121" s="2" t="s">
        <v>2627</v>
      </c>
      <c r="I121" s="2" t="s">
        <v>2627</v>
      </c>
      <c r="J121" s="2" t="s">
        <v>2371</v>
      </c>
      <c r="K121" s="2" t="s">
        <v>2371</v>
      </c>
      <c r="L121" s="18"/>
    </row>
    <row r="122" spans="1:12" ht="18.75" customHeight="1" x14ac:dyDescent="0.2">
      <c r="A122" s="2" t="s">
        <v>4971</v>
      </c>
      <c r="B122" s="2">
        <v>50887</v>
      </c>
      <c r="C122" s="2">
        <v>5902557395439</v>
      </c>
      <c r="D122" s="4" t="s">
        <v>4972</v>
      </c>
      <c r="E122" s="3">
        <f t="array" aca="1" ref="E122" ca="1">IFERROR(_xludf.XLOOKUP(G122,'Rea - SK'!A:A,'Rea - SK'!E:E),0)+IFERROR(_xludf.XLOOKUP(H122,'Rea - SK'!A:A,'Rea - SK'!E:E),0)+IFERROR(_xludf.XLOOKUP(I122,'Rea - SK'!A:A,'Rea - SK'!E:E),0)+IFERROR(_xludf.XLOOKUP(J122,'Rea - SK'!A:A,'Rea - SK'!E:E),0)+IFERROR(_xludf.XLOOKUP(K122,'Rea - SK'!A:A,'Rea - SK'!E:E),0)</f>
        <v>0</v>
      </c>
      <c r="F122" s="11">
        <f t="array" aca="1" ref="F122" ca="1">MAX(IFERROR(_xludf.XLOOKUP(G122,'Rea - SK'!A:A,'Rea - SK'!F:F),DATE(1966,6,6)),IFERROR(_xludf.XLOOKUP(H122,'Rea - SK'!A:A,'Rea - SK'!F:F),DATE(1966,6,6)),IFERROR(_xludf.XLOOKUP(I122,'Rea - SK'!A:A,'Rea - SK'!F:F),DATE(1966,6,6)),IFERROR(_xludf.XLOOKUP(J122,'Rea - SK'!A:A,'Rea - SK'!F:F),DATE(1966,6,6)),IFERROR(_xludf.XLOOKUP(K122,'Rea - SK'!A:A,'Rea - SK'!F:F),DATE(1966,6,6)))</f>
        <v>24264</v>
      </c>
      <c r="G122" s="2" t="s">
        <v>1575</v>
      </c>
      <c r="H122" s="2" t="s">
        <v>2625</v>
      </c>
      <c r="I122" s="2" t="s">
        <v>2625</v>
      </c>
      <c r="J122" s="2" t="s">
        <v>2371</v>
      </c>
      <c r="K122" s="2" t="s">
        <v>2371</v>
      </c>
      <c r="L122" s="18"/>
    </row>
    <row r="123" spans="1:12" ht="18.75" customHeight="1" x14ac:dyDescent="0.2">
      <c r="A123" s="2" t="s">
        <v>4973</v>
      </c>
      <c r="B123" s="2">
        <v>50876</v>
      </c>
      <c r="C123" s="2">
        <v>5902557399444</v>
      </c>
      <c r="D123" s="4" t="s">
        <v>4974</v>
      </c>
      <c r="E123" s="3">
        <f t="array" aca="1" ref="E123" ca="1">IFERROR(_xludf.XLOOKUP(G123,'Rea - SK'!A:A,'Rea - SK'!E:E),0)+IFERROR(_xludf.XLOOKUP(H123,'Rea - SK'!A:A,'Rea - SK'!E:E),0)+IFERROR(_xludf.XLOOKUP(I123,'Rea - SK'!A:A,'Rea - SK'!E:E),0)+IFERROR(_xludf.XLOOKUP(J123,'Rea - SK'!A:A,'Rea - SK'!E:E),0)+IFERROR(_xludf.XLOOKUP(K123,'Rea - SK'!A:A,'Rea - SK'!E:E),0)</f>
        <v>0</v>
      </c>
      <c r="F123" s="11">
        <f t="array" aca="1" ref="F123" ca="1">MAX(IFERROR(_xludf.XLOOKUP(G123,'Rea - SK'!A:A,'Rea - SK'!F:F),DATE(1966,6,6)),IFERROR(_xludf.XLOOKUP(H123,'Rea - SK'!A:A,'Rea - SK'!F:F),DATE(1966,6,6)),IFERROR(_xludf.XLOOKUP(I123,'Rea - SK'!A:A,'Rea - SK'!F:F),DATE(1966,6,6)),IFERROR(_xludf.XLOOKUP(J123,'Rea - SK'!A:A,'Rea - SK'!F:F),DATE(1966,6,6)),IFERROR(_xludf.XLOOKUP(K123,'Rea - SK'!A:A,'Rea - SK'!F:F),DATE(1966,6,6)))</f>
        <v>24264</v>
      </c>
      <c r="G123" s="3" t="s">
        <v>1577</v>
      </c>
      <c r="H123" s="2" t="s">
        <v>2629</v>
      </c>
      <c r="I123" s="2" t="s">
        <v>2629</v>
      </c>
      <c r="J123" s="2" t="s">
        <v>2373</v>
      </c>
      <c r="K123" s="2" t="s">
        <v>2373</v>
      </c>
      <c r="L123" s="18"/>
    </row>
    <row r="124" spans="1:12" ht="18.75" customHeight="1" x14ac:dyDescent="0.2">
      <c r="A124" s="2" t="s">
        <v>4975</v>
      </c>
      <c r="B124" s="2">
        <v>50875</v>
      </c>
      <c r="C124" s="2">
        <v>5902557399437</v>
      </c>
      <c r="D124" s="4" t="s">
        <v>4976</v>
      </c>
      <c r="E124" s="3">
        <f t="array" aca="1" ref="E124" ca="1">IFERROR(_xludf.XLOOKUP(G124,'Rea - SK'!A:A,'Rea - SK'!E:E),0)+IFERROR(_xludf.XLOOKUP(H124,'Rea - SK'!A:A,'Rea - SK'!E:E),0)+IFERROR(_xludf.XLOOKUP(I124,'Rea - SK'!A:A,'Rea - SK'!E:E),0)+IFERROR(_xludf.XLOOKUP(J124,'Rea - SK'!A:A,'Rea - SK'!E:E),0)+IFERROR(_xludf.XLOOKUP(K124,'Rea - SK'!A:A,'Rea - SK'!E:E),0)</f>
        <v>0</v>
      </c>
      <c r="F124" s="11">
        <f t="array" aca="1" ref="F124" ca="1">MAX(IFERROR(_xludf.XLOOKUP(G124,'Rea - SK'!A:A,'Rea - SK'!F:F),DATE(1966,6,6)),IFERROR(_xludf.XLOOKUP(H124,'Rea - SK'!A:A,'Rea - SK'!F:F),DATE(1966,6,6)),IFERROR(_xludf.XLOOKUP(I124,'Rea - SK'!A:A,'Rea - SK'!F:F),DATE(1966,6,6)),IFERROR(_xludf.XLOOKUP(J124,'Rea - SK'!A:A,'Rea - SK'!F:F),DATE(1966,6,6)),IFERROR(_xludf.XLOOKUP(K124,'Rea - SK'!A:A,'Rea - SK'!F:F),DATE(1966,6,6)))</f>
        <v>24264</v>
      </c>
      <c r="G124" s="3" t="s">
        <v>1577</v>
      </c>
      <c r="H124" s="2" t="s">
        <v>2633</v>
      </c>
      <c r="I124" s="2" t="s">
        <v>2633</v>
      </c>
      <c r="J124" s="2" t="s">
        <v>2373</v>
      </c>
      <c r="K124" s="2" t="s">
        <v>2373</v>
      </c>
      <c r="L124" s="18"/>
    </row>
    <row r="125" spans="1:12" ht="18.75" customHeight="1" x14ac:dyDescent="0.2">
      <c r="A125" s="2" t="s">
        <v>4977</v>
      </c>
      <c r="B125" s="2">
        <v>50874</v>
      </c>
      <c r="C125" s="2">
        <v>5902557399420</v>
      </c>
      <c r="D125" s="4" t="s">
        <v>4978</v>
      </c>
      <c r="E125" s="3">
        <f t="array" aca="1" ref="E125" ca="1">IFERROR(_xludf.XLOOKUP(G125,'Rea - SK'!A:A,'Rea - SK'!E:E),0)+IFERROR(_xludf.XLOOKUP(H125,'Rea - SK'!A:A,'Rea - SK'!E:E),0)+IFERROR(_xludf.XLOOKUP(I125,'Rea - SK'!A:A,'Rea - SK'!E:E),0)+IFERROR(_xludf.XLOOKUP(J125,'Rea - SK'!A:A,'Rea - SK'!E:E),0)+IFERROR(_xludf.XLOOKUP(K125,'Rea - SK'!A:A,'Rea - SK'!E:E),0)</f>
        <v>0</v>
      </c>
      <c r="F125" s="11">
        <f t="array" aca="1" ref="F125" ca="1">MAX(IFERROR(_xludf.XLOOKUP(G125,'Rea - SK'!A:A,'Rea - SK'!F:F),DATE(1966,6,6)),IFERROR(_xludf.XLOOKUP(H125,'Rea - SK'!A:A,'Rea - SK'!F:F),DATE(1966,6,6)),IFERROR(_xludf.XLOOKUP(I125,'Rea - SK'!A:A,'Rea - SK'!F:F),DATE(1966,6,6)),IFERROR(_xludf.XLOOKUP(J125,'Rea - SK'!A:A,'Rea - SK'!F:F),DATE(1966,6,6)),IFERROR(_xludf.XLOOKUP(K125,'Rea - SK'!A:A,'Rea - SK'!F:F),DATE(1966,6,6)))</f>
        <v>24264</v>
      </c>
      <c r="G125" s="3" t="s">
        <v>1577</v>
      </c>
      <c r="H125" s="2" t="s">
        <v>2631</v>
      </c>
      <c r="I125" s="2" t="s">
        <v>2631</v>
      </c>
      <c r="J125" s="2" t="s">
        <v>2373</v>
      </c>
      <c r="K125" s="2" t="s">
        <v>2373</v>
      </c>
      <c r="L125" s="18"/>
    </row>
    <row r="126" spans="1:12" ht="18.75" customHeight="1" x14ac:dyDescent="0.2">
      <c r="A126" s="2" t="s">
        <v>4979</v>
      </c>
      <c r="B126" s="2">
        <v>50873</v>
      </c>
      <c r="C126" s="2">
        <v>5902557399413</v>
      </c>
      <c r="D126" s="4" t="s">
        <v>4980</v>
      </c>
      <c r="E126" s="3">
        <f t="array" aca="1" ref="E126" ca="1">IFERROR(_xludf.XLOOKUP(G126,'Rea - SK'!A:A,'Rea - SK'!E:E),0)+IFERROR(_xludf.XLOOKUP(H126,'Rea - SK'!A:A,'Rea - SK'!E:E),0)+IFERROR(_xludf.XLOOKUP(I126,'Rea - SK'!A:A,'Rea - SK'!E:E),0)+IFERROR(_xludf.XLOOKUP(J126,'Rea - SK'!A:A,'Rea - SK'!E:E),0)+IFERROR(_xludf.XLOOKUP(K126,'Rea - SK'!A:A,'Rea - SK'!E:E),0)</f>
        <v>0</v>
      </c>
      <c r="F126" s="11">
        <f t="array" aca="1" ref="F126" ca="1">MAX(IFERROR(_xludf.XLOOKUP(G126,'Rea - SK'!A:A,'Rea - SK'!F:F),DATE(1966,6,6)),IFERROR(_xludf.XLOOKUP(H126,'Rea - SK'!A:A,'Rea - SK'!F:F),DATE(1966,6,6)),IFERROR(_xludf.XLOOKUP(I126,'Rea - SK'!A:A,'Rea - SK'!F:F),DATE(1966,6,6)),IFERROR(_xludf.XLOOKUP(J126,'Rea - SK'!A:A,'Rea - SK'!F:F),DATE(1966,6,6)),IFERROR(_xludf.XLOOKUP(K126,'Rea - SK'!A:A,'Rea - SK'!F:F),DATE(1966,6,6)))</f>
        <v>24264</v>
      </c>
      <c r="G126" s="3" t="s">
        <v>1579</v>
      </c>
      <c r="H126" s="2" t="s">
        <v>2629</v>
      </c>
      <c r="I126" s="2" t="s">
        <v>2629</v>
      </c>
      <c r="J126" s="2" t="s">
        <v>2373</v>
      </c>
      <c r="K126" s="2" t="s">
        <v>2373</v>
      </c>
      <c r="L126" s="18"/>
    </row>
    <row r="127" spans="1:12" ht="18.75" customHeight="1" x14ac:dyDescent="0.2">
      <c r="A127" s="2" t="s">
        <v>4981</v>
      </c>
      <c r="B127" s="2">
        <v>50872</v>
      </c>
      <c r="C127" s="2">
        <v>5902557399406</v>
      </c>
      <c r="D127" s="4" t="s">
        <v>4982</v>
      </c>
      <c r="E127" s="3">
        <f t="array" aca="1" ref="E127" ca="1">IFERROR(_xludf.XLOOKUP(G127,'Rea - SK'!A:A,'Rea - SK'!E:E),0)+IFERROR(_xludf.XLOOKUP(H127,'Rea - SK'!A:A,'Rea - SK'!E:E),0)+IFERROR(_xludf.XLOOKUP(I127,'Rea - SK'!A:A,'Rea - SK'!E:E),0)+IFERROR(_xludf.XLOOKUP(J127,'Rea - SK'!A:A,'Rea - SK'!E:E),0)+IFERROR(_xludf.XLOOKUP(K127,'Rea - SK'!A:A,'Rea - SK'!E:E),0)</f>
        <v>0</v>
      </c>
      <c r="F127" s="11">
        <f t="array" aca="1" ref="F127" ca="1">MAX(IFERROR(_xludf.XLOOKUP(G127,'Rea - SK'!A:A,'Rea - SK'!F:F),DATE(1966,6,6)),IFERROR(_xludf.XLOOKUP(H127,'Rea - SK'!A:A,'Rea - SK'!F:F),DATE(1966,6,6)),IFERROR(_xludf.XLOOKUP(I127,'Rea - SK'!A:A,'Rea - SK'!F:F),DATE(1966,6,6)),IFERROR(_xludf.XLOOKUP(J127,'Rea - SK'!A:A,'Rea - SK'!F:F),DATE(1966,6,6)),IFERROR(_xludf.XLOOKUP(K127,'Rea - SK'!A:A,'Rea - SK'!F:F),DATE(1966,6,6)))</f>
        <v>24264</v>
      </c>
      <c r="G127" s="3" t="s">
        <v>1579</v>
      </c>
      <c r="H127" s="2" t="s">
        <v>2633</v>
      </c>
      <c r="I127" s="2" t="s">
        <v>2633</v>
      </c>
      <c r="J127" s="2" t="s">
        <v>2373</v>
      </c>
      <c r="K127" s="2" t="s">
        <v>2373</v>
      </c>
      <c r="L127" s="18"/>
    </row>
    <row r="128" spans="1:12" ht="18.75" customHeight="1" x14ac:dyDescent="0.2">
      <c r="A128" s="2" t="s">
        <v>4983</v>
      </c>
      <c r="B128" s="2">
        <v>50871</v>
      </c>
      <c r="C128" s="2">
        <v>5902557399390</v>
      </c>
      <c r="D128" s="4" t="s">
        <v>4984</v>
      </c>
      <c r="E128" s="3">
        <f t="array" aca="1" ref="E128" ca="1">IFERROR(_xludf.XLOOKUP(G128,'Rea - SK'!A:A,'Rea - SK'!E:E),0)+IFERROR(_xludf.XLOOKUP(H128,'Rea - SK'!A:A,'Rea - SK'!E:E),0)+IFERROR(_xludf.XLOOKUP(I128,'Rea - SK'!A:A,'Rea - SK'!E:E),0)+IFERROR(_xludf.XLOOKUP(J128,'Rea - SK'!A:A,'Rea - SK'!E:E),0)+IFERROR(_xludf.XLOOKUP(K128,'Rea - SK'!A:A,'Rea - SK'!E:E),0)</f>
        <v>0</v>
      </c>
      <c r="F128" s="11">
        <f t="array" aca="1" ref="F128" ca="1">MAX(IFERROR(_xludf.XLOOKUP(G128,'Rea - SK'!A:A,'Rea - SK'!F:F),DATE(1966,6,6)),IFERROR(_xludf.XLOOKUP(H128,'Rea - SK'!A:A,'Rea - SK'!F:F),DATE(1966,6,6)),IFERROR(_xludf.XLOOKUP(I128,'Rea - SK'!A:A,'Rea - SK'!F:F),DATE(1966,6,6)),IFERROR(_xludf.XLOOKUP(J128,'Rea - SK'!A:A,'Rea - SK'!F:F),DATE(1966,6,6)),IFERROR(_xludf.XLOOKUP(K128,'Rea - SK'!A:A,'Rea - SK'!F:F),DATE(1966,6,6)))</f>
        <v>24264</v>
      </c>
      <c r="G128" s="3" t="s">
        <v>1579</v>
      </c>
      <c r="H128" s="2" t="s">
        <v>2631</v>
      </c>
      <c r="I128" s="2" t="s">
        <v>2631</v>
      </c>
      <c r="J128" s="2" t="s">
        <v>2373</v>
      </c>
      <c r="K128" s="2" t="s">
        <v>2373</v>
      </c>
      <c r="L128" s="18"/>
    </row>
    <row r="129" spans="1:12" ht="18.75" customHeight="1" x14ac:dyDescent="0.2">
      <c r="A129" s="2" t="s">
        <v>4985</v>
      </c>
      <c r="B129" s="2">
        <v>50860</v>
      </c>
      <c r="C129" s="2">
        <v>5902557395422</v>
      </c>
      <c r="D129" s="4" t="s">
        <v>4986</v>
      </c>
      <c r="E129" s="3">
        <f t="array" aca="1" ref="E129" ca="1">IFERROR(_xludf.XLOOKUP(G129,'Rea - SK'!A:A,'Rea - SK'!E:E),0)+IFERROR(_xludf.XLOOKUP(H129,'Rea - SK'!A:A,'Rea - SK'!E:E),0)+IFERROR(_xludf.XLOOKUP(I129,'Rea - SK'!A:A,'Rea - SK'!E:E),0)+IFERROR(_xludf.XLOOKUP(J129,'Rea - SK'!A:A,'Rea - SK'!E:E),0)+IFERROR(_xludf.XLOOKUP(K129,'Rea - SK'!A:A,'Rea - SK'!E:E),0)</f>
        <v>0</v>
      </c>
      <c r="F129" s="11">
        <f t="array" aca="1" ref="F129" ca="1">MAX(IFERROR(_xludf.XLOOKUP(G129,'Rea - SK'!A:A,'Rea - SK'!F:F),DATE(1966,6,6)),IFERROR(_xludf.XLOOKUP(H129,'Rea - SK'!A:A,'Rea - SK'!F:F),DATE(1966,6,6)),IFERROR(_xludf.XLOOKUP(I129,'Rea - SK'!A:A,'Rea - SK'!F:F),DATE(1966,6,6)),IFERROR(_xludf.XLOOKUP(J129,'Rea - SK'!A:A,'Rea - SK'!F:F),DATE(1966,6,6)),IFERROR(_xludf.XLOOKUP(K129,'Rea - SK'!A:A,'Rea - SK'!F:F),DATE(1966,6,6)))</f>
        <v>24264</v>
      </c>
      <c r="G129" s="2" t="s">
        <v>1543</v>
      </c>
      <c r="H129" s="2" t="s">
        <v>2623</v>
      </c>
      <c r="I129" s="2" t="s">
        <v>2623</v>
      </c>
      <c r="J129" s="2" t="s">
        <v>2371</v>
      </c>
      <c r="K129" s="2" t="s">
        <v>2371</v>
      </c>
      <c r="L129" s="18"/>
    </row>
    <row r="130" spans="1:12" ht="18.75" customHeight="1" x14ac:dyDescent="0.2">
      <c r="A130" s="2" t="s">
        <v>4987</v>
      </c>
      <c r="B130" s="2">
        <v>50859</v>
      </c>
      <c r="C130" s="2">
        <v>5902557395415</v>
      </c>
      <c r="D130" s="4" t="s">
        <v>4988</v>
      </c>
      <c r="E130" s="3">
        <f t="array" aca="1" ref="E130" ca="1">IFERROR(_xludf.XLOOKUP(G130,'Rea - SK'!A:A,'Rea - SK'!E:E),0)+IFERROR(_xludf.XLOOKUP(H130,'Rea - SK'!A:A,'Rea - SK'!E:E),0)+IFERROR(_xludf.XLOOKUP(I130,'Rea - SK'!A:A,'Rea - SK'!E:E),0)+IFERROR(_xludf.XLOOKUP(J130,'Rea - SK'!A:A,'Rea - SK'!E:E),0)+IFERROR(_xludf.XLOOKUP(K130,'Rea - SK'!A:A,'Rea - SK'!E:E),0)</f>
        <v>0</v>
      </c>
      <c r="F130" s="11">
        <f t="array" aca="1" ref="F130" ca="1">MAX(IFERROR(_xludf.XLOOKUP(G130,'Rea - SK'!A:A,'Rea - SK'!F:F),DATE(1966,6,6)),IFERROR(_xludf.XLOOKUP(H130,'Rea - SK'!A:A,'Rea - SK'!F:F),DATE(1966,6,6)),IFERROR(_xludf.XLOOKUP(I130,'Rea - SK'!A:A,'Rea - SK'!F:F),DATE(1966,6,6)),IFERROR(_xludf.XLOOKUP(J130,'Rea - SK'!A:A,'Rea - SK'!F:F),DATE(1966,6,6)),IFERROR(_xludf.XLOOKUP(K130,'Rea - SK'!A:A,'Rea - SK'!F:F),DATE(1966,6,6)))</f>
        <v>24264</v>
      </c>
      <c r="G130" s="2" t="s">
        <v>1543</v>
      </c>
      <c r="H130" s="2" t="s">
        <v>2627</v>
      </c>
      <c r="I130" s="2" t="s">
        <v>2627</v>
      </c>
      <c r="J130" s="2" t="s">
        <v>2371</v>
      </c>
      <c r="K130" s="2" t="s">
        <v>2371</v>
      </c>
      <c r="L130" s="18"/>
    </row>
    <row r="131" spans="1:12" ht="18.75" customHeight="1" x14ac:dyDescent="0.2">
      <c r="A131" s="2" t="s">
        <v>4989</v>
      </c>
      <c r="B131" s="2">
        <v>50858</v>
      </c>
      <c r="C131" s="2">
        <v>5902557395408</v>
      </c>
      <c r="D131" s="4" t="s">
        <v>4990</v>
      </c>
      <c r="E131" s="3">
        <f t="array" aca="1" ref="E131" ca="1">IFERROR(_xludf.XLOOKUP(G131,'Rea - SK'!A:A,'Rea - SK'!E:E),0)+IFERROR(_xludf.XLOOKUP(H131,'Rea - SK'!A:A,'Rea - SK'!E:E),0)+IFERROR(_xludf.XLOOKUP(I131,'Rea - SK'!A:A,'Rea - SK'!E:E),0)+IFERROR(_xludf.XLOOKUP(J131,'Rea - SK'!A:A,'Rea - SK'!E:E),0)+IFERROR(_xludf.XLOOKUP(K131,'Rea - SK'!A:A,'Rea - SK'!E:E),0)</f>
        <v>0</v>
      </c>
      <c r="F131" s="11">
        <f t="array" aca="1" ref="F131" ca="1">MAX(IFERROR(_xludf.XLOOKUP(G131,'Rea - SK'!A:A,'Rea - SK'!F:F),DATE(1966,6,6)),IFERROR(_xludf.XLOOKUP(H131,'Rea - SK'!A:A,'Rea - SK'!F:F),DATE(1966,6,6)),IFERROR(_xludf.XLOOKUP(I131,'Rea - SK'!A:A,'Rea - SK'!F:F),DATE(1966,6,6)),IFERROR(_xludf.XLOOKUP(J131,'Rea - SK'!A:A,'Rea - SK'!F:F),DATE(1966,6,6)),IFERROR(_xludf.XLOOKUP(K131,'Rea - SK'!A:A,'Rea - SK'!F:F),DATE(1966,6,6)))</f>
        <v>24264</v>
      </c>
      <c r="G131" s="3" t="s">
        <v>1543</v>
      </c>
      <c r="H131" s="2" t="s">
        <v>2625</v>
      </c>
      <c r="I131" s="2" t="s">
        <v>2625</v>
      </c>
      <c r="J131" s="2" t="s">
        <v>2371</v>
      </c>
      <c r="K131" s="2" t="s">
        <v>2371</v>
      </c>
      <c r="L131" s="18"/>
    </row>
    <row r="132" spans="1:12" ht="18.75" customHeight="1" x14ac:dyDescent="0.2">
      <c r="A132" s="2" t="s">
        <v>4991</v>
      </c>
      <c r="B132" s="2">
        <v>50857</v>
      </c>
      <c r="C132" s="2">
        <v>5902557395392</v>
      </c>
      <c r="D132" s="4" t="s">
        <v>4992</v>
      </c>
      <c r="E132" s="3">
        <f t="array" aca="1" ref="E132" ca="1">IFERROR(_xludf.XLOOKUP(G132,'Rea - SK'!A:A,'Rea - SK'!E:E),0)+IFERROR(_xludf.XLOOKUP(H132,'Rea - SK'!A:A,'Rea - SK'!E:E),0)+IFERROR(_xludf.XLOOKUP(I132,'Rea - SK'!A:A,'Rea - SK'!E:E),0)+IFERROR(_xludf.XLOOKUP(J132,'Rea - SK'!A:A,'Rea - SK'!E:E),0)+IFERROR(_xludf.XLOOKUP(K132,'Rea - SK'!A:A,'Rea - SK'!E:E),0)</f>
        <v>0</v>
      </c>
      <c r="F132" s="11">
        <f t="array" aca="1" ref="F132" ca="1">MAX(IFERROR(_xludf.XLOOKUP(G132,'Rea - SK'!A:A,'Rea - SK'!F:F),DATE(1966,6,6)),IFERROR(_xludf.XLOOKUP(H132,'Rea - SK'!A:A,'Rea - SK'!F:F),DATE(1966,6,6)),IFERROR(_xludf.XLOOKUP(I132,'Rea - SK'!A:A,'Rea - SK'!F:F),DATE(1966,6,6)),IFERROR(_xludf.XLOOKUP(J132,'Rea - SK'!A:A,'Rea - SK'!F:F),DATE(1966,6,6)),IFERROR(_xludf.XLOOKUP(K132,'Rea - SK'!A:A,'Rea - SK'!F:F),DATE(1966,6,6)))</f>
        <v>24264</v>
      </c>
      <c r="G132" s="2" t="s">
        <v>1541</v>
      </c>
      <c r="H132" s="2" t="s">
        <v>2623</v>
      </c>
      <c r="I132" s="2" t="s">
        <v>2623</v>
      </c>
      <c r="J132" s="2" t="s">
        <v>2371</v>
      </c>
      <c r="K132" s="2" t="s">
        <v>2371</v>
      </c>
      <c r="L132" s="18"/>
    </row>
    <row r="133" spans="1:12" ht="18.75" customHeight="1" x14ac:dyDescent="0.2">
      <c r="A133" s="2" t="s">
        <v>4993</v>
      </c>
      <c r="B133" s="2">
        <v>50856</v>
      </c>
      <c r="C133" s="2">
        <v>5902557395385</v>
      </c>
      <c r="D133" s="4" t="s">
        <v>4994</v>
      </c>
      <c r="E133" s="3">
        <f t="array" aca="1" ref="E133" ca="1">IFERROR(_xludf.XLOOKUP(G133,'Rea - SK'!A:A,'Rea - SK'!E:E),0)+IFERROR(_xludf.XLOOKUP(H133,'Rea - SK'!A:A,'Rea - SK'!E:E),0)+IFERROR(_xludf.XLOOKUP(I133,'Rea - SK'!A:A,'Rea - SK'!E:E),0)+IFERROR(_xludf.XLOOKUP(J133,'Rea - SK'!A:A,'Rea - SK'!E:E),0)+IFERROR(_xludf.XLOOKUP(K133,'Rea - SK'!A:A,'Rea - SK'!E:E),0)</f>
        <v>0</v>
      </c>
      <c r="F133" s="11">
        <f t="array" aca="1" ref="F133" ca="1">MAX(IFERROR(_xludf.XLOOKUP(G133,'Rea - SK'!A:A,'Rea - SK'!F:F),DATE(1966,6,6)),IFERROR(_xludf.XLOOKUP(H133,'Rea - SK'!A:A,'Rea - SK'!F:F),DATE(1966,6,6)),IFERROR(_xludf.XLOOKUP(I133,'Rea - SK'!A:A,'Rea - SK'!F:F),DATE(1966,6,6)),IFERROR(_xludf.XLOOKUP(J133,'Rea - SK'!A:A,'Rea - SK'!F:F),DATE(1966,6,6)),IFERROR(_xludf.XLOOKUP(K133,'Rea - SK'!A:A,'Rea - SK'!F:F),DATE(1966,6,6)))</f>
        <v>24264</v>
      </c>
      <c r="G133" s="3" t="s">
        <v>1541</v>
      </c>
      <c r="H133" s="2" t="s">
        <v>2627</v>
      </c>
      <c r="I133" s="2" t="s">
        <v>2627</v>
      </c>
      <c r="J133" s="2" t="s">
        <v>2371</v>
      </c>
      <c r="K133" s="2" t="s">
        <v>2371</v>
      </c>
      <c r="L133" s="18"/>
    </row>
    <row r="134" spans="1:12" ht="18.75" customHeight="1" x14ac:dyDescent="0.2">
      <c r="A134" s="2" t="s">
        <v>4995</v>
      </c>
      <c r="B134" s="2">
        <v>50855</v>
      </c>
      <c r="C134" s="2">
        <v>5902557395378</v>
      </c>
      <c r="D134" s="4" t="s">
        <v>4996</v>
      </c>
      <c r="E134" s="3">
        <f t="array" aca="1" ref="E134" ca="1">IFERROR(_xludf.XLOOKUP(G134,'Rea - SK'!A:A,'Rea - SK'!E:E),0)+IFERROR(_xludf.XLOOKUP(H134,'Rea - SK'!A:A,'Rea - SK'!E:E),0)+IFERROR(_xludf.XLOOKUP(I134,'Rea - SK'!A:A,'Rea - SK'!E:E),0)+IFERROR(_xludf.XLOOKUP(J134,'Rea - SK'!A:A,'Rea - SK'!E:E),0)+IFERROR(_xludf.XLOOKUP(K134,'Rea - SK'!A:A,'Rea - SK'!E:E),0)</f>
        <v>0</v>
      </c>
      <c r="F134" s="11">
        <f t="array" aca="1" ref="F134" ca="1">MAX(IFERROR(_xludf.XLOOKUP(G134,'Rea - SK'!A:A,'Rea - SK'!F:F),DATE(1966,6,6)),IFERROR(_xludf.XLOOKUP(H134,'Rea - SK'!A:A,'Rea - SK'!F:F),DATE(1966,6,6)),IFERROR(_xludf.XLOOKUP(I134,'Rea - SK'!A:A,'Rea - SK'!F:F),DATE(1966,6,6)),IFERROR(_xludf.XLOOKUP(J134,'Rea - SK'!A:A,'Rea - SK'!F:F),DATE(1966,6,6)),IFERROR(_xludf.XLOOKUP(K134,'Rea - SK'!A:A,'Rea - SK'!F:F),DATE(1966,6,6)))</f>
        <v>24264</v>
      </c>
      <c r="G134" s="3" t="s">
        <v>1541</v>
      </c>
      <c r="H134" s="2" t="s">
        <v>2625</v>
      </c>
      <c r="I134" s="2" t="s">
        <v>2625</v>
      </c>
      <c r="J134" s="2" t="s">
        <v>2371</v>
      </c>
      <c r="K134" s="2" t="s">
        <v>2371</v>
      </c>
      <c r="L134" s="18"/>
    </row>
    <row r="135" spans="1:12" ht="18.75" customHeight="1" x14ac:dyDescent="0.2">
      <c r="A135" s="2" t="s">
        <v>4997</v>
      </c>
      <c r="B135" s="2">
        <v>50854</v>
      </c>
      <c r="C135" s="2">
        <v>5902557395361</v>
      </c>
      <c r="D135" s="4" t="s">
        <v>4998</v>
      </c>
      <c r="E135" s="3">
        <f t="array" aca="1" ref="E135" ca="1">IFERROR(_xludf.XLOOKUP(G135,'Rea - SK'!A:A,'Rea - SK'!E:E),0)+IFERROR(_xludf.XLOOKUP(H135,'Rea - SK'!A:A,'Rea - SK'!E:E),0)+IFERROR(_xludf.XLOOKUP(I135,'Rea - SK'!A:A,'Rea - SK'!E:E),0)+IFERROR(_xludf.XLOOKUP(J135,'Rea - SK'!A:A,'Rea - SK'!E:E),0)+IFERROR(_xludf.XLOOKUP(K135,'Rea - SK'!A:A,'Rea - SK'!E:E),0)</f>
        <v>0</v>
      </c>
      <c r="F135" s="11">
        <f t="array" aca="1" ref="F135" ca="1">MAX(IFERROR(_xludf.XLOOKUP(G135,'Rea - SK'!A:A,'Rea - SK'!F:F),DATE(1966,6,6)),IFERROR(_xludf.XLOOKUP(H135,'Rea - SK'!A:A,'Rea - SK'!F:F),DATE(1966,6,6)),IFERROR(_xludf.XLOOKUP(I135,'Rea - SK'!A:A,'Rea - SK'!F:F),DATE(1966,6,6)),IFERROR(_xludf.XLOOKUP(J135,'Rea - SK'!A:A,'Rea - SK'!F:F),DATE(1966,6,6)),IFERROR(_xludf.XLOOKUP(K135,'Rea - SK'!A:A,'Rea - SK'!F:F),DATE(1966,6,6)))</f>
        <v>24264</v>
      </c>
      <c r="G135" s="2" t="s">
        <v>1539</v>
      </c>
      <c r="H135" s="2" t="s">
        <v>2623</v>
      </c>
      <c r="I135" s="2" t="s">
        <v>2623</v>
      </c>
      <c r="J135" s="2" t="s">
        <v>2371</v>
      </c>
      <c r="K135" s="2" t="s">
        <v>2371</v>
      </c>
      <c r="L135" s="18"/>
    </row>
    <row r="136" spans="1:12" ht="18.75" customHeight="1" x14ac:dyDescent="0.2">
      <c r="A136" s="2" t="s">
        <v>4999</v>
      </c>
      <c r="B136" s="2">
        <v>50853</v>
      </c>
      <c r="C136" s="2">
        <v>5902557395354</v>
      </c>
      <c r="D136" s="4" t="s">
        <v>5000</v>
      </c>
      <c r="E136" s="3">
        <f t="array" aca="1" ref="E136" ca="1">IFERROR(_xludf.XLOOKUP(G136,'Rea - SK'!A:A,'Rea - SK'!E:E),0)+IFERROR(_xludf.XLOOKUP(H136,'Rea - SK'!A:A,'Rea - SK'!E:E),0)+IFERROR(_xludf.XLOOKUP(I136,'Rea - SK'!A:A,'Rea - SK'!E:E),0)+IFERROR(_xludf.XLOOKUP(J136,'Rea - SK'!A:A,'Rea - SK'!E:E),0)+IFERROR(_xludf.XLOOKUP(K136,'Rea - SK'!A:A,'Rea - SK'!E:E),0)</f>
        <v>0</v>
      </c>
      <c r="F136" s="11">
        <f t="array" aca="1" ref="F136" ca="1">MAX(IFERROR(_xludf.XLOOKUP(G136,'Rea - SK'!A:A,'Rea - SK'!F:F),DATE(1966,6,6)),IFERROR(_xludf.XLOOKUP(H136,'Rea - SK'!A:A,'Rea - SK'!F:F),DATE(1966,6,6)),IFERROR(_xludf.XLOOKUP(I136,'Rea - SK'!A:A,'Rea - SK'!F:F),DATE(1966,6,6)),IFERROR(_xludf.XLOOKUP(J136,'Rea - SK'!A:A,'Rea - SK'!F:F),DATE(1966,6,6)),IFERROR(_xludf.XLOOKUP(K136,'Rea - SK'!A:A,'Rea - SK'!F:F),DATE(1966,6,6)))</f>
        <v>24264</v>
      </c>
      <c r="G136" s="3" t="s">
        <v>1539</v>
      </c>
      <c r="H136" s="2" t="s">
        <v>2627</v>
      </c>
      <c r="I136" s="2" t="s">
        <v>2627</v>
      </c>
      <c r="J136" s="2" t="s">
        <v>2371</v>
      </c>
      <c r="K136" s="2" t="s">
        <v>2371</v>
      </c>
      <c r="L136" s="18"/>
    </row>
    <row r="137" spans="1:12" ht="18.75" customHeight="1" x14ac:dyDescent="0.2">
      <c r="A137" s="2" t="s">
        <v>5001</v>
      </c>
      <c r="B137" s="2">
        <v>50852</v>
      </c>
      <c r="C137" s="2">
        <v>5902557395347</v>
      </c>
      <c r="D137" s="4" t="s">
        <v>5002</v>
      </c>
      <c r="E137" s="3">
        <f t="array" aca="1" ref="E137" ca="1">IFERROR(_xludf.XLOOKUP(G137,'Rea - SK'!A:A,'Rea - SK'!E:E),0)+IFERROR(_xludf.XLOOKUP(H137,'Rea - SK'!A:A,'Rea - SK'!E:E),0)+IFERROR(_xludf.XLOOKUP(I137,'Rea - SK'!A:A,'Rea - SK'!E:E),0)+IFERROR(_xludf.XLOOKUP(J137,'Rea - SK'!A:A,'Rea - SK'!E:E),0)+IFERROR(_xludf.XLOOKUP(K137,'Rea - SK'!A:A,'Rea - SK'!E:E),0)</f>
        <v>0</v>
      </c>
      <c r="F137" s="11">
        <f t="array" aca="1" ref="F137" ca="1">MAX(IFERROR(_xludf.XLOOKUP(G137,'Rea - SK'!A:A,'Rea - SK'!F:F),DATE(1966,6,6)),IFERROR(_xludf.XLOOKUP(H137,'Rea - SK'!A:A,'Rea - SK'!F:F),DATE(1966,6,6)),IFERROR(_xludf.XLOOKUP(I137,'Rea - SK'!A:A,'Rea - SK'!F:F),DATE(1966,6,6)),IFERROR(_xludf.XLOOKUP(J137,'Rea - SK'!A:A,'Rea - SK'!F:F),DATE(1966,6,6)),IFERROR(_xludf.XLOOKUP(K137,'Rea - SK'!A:A,'Rea - SK'!F:F),DATE(1966,6,6)))</f>
        <v>24264</v>
      </c>
      <c r="G137" s="2" t="s">
        <v>1539</v>
      </c>
      <c r="H137" s="2" t="s">
        <v>2625</v>
      </c>
      <c r="I137" s="2" t="s">
        <v>2625</v>
      </c>
      <c r="J137" s="2" t="s">
        <v>2371</v>
      </c>
      <c r="K137" s="2" t="s">
        <v>2371</v>
      </c>
      <c r="L137" s="18"/>
    </row>
    <row r="138" spans="1:12" ht="18.75" customHeight="1" x14ac:dyDescent="0.2">
      <c r="A138" s="2" t="s">
        <v>5003</v>
      </c>
      <c r="B138" s="2">
        <v>50851</v>
      </c>
      <c r="C138" s="2">
        <v>5902557395330</v>
      </c>
      <c r="D138" s="4" t="s">
        <v>5004</v>
      </c>
      <c r="E138" s="3">
        <f t="array" aca="1" ref="E138" ca="1">IFERROR(_xludf.XLOOKUP(G138,'Rea - SK'!A:A,'Rea - SK'!E:E),0)+IFERROR(_xludf.XLOOKUP(H138,'Rea - SK'!A:A,'Rea - SK'!E:E),0)+IFERROR(_xludf.XLOOKUP(I138,'Rea - SK'!A:A,'Rea - SK'!E:E),0)+IFERROR(_xludf.XLOOKUP(J138,'Rea - SK'!A:A,'Rea - SK'!E:E),0)+IFERROR(_xludf.XLOOKUP(K138,'Rea - SK'!A:A,'Rea - SK'!E:E),0)</f>
        <v>0</v>
      </c>
      <c r="F138" s="11">
        <f t="array" aca="1" ref="F138" ca="1">MAX(IFERROR(_xludf.XLOOKUP(G138,'Rea - SK'!A:A,'Rea - SK'!F:F),DATE(1966,6,6)),IFERROR(_xludf.XLOOKUP(H138,'Rea - SK'!A:A,'Rea - SK'!F:F),DATE(1966,6,6)),IFERROR(_xludf.XLOOKUP(I138,'Rea - SK'!A:A,'Rea - SK'!F:F),DATE(1966,6,6)),IFERROR(_xludf.XLOOKUP(J138,'Rea - SK'!A:A,'Rea - SK'!F:F),DATE(1966,6,6)),IFERROR(_xludf.XLOOKUP(K138,'Rea - SK'!A:A,'Rea - SK'!F:F),DATE(1966,6,6)))</f>
        <v>24264</v>
      </c>
      <c r="G138" s="2" t="s">
        <v>1537</v>
      </c>
      <c r="H138" s="2" t="s">
        <v>2623</v>
      </c>
      <c r="I138" s="2" t="s">
        <v>2623</v>
      </c>
      <c r="J138" s="2" t="s">
        <v>2371</v>
      </c>
      <c r="K138" s="2" t="s">
        <v>2371</v>
      </c>
      <c r="L138" s="18"/>
    </row>
    <row r="139" spans="1:12" ht="18.75" customHeight="1" x14ac:dyDescent="0.2">
      <c r="A139" s="2" t="s">
        <v>5005</v>
      </c>
      <c r="B139" s="2">
        <v>50850</v>
      </c>
      <c r="C139" s="2">
        <v>5902557395323</v>
      </c>
      <c r="D139" s="4" t="s">
        <v>5006</v>
      </c>
      <c r="E139" s="3">
        <f t="array" aca="1" ref="E139" ca="1">IFERROR(_xludf.XLOOKUP(G139,'Rea - SK'!A:A,'Rea - SK'!E:E),0)+IFERROR(_xludf.XLOOKUP(H139,'Rea - SK'!A:A,'Rea - SK'!E:E),0)+IFERROR(_xludf.XLOOKUP(I139,'Rea - SK'!A:A,'Rea - SK'!E:E),0)+IFERROR(_xludf.XLOOKUP(J139,'Rea - SK'!A:A,'Rea - SK'!E:E),0)+IFERROR(_xludf.XLOOKUP(K139,'Rea - SK'!A:A,'Rea - SK'!E:E),0)</f>
        <v>0</v>
      </c>
      <c r="F139" s="11">
        <f t="array" aca="1" ref="F139" ca="1">MAX(IFERROR(_xludf.XLOOKUP(G139,'Rea - SK'!A:A,'Rea - SK'!F:F),DATE(1966,6,6)),IFERROR(_xludf.XLOOKUP(H139,'Rea - SK'!A:A,'Rea - SK'!F:F),DATE(1966,6,6)),IFERROR(_xludf.XLOOKUP(I139,'Rea - SK'!A:A,'Rea - SK'!F:F),DATE(1966,6,6)),IFERROR(_xludf.XLOOKUP(J139,'Rea - SK'!A:A,'Rea - SK'!F:F),DATE(1966,6,6)),IFERROR(_xludf.XLOOKUP(K139,'Rea - SK'!A:A,'Rea - SK'!F:F),DATE(1966,6,6)))</f>
        <v>24264</v>
      </c>
      <c r="G139" s="3" t="s">
        <v>1537</v>
      </c>
      <c r="H139" s="2" t="s">
        <v>2627</v>
      </c>
      <c r="I139" s="2" t="s">
        <v>2627</v>
      </c>
      <c r="J139" s="2" t="s">
        <v>2371</v>
      </c>
      <c r="K139" s="2" t="s">
        <v>2371</v>
      </c>
      <c r="L139" s="18"/>
    </row>
    <row r="140" spans="1:12" ht="18.75" customHeight="1" x14ac:dyDescent="0.2">
      <c r="A140" s="2" t="s">
        <v>5007</v>
      </c>
      <c r="B140" s="2">
        <v>50849</v>
      </c>
      <c r="C140" s="2">
        <v>5902557395316</v>
      </c>
      <c r="D140" s="4" t="s">
        <v>5008</v>
      </c>
      <c r="E140" s="3">
        <f t="array" aca="1" ref="E140" ca="1">IFERROR(_xludf.XLOOKUP(G140,'Rea - SK'!A:A,'Rea - SK'!E:E),0)+IFERROR(_xludf.XLOOKUP(H140,'Rea - SK'!A:A,'Rea - SK'!E:E),0)+IFERROR(_xludf.XLOOKUP(I140,'Rea - SK'!A:A,'Rea - SK'!E:E),0)+IFERROR(_xludf.XLOOKUP(J140,'Rea - SK'!A:A,'Rea - SK'!E:E),0)+IFERROR(_xludf.XLOOKUP(K140,'Rea - SK'!A:A,'Rea - SK'!E:E),0)</f>
        <v>0</v>
      </c>
      <c r="F140" s="11">
        <f t="array" aca="1" ref="F140" ca="1">MAX(IFERROR(_xludf.XLOOKUP(G140,'Rea - SK'!A:A,'Rea - SK'!F:F),DATE(1966,6,6)),IFERROR(_xludf.XLOOKUP(H140,'Rea - SK'!A:A,'Rea - SK'!F:F),DATE(1966,6,6)),IFERROR(_xludf.XLOOKUP(I140,'Rea - SK'!A:A,'Rea - SK'!F:F),DATE(1966,6,6)),IFERROR(_xludf.XLOOKUP(J140,'Rea - SK'!A:A,'Rea - SK'!F:F),DATE(1966,6,6)),IFERROR(_xludf.XLOOKUP(K140,'Rea - SK'!A:A,'Rea - SK'!F:F),DATE(1966,6,6)))</f>
        <v>24264</v>
      </c>
      <c r="G140" s="3" t="s">
        <v>1537</v>
      </c>
      <c r="H140" s="2" t="s">
        <v>2625</v>
      </c>
      <c r="I140" s="2" t="s">
        <v>2625</v>
      </c>
      <c r="J140" s="2" t="s">
        <v>2371</v>
      </c>
      <c r="K140" s="2" t="s">
        <v>2371</v>
      </c>
      <c r="L140" s="18"/>
    </row>
    <row r="141" spans="1:12" ht="18.75" customHeight="1" x14ac:dyDescent="0.2">
      <c r="A141" s="2" t="s">
        <v>5009</v>
      </c>
      <c r="B141" s="2">
        <v>50848</v>
      </c>
      <c r="C141" s="2">
        <v>5902557395309</v>
      </c>
      <c r="D141" s="4" t="s">
        <v>5010</v>
      </c>
      <c r="E141" s="3">
        <f t="array" aca="1" ref="E141" ca="1">IFERROR(_xludf.XLOOKUP(G141,'Rea - SK'!A:A,'Rea - SK'!E:E),0)+IFERROR(_xludf.XLOOKUP(H141,'Rea - SK'!A:A,'Rea - SK'!E:E),0)+IFERROR(_xludf.XLOOKUP(I141,'Rea - SK'!A:A,'Rea - SK'!E:E),0)+IFERROR(_xludf.XLOOKUP(J141,'Rea - SK'!A:A,'Rea - SK'!E:E),0)+IFERROR(_xludf.XLOOKUP(K141,'Rea - SK'!A:A,'Rea - SK'!E:E),0)</f>
        <v>0</v>
      </c>
      <c r="F141" s="11">
        <f t="array" aca="1" ref="F141" ca="1">MAX(IFERROR(_xludf.XLOOKUP(G141,'Rea - SK'!A:A,'Rea - SK'!F:F),DATE(1966,6,6)),IFERROR(_xludf.XLOOKUP(H141,'Rea - SK'!A:A,'Rea - SK'!F:F),DATE(1966,6,6)),IFERROR(_xludf.XLOOKUP(I141,'Rea - SK'!A:A,'Rea - SK'!F:F),DATE(1966,6,6)),IFERROR(_xludf.XLOOKUP(J141,'Rea - SK'!A:A,'Rea - SK'!F:F),DATE(1966,6,6)),IFERROR(_xludf.XLOOKUP(K141,'Rea - SK'!A:A,'Rea - SK'!F:F),DATE(1966,6,6)))</f>
        <v>24264</v>
      </c>
      <c r="G141" s="2" t="s">
        <v>1535</v>
      </c>
      <c r="H141" s="2" t="s">
        <v>2623</v>
      </c>
      <c r="I141" s="2" t="s">
        <v>2623</v>
      </c>
      <c r="J141" s="2" t="s">
        <v>2371</v>
      </c>
      <c r="K141" s="2" t="s">
        <v>2371</v>
      </c>
      <c r="L141" s="18"/>
    </row>
    <row r="142" spans="1:12" ht="18.75" customHeight="1" x14ac:dyDescent="0.2">
      <c r="A142" s="2" t="s">
        <v>5011</v>
      </c>
      <c r="B142" s="2">
        <v>50847</v>
      </c>
      <c r="C142" s="2">
        <v>5902557395293</v>
      </c>
      <c r="D142" s="4" t="s">
        <v>5012</v>
      </c>
      <c r="E142" s="3">
        <f t="array" aca="1" ref="E142" ca="1">IFERROR(_xludf.XLOOKUP(G142,'Rea - SK'!A:A,'Rea - SK'!E:E),0)+IFERROR(_xludf.XLOOKUP(H142,'Rea - SK'!A:A,'Rea - SK'!E:E),0)+IFERROR(_xludf.XLOOKUP(I142,'Rea - SK'!A:A,'Rea - SK'!E:E),0)+IFERROR(_xludf.XLOOKUP(J142,'Rea - SK'!A:A,'Rea - SK'!E:E),0)+IFERROR(_xludf.XLOOKUP(K142,'Rea - SK'!A:A,'Rea - SK'!E:E),0)</f>
        <v>0</v>
      </c>
      <c r="F142" s="11">
        <f t="array" aca="1" ref="F142" ca="1">MAX(IFERROR(_xludf.XLOOKUP(G142,'Rea - SK'!A:A,'Rea - SK'!F:F),DATE(1966,6,6)),IFERROR(_xludf.XLOOKUP(H142,'Rea - SK'!A:A,'Rea - SK'!F:F),DATE(1966,6,6)),IFERROR(_xludf.XLOOKUP(I142,'Rea - SK'!A:A,'Rea - SK'!F:F),DATE(1966,6,6)),IFERROR(_xludf.XLOOKUP(J142,'Rea - SK'!A:A,'Rea - SK'!F:F),DATE(1966,6,6)),IFERROR(_xludf.XLOOKUP(K142,'Rea - SK'!A:A,'Rea - SK'!F:F),DATE(1966,6,6)))</f>
        <v>24264</v>
      </c>
      <c r="G142" s="2" t="s">
        <v>1535</v>
      </c>
      <c r="H142" s="2" t="s">
        <v>2627</v>
      </c>
      <c r="I142" s="2" t="s">
        <v>2627</v>
      </c>
      <c r="J142" s="2" t="s">
        <v>2371</v>
      </c>
      <c r="K142" s="2" t="s">
        <v>2371</v>
      </c>
      <c r="L142" s="18"/>
    </row>
    <row r="143" spans="1:12" ht="18.75" customHeight="1" x14ac:dyDescent="0.2">
      <c r="A143" s="2" t="s">
        <v>5013</v>
      </c>
      <c r="B143" s="2">
        <v>50846</v>
      </c>
      <c r="C143" s="2">
        <v>5902557395286</v>
      </c>
      <c r="D143" s="4" t="s">
        <v>5014</v>
      </c>
      <c r="E143" s="3">
        <f t="array" aca="1" ref="E143" ca="1">IFERROR(_xludf.XLOOKUP(G143,'Rea - SK'!A:A,'Rea - SK'!E:E),0)+IFERROR(_xludf.XLOOKUP(H143,'Rea - SK'!A:A,'Rea - SK'!E:E),0)+IFERROR(_xludf.XLOOKUP(I143,'Rea - SK'!A:A,'Rea - SK'!E:E),0)+IFERROR(_xludf.XLOOKUP(J143,'Rea - SK'!A:A,'Rea - SK'!E:E),0)+IFERROR(_xludf.XLOOKUP(K143,'Rea - SK'!A:A,'Rea - SK'!E:E),0)</f>
        <v>0</v>
      </c>
      <c r="F143" s="11">
        <f t="array" aca="1" ref="F143" ca="1">MAX(IFERROR(_xludf.XLOOKUP(G143,'Rea - SK'!A:A,'Rea - SK'!F:F),DATE(1966,6,6)),IFERROR(_xludf.XLOOKUP(H143,'Rea - SK'!A:A,'Rea - SK'!F:F),DATE(1966,6,6)),IFERROR(_xludf.XLOOKUP(I143,'Rea - SK'!A:A,'Rea - SK'!F:F),DATE(1966,6,6)),IFERROR(_xludf.XLOOKUP(J143,'Rea - SK'!A:A,'Rea - SK'!F:F),DATE(1966,6,6)),IFERROR(_xludf.XLOOKUP(K143,'Rea - SK'!A:A,'Rea - SK'!F:F),DATE(1966,6,6)))</f>
        <v>24264</v>
      </c>
      <c r="G143" s="2" t="s">
        <v>1535</v>
      </c>
      <c r="H143" s="2" t="s">
        <v>2625</v>
      </c>
      <c r="I143" s="2" t="s">
        <v>2625</v>
      </c>
      <c r="J143" s="2" t="s">
        <v>2371</v>
      </c>
      <c r="K143" s="2" t="s">
        <v>2371</v>
      </c>
      <c r="L143" s="18"/>
    </row>
    <row r="144" spans="1:12" ht="18.75" customHeight="1" x14ac:dyDescent="0.2">
      <c r="A144" s="2" t="s">
        <v>5015</v>
      </c>
      <c r="B144" s="2">
        <v>50845</v>
      </c>
      <c r="C144" s="2">
        <v>5902557395262</v>
      </c>
      <c r="D144" s="4" t="s">
        <v>5016</v>
      </c>
      <c r="E144" s="3">
        <f t="array" aca="1" ref="E144" ca="1">IFERROR(_xludf.XLOOKUP(G144,'Rea - SK'!A:A,'Rea - SK'!E:E),0)+IFERROR(_xludf.XLOOKUP(H144,'Rea - SK'!A:A,'Rea - SK'!E:E),0)+IFERROR(_xludf.XLOOKUP(I144,'Rea - SK'!A:A,'Rea - SK'!E:E),0)+IFERROR(_xludf.XLOOKUP(J144,'Rea - SK'!A:A,'Rea - SK'!E:E),0)+IFERROR(_xludf.XLOOKUP(K144,'Rea - SK'!A:A,'Rea - SK'!E:E),0)</f>
        <v>0</v>
      </c>
      <c r="F144" s="11">
        <f t="array" aca="1" ref="F144" ca="1">MAX(IFERROR(_xludf.XLOOKUP(G144,'Rea - SK'!A:A,'Rea - SK'!F:F),DATE(1966,6,6)),IFERROR(_xludf.XLOOKUP(H144,'Rea - SK'!A:A,'Rea - SK'!F:F),DATE(1966,6,6)),IFERROR(_xludf.XLOOKUP(I144,'Rea - SK'!A:A,'Rea - SK'!F:F),DATE(1966,6,6)),IFERROR(_xludf.XLOOKUP(J144,'Rea - SK'!A:A,'Rea - SK'!F:F),DATE(1966,6,6)),IFERROR(_xludf.XLOOKUP(K144,'Rea - SK'!A:A,'Rea - SK'!F:F),DATE(1966,6,6)))</f>
        <v>24264</v>
      </c>
      <c r="G144" s="2" t="s">
        <v>1533</v>
      </c>
      <c r="H144" s="2" t="s">
        <v>2623</v>
      </c>
      <c r="I144" s="2" t="s">
        <v>2623</v>
      </c>
      <c r="J144" s="2" t="s">
        <v>2371</v>
      </c>
      <c r="K144" s="2" t="s">
        <v>2371</v>
      </c>
      <c r="L144" s="18"/>
    </row>
    <row r="145" spans="1:12" ht="18.75" customHeight="1" x14ac:dyDescent="0.2">
      <c r="A145" s="2" t="s">
        <v>5017</v>
      </c>
      <c r="B145" s="2">
        <v>50844</v>
      </c>
      <c r="C145" s="2">
        <v>5902557395255</v>
      </c>
      <c r="D145" s="4" t="s">
        <v>5018</v>
      </c>
      <c r="E145" s="3">
        <f t="array" aca="1" ref="E145" ca="1">IFERROR(_xludf.XLOOKUP(G145,'Rea - SK'!A:A,'Rea - SK'!E:E),0)+IFERROR(_xludf.XLOOKUP(H145,'Rea - SK'!A:A,'Rea - SK'!E:E),0)+IFERROR(_xludf.XLOOKUP(I145,'Rea - SK'!A:A,'Rea - SK'!E:E),0)+IFERROR(_xludf.XLOOKUP(J145,'Rea - SK'!A:A,'Rea - SK'!E:E),0)+IFERROR(_xludf.XLOOKUP(K145,'Rea - SK'!A:A,'Rea - SK'!E:E),0)</f>
        <v>0</v>
      </c>
      <c r="F145" s="11">
        <f t="array" aca="1" ref="F145" ca="1">MAX(IFERROR(_xludf.XLOOKUP(G145,'Rea - SK'!A:A,'Rea - SK'!F:F),DATE(1966,6,6)),IFERROR(_xludf.XLOOKUP(H145,'Rea - SK'!A:A,'Rea - SK'!F:F),DATE(1966,6,6)),IFERROR(_xludf.XLOOKUP(I145,'Rea - SK'!A:A,'Rea - SK'!F:F),DATE(1966,6,6)),IFERROR(_xludf.XLOOKUP(J145,'Rea - SK'!A:A,'Rea - SK'!F:F),DATE(1966,6,6)),IFERROR(_xludf.XLOOKUP(K145,'Rea - SK'!A:A,'Rea - SK'!F:F),DATE(1966,6,6)))</f>
        <v>24264</v>
      </c>
      <c r="G145" s="2" t="s">
        <v>1533</v>
      </c>
      <c r="H145" s="2" t="s">
        <v>2627</v>
      </c>
      <c r="I145" s="2" t="s">
        <v>2627</v>
      </c>
      <c r="J145" s="2" t="s">
        <v>2371</v>
      </c>
      <c r="K145" s="2" t="s">
        <v>2371</v>
      </c>
      <c r="L145" s="18"/>
    </row>
    <row r="146" spans="1:12" ht="18.75" customHeight="1" x14ac:dyDescent="0.2">
      <c r="A146" s="2" t="s">
        <v>5019</v>
      </c>
      <c r="B146" s="2">
        <v>50843</v>
      </c>
      <c r="C146" s="2">
        <v>5902557395248</v>
      </c>
      <c r="D146" s="4" t="s">
        <v>5020</v>
      </c>
      <c r="E146" s="3">
        <f t="array" aca="1" ref="E146" ca="1">IFERROR(_xludf.XLOOKUP(G146,'Rea - SK'!A:A,'Rea - SK'!E:E),0)+IFERROR(_xludf.XLOOKUP(H146,'Rea - SK'!A:A,'Rea - SK'!E:E),0)+IFERROR(_xludf.XLOOKUP(I146,'Rea - SK'!A:A,'Rea - SK'!E:E),0)+IFERROR(_xludf.XLOOKUP(J146,'Rea - SK'!A:A,'Rea - SK'!E:E),0)+IFERROR(_xludf.XLOOKUP(K146,'Rea - SK'!A:A,'Rea - SK'!E:E),0)</f>
        <v>0</v>
      </c>
      <c r="F146" s="11">
        <f t="array" aca="1" ref="F146" ca="1">MAX(IFERROR(_xludf.XLOOKUP(G146,'Rea - SK'!A:A,'Rea - SK'!F:F),DATE(1966,6,6)),IFERROR(_xludf.XLOOKUP(H146,'Rea - SK'!A:A,'Rea - SK'!F:F),DATE(1966,6,6)),IFERROR(_xludf.XLOOKUP(I146,'Rea - SK'!A:A,'Rea - SK'!F:F),DATE(1966,6,6)),IFERROR(_xludf.XLOOKUP(J146,'Rea - SK'!A:A,'Rea - SK'!F:F),DATE(1966,6,6)),IFERROR(_xludf.XLOOKUP(K146,'Rea - SK'!A:A,'Rea - SK'!F:F),DATE(1966,6,6)))</f>
        <v>24264</v>
      </c>
      <c r="G146" s="2" t="s">
        <v>1533</v>
      </c>
      <c r="H146" s="2" t="s">
        <v>2625</v>
      </c>
      <c r="I146" s="2" t="s">
        <v>2625</v>
      </c>
      <c r="J146" s="2" t="s">
        <v>2371</v>
      </c>
      <c r="K146" s="2" t="s">
        <v>2371</v>
      </c>
      <c r="L146" s="18"/>
    </row>
    <row r="147" spans="1:12" ht="18.75" customHeight="1" x14ac:dyDescent="0.2">
      <c r="A147" s="2" t="s">
        <v>5021</v>
      </c>
      <c r="B147" s="2">
        <v>50838</v>
      </c>
      <c r="C147" s="2">
        <v>5902557399659</v>
      </c>
      <c r="D147" s="4" t="s">
        <v>5022</v>
      </c>
      <c r="E147" s="3">
        <f t="array" aca="1" ref="E147" ca="1">IFERROR(_xludf.XLOOKUP(G147,'Rea - SK'!A:A,'Rea - SK'!E:E),0)+IFERROR(_xludf.XLOOKUP(H147,'Rea - SK'!A:A,'Rea - SK'!E:E),0)+IFERROR(_xludf.XLOOKUP(I147,'Rea - SK'!A:A,'Rea - SK'!E:E),0)+IFERROR(_xludf.XLOOKUP(J147,'Rea - SK'!A:A,'Rea - SK'!E:E),0)+IFERROR(_xludf.XLOOKUP(K147,'Rea - SK'!A:A,'Rea - SK'!E:E),0)</f>
        <v>0</v>
      </c>
      <c r="F147" s="11">
        <f t="array" aca="1" ref="F147" ca="1">MAX(IFERROR(_xludf.XLOOKUP(G147,'Rea - SK'!A:A,'Rea - SK'!F:F),DATE(1966,6,6)),IFERROR(_xludf.XLOOKUP(H147,'Rea - SK'!A:A,'Rea - SK'!F:F),DATE(1966,6,6)),IFERROR(_xludf.XLOOKUP(I147,'Rea - SK'!A:A,'Rea - SK'!F:F),DATE(1966,6,6)),IFERROR(_xludf.XLOOKUP(J147,'Rea - SK'!A:A,'Rea - SK'!F:F),DATE(1966,6,6)),IFERROR(_xludf.XLOOKUP(K147,'Rea - SK'!A:A,'Rea - SK'!F:F),DATE(1966,6,6)))</f>
        <v>24264</v>
      </c>
      <c r="G147" s="3" t="s">
        <v>1555</v>
      </c>
      <c r="H147" s="2" t="s">
        <v>2629</v>
      </c>
      <c r="I147" s="2" t="s">
        <v>2629</v>
      </c>
      <c r="J147" s="2" t="s">
        <v>2373</v>
      </c>
      <c r="K147" s="2" t="s">
        <v>2373</v>
      </c>
      <c r="L147" s="18"/>
    </row>
    <row r="148" spans="1:12" ht="18.75" customHeight="1" x14ac:dyDescent="0.2">
      <c r="A148" s="2" t="s">
        <v>5023</v>
      </c>
      <c r="B148" s="2">
        <v>50837</v>
      </c>
      <c r="C148" s="2">
        <v>5902557399642</v>
      </c>
      <c r="D148" s="4" t="s">
        <v>5024</v>
      </c>
      <c r="E148" s="3">
        <f t="array" aca="1" ref="E148" ca="1">IFERROR(_xludf.XLOOKUP(G148,'Rea - SK'!A:A,'Rea - SK'!E:E),0)+IFERROR(_xludf.XLOOKUP(H148,'Rea - SK'!A:A,'Rea - SK'!E:E),0)+IFERROR(_xludf.XLOOKUP(I148,'Rea - SK'!A:A,'Rea - SK'!E:E),0)+IFERROR(_xludf.XLOOKUP(J148,'Rea - SK'!A:A,'Rea - SK'!E:E),0)+IFERROR(_xludf.XLOOKUP(K148,'Rea - SK'!A:A,'Rea - SK'!E:E),0)</f>
        <v>0</v>
      </c>
      <c r="F148" s="11">
        <f t="array" aca="1" ref="F148" ca="1">MAX(IFERROR(_xludf.XLOOKUP(G148,'Rea - SK'!A:A,'Rea - SK'!F:F),DATE(1966,6,6)),IFERROR(_xludf.XLOOKUP(H148,'Rea - SK'!A:A,'Rea - SK'!F:F),DATE(1966,6,6)),IFERROR(_xludf.XLOOKUP(I148,'Rea - SK'!A:A,'Rea - SK'!F:F),DATE(1966,6,6)),IFERROR(_xludf.XLOOKUP(J148,'Rea - SK'!A:A,'Rea - SK'!F:F),DATE(1966,6,6)),IFERROR(_xludf.XLOOKUP(K148,'Rea - SK'!A:A,'Rea - SK'!F:F),DATE(1966,6,6)))</f>
        <v>24264</v>
      </c>
      <c r="G148" s="3" t="s">
        <v>1555</v>
      </c>
      <c r="H148" s="2" t="s">
        <v>2633</v>
      </c>
      <c r="I148" s="2" t="s">
        <v>2633</v>
      </c>
      <c r="J148" s="2" t="s">
        <v>2373</v>
      </c>
      <c r="K148" s="2" t="s">
        <v>2373</v>
      </c>
      <c r="L148" s="18"/>
    </row>
    <row r="149" spans="1:12" ht="18.75" customHeight="1" x14ac:dyDescent="0.2">
      <c r="A149" s="2" t="s">
        <v>5025</v>
      </c>
      <c r="B149" s="2">
        <v>50836</v>
      </c>
      <c r="C149" s="2">
        <v>5902557399635</v>
      </c>
      <c r="D149" s="4" t="s">
        <v>5026</v>
      </c>
      <c r="E149" s="3">
        <f t="array" aca="1" ref="E149" ca="1">IFERROR(_xludf.XLOOKUP(G149,'Rea - SK'!A:A,'Rea - SK'!E:E),0)+IFERROR(_xludf.XLOOKUP(H149,'Rea - SK'!A:A,'Rea - SK'!E:E),0)+IFERROR(_xludf.XLOOKUP(I149,'Rea - SK'!A:A,'Rea - SK'!E:E),0)+IFERROR(_xludf.XLOOKUP(J149,'Rea - SK'!A:A,'Rea - SK'!E:E),0)+IFERROR(_xludf.XLOOKUP(K149,'Rea - SK'!A:A,'Rea - SK'!E:E),0)</f>
        <v>0</v>
      </c>
      <c r="F149" s="11">
        <f t="array" aca="1" ref="F149" ca="1">MAX(IFERROR(_xludf.XLOOKUP(G149,'Rea - SK'!A:A,'Rea - SK'!F:F),DATE(1966,6,6)),IFERROR(_xludf.XLOOKUP(H149,'Rea - SK'!A:A,'Rea - SK'!F:F),DATE(1966,6,6)),IFERROR(_xludf.XLOOKUP(I149,'Rea - SK'!A:A,'Rea - SK'!F:F),DATE(1966,6,6)),IFERROR(_xludf.XLOOKUP(J149,'Rea - SK'!A:A,'Rea - SK'!F:F),DATE(1966,6,6)),IFERROR(_xludf.XLOOKUP(K149,'Rea - SK'!A:A,'Rea - SK'!F:F),DATE(1966,6,6)))</f>
        <v>24264</v>
      </c>
      <c r="G149" s="3" t="s">
        <v>1555</v>
      </c>
      <c r="H149" s="2" t="s">
        <v>2631</v>
      </c>
      <c r="I149" s="2" t="s">
        <v>2631</v>
      </c>
      <c r="J149" s="2" t="s">
        <v>2373</v>
      </c>
      <c r="K149" s="2" t="s">
        <v>2373</v>
      </c>
      <c r="L149" s="18"/>
    </row>
    <row r="150" spans="1:12" ht="18.75" customHeight="1" x14ac:dyDescent="0.2">
      <c r="A150" s="2" t="s">
        <v>5027</v>
      </c>
      <c r="B150" s="2">
        <v>50835</v>
      </c>
      <c r="C150" s="2">
        <v>5902557399628</v>
      </c>
      <c r="D150" s="4" t="s">
        <v>5028</v>
      </c>
      <c r="E150" s="3">
        <f t="array" aca="1" ref="E150" ca="1">IFERROR(_xludf.XLOOKUP(G150,'Rea - SK'!A:A,'Rea - SK'!E:E),0)+IFERROR(_xludf.XLOOKUP(H150,'Rea - SK'!A:A,'Rea - SK'!E:E),0)+IFERROR(_xludf.XLOOKUP(I150,'Rea - SK'!A:A,'Rea - SK'!E:E),0)+IFERROR(_xludf.XLOOKUP(J150,'Rea - SK'!A:A,'Rea - SK'!E:E),0)+IFERROR(_xludf.XLOOKUP(K150,'Rea - SK'!A:A,'Rea - SK'!E:E),0)</f>
        <v>0</v>
      </c>
      <c r="F150" s="11">
        <f t="array" aca="1" ref="F150" ca="1">MAX(IFERROR(_xludf.XLOOKUP(G150,'Rea - SK'!A:A,'Rea - SK'!F:F),DATE(1966,6,6)),IFERROR(_xludf.XLOOKUP(H150,'Rea - SK'!A:A,'Rea - SK'!F:F),DATE(1966,6,6)),IFERROR(_xludf.XLOOKUP(I150,'Rea - SK'!A:A,'Rea - SK'!F:F),DATE(1966,6,6)),IFERROR(_xludf.XLOOKUP(J150,'Rea - SK'!A:A,'Rea - SK'!F:F),DATE(1966,6,6)),IFERROR(_xludf.XLOOKUP(K150,'Rea - SK'!A:A,'Rea - SK'!F:F),DATE(1966,6,6)))</f>
        <v>24264</v>
      </c>
      <c r="G150" s="3" t="s">
        <v>1553</v>
      </c>
      <c r="H150" s="2" t="s">
        <v>2629</v>
      </c>
      <c r="I150" s="2" t="s">
        <v>2629</v>
      </c>
      <c r="J150" s="2" t="s">
        <v>2373</v>
      </c>
      <c r="K150" s="2" t="s">
        <v>2373</v>
      </c>
      <c r="L150" s="18"/>
    </row>
    <row r="151" spans="1:12" ht="18.75" customHeight="1" x14ac:dyDescent="0.2">
      <c r="A151" s="2" t="s">
        <v>5029</v>
      </c>
      <c r="B151" s="2">
        <v>50834</v>
      </c>
      <c r="C151" s="2">
        <v>5902557399611</v>
      </c>
      <c r="D151" s="4" t="s">
        <v>5030</v>
      </c>
      <c r="E151" s="3">
        <f t="array" aca="1" ref="E151" ca="1">IFERROR(_xludf.XLOOKUP(G151,'Rea - SK'!A:A,'Rea - SK'!E:E),0)+IFERROR(_xludf.XLOOKUP(H151,'Rea - SK'!A:A,'Rea - SK'!E:E),0)+IFERROR(_xludf.XLOOKUP(I151,'Rea - SK'!A:A,'Rea - SK'!E:E),0)+IFERROR(_xludf.XLOOKUP(J151,'Rea - SK'!A:A,'Rea - SK'!E:E),0)+IFERROR(_xludf.XLOOKUP(K151,'Rea - SK'!A:A,'Rea - SK'!E:E),0)</f>
        <v>0</v>
      </c>
      <c r="F151" s="11">
        <f t="array" aca="1" ref="F151" ca="1">MAX(IFERROR(_xludf.XLOOKUP(G151,'Rea - SK'!A:A,'Rea - SK'!F:F),DATE(1966,6,6)),IFERROR(_xludf.XLOOKUP(H151,'Rea - SK'!A:A,'Rea - SK'!F:F),DATE(1966,6,6)),IFERROR(_xludf.XLOOKUP(I151,'Rea - SK'!A:A,'Rea - SK'!F:F),DATE(1966,6,6)),IFERROR(_xludf.XLOOKUP(J151,'Rea - SK'!A:A,'Rea - SK'!F:F),DATE(1966,6,6)),IFERROR(_xludf.XLOOKUP(K151,'Rea - SK'!A:A,'Rea - SK'!F:F),DATE(1966,6,6)))</f>
        <v>24264</v>
      </c>
      <c r="G151" s="3" t="s">
        <v>1553</v>
      </c>
      <c r="H151" s="2" t="s">
        <v>2633</v>
      </c>
      <c r="I151" s="2" t="s">
        <v>2633</v>
      </c>
      <c r="J151" s="2" t="s">
        <v>2373</v>
      </c>
      <c r="K151" s="2" t="s">
        <v>2373</v>
      </c>
      <c r="L151" s="18"/>
    </row>
    <row r="152" spans="1:12" ht="18.75" customHeight="1" x14ac:dyDescent="0.2">
      <c r="A152" s="2" t="s">
        <v>5031</v>
      </c>
      <c r="B152" s="2">
        <v>50833</v>
      </c>
      <c r="C152" s="2">
        <v>5902557399604</v>
      </c>
      <c r="D152" s="4" t="s">
        <v>5032</v>
      </c>
      <c r="E152" s="3">
        <f t="array" aca="1" ref="E152" ca="1">IFERROR(_xludf.XLOOKUP(G152,'Rea - SK'!A:A,'Rea - SK'!E:E),0)+IFERROR(_xludf.XLOOKUP(H152,'Rea - SK'!A:A,'Rea - SK'!E:E),0)+IFERROR(_xludf.XLOOKUP(I152,'Rea - SK'!A:A,'Rea - SK'!E:E),0)+IFERROR(_xludf.XLOOKUP(J152,'Rea - SK'!A:A,'Rea - SK'!E:E),0)+IFERROR(_xludf.XLOOKUP(K152,'Rea - SK'!A:A,'Rea - SK'!E:E),0)</f>
        <v>0</v>
      </c>
      <c r="F152" s="11">
        <f t="array" aca="1" ref="F152" ca="1">MAX(IFERROR(_xludf.XLOOKUP(G152,'Rea - SK'!A:A,'Rea - SK'!F:F),DATE(1966,6,6)),IFERROR(_xludf.XLOOKUP(H152,'Rea - SK'!A:A,'Rea - SK'!F:F),DATE(1966,6,6)),IFERROR(_xludf.XLOOKUP(I152,'Rea - SK'!A:A,'Rea - SK'!F:F),DATE(1966,6,6)),IFERROR(_xludf.XLOOKUP(J152,'Rea - SK'!A:A,'Rea - SK'!F:F),DATE(1966,6,6)),IFERROR(_xludf.XLOOKUP(K152,'Rea - SK'!A:A,'Rea - SK'!F:F),DATE(1966,6,6)))</f>
        <v>24264</v>
      </c>
      <c r="G152" s="3" t="s">
        <v>1553</v>
      </c>
      <c r="H152" s="2" t="s">
        <v>2631</v>
      </c>
      <c r="I152" s="2" t="s">
        <v>2631</v>
      </c>
      <c r="J152" s="2" t="s">
        <v>2373</v>
      </c>
      <c r="K152" s="2" t="s">
        <v>2373</v>
      </c>
      <c r="L152" s="18"/>
    </row>
    <row r="153" spans="1:12" ht="18.75" customHeight="1" x14ac:dyDescent="0.2">
      <c r="A153" s="2" t="s">
        <v>5033</v>
      </c>
      <c r="B153" s="2">
        <v>50832</v>
      </c>
      <c r="C153" s="2">
        <v>5902557399598</v>
      </c>
      <c r="D153" s="4" t="s">
        <v>5034</v>
      </c>
      <c r="E153" s="3">
        <f t="array" aca="1" ref="E153" ca="1">IFERROR(_xludf.XLOOKUP(G153,'Rea - SK'!A:A,'Rea - SK'!E:E),0)+IFERROR(_xludf.XLOOKUP(H153,'Rea - SK'!A:A,'Rea - SK'!E:E),0)+IFERROR(_xludf.XLOOKUP(I153,'Rea - SK'!A:A,'Rea - SK'!E:E),0)+IFERROR(_xludf.XLOOKUP(J153,'Rea - SK'!A:A,'Rea - SK'!E:E),0)+IFERROR(_xludf.XLOOKUP(K153,'Rea - SK'!A:A,'Rea - SK'!E:E),0)</f>
        <v>0</v>
      </c>
      <c r="F153" s="11">
        <f t="array" aca="1" ref="F153" ca="1">MAX(IFERROR(_xludf.XLOOKUP(G153,'Rea - SK'!A:A,'Rea - SK'!F:F),DATE(1966,6,6)),IFERROR(_xludf.XLOOKUP(H153,'Rea - SK'!A:A,'Rea - SK'!F:F),DATE(1966,6,6)),IFERROR(_xludf.XLOOKUP(I153,'Rea - SK'!A:A,'Rea - SK'!F:F),DATE(1966,6,6)),IFERROR(_xludf.XLOOKUP(J153,'Rea - SK'!A:A,'Rea - SK'!F:F),DATE(1966,6,6)),IFERROR(_xludf.XLOOKUP(K153,'Rea - SK'!A:A,'Rea - SK'!F:F),DATE(1966,6,6)))</f>
        <v>24264</v>
      </c>
      <c r="G153" s="3" t="s">
        <v>1551</v>
      </c>
      <c r="H153" s="2" t="s">
        <v>2629</v>
      </c>
      <c r="I153" s="2" t="s">
        <v>2629</v>
      </c>
      <c r="J153" s="2" t="s">
        <v>2373</v>
      </c>
      <c r="K153" s="2" t="s">
        <v>2373</v>
      </c>
      <c r="L153" s="18"/>
    </row>
    <row r="154" spans="1:12" ht="18.75" customHeight="1" x14ac:dyDescent="0.2">
      <c r="A154" s="2" t="s">
        <v>5035</v>
      </c>
      <c r="B154" s="2">
        <v>50831</v>
      </c>
      <c r="C154" s="2">
        <v>5902557399581</v>
      </c>
      <c r="D154" s="4" t="s">
        <v>5036</v>
      </c>
      <c r="E154" s="3">
        <f t="array" aca="1" ref="E154" ca="1">IFERROR(_xludf.XLOOKUP(G154,'Rea - SK'!A:A,'Rea - SK'!E:E),0)+IFERROR(_xludf.XLOOKUP(H154,'Rea - SK'!A:A,'Rea - SK'!E:E),0)+IFERROR(_xludf.XLOOKUP(I154,'Rea - SK'!A:A,'Rea - SK'!E:E),0)+IFERROR(_xludf.XLOOKUP(J154,'Rea - SK'!A:A,'Rea - SK'!E:E),0)+IFERROR(_xludf.XLOOKUP(K154,'Rea - SK'!A:A,'Rea - SK'!E:E),0)</f>
        <v>0</v>
      </c>
      <c r="F154" s="11">
        <f t="array" aca="1" ref="F154" ca="1">MAX(IFERROR(_xludf.XLOOKUP(G154,'Rea - SK'!A:A,'Rea - SK'!F:F),DATE(1966,6,6)),IFERROR(_xludf.XLOOKUP(H154,'Rea - SK'!A:A,'Rea - SK'!F:F),DATE(1966,6,6)),IFERROR(_xludf.XLOOKUP(I154,'Rea - SK'!A:A,'Rea - SK'!F:F),DATE(1966,6,6)),IFERROR(_xludf.XLOOKUP(J154,'Rea - SK'!A:A,'Rea - SK'!F:F),DATE(1966,6,6)),IFERROR(_xludf.XLOOKUP(K154,'Rea - SK'!A:A,'Rea - SK'!F:F),DATE(1966,6,6)))</f>
        <v>24264</v>
      </c>
      <c r="G154" s="3" t="s">
        <v>1551</v>
      </c>
      <c r="H154" s="2" t="s">
        <v>2633</v>
      </c>
      <c r="I154" s="2" t="s">
        <v>2633</v>
      </c>
      <c r="J154" s="2" t="s">
        <v>2373</v>
      </c>
      <c r="K154" s="2" t="s">
        <v>2373</v>
      </c>
      <c r="L154" s="18"/>
    </row>
    <row r="155" spans="1:12" ht="18.75" customHeight="1" x14ac:dyDescent="0.2">
      <c r="A155" s="2" t="s">
        <v>5037</v>
      </c>
      <c r="B155" s="2">
        <v>50830</v>
      </c>
      <c r="C155" s="2">
        <v>5902557399574</v>
      </c>
      <c r="D155" s="4" t="s">
        <v>5038</v>
      </c>
      <c r="E155" s="3">
        <f t="array" aca="1" ref="E155" ca="1">IFERROR(_xludf.XLOOKUP(G155,'Rea - SK'!A:A,'Rea - SK'!E:E),0)+IFERROR(_xludf.XLOOKUP(H155,'Rea - SK'!A:A,'Rea - SK'!E:E),0)+IFERROR(_xludf.XLOOKUP(I155,'Rea - SK'!A:A,'Rea - SK'!E:E),0)+IFERROR(_xludf.XLOOKUP(J155,'Rea - SK'!A:A,'Rea - SK'!E:E),0)+IFERROR(_xludf.XLOOKUP(K155,'Rea - SK'!A:A,'Rea - SK'!E:E),0)</f>
        <v>0</v>
      </c>
      <c r="F155" s="11">
        <f t="array" aca="1" ref="F155" ca="1">MAX(IFERROR(_xludf.XLOOKUP(G155,'Rea - SK'!A:A,'Rea - SK'!F:F),DATE(1966,6,6)),IFERROR(_xludf.XLOOKUP(H155,'Rea - SK'!A:A,'Rea - SK'!F:F),DATE(1966,6,6)),IFERROR(_xludf.XLOOKUP(I155,'Rea - SK'!A:A,'Rea - SK'!F:F),DATE(1966,6,6)),IFERROR(_xludf.XLOOKUP(J155,'Rea - SK'!A:A,'Rea - SK'!F:F),DATE(1966,6,6)),IFERROR(_xludf.XLOOKUP(K155,'Rea - SK'!A:A,'Rea - SK'!F:F),DATE(1966,6,6)))</f>
        <v>24264</v>
      </c>
      <c r="G155" s="3" t="s">
        <v>1551</v>
      </c>
      <c r="H155" s="2" t="s">
        <v>2631</v>
      </c>
      <c r="I155" s="2" t="s">
        <v>2631</v>
      </c>
      <c r="J155" s="2" t="s">
        <v>2373</v>
      </c>
      <c r="K155" s="2" t="s">
        <v>2373</v>
      </c>
      <c r="L155" s="18"/>
    </row>
    <row r="156" spans="1:12" ht="18.75" customHeight="1" x14ac:dyDescent="0.2">
      <c r="A156" s="2" t="s">
        <v>5039</v>
      </c>
      <c r="B156" s="2">
        <v>50829</v>
      </c>
      <c r="C156" s="2">
        <v>5902557399567</v>
      </c>
      <c r="D156" s="4" t="s">
        <v>5040</v>
      </c>
      <c r="E156" s="3">
        <f t="array" aca="1" ref="E156" ca="1">IFERROR(_xludf.XLOOKUP(G156,'Rea - SK'!A:A,'Rea - SK'!E:E),0)+IFERROR(_xludf.XLOOKUP(H156,'Rea - SK'!A:A,'Rea - SK'!E:E),0)+IFERROR(_xludf.XLOOKUP(I156,'Rea - SK'!A:A,'Rea - SK'!E:E),0)+IFERROR(_xludf.XLOOKUP(J156,'Rea - SK'!A:A,'Rea - SK'!E:E),0)+IFERROR(_xludf.XLOOKUP(K156,'Rea - SK'!A:A,'Rea - SK'!E:E),0)</f>
        <v>0</v>
      </c>
      <c r="F156" s="11">
        <f t="array" aca="1" ref="F156" ca="1">MAX(IFERROR(_xludf.XLOOKUP(G156,'Rea - SK'!A:A,'Rea - SK'!F:F),DATE(1966,6,6)),IFERROR(_xludf.XLOOKUP(H156,'Rea - SK'!A:A,'Rea - SK'!F:F),DATE(1966,6,6)),IFERROR(_xludf.XLOOKUP(I156,'Rea - SK'!A:A,'Rea - SK'!F:F),DATE(1966,6,6)),IFERROR(_xludf.XLOOKUP(J156,'Rea - SK'!A:A,'Rea - SK'!F:F),DATE(1966,6,6)),IFERROR(_xludf.XLOOKUP(K156,'Rea - SK'!A:A,'Rea - SK'!F:F),DATE(1966,6,6)))</f>
        <v>24264</v>
      </c>
      <c r="G156" s="3" t="s">
        <v>1549</v>
      </c>
      <c r="H156" s="2" t="s">
        <v>2629</v>
      </c>
      <c r="I156" s="2" t="s">
        <v>2629</v>
      </c>
      <c r="J156" s="2" t="s">
        <v>2373</v>
      </c>
      <c r="K156" s="2" t="s">
        <v>2373</v>
      </c>
      <c r="L156" s="18"/>
    </row>
    <row r="157" spans="1:12" ht="18.75" customHeight="1" x14ac:dyDescent="0.2">
      <c r="A157" s="2" t="s">
        <v>5041</v>
      </c>
      <c r="B157" s="2">
        <v>50828</v>
      </c>
      <c r="C157" s="2">
        <v>5902557399550</v>
      </c>
      <c r="D157" s="4" t="s">
        <v>5042</v>
      </c>
      <c r="E157" s="3">
        <f t="array" aca="1" ref="E157" ca="1">IFERROR(_xludf.XLOOKUP(G157,'Rea - SK'!A:A,'Rea - SK'!E:E),0)+IFERROR(_xludf.XLOOKUP(H157,'Rea - SK'!A:A,'Rea - SK'!E:E),0)+IFERROR(_xludf.XLOOKUP(I157,'Rea - SK'!A:A,'Rea - SK'!E:E),0)+IFERROR(_xludf.XLOOKUP(J157,'Rea - SK'!A:A,'Rea - SK'!E:E),0)+IFERROR(_xludf.XLOOKUP(K157,'Rea - SK'!A:A,'Rea - SK'!E:E),0)</f>
        <v>0</v>
      </c>
      <c r="F157" s="11">
        <f t="array" aca="1" ref="F157" ca="1">MAX(IFERROR(_xludf.XLOOKUP(G157,'Rea - SK'!A:A,'Rea - SK'!F:F),DATE(1966,6,6)),IFERROR(_xludf.XLOOKUP(H157,'Rea - SK'!A:A,'Rea - SK'!F:F),DATE(1966,6,6)),IFERROR(_xludf.XLOOKUP(I157,'Rea - SK'!A:A,'Rea - SK'!F:F),DATE(1966,6,6)),IFERROR(_xludf.XLOOKUP(J157,'Rea - SK'!A:A,'Rea - SK'!F:F),DATE(1966,6,6)),IFERROR(_xludf.XLOOKUP(K157,'Rea - SK'!A:A,'Rea - SK'!F:F),DATE(1966,6,6)))</f>
        <v>24264</v>
      </c>
      <c r="G157" s="3" t="s">
        <v>1549</v>
      </c>
      <c r="H157" s="2" t="s">
        <v>2633</v>
      </c>
      <c r="I157" s="2" t="s">
        <v>2633</v>
      </c>
      <c r="J157" s="2" t="s">
        <v>2373</v>
      </c>
      <c r="K157" s="2" t="s">
        <v>2373</v>
      </c>
      <c r="L157" s="18"/>
    </row>
    <row r="158" spans="1:12" ht="18.75" customHeight="1" x14ac:dyDescent="0.2">
      <c r="A158" s="2" t="s">
        <v>5043</v>
      </c>
      <c r="B158" s="2">
        <v>50827</v>
      </c>
      <c r="C158" s="2">
        <v>5902557399543</v>
      </c>
      <c r="D158" s="4" t="s">
        <v>5044</v>
      </c>
      <c r="E158" s="3">
        <f t="array" aca="1" ref="E158" ca="1">IFERROR(_xludf.XLOOKUP(G158,'Rea - SK'!A:A,'Rea - SK'!E:E),0)+IFERROR(_xludf.XLOOKUP(H158,'Rea - SK'!A:A,'Rea - SK'!E:E),0)+IFERROR(_xludf.XLOOKUP(I158,'Rea - SK'!A:A,'Rea - SK'!E:E),0)+IFERROR(_xludf.XLOOKUP(J158,'Rea - SK'!A:A,'Rea - SK'!E:E),0)+IFERROR(_xludf.XLOOKUP(K158,'Rea - SK'!A:A,'Rea - SK'!E:E),0)</f>
        <v>0</v>
      </c>
      <c r="F158" s="11">
        <f t="array" aca="1" ref="F158" ca="1">MAX(IFERROR(_xludf.XLOOKUP(G158,'Rea - SK'!A:A,'Rea - SK'!F:F),DATE(1966,6,6)),IFERROR(_xludf.XLOOKUP(H158,'Rea - SK'!A:A,'Rea - SK'!F:F),DATE(1966,6,6)),IFERROR(_xludf.XLOOKUP(I158,'Rea - SK'!A:A,'Rea - SK'!F:F),DATE(1966,6,6)),IFERROR(_xludf.XLOOKUP(J158,'Rea - SK'!A:A,'Rea - SK'!F:F),DATE(1966,6,6)),IFERROR(_xludf.XLOOKUP(K158,'Rea - SK'!A:A,'Rea - SK'!F:F),DATE(1966,6,6)))</f>
        <v>24264</v>
      </c>
      <c r="G158" s="3" t="s">
        <v>1549</v>
      </c>
      <c r="H158" s="2" t="s">
        <v>2631</v>
      </c>
      <c r="I158" s="2" t="s">
        <v>2631</v>
      </c>
      <c r="J158" s="2" t="s">
        <v>2373</v>
      </c>
      <c r="K158" s="2" t="s">
        <v>2373</v>
      </c>
      <c r="L158" s="18"/>
    </row>
    <row r="159" spans="1:12" ht="18.75" customHeight="1" x14ac:dyDescent="0.2">
      <c r="A159" s="2" t="s">
        <v>5045</v>
      </c>
      <c r="B159" s="2">
        <v>50826</v>
      </c>
      <c r="C159" s="2">
        <v>5902557399536</v>
      </c>
      <c r="D159" s="4" t="s">
        <v>5046</v>
      </c>
      <c r="E159" s="3">
        <f t="array" aca="1" ref="E159" ca="1">IFERROR(_xludf.XLOOKUP(G159,'Rea - SK'!A:A,'Rea - SK'!E:E),0)+IFERROR(_xludf.XLOOKUP(H159,'Rea - SK'!A:A,'Rea - SK'!E:E),0)+IFERROR(_xludf.XLOOKUP(I159,'Rea - SK'!A:A,'Rea - SK'!E:E),0)+IFERROR(_xludf.XLOOKUP(J159,'Rea - SK'!A:A,'Rea - SK'!E:E),0)+IFERROR(_xludf.XLOOKUP(K159,'Rea - SK'!A:A,'Rea - SK'!E:E),0)</f>
        <v>0</v>
      </c>
      <c r="F159" s="11">
        <f t="array" aca="1" ref="F159" ca="1">MAX(IFERROR(_xludf.XLOOKUP(G159,'Rea - SK'!A:A,'Rea - SK'!F:F),DATE(1966,6,6)),IFERROR(_xludf.XLOOKUP(H159,'Rea - SK'!A:A,'Rea - SK'!F:F),DATE(1966,6,6)),IFERROR(_xludf.XLOOKUP(I159,'Rea - SK'!A:A,'Rea - SK'!F:F),DATE(1966,6,6)),IFERROR(_xludf.XLOOKUP(J159,'Rea - SK'!A:A,'Rea - SK'!F:F),DATE(1966,6,6)),IFERROR(_xludf.XLOOKUP(K159,'Rea - SK'!A:A,'Rea - SK'!F:F),DATE(1966,6,6)))</f>
        <v>24264</v>
      </c>
      <c r="G159" s="3" t="s">
        <v>1547</v>
      </c>
      <c r="H159" s="2" t="s">
        <v>2629</v>
      </c>
      <c r="I159" s="2" t="s">
        <v>2629</v>
      </c>
      <c r="J159" s="2" t="s">
        <v>2373</v>
      </c>
      <c r="K159" s="2" t="s">
        <v>2373</v>
      </c>
      <c r="L159" s="18"/>
    </row>
    <row r="160" spans="1:12" ht="18.75" customHeight="1" x14ac:dyDescent="0.2">
      <c r="A160" s="2" t="s">
        <v>5047</v>
      </c>
      <c r="B160" s="2">
        <v>50825</v>
      </c>
      <c r="C160" s="2">
        <v>5902557399529</v>
      </c>
      <c r="D160" s="4" t="s">
        <v>5048</v>
      </c>
      <c r="E160" s="3">
        <f t="array" aca="1" ref="E160" ca="1">IFERROR(_xludf.XLOOKUP(G160,'Rea - SK'!A:A,'Rea - SK'!E:E),0)+IFERROR(_xludf.XLOOKUP(H160,'Rea - SK'!A:A,'Rea - SK'!E:E),0)+IFERROR(_xludf.XLOOKUP(I160,'Rea - SK'!A:A,'Rea - SK'!E:E),0)+IFERROR(_xludf.XLOOKUP(J160,'Rea - SK'!A:A,'Rea - SK'!E:E),0)+IFERROR(_xludf.XLOOKUP(K160,'Rea - SK'!A:A,'Rea - SK'!E:E),0)</f>
        <v>0</v>
      </c>
      <c r="F160" s="11">
        <f t="array" aca="1" ref="F160" ca="1">MAX(IFERROR(_xludf.XLOOKUP(G160,'Rea - SK'!A:A,'Rea - SK'!F:F),DATE(1966,6,6)),IFERROR(_xludf.XLOOKUP(H160,'Rea - SK'!A:A,'Rea - SK'!F:F),DATE(1966,6,6)),IFERROR(_xludf.XLOOKUP(I160,'Rea - SK'!A:A,'Rea - SK'!F:F),DATE(1966,6,6)),IFERROR(_xludf.XLOOKUP(J160,'Rea - SK'!A:A,'Rea - SK'!F:F),DATE(1966,6,6)),IFERROR(_xludf.XLOOKUP(K160,'Rea - SK'!A:A,'Rea - SK'!F:F),DATE(1966,6,6)))</f>
        <v>24264</v>
      </c>
      <c r="G160" s="3" t="s">
        <v>1547</v>
      </c>
      <c r="H160" s="2" t="s">
        <v>2633</v>
      </c>
      <c r="I160" s="2" t="s">
        <v>2633</v>
      </c>
      <c r="J160" s="2" t="s">
        <v>2373</v>
      </c>
      <c r="K160" s="2" t="s">
        <v>2373</v>
      </c>
      <c r="L160" s="18"/>
    </row>
    <row r="161" spans="1:12" ht="18.75" customHeight="1" x14ac:dyDescent="0.2">
      <c r="A161" s="2" t="s">
        <v>5049</v>
      </c>
      <c r="B161" s="2">
        <v>50824</v>
      </c>
      <c r="C161" s="2">
        <v>5902557399512</v>
      </c>
      <c r="D161" s="4" t="s">
        <v>5050</v>
      </c>
      <c r="E161" s="3">
        <f t="array" aca="1" ref="E161" ca="1">IFERROR(_xludf.XLOOKUP(G161,'Rea - SK'!A:A,'Rea - SK'!E:E),0)+IFERROR(_xludf.XLOOKUP(H161,'Rea - SK'!A:A,'Rea - SK'!E:E),0)+IFERROR(_xludf.XLOOKUP(I161,'Rea - SK'!A:A,'Rea - SK'!E:E),0)+IFERROR(_xludf.XLOOKUP(J161,'Rea - SK'!A:A,'Rea - SK'!E:E),0)+IFERROR(_xludf.XLOOKUP(K161,'Rea - SK'!A:A,'Rea - SK'!E:E),0)</f>
        <v>0</v>
      </c>
      <c r="F161" s="11">
        <f t="array" aca="1" ref="F161" ca="1">MAX(IFERROR(_xludf.XLOOKUP(G161,'Rea - SK'!A:A,'Rea - SK'!F:F),DATE(1966,6,6)),IFERROR(_xludf.XLOOKUP(H161,'Rea - SK'!A:A,'Rea - SK'!F:F),DATE(1966,6,6)),IFERROR(_xludf.XLOOKUP(I161,'Rea - SK'!A:A,'Rea - SK'!F:F),DATE(1966,6,6)),IFERROR(_xludf.XLOOKUP(J161,'Rea - SK'!A:A,'Rea - SK'!F:F),DATE(1966,6,6)),IFERROR(_xludf.XLOOKUP(K161,'Rea - SK'!A:A,'Rea - SK'!F:F),DATE(1966,6,6)))</f>
        <v>24264</v>
      </c>
      <c r="G161" s="3" t="s">
        <v>1547</v>
      </c>
      <c r="H161" s="2" t="s">
        <v>2631</v>
      </c>
      <c r="I161" s="2" t="s">
        <v>2631</v>
      </c>
      <c r="J161" s="2" t="s">
        <v>2373</v>
      </c>
      <c r="K161" s="2" t="s">
        <v>2373</v>
      </c>
      <c r="L161" s="18"/>
    </row>
    <row r="162" spans="1:12" ht="18.75" customHeight="1" x14ac:dyDescent="0.2">
      <c r="A162" s="2" t="s">
        <v>5051</v>
      </c>
      <c r="B162" s="2">
        <v>50823</v>
      </c>
      <c r="C162" s="2">
        <v>5902557399505</v>
      </c>
      <c r="D162" s="4" t="s">
        <v>5052</v>
      </c>
      <c r="E162" s="3">
        <f t="array" aca="1" ref="E162" ca="1">IFERROR(_xludf.XLOOKUP(G162,'Rea - SK'!A:A,'Rea - SK'!E:E),0)+IFERROR(_xludf.XLOOKUP(H162,'Rea - SK'!A:A,'Rea - SK'!E:E),0)+IFERROR(_xludf.XLOOKUP(I162,'Rea - SK'!A:A,'Rea - SK'!E:E),0)+IFERROR(_xludf.XLOOKUP(J162,'Rea - SK'!A:A,'Rea - SK'!E:E),0)+IFERROR(_xludf.XLOOKUP(K162,'Rea - SK'!A:A,'Rea - SK'!E:E),0)</f>
        <v>0</v>
      </c>
      <c r="F162" s="11">
        <f t="array" aca="1" ref="F162" ca="1">MAX(IFERROR(_xludf.XLOOKUP(G162,'Rea - SK'!A:A,'Rea - SK'!F:F),DATE(1966,6,6)),IFERROR(_xludf.XLOOKUP(H162,'Rea - SK'!A:A,'Rea - SK'!F:F),DATE(1966,6,6)),IFERROR(_xludf.XLOOKUP(I162,'Rea - SK'!A:A,'Rea - SK'!F:F),DATE(1966,6,6)),IFERROR(_xludf.XLOOKUP(J162,'Rea - SK'!A:A,'Rea - SK'!F:F),DATE(1966,6,6)),IFERROR(_xludf.XLOOKUP(K162,'Rea - SK'!A:A,'Rea - SK'!F:F),DATE(1966,6,6)))</f>
        <v>24264</v>
      </c>
      <c r="G162" s="3" t="s">
        <v>1545</v>
      </c>
      <c r="H162" s="2" t="s">
        <v>2629</v>
      </c>
      <c r="I162" s="2" t="s">
        <v>2629</v>
      </c>
      <c r="J162" s="2" t="s">
        <v>2373</v>
      </c>
      <c r="K162" s="2" t="s">
        <v>2373</v>
      </c>
      <c r="L162" s="18"/>
    </row>
    <row r="163" spans="1:12" ht="18.75" customHeight="1" x14ac:dyDescent="0.2">
      <c r="A163" s="2" t="s">
        <v>5053</v>
      </c>
      <c r="B163" s="2">
        <v>50822</v>
      </c>
      <c r="C163" s="2">
        <v>5902557399499</v>
      </c>
      <c r="D163" s="4" t="s">
        <v>5054</v>
      </c>
      <c r="E163" s="3">
        <f t="array" aca="1" ref="E163" ca="1">IFERROR(_xludf.XLOOKUP(G163,'Rea - SK'!A:A,'Rea - SK'!E:E),0)+IFERROR(_xludf.XLOOKUP(H163,'Rea - SK'!A:A,'Rea - SK'!E:E),0)+IFERROR(_xludf.XLOOKUP(I163,'Rea - SK'!A:A,'Rea - SK'!E:E),0)+IFERROR(_xludf.XLOOKUP(J163,'Rea - SK'!A:A,'Rea - SK'!E:E),0)+IFERROR(_xludf.XLOOKUP(K163,'Rea - SK'!A:A,'Rea - SK'!E:E),0)</f>
        <v>0</v>
      </c>
      <c r="F163" s="11">
        <f t="array" aca="1" ref="F163" ca="1">MAX(IFERROR(_xludf.XLOOKUP(G163,'Rea - SK'!A:A,'Rea - SK'!F:F),DATE(1966,6,6)),IFERROR(_xludf.XLOOKUP(H163,'Rea - SK'!A:A,'Rea - SK'!F:F),DATE(1966,6,6)),IFERROR(_xludf.XLOOKUP(I163,'Rea - SK'!A:A,'Rea - SK'!F:F),DATE(1966,6,6)),IFERROR(_xludf.XLOOKUP(J163,'Rea - SK'!A:A,'Rea - SK'!F:F),DATE(1966,6,6)),IFERROR(_xludf.XLOOKUP(K163,'Rea - SK'!A:A,'Rea - SK'!F:F),DATE(1966,6,6)))</f>
        <v>24264</v>
      </c>
      <c r="G163" s="3" t="s">
        <v>1545</v>
      </c>
      <c r="H163" s="2" t="s">
        <v>2633</v>
      </c>
      <c r="I163" s="2" t="s">
        <v>2633</v>
      </c>
      <c r="J163" s="2" t="s">
        <v>2373</v>
      </c>
      <c r="K163" s="2" t="s">
        <v>2373</v>
      </c>
      <c r="L163" s="18"/>
    </row>
    <row r="164" spans="1:12" ht="18.75" customHeight="1" x14ac:dyDescent="0.2">
      <c r="A164" s="2" t="s">
        <v>5055</v>
      </c>
      <c r="B164" s="2">
        <v>50821</v>
      </c>
      <c r="C164" s="2">
        <v>5902557399482</v>
      </c>
      <c r="D164" s="4" t="s">
        <v>5056</v>
      </c>
      <c r="E164" s="3">
        <f t="array" aca="1" ref="E164" ca="1">IFERROR(_xludf.XLOOKUP(G164,'Rea - SK'!A:A,'Rea - SK'!E:E),0)+IFERROR(_xludf.XLOOKUP(H164,'Rea - SK'!A:A,'Rea - SK'!E:E),0)+IFERROR(_xludf.XLOOKUP(I164,'Rea - SK'!A:A,'Rea - SK'!E:E),0)+IFERROR(_xludf.XLOOKUP(J164,'Rea - SK'!A:A,'Rea - SK'!E:E),0)+IFERROR(_xludf.XLOOKUP(K164,'Rea - SK'!A:A,'Rea - SK'!E:E),0)</f>
        <v>0</v>
      </c>
      <c r="F164" s="11">
        <f t="array" aca="1" ref="F164" ca="1">MAX(IFERROR(_xludf.XLOOKUP(G164,'Rea - SK'!A:A,'Rea - SK'!F:F),DATE(1966,6,6)),IFERROR(_xludf.XLOOKUP(H164,'Rea - SK'!A:A,'Rea - SK'!F:F),DATE(1966,6,6)),IFERROR(_xludf.XLOOKUP(I164,'Rea - SK'!A:A,'Rea - SK'!F:F),DATE(1966,6,6)),IFERROR(_xludf.XLOOKUP(J164,'Rea - SK'!A:A,'Rea - SK'!F:F),DATE(1966,6,6)),IFERROR(_xludf.XLOOKUP(K164,'Rea - SK'!A:A,'Rea - SK'!F:F),DATE(1966,6,6)))</f>
        <v>24264</v>
      </c>
      <c r="G164" s="3" t="s">
        <v>1545</v>
      </c>
      <c r="H164" s="2" t="s">
        <v>2631</v>
      </c>
      <c r="I164" s="2" t="s">
        <v>2631</v>
      </c>
      <c r="J164" s="2" t="s">
        <v>2373</v>
      </c>
      <c r="K164" s="2" t="s">
        <v>2373</v>
      </c>
      <c r="L164" s="18"/>
    </row>
    <row r="165" spans="1:12" ht="18.75" customHeight="1" x14ac:dyDescent="0.2">
      <c r="A165" s="2" t="s">
        <v>5057</v>
      </c>
      <c r="B165" s="2">
        <v>50799</v>
      </c>
      <c r="C165" s="2">
        <v>5902557399369</v>
      </c>
      <c r="D165" s="4" t="s">
        <v>5058</v>
      </c>
      <c r="E165" s="3">
        <f t="array" aca="1" ref="E165" ca="1">IFERROR(_xludf.XLOOKUP(G165,'Rea - SK'!A:A,'Rea - SK'!E:E),0)+IFERROR(_xludf.XLOOKUP(H165,'Rea - SK'!A:A,'Rea - SK'!E:E),0)+IFERROR(_xludf.XLOOKUP(I165,'Rea - SK'!A:A,'Rea - SK'!E:E),0)+IFERROR(_xludf.XLOOKUP(J165,'Rea - SK'!A:A,'Rea - SK'!E:E),0)+IFERROR(_xludf.XLOOKUP(K165,'Rea - SK'!A:A,'Rea - SK'!E:E),0)</f>
        <v>0</v>
      </c>
      <c r="F165" s="11">
        <f t="array" aca="1" ref="F165" ca="1">MAX(IFERROR(_xludf.XLOOKUP(G165,'Rea - SK'!A:A,'Rea - SK'!F:F),DATE(1966,6,6)),IFERROR(_xludf.XLOOKUP(H165,'Rea - SK'!A:A,'Rea - SK'!F:F),DATE(1966,6,6)),IFERROR(_xludf.XLOOKUP(I165,'Rea - SK'!A:A,'Rea - SK'!F:F),DATE(1966,6,6)),IFERROR(_xludf.XLOOKUP(J165,'Rea - SK'!A:A,'Rea - SK'!F:F),DATE(1966,6,6)),IFERROR(_xludf.XLOOKUP(K165,'Rea - SK'!A:A,'Rea - SK'!F:F),DATE(1966,6,6)))</f>
        <v>24264</v>
      </c>
      <c r="G165" s="3" t="s">
        <v>1509</v>
      </c>
      <c r="H165" s="2" t="s">
        <v>2629</v>
      </c>
      <c r="I165" s="2" t="s">
        <v>2629</v>
      </c>
      <c r="J165" s="2" t="s">
        <v>2373</v>
      </c>
      <c r="K165" s="2" t="s">
        <v>2373</v>
      </c>
      <c r="L165" s="18"/>
    </row>
    <row r="166" spans="1:12" ht="18.75" customHeight="1" x14ac:dyDescent="0.2">
      <c r="A166" s="2" t="s">
        <v>5059</v>
      </c>
      <c r="B166" s="2">
        <v>50798</v>
      </c>
      <c r="C166" s="2">
        <v>5902557399352</v>
      </c>
      <c r="D166" s="4" t="s">
        <v>5060</v>
      </c>
      <c r="E166" s="3">
        <f t="array" aca="1" ref="E166" ca="1">IFERROR(_xludf.XLOOKUP(G166,'Rea - SK'!A:A,'Rea - SK'!E:E),0)+IFERROR(_xludf.XLOOKUP(H166,'Rea - SK'!A:A,'Rea - SK'!E:E),0)+IFERROR(_xludf.XLOOKUP(I166,'Rea - SK'!A:A,'Rea - SK'!E:E),0)+IFERROR(_xludf.XLOOKUP(J166,'Rea - SK'!A:A,'Rea - SK'!E:E),0)+IFERROR(_xludf.XLOOKUP(K166,'Rea - SK'!A:A,'Rea - SK'!E:E),0)</f>
        <v>0</v>
      </c>
      <c r="F166" s="11">
        <f t="array" aca="1" ref="F166" ca="1">MAX(IFERROR(_xludf.XLOOKUP(G166,'Rea - SK'!A:A,'Rea - SK'!F:F),DATE(1966,6,6)),IFERROR(_xludf.XLOOKUP(H166,'Rea - SK'!A:A,'Rea - SK'!F:F),DATE(1966,6,6)),IFERROR(_xludf.XLOOKUP(I166,'Rea - SK'!A:A,'Rea - SK'!F:F),DATE(1966,6,6)),IFERROR(_xludf.XLOOKUP(J166,'Rea - SK'!A:A,'Rea - SK'!F:F),DATE(1966,6,6)),IFERROR(_xludf.XLOOKUP(K166,'Rea - SK'!A:A,'Rea - SK'!F:F),DATE(1966,6,6)))</f>
        <v>24264</v>
      </c>
      <c r="G166" s="3" t="s">
        <v>1509</v>
      </c>
      <c r="H166" s="2" t="s">
        <v>2633</v>
      </c>
      <c r="I166" s="2" t="s">
        <v>2633</v>
      </c>
      <c r="J166" s="2" t="s">
        <v>2373</v>
      </c>
      <c r="K166" s="2" t="s">
        <v>2373</v>
      </c>
      <c r="L166" s="18"/>
    </row>
    <row r="167" spans="1:12" ht="18.75" customHeight="1" x14ac:dyDescent="0.2">
      <c r="A167" s="2" t="s">
        <v>5061</v>
      </c>
      <c r="B167" s="2">
        <v>50797</v>
      </c>
      <c r="C167" s="2">
        <v>5902557399345</v>
      </c>
      <c r="D167" s="4" t="s">
        <v>5062</v>
      </c>
      <c r="E167" s="3">
        <f t="array" aca="1" ref="E167" ca="1">IFERROR(_xludf.XLOOKUP(G167,'Rea - SK'!A:A,'Rea - SK'!E:E),0)+IFERROR(_xludf.XLOOKUP(H167,'Rea - SK'!A:A,'Rea - SK'!E:E),0)+IFERROR(_xludf.XLOOKUP(I167,'Rea - SK'!A:A,'Rea - SK'!E:E),0)+IFERROR(_xludf.XLOOKUP(J167,'Rea - SK'!A:A,'Rea - SK'!E:E),0)+IFERROR(_xludf.XLOOKUP(K167,'Rea - SK'!A:A,'Rea - SK'!E:E),0)</f>
        <v>0</v>
      </c>
      <c r="F167" s="11">
        <f t="array" aca="1" ref="F167" ca="1">MAX(IFERROR(_xludf.XLOOKUP(G167,'Rea - SK'!A:A,'Rea - SK'!F:F),DATE(1966,6,6)),IFERROR(_xludf.XLOOKUP(H167,'Rea - SK'!A:A,'Rea - SK'!F:F),DATE(1966,6,6)),IFERROR(_xludf.XLOOKUP(I167,'Rea - SK'!A:A,'Rea - SK'!F:F),DATE(1966,6,6)),IFERROR(_xludf.XLOOKUP(J167,'Rea - SK'!A:A,'Rea - SK'!F:F),DATE(1966,6,6)),IFERROR(_xludf.XLOOKUP(K167,'Rea - SK'!A:A,'Rea - SK'!F:F),DATE(1966,6,6)))</f>
        <v>24264</v>
      </c>
      <c r="G167" s="3" t="s">
        <v>1509</v>
      </c>
      <c r="H167" s="2" t="s">
        <v>2631</v>
      </c>
      <c r="I167" s="2" t="s">
        <v>2631</v>
      </c>
      <c r="J167" s="2" t="s">
        <v>2373</v>
      </c>
      <c r="K167" s="2" t="s">
        <v>2373</v>
      </c>
      <c r="L167" s="18"/>
    </row>
    <row r="168" spans="1:12" ht="18.75" customHeight="1" x14ac:dyDescent="0.2">
      <c r="A168" s="2" t="s">
        <v>5063</v>
      </c>
      <c r="B168" s="2">
        <v>50796</v>
      </c>
      <c r="C168" s="2">
        <v>5902557399338</v>
      </c>
      <c r="D168" s="4" t="s">
        <v>5064</v>
      </c>
      <c r="E168" s="3">
        <f t="array" aca="1" ref="E168" ca="1">IFERROR(_xludf.XLOOKUP(G168,'Rea - SK'!A:A,'Rea - SK'!E:E),0)+IFERROR(_xludf.XLOOKUP(H168,'Rea - SK'!A:A,'Rea - SK'!E:E),0)+IFERROR(_xludf.XLOOKUP(I168,'Rea - SK'!A:A,'Rea - SK'!E:E),0)+IFERROR(_xludf.XLOOKUP(J168,'Rea - SK'!A:A,'Rea - SK'!E:E),0)+IFERROR(_xludf.XLOOKUP(K168,'Rea - SK'!A:A,'Rea - SK'!E:E),0)</f>
        <v>0</v>
      </c>
      <c r="F168" s="11">
        <f t="array" aca="1" ref="F168" ca="1">MAX(IFERROR(_xludf.XLOOKUP(G168,'Rea - SK'!A:A,'Rea - SK'!F:F),DATE(1966,6,6)),IFERROR(_xludf.XLOOKUP(H168,'Rea - SK'!A:A,'Rea - SK'!F:F),DATE(1966,6,6)),IFERROR(_xludf.XLOOKUP(I168,'Rea - SK'!A:A,'Rea - SK'!F:F),DATE(1966,6,6)),IFERROR(_xludf.XLOOKUP(J168,'Rea - SK'!A:A,'Rea - SK'!F:F),DATE(1966,6,6)),IFERROR(_xludf.XLOOKUP(K168,'Rea - SK'!A:A,'Rea - SK'!F:F),DATE(1966,6,6)))</f>
        <v>24264</v>
      </c>
      <c r="G168" s="3" t="s">
        <v>1513</v>
      </c>
      <c r="H168" s="2" t="s">
        <v>2629</v>
      </c>
      <c r="I168" s="2" t="s">
        <v>2629</v>
      </c>
      <c r="J168" s="2" t="s">
        <v>2373</v>
      </c>
      <c r="K168" s="2" t="s">
        <v>2373</v>
      </c>
      <c r="L168" s="18"/>
    </row>
    <row r="169" spans="1:12" ht="18.75" customHeight="1" x14ac:dyDescent="0.2">
      <c r="A169" s="2" t="s">
        <v>5065</v>
      </c>
      <c r="B169" s="2">
        <v>50795</v>
      </c>
      <c r="C169" s="2">
        <v>5902557399314</v>
      </c>
      <c r="D169" s="4" t="s">
        <v>5066</v>
      </c>
      <c r="E169" s="3">
        <f t="array" aca="1" ref="E169" ca="1">IFERROR(_xludf.XLOOKUP(G169,'Rea - SK'!A:A,'Rea - SK'!E:E),0)+IFERROR(_xludf.XLOOKUP(H169,'Rea - SK'!A:A,'Rea - SK'!E:E),0)+IFERROR(_xludf.XLOOKUP(I169,'Rea - SK'!A:A,'Rea - SK'!E:E),0)+IFERROR(_xludf.XLOOKUP(J169,'Rea - SK'!A:A,'Rea - SK'!E:E),0)+IFERROR(_xludf.XLOOKUP(K169,'Rea - SK'!A:A,'Rea - SK'!E:E),0)</f>
        <v>0</v>
      </c>
      <c r="F169" s="11">
        <f t="array" aca="1" ref="F169" ca="1">MAX(IFERROR(_xludf.XLOOKUP(G169,'Rea - SK'!A:A,'Rea - SK'!F:F),DATE(1966,6,6)),IFERROR(_xludf.XLOOKUP(H169,'Rea - SK'!A:A,'Rea - SK'!F:F),DATE(1966,6,6)),IFERROR(_xludf.XLOOKUP(I169,'Rea - SK'!A:A,'Rea - SK'!F:F),DATE(1966,6,6)),IFERROR(_xludf.XLOOKUP(J169,'Rea - SK'!A:A,'Rea - SK'!F:F),DATE(1966,6,6)),IFERROR(_xludf.XLOOKUP(K169,'Rea - SK'!A:A,'Rea - SK'!F:F),DATE(1966,6,6)))</f>
        <v>24264</v>
      </c>
      <c r="G169" s="3" t="s">
        <v>1513</v>
      </c>
      <c r="H169" s="2" t="s">
        <v>2633</v>
      </c>
      <c r="I169" s="2" t="s">
        <v>2633</v>
      </c>
      <c r="J169" s="2" t="s">
        <v>2373</v>
      </c>
      <c r="K169" s="2" t="s">
        <v>2373</v>
      </c>
      <c r="L169" s="18"/>
    </row>
    <row r="170" spans="1:12" ht="18.75" customHeight="1" x14ac:dyDescent="0.2">
      <c r="A170" s="2" t="s">
        <v>5067</v>
      </c>
      <c r="B170" s="2">
        <v>50794</v>
      </c>
      <c r="C170" s="2">
        <v>5902557399314</v>
      </c>
      <c r="D170" s="4" t="s">
        <v>5068</v>
      </c>
      <c r="E170" s="3">
        <f t="array" aca="1" ref="E170" ca="1">IFERROR(_xludf.XLOOKUP(G170,'Rea - SK'!A:A,'Rea - SK'!E:E),0)+IFERROR(_xludf.XLOOKUP(H170,'Rea - SK'!A:A,'Rea - SK'!E:E),0)+IFERROR(_xludf.XLOOKUP(I170,'Rea - SK'!A:A,'Rea - SK'!E:E),0)+IFERROR(_xludf.XLOOKUP(J170,'Rea - SK'!A:A,'Rea - SK'!E:E),0)+IFERROR(_xludf.XLOOKUP(K170,'Rea - SK'!A:A,'Rea - SK'!E:E),0)</f>
        <v>0</v>
      </c>
      <c r="F170" s="11">
        <f t="array" aca="1" ref="F170" ca="1">MAX(IFERROR(_xludf.XLOOKUP(G170,'Rea - SK'!A:A,'Rea - SK'!F:F),DATE(1966,6,6)),IFERROR(_xludf.XLOOKUP(H170,'Rea - SK'!A:A,'Rea - SK'!F:F),DATE(1966,6,6)),IFERROR(_xludf.XLOOKUP(I170,'Rea - SK'!A:A,'Rea - SK'!F:F),DATE(1966,6,6)),IFERROR(_xludf.XLOOKUP(J170,'Rea - SK'!A:A,'Rea - SK'!F:F),DATE(1966,6,6)),IFERROR(_xludf.XLOOKUP(K170,'Rea - SK'!A:A,'Rea - SK'!F:F),DATE(1966,6,6)))</f>
        <v>24264</v>
      </c>
      <c r="G170" s="3" t="s">
        <v>1513</v>
      </c>
      <c r="H170" s="2" t="s">
        <v>2631</v>
      </c>
      <c r="I170" s="2" t="s">
        <v>2631</v>
      </c>
      <c r="J170" s="2" t="s">
        <v>2373</v>
      </c>
      <c r="K170" s="2" t="s">
        <v>2373</v>
      </c>
      <c r="L170" s="18"/>
    </row>
    <row r="171" spans="1:12" ht="18.75" customHeight="1" x14ac:dyDescent="0.2">
      <c r="A171" s="2" t="s">
        <v>5069</v>
      </c>
      <c r="B171" s="2">
        <v>50793</v>
      </c>
      <c r="C171" s="2">
        <v>5902557399307</v>
      </c>
      <c r="D171" s="4" t="s">
        <v>5070</v>
      </c>
      <c r="E171" s="3">
        <f t="array" aca="1" ref="E171" ca="1">IFERROR(_xludf.XLOOKUP(G171,'Rea - SK'!A:A,'Rea - SK'!E:E),0)+IFERROR(_xludf.XLOOKUP(H171,'Rea - SK'!A:A,'Rea - SK'!E:E),0)+IFERROR(_xludf.XLOOKUP(I171,'Rea - SK'!A:A,'Rea - SK'!E:E),0)+IFERROR(_xludf.XLOOKUP(J171,'Rea - SK'!A:A,'Rea - SK'!E:E),0)+IFERROR(_xludf.XLOOKUP(K171,'Rea - SK'!A:A,'Rea - SK'!E:E),0)</f>
        <v>0</v>
      </c>
      <c r="F171" s="11">
        <f t="array" aca="1" ref="F171" ca="1">MAX(IFERROR(_xludf.XLOOKUP(G171,'Rea - SK'!A:A,'Rea - SK'!F:F),DATE(1966,6,6)),IFERROR(_xludf.XLOOKUP(H171,'Rea - SK'!A:A,'Rea - SK'!F:F),DATE(1966,6,6)),IFERROR(_xludf.XLOOKUP(I171,'Rea - SK'!A:A,'Rea - SK'!F:F),DATE(1966,6,6)),IFERROR(_xludf.XLOOKUP(J171,'Rea - SK'!A:A,'Rea - SK'!F:F),DATE(1966,6,6)),IFERROR(_xludf.XLOOKUP(K171,'Rea - SK'!A:A,'Rea - SK'!F:F),DATE(1966,6,6)))</f>
        <v>24264</v>
      </c>
      <c r="G171" s="2" t="s">
        <v>1511</v>
      </c>
      <c r="H171" s="2" t="s">
        <v>2629</v>
      </c>
      <c r="I171" s="2" t="s">
        <v>2629</v>
      </c>
      <c r="J171" s="2" t="s">
        <v>2373</v>
      </c>
      <c r="K171" s="2" t="s">
        <v>2373</v>
      </c>
      <c r="L171" s="18"/>
    </row>
    <row r="172" spans="1:12" ht="18.75" customHeight="1" x14ac:dyDescent="0.2">
      <c r="A172" s="2" t="s">
        <v>5071</v>
      </c>
      <c r="B172" s="2">
        <v>50792</v>
      </c>
      <c r="C172" s="2">
        <v>5902557399291</v>
      </c>
      <c r="D172" s="4" t="s">
        <v>5072</v>
      </c>
      <c r="E172" s="3">
        <f t="array" aca="1" ref="E172" ca="1">IFERROR(_xludf.XLOOKUP(G172,'Rea - SK'!A:A,'Rea - SK'!E:E),0)+IFERROR(_xludf.XLOOKUP(H172,'Rea - SK'!A:A,'Rea - SK'!E:E),0)+IFERROR(_xludf.XLOOKUP(I172,'Rea - SK'!A:A,'Rea - SK'!E:E),0)+IFERROR(_xludf.XLOOKUP(J172,'Rea - SK'!A:A,'Rea - SK'!E:E),0)+IFERROR(_xludf.XLOOKUP(K172,'Rea - SK'!A:A,'Rea - SK'!E:E),0)</f>
        <v>0</v>
      </c>
      <c r="F172" s="11">
        <f t="array" aca="1" ref="F172" ca="1">MAX(IFERROR(_xludf.XLOOKUP(G172,'Rea - SK'!A:A,'Rea - SK'!F:F),DATE(1966,6,6)),IFERROR(_xludf.XLOOKUP(H172,'Rea - SK'!A:A,'Rea - SK'!F:F),DATE(1966,6,6)),IFERROR(_xludf.XLOOKUP(I172,'Rea - SK'!A:A,'Rea - SK'!F:F),DATE(1966,6,6)),IFERROR(_xludf.XLOOKUP(J172,'Rea - SK'!A:A,'Rea - SK'!F:F),DATE(1966,6,6)),IFERROR(_xludf.XLOOKUP(K172,'Rea - SK'!A:A,'Rea - SK'!F:F),DATE(1966,6,6)))</f>
        <v>24264</v>
      </c>
      <c r="G172" s="2" t="s">
        <v>1511</v>
      </c>
      <c r="H172" s="2" t="s">
        <v>2633</v>
      </c>
      <c r="I172" s="2" t="s">
        <v>2633</v>
      </c>
      <c r="J172" s="2" t="s">
        <v>2373</v>
      </c>
      <c r="K172" s="2" t="s">
        <v>2373</v>
      </c>
      <c r="L172" s="18"/>
    </row>
    <row r="173" spans="1:12" ht="18.75" customHeight="1" x14ac:dyDescent="0.2">
      <c r="A173" s="2" t="s">
        <v>5073</v>
      </c>
      <c r="B173" s="2">
        <v>50791</v>
      </c>
      <c r="C173" s="2">
        <v>5902557399284</v>
      </c>
      <c r="D173" s="4" t="s">
        <v>5074</v>
      </c>
      <c r="E173" s="3">
        <f t="array" aca="1" ref="E173" ca="1">IFERROR(_xludf.XLOOKUP(G173,'Rea - SK'!A:A,'Rea - SK'!E:E),0)+IFERROR(_xludf.XLOOKUP(H173,'Rea - SK'!A:A,'Rea - SK'!E:E),0)+IFERROR(_xludf.XLOOKUP(I173,'Rea - SK'!A:A,'Rea - SK'!E:E),0)+IFERROR(_xludf.XLOOKUP(J173,'Rea - SK'!A:A,'Rea - SK'!E:E),0)+IFERROR(_xludf.XLOOKUP(K173,'Rea - SK'!A:A,'Rea - SK'!E:E),0)</f>
        <v>0</v>
      </c>
      <c r="F173" s="11">
        <f t="array" aca="1" ref="F173" ca="1">MAX(IFERROR(_xludf.XLOOKUP(G173,'Rea - SK'!A:A,'Rea - SK'!F:F),DATE(1966,6,6)),IFERROR(_xludf.XLOOKUP(H173,'Rea - SK'!A:A,'Rea - SK'!F:F),DATE(1966,6,6)),IFERROR(_xludf.XLOOKUP(I173,'Rea - SK'!A:A,'Rea - SK'!F:F),DATE(1966,6,6)),IFERROR(_xludf.XLOOKUP(J173,'Rea - SK'!A:A,'Rea - SK'!F:F),DATE(1966,6,6)),IFERROR(_xludf.XLOOKUP(K173,'Rea - SK'!A:A,'Rea - SK'!F:F),DATE(1966,6,6)))</f>
        <v>24264</v>
      </c>
      <c r="G173" s="2" t="s">
        <v>1511</v>
      </c>
      <c r="H173" s="2" t="s">
        <v>2631</v>
      </c>
      <c r="I173" s="2" t="s">
        <v>2631</v>
      </c>
      <c r="J173" s="2" t="s">
        <v>2373</v>
      </c>
      <c r="K173" s="2" t="s">
        <v>2373</v>
      </c>
      <c r="L173" s="18"/>
    </row>
    <row r="174" spans="1:12" ht="18.75" customHeight="1" x14ac:dyDescent="0.2">
      <c r="A174" s="2" t="s">
        <v>5075</v>
      </c>
      <c r="B174" s="2">
        <v>50740</v>
      </c>
      <c r="C174" s="2">
        <v>5902557394180</v>
      </c>
      <c r="D174" s="4" t="s">
        <v>5076</v>
      </c>
      <c r="E174" s="3">
        <f t="array" aca="1" ref="E174" ca="1">IFERROR(_xludf.XLOOKUP(G174,'Rea - SK'!A:A,'Rea - SK'!E:E),0)+IFERROR(_xludf.XLOOKUP(H174,'Rea - SK'!A:A,'Rea - SK'!E:E),0)+IFERROR(_xludf.XLOOKUP(I174,'Rea - SK'!A:A,'Rea - SK'!E:E),0)+IFERROR(_xludf.XLOOKUP(J174,'Rea - SK'!A:A,'Rea - SK'!E:E),0)+IFERROR(_xludf.XLOOKUP(K174,'Rea - SK'!A:A,'Rea - SK'!E:E),0)</f>
        <v>0</v>
      </c>
      <c r="F174" s="11">
        <f t="array" aca="1" ref="F174" ca="1">MAX(IFERROR(_xludf.XLOOKUP(G174,'Rea - SK'!A:A,'Rea - SK'!F:F),DATE(1966,6,6)),IFERROR(_xludf.XLOOKUP(H174,'Rea - SK'!A:A,'Rea - SK'!F:F),DATE(1966,6,6)),IFERROR(_xludf.XLOOKUP(I174,'Rea - SK'!A:A,'Rea - SK'!F:F),DATE(1966,6,6)),IFERROR(_xludf.XLOOKUP(J174,'Rea - SK'!A:A,'Rea - SK'!F:F),DATE(1966,6,6)),IFERROR(_xludf.XLOOKUP(K174,'Rea - SK'!A:A,'Rea - SK'!F:F),DATE(1966,6,6)))</f>
        <v>24264</v>
      </c>
      <c r="G174" s="3" t="s">
        <v>1565</v>
      </c>
      <c r="H174" s="2" t="s">
        <v>2617</v>
      </c>
      <c r="I174" s="2" t="s">
        <v>2617</v>
      </c>
      <c r="J174" s="2" t="s">
        <v>2369</v>
      </c>
      <c r="K174" s="2" t="s">
        <v>2369</v>
      </c>
      <c r="L174" s="18"/>
    </row>
    <row r="175" spans="1:12" ht="18.75" customHeight="1" x14ac:dyDescent="0.2">
      <c r="A175" s="2" t="s">
        <v>5077</v>
      </c>
      <c r="B175" s="2">
        <v>50739</v>
      </c>
      <c r="C175" s="2">
        <v>5902557394173</v>
      </c>
      <c r="D175" s="4" t="s">
        <v>5078</v>
      </c>
      <c r="E175" s="3">
        <f t="array" aca="1" ref="E175" ca="1">IFERROR(_xludf.XLOOKUP(G175,'Rea - SK'!A:A,'Rea - SK'!E:E),0)+IFERROR(_xludf.XLOOKUP(H175,'Rea - SK'!A:A,'Rea - SK'!E:E),0)+IFERROR(_xludf.XLOOKUP(I175,'Rea - SK'!A:A,'Rea - SK'!E:E),0)+IFERROR(_xludf.XLOOKUP(J175,'Rea - SK'!A:A,'Rea - SK'!E:E),0)+IFERROR(_xludf.XLOOKUP(K175,'Rea - SK'!A:A,'Rea - SK'!E:E),0)</f>
        <v>0</v>
      </c>
      <c r="F175" s="11">
        <f t="array" aca="1" ref="F175" ca="1">MAX(IFERROR(_xludf.XLOOKUP(G175,'Rea - SK'!A:A,'Rea - SK'!F:F),DATE(1966,6,6)),IFERROR(_xludf.XLOOKUP(H175,'Rea - SK'!A:A,'Rea - SK'!F:F),DATE(1966,6,6)),IFERROR(_xludf.XLOOKUP(I175,'Rea - SK'!A:A,'Rea - SK'!F:F),DATE(1966,6,6)),IFERROR(_xludf.XLOOKUP(J175,'Rea - SK'!A:A,'Rea - SK'!F:F),DATE(1966,6,6)),IFERROR(_xludf.XLOOKUP(K175,'Rea - SK'!A:A,'Rea - SK'!F:F),DATE(1966,6,6)))</f>
        <v>24264</v>
      </c>
      <c r="G175" s="3" t="s">
        <v>1565</v>
      </c>
      <c r="H175" s="2" t="s">
        <v>2621</v>
      </c>
      <c r="I175" s="2" t="s">
        <v>2621</v>
      </c>
      <c r="J175" s="2" t="s">
        <v>2369</v>
      </c>
      <c r="K175" s="2" t="s">
        <v>2369</v>
      </c>
      <c r="L175" s="18"/>
    </row>
    <row r="176" spans="1:12" ht="18.75" customHeight="1" x14ac:dyDescent="0.2">
      <c r="A176" s="2" t="s">
        <v>5079</v>
      </c>
      <c r="B176" s="2">
        <v>50738</v>
      </c>
      <c r="C176" s="2">
        <v>5902557394166</v>
      </c>
      <c r="D176" s="4" t="s">
        <v>5080</v>
      </c>
      <c r="E176" s="3">
        <f t="array" aca="1" ref="E176" ca="1">IFERROR(_xludf.XLOOKUP(G176,'Rea - SK'!A:A,'Rea - SK'!E:E),0)+IFERROR(_xludf.XLOOKUP(H176,'Rea - SK'!A:A,'Rea - SK'!E:E),0)+IFERROR(_xludf.XLOOKUP(I176,'Rea - SK'!A:A,'Rea - SK'!E:E),0)+IFERROR(_xludf.XLOOKUP(J176,'Rea - SK'!A:A,'Rea - SK'!E:E),0)+IFERROR(_xludf.XLOOKUP(K176,'Rea - SK'!A:A,'Rea - SK'!E:E),0)</f>
        <v>0</v>
      </c>
      <c r="F176" s="11">
        <f t="array" aca="1" ref="F176" ca="1">MAX(IFERROR(_xludf.XLOOKUP(G176,'Rea - SK'!A:A,'Rea - SK'!F:F),DATE(1966,6,6)),IFERROR(_xludf.XLOOKUP(H176,'Rea - SK'!A:A,'Rea - SK'!F:F),DATE(1966,6,6)),IFERROR(_xludf.XLOOKUP(I176,'Rea - SK'!A:A,'Rea - SK'!F:F),DATE(1966,6,6)),IFERROR(_xludf.XLOOKUP(J176,'Rea - SK'!A:A,'Rea - SK'!F:F),DATE(1966,6,6)),IFERROR(_xludf.XLOOKUP(K176,'Rea - SK'!A:A,'Rea - SK'!F:F),DATE(1966,6,6)))</f>
        <v>24264</v>
      </c>
      <c r="G176" s="3" t="s">
        <v>1565</v>
      </c>
      <c r="H176" s="2" t="s">
        <v>2619</v>
      </c>
      <c r="I176" s="2" t="s">
        <v>2619</v>
      </c>
      <c r="J176" s="2" t="s">
        <v>2369</v>
      </c>
      <c r="K176" s="2" t="s">
        <v>2369</v>
      </c>
      <c r="L176" s="18"/>
    </row>
    <row r="177" spans="1:12" ht="18.75" customHeight="1" x14ac:dyDescent="0.2">
      <c r="A177" s="2" t="s">
        <v>5081</v>
      </c>
      <c r="B177" s="2">
        <v>50737</v>
      </c>
      <c r="C177" s="2">
        <v>5902557394159</v>
      </c>
      <c r="D177" s="4" t="s">
        <v>5082</v>
      </c>
      <c r="E177" s="3">
        <f t="array" aca="1" ref="E177" ca="1">IFERROR(_xludf.XLOOKUP(G177,'Rea - SK'!A:A,'Rea - SK'!E:E),0)+IFERROR(_xludf.XLOOKUP(H177,'Rea - SK'!A:A,'Rea - SK'!E:E),0)+IFERROR(_xludf.XLOOKUP(I177,'Rea - SK'!A:A,'Rea - SK'!E:E),0)+IFERROR(_xludf.XLOOKUP(J177,'Rea - SK'!A:A,'Rea - SK'!E:E),0)+IFERROR(_xludf.XLOOKUP(K177,'Rea - SK'!A:A,'Rea - SK'!E:E),0)</f>
        <v>0</v>
      </c>
      <c r="F177" s="11">
        <f t="array" aca="1" ref="F177" ca="1">MAX(IFERROR(_xludf.XLOOKUP(G177,'Rea - SK'!A:A,'Rea - SK'!F:F),DATE(1966,6,6)),IFERROR(_xludf.XLOOKUP(H177,'Rea - SK'!A:A,'Rea - SK'!F:F),DATE(1966,6,6)),IFERROR(_xludf.XLOOKUP(I177,'Rea - SK'!A:A,'Rea - SK'!F:F),DATE(1966,6,6)),IFERROR(_xludf.XLOOKUP(J177,'Rea - SK'!A:A,'Rea - SK'!F:F),DATE(1966,6,6)),IFERROR(_xludf.XLOOKUP(K177,'Rea - SK'!A:A,'Rea - SK'!F:F),DATE(1966,6,6)))</f>
        <v>24264</v>
      </c>
      <c r="G177" s="3" t="s">
        <v>1563</v>
      </c>
      <c r="H177" s="2" t="s">
        <v>2617</v>
      </c>
      <c r="I177" s="2" t="s">
        <v>2617</v>
      </c>
      <c r="J177" s="2" t="s">
        <v>2369</v>
      </c>
      <c r="K177" s="2" t="s">
        <v>2369</v>
      </c>
      <c r="L177" s="18"/>
    </row>
    <row r="178" spans="1:12" ht="18.75" customHeight="1" x14ac:dyDescent="0.2">
      <c r="A178" s="2" t="s">
        <v>5083</v>
      </c>
      <c r="B178" s="2">
        <v>50736</v>
      </c>
      <c r="C178" s="2">
        <v>5902557394142</v>
      </c>
      <c r="D178" s="4" t="s">
        <v>5084</v>
      </c>
      <c r="E178" s="3">
        <f t="array" aca="1" ref="E178" ca="1">IFERROR(_xludf.XLOOKUP(G178,'Rea - SK'!A:A,'Rea - SK'!E:E),0)+IFERROR(_xludf.XLOOKUP(H178,'Rea - SK'!A:A,'Rea - SK'!E:E),0)+IFERROR(_xludf.XLOOKUP(I178,'Rea - SK'!A:A,'Rea - SK'!E:E),0)+IFERROR(_xludf.XLOOKUP(J178,'Rea - SK'!A:A,'Rea - SK'!E:E),0)+IFERROR(_xludf.XLOOKUP(K178,'Rea - SK'!A:A,'Rea - SK'!E:E),0)</f>
        <v>0</v>
      </c>
      <c r="F178" s="11">
        <f t="array" aca="1" ref="F178" ca="1">MAX(IFERROR(_xludf.XLOOKUP(G178,'Rea - SK'!A:A,'Rea - SK'!F:F),DATE(1966,6,6)),IFERROR(_xludf.XLOOKUP(H178,'Rea - SK'!A:A,'Rea - SK'!F:F),DATE(1966,6,6)),IFERROR(_xludf.XLOOKUP(I178,'Rea - SK'!A:A,'Rea - SK'!F:F),DATE(1966,6,6)),IFERROR(_xludf.XLOOKUP(J178,'Rea - SK'!A:A,'Rea - SK'!F:F),DATE(1966,6,6)),IFERROR(_xludf.XLOOKUP(K178,'Rea - SK'!A:A,'Rea - SK'!F:F),DATE(1966,6,6)))</f>
        <v>24264</v>
      </c>
      <c r="G178" s="3" t="s">
        <v>1563</v>
      </c>
      <c r="H178" s="2" t="s">
        <v>2621</v>
      </c>
      <c r="I178" s="2" t="s">
        <v>2621</v>
      </c>
      <c r="J178" s="2" t="s">
        <v>2369</v>
      </c>
      <c r="K178" s="2" t="s">
        <v>2369</v>
      </c>
      <c r="L178" s="18"/>
    </row>
    <row r="179" spans="1:12" ht="18.75" customHeight="1" x14ac:dyDescent="0.2">
      <c r="A179" s="2" t="s">
        <v>5085</v>
      </c>
      <c r="B179" s="2">
        <v>50735</v>
      </c>
      <c r="C179" s="2">
        <v>5902557394135</v>
      </c>
      <c r="D179" s="4" t="s">
        <v>5086</v>
      </c>
      <c r="E179" s="3">
        <f t="array" aca="1" ref="E179" ca="1">IFERROR(_xludf.XLOOKUP(G179,'Rea - SK'!A:A,'Rea - SK'!E:E),0)+IFERROR(_xludf.XLOOKUP(H179,'Rea - SK'!A:A,'Rea - SK'!E:E),0)+IFERROR(_xludf.XLOOKUP(I179,'Rea - SK'!A:A,'Rea - SK'!E:E),0)+IFERROR(_xludf.XLOOKUP(J179,'Rea - SK'!A:A,'Rea - SK'!E:E),0)+IFERROR(_xludf.XLOOKUP(K179,'Rea - SK'!A:A,'Rea - SK'!E:E),0)</f>
        <v>0</v>
      </c>
      <c r="F179" s="11">
        <f t="array" aca="1" ref="F179" ca="1">MAX(IFERROR(_xludf.XLOOKUP(G179,'Rea - SK'!A:A,'Rea - SK'!F:F),DATE(1966,6,6)),IFERROR(_xludf.XLOOKUP(H179,'Rea - SK'!A:A,'Rea - SK'!F:F),DATE(1966,6,6)),IFERROR(_xludf.XLOOKUP(I179,'Rea - SK'!A:A,'Rea - SK'!F:F),DATE(1966,6,6)),IFERROR(_xludf.XLOOKUP(J179,'Rea - SK'!A:A,'Rea - SK'!F:F),DATE(1966,6,6)),IFERROR(_xludf.XLOOKUP(K179,'Rea - SK'!A:A,'Rea - SK'!F:F),DATE(1966,6,6)))</f>
        <v>24264</v>
      </c>
      <c r="G179" s="3" t="s">
        <v>1563</v>
      </c>
      <c r="H179" s="2" t="s">
        <v>2619</v>
      </c>
      <c r="I179" s="2" t="s">
        <v>2619</v>
      </c>
      <c r="J179" s="2" t="s">
        <v>2369</v>
      </c>
      <c r="K179" s="2" t="s">
        <v>2369</v>
      </c>
      <c r="L179" s="18"/>
    </row>
    <row r="180" spans="1:12" ht="18.75" customHeight="1" x14ac:dyDescent="0.2">
      <c r="A180" s="2" t="s">
        <v>5087</v>
      </c>
      <c r="B180" s="2">
        <v>50734</v>
      </c>
      <c r="C180" s="2">
        <v>5902557394128</v>
      </c>
      <c r="D180" s="4" t="s">
        <v>5088</v>
      </c>
      <c r="E180" s="3">
        <f t="array" aca="1" ref="E180" ca="1">IFERROR(_xludf.XLOOKUP(G180,'Rea - SK'!A:A,'Rea - SK'!E:E),0)+IFERROR(_xludf.XLOOKUP(H180,'Rea - SK'!A:A,'Rea - SK'!E:E),0)+IFERROR(_xludf.XLOOKUP(I180,'Rea - SK'!A:A,'Rea - SK'!E:E),0)+IFERROR(_xludf.XLOOKUP(J180,'Rea - SK'!A:A,'Rea - SK'!E:E),0)+IFERROR(_xludf.XLOOKUP(K180,'Rea - SK'!A:A,'Rea - SK'!E:E),0)</f>
        <v>0</v>
      </c>
      <c r="F180" s="11">
        <f t="array" aca="1" ref="F180" ca="1">MAX(IFERROR(_xludf.XLOOKUP(G180,'Rea - SK'!A:A,'Rea - SK'!F:F),DATE(1966,6,6)),IFERROR(_xludf.XLOOKUP(H180,'Rea - SK'!A:A,'Rea - SK'!F:F),DATE(1966,6,6)),IFERROR(_xludf.XLOOKUP(I180,'Rea - SK'!A:A,'Rea - SK'!F:F),DATE(1966,6,6)),IFERROR(_xludf.XLOOKUP(J180,'Rea - SK'!A:A,'Rea - SK'!F:F),DATE(1966,6,6)),IFERROR(_xludf.XLOOKUP(K180,'Rea - SK'!A:A,'Rea - SK'!F:F),DATE(1966,6,6)))</f>
        <v>24264</v>
      </c>
      <c r="G180" s="3" t="s">
        <v>1571</v>
      </c>
      <c r="H180" s="2" t="s">
        <v>2617</v>
      </c>
      <c r="I180" s="2" t="s">
        <v>2617</v>
      </c>
      <c r="J180" s="2" t="s">
        <v>2369</v>
      </c>
      <c r="K180" s="2" t="s">
        <v>2369</v>
      </c>
      <c r="L180" s="18"/>
    </row>
    <row r="181" spans="1:12" ht="18.75" customHeight="1" x14ac:dyDescent="0.2">
      <c r="A181" s="2" t="s">
        <v>5089</v>
      </c>
      <c r="B181" s="2">
        <v>50733</v>
      </c>
      <c r="C181" s="2">
        <v>5902557394111</v>
      </c>
      <c r="D181" s="4" t="s">
        <v>5090</v>
      </c>
      <c r="E181" s="3">
        <f t="array" aca="1" ref="E181" ca="1">IFERROR(_xludf.XLOOKUP(G181,'Rea - SK'!A:A,'Rea - SK'!E:E),0)+IFERROR(_xludf.XLOOKUP(H181,'Rea - SK'!A:A,'Rea - SK'!E:E),0)+IFERROR(_xludf.XLOOKUP(I181,'Rea - SK'!A:A,'Rea - SK'!E:E),0)+IFERROR(_xludf.XLOOKUP(J181,'Rea - SK'!A:A,'Rea - SK'!E:E),0)+IFERROR(_xludf.XLOOKUP(K181,'Rea - SK'!A:A,'Rea - SK'!E:E),0)</f>
        <v>0</v>
      </c>
      <c r="F181" s="11">
        <f t="array" aca="1" ref="F181" ca="1">MAX(IFERROR(_xludf.XLOOKUP(G181,'Rea - SK'!A:A,'Rea - SK'!F:F),DATE(1966,6,6)),IFERROR(_xludf.XLOOKUP(H181,'Rea - SK'!A:A,'Rea - SK'!F:F),DATE(1966,6,6)),IFERROR(_xludf.XLOOKUP(I181,'Rea - SK'!A:A,'Rea - SK'!F:F),DATE(1966,6,6)),IFERROR(_xludf.XLOOKUP(J181,'Rea - SK'!A:A,'Rea - SK'!F:F),DATE(1966,6,6)),IFERROR(_xludf.XLOOKUP(K181,'Rea - SK'!A:A,'Rea - SK'!F:F),DATE(1966,6,6)))</f>
        <v>24264</v>
      </c>
      <c r="G181" s="3" t="s">
        <v>1571</v>
      </c>
      <c r="H181" s="2" t="s">
        <v>2621</v>
      </c>
      <c r="I181" s="2" t="s">
        <v>2621</v>
      </c>
      <c r="J181" s="2" t="s">
        <v>2369</v>
      </c>
      <c r="K181" s="2" t="s">
        <v>2369</v>
      </c>
      <c r="L181" s="18"/>
    </row>
    <row r="182" spans="1:12" ht="18.75" customHeight="1" x14ac:dyDescent="0.2">
      <c r="A182" s="2" t="s">
        <v>5091</v>
      </c>
      <c r="B182" s="2">
        <v>50732</v>
      </c>
      <c r="C182" s="2">
        <v>5902557394104</v>
      </c>
      <c r="D182" s="4" t="s">
        <v>5092</v>
      </c>
      <c r="E182" s="3">
        <f t="array" aca="1" ref="E182" ca="1">IFERROR(_xludf.XLOOKUP(G182,'Rea - SK'!A:A,'Rea - SK'!E:E),0)+IFERROR(_xludf.XLOOKUP(H182,'Rea - SK'!A:A,'Rea - SK'!E:E),0)+IFERROR(_xludf.XLOOKUP(I182,'Rea - SK'!A:A,'Rea - SK'!E:E),0)+IFERROR(_xludf.XLOOKUP(J182,'Rea - SK'!A:A,'Rea - SK'!E:E),0)+IFERROR(_xludf.XLOOKUP(K182,'Rea - SK'!A:A,'Rea - SK'!E:E),0)</f>
        <v>0</v>
      </c>
      <c r="F182" s="11">
        <f t="array" aca="1" ref="F182" ca="1">MAX(IFERROR(_xludf.XLOOKUP(G182,'Rea - SK'!A:A,'Rea - SK'!F:F),DATE(1966,6,6)),IFERROR(_xludf.XLOOKUP(H182,'Rea - SK'!A:A,'Rea - SK'!F:F),DATE(1966,6,6)),IFERROR(_xludf.XLOOKUP(I182,'Rea - SK'!A:A,'Rea - SK'!F:F),DATE(1966,6,6)),IFERROR(_xludf.XLOOKUP(J182,'Rea - SK'!A:A,'Rea - SK'!F:F),DATE(1966,6,6)),IFERROR(_xludf.XLOOKUP(K182,'Rea - SK'!A:A,'Rea - SK'!F:F),DATE(1966,6,6)))</f>
        <v>24264</v>
      </c>
      <c r="G182" s="3" t="s">
        <v>1571</v>
      </c>
      <c r="H182" s="2" t="s">
        <v>2619</v>
      </c>
      <c r="I182" s="2" t="s">
        <v>2619</v>
      </c>
      <c r="J182" s="2" t="s">
        <v>2369</v>
      </c>
      <c r="K182" s="2" t="s">
        <v>2369</v>
      </c>
      <c r="L182" s="18"/>
    </row>
    <row r="183" spans="1:12" ht="18.75" customHeight="1" x14ac:dyDescent="0.2">
      <c r="A183" s="2" t="s">
        <v>5093</v>
      </c>
      <c r="B183" s="2">
        <v>50731</v>
      </c>
      <c r="C183" s="2">
        <v>5902557394098</v>
      </c>
      <c r="D183" s="4" t="s">
        <v>5094</v>
      </c>
      <c r="E183" s="3">
        <f t="array" aca="1" ref="E183" ca="1">IFERROR(_xludf.XLOOKUP(G183,'Rea - SK'!A:A,'Rea - SK'!E:E),0)+IFERROR(_xludf.XLOOKUP(H183,'Rea - SK'!A:A,'Rea - SK'!E:E),0)+IFERROR(_xludf.XLOOKUP(I183,'Rea - SK'!A:A,'Rea - SK'!E:E),0)+IFERROR(_xludf.XLOOKUP(J183,'Rea - SK'!A:A,'Rea - SK'!E:E),0)+IFERROR(_xludf.XLOOKUP(K183,'Rea - SK'!A:A,'Rea - SK'!E:E),0)</f>
        <v>0</v>
      </c>
      <c r="F183" s="11">
        <f t="array" aca="1" ref="F183" ca="1">MAX(IFERROR(_xludf.XLOOKUP(G183,'Rea - SK'!A:A,'Rea - SK'!F:F),DATE(1966,6,6)),IFERROR(_xludf.XLOOKUP(H183,'Rea - SK'!A:A,'Rea - SK'!F:F),DATE(1966,6,6)),IFERROR(_xludf.XLOOKUP(I183,'Rea - SK'!A:A,'Rea - SK'!F:F),DATE(1966,6,6)),IFERROR(_xludf.XLOOKUP(J183,'Rea - SK'!A:A,'Rea - SK'!F:F),DATE(1966,6,6)),IFERROR(_xludf.XLOOKUP(K183,'Rea - SK'!A:A,'Rea - SK'!F:F),DATE(1966,6,6)))</f>
        <v>24264</v>
      </c>
      <c r="G183" s="3" t="s">
        <v>1569</v>
      </c>
      <c r="H183" s="2" t="s">
        <v>2617</v>
      </c>
      <c r="I183" s="2" t="s">
        <v>2617</v>
      </c>
      <c r="J183" s="2" t="s">
        <v>2369</v>
      </c>
      <c r="K183" s="2" t="s">
        <v>2369</v>
      </c>
      <c r="L183" s="18"/>
    </row>
    <row r="184" spans="1:12" ht="18.75" customHeight="1" x14ac:dyDescent="0.2">
      <c r="A184" s="2" t="s">
        <v>5095</v>
      </c>
      <c r="B184" s="2">
        <v>50730</v>
      </c>
      <c r="C184" s="2">
        <v>5902557394081</v>
      </c>
      <c r="D184" s="4" t="s">
        <v>5096</v>
      </c>
      <c r="E184" s="3">
        <f t="array" aca="1" ref="E184" ca="1">IFERROR(_xludf.XLOOKUP(G184,'Rea - SK'!A:A,'Rea - SK'!E:E),0)+IFERROR(_xludf.XLOOKUP(H184,'Rea - SK'!A:A,'Rea - SK'!E:E),0)+IFERROR(_xludf.XLOOKUP(I184,'Rea - SK'!A:A,'Rea - SK'!E:E),0)+IFERROR(_xludf.XLOOKUP(J184,'Rea - SK'!A:A,'Rea - SK'!E:E),0)+IFERROR(_xludf.XLOOKUP(K184,'Rea - SK'!A:A,'Rea - SK'!E:E),0)</f>
        <v>0</v>
      </c>
      <c r="F184" s="11">
        <f t="array" aca="1" ref="F184" ca="1">MAX(IFERROR(_xludf.XLOOKUP(G184,'Rea - SK'!A:A,'Rea - SK'!F:F),DATE(1966,6,6)),IFERROR(_xludf.XLOOKUP(H184,'Rea - SK'!A:A,'Rea - SK'!F:F),DATE(1966,6,6)),IFERROR(_xludf.XLOOKUP(I184,'Rea - SK'!A:A,'Rea - SK'!F:F),DATE(1966,6,6)),IFERROR(_xludf.XLOOKUP(J184,'Rea - SK'!A:A,'Rea - SK'!F:F),DATE(1966,6,6)),IFERROR(_xludf.XLOOKUP(K184,'Rea - SK'!A:A,'Rea - SK'!F:F),DATE(1966,6,6)))</f>
        <v>24264</v>
      </c>
      <c r="G184" s="3" t="s">
        <v>1569</v>
      </c>
      <c r="H184" s="2" t="s">
        <v>2621</v>
      </c>
      <c r="I184" s="2" t="s">
        <v>2621</v>
      </c>
      <c r="J184" s="2" t="s">
        <v>2369</v>
      </c>
      <c r="K184" s="2" t="s">
        <v>2369</v>
      </c>
      <c r="L184" s="18"/>
    </row>
    <row r="185" spans="1:12" ht="18.75" customHeight="1" x14ac:dyDescent="0.2">
      <c r="A185" s="2" t="s">
        <v>5097</v>
      </c>
      <c r="B185" s="2">
        <v>50729</v>
      </c>
      <c r="C185" s="2">
        <v>5902557394074</v>
      </c>
      <c r="D185" s="4" t="s">
        <v>5098</v>
      </c>
      <c r="E185" s="3">
        <f t="array" aca="1" ref="E185" ca="1">IFERROR(_xludf.XLOOKUP(G185,'Rea - SK'!A:A,'Rea - SK'!E:E),0)+IFERROR(_xludf.XLOOKUP(H185,'Rea - SK'!A:A,'Rea - SK'!E:E),0)+IFERROR(_xludf.XLOOKUP(I185,'Rea - SK'!A:A,'Rea - SK'!E:E),0)+IFERROR(_xludf.XLOOKUP(J185,'Rea - SK'!A:A,'Rea - SK'!E:E),0)+IFERROR(_xludf.XLOOKUP(K185,'Rea - SK'!A:A,'Rea - SK'!E:E),0)</f>
        <v>0</v>
      </c>
      <c r="F185" s="11">
        <f t="array" aca="1" ref="F185" ca="1">MAX(IFERROR(_xludf.XLOOKUP(G185,'Rea - SK'!A:A,'Rea - SK'!F:F),DATE(1966,6,6)),IFERROR(_xludf.XLOOKUP(H185,'Rea - SK'!A:A,'Rea - SK'!F:F),DATE(1966,6,6)),IFERROR(_xludf.XLOOKUP(I185,'Rea - SK'!A:A,'Rea - SK'!F:F),DATE(1966,6,6)),IFERROR(_xludf.XLOOKUP(J185,'Rea - SK'!A:A,'Rea - SK'!F:F),DATE(1966,6,6)),IFERROR(_xludf.XLOOKUP(K185,'Rea - SK'!A:A,'Rea - SK'!F:F),DATE(1966,6,6)))</f>
        <v>24264</v>
      </c>
      <c r="G185" s="3" t="s">
        <v>1569</v>
      </c>
      <c r="H185" s="2" t="s">
        <v>2619</v>
      </c>
      <c r="I185" s="2" t="s">
        <v>2619</v>
      </c>
      <c r="J185" s="2" t="s">
        <v>2369</v>
      </c>
      <c r="K185" s="2" t="s">
        <v>2369</v>
      </c>
      <c r="L185" s="18"/>
    </row>
    <row r="186" spans="1:12" ht="18.75" customHeight="1" x14ac:dyDescent="0.2">
      <c r="A186" s="2" t="s">
        <v>5099</v>
      </c>
      <c r="B186" s="2">
        <v>50728</v>
      </c>
      <c r="C186" s="2">
        <v>5902557394067</v>
      </c>
      <c r="D186" s="4" t="s">
        <v>5100</v>
      </c>
      <c r="E186" s="3">
        <f t="array" aca="1" ref="E186" ca="1">IFERROR(_xludf.XLOOKUP(G186,'Rea - SK'!A:A,'Rea - SK'!E:E),0)+IFERROR(_xludf.XLOOKUP(H186,'Rea - SK'!A:A,'Rea - SK'!E:E),0)+IFERROR(_xludf.XLOOKUP(I186,'Rea - SK'!A:A,'Rea - SK'!E:E),0)+IFERROR(_xludf.XLOOKUP(J186,'Rea - SK'!A:A,'Rea - SK'!E:E),0)+IFERROR(_xludf.XLOOKUP(K186,'Rea - SK'!A:A,'Rea - SK'!E:E),0)</f>
        <v>0</v>
      </c>
      <c r="F186" s="11">
        <f t="array" aca="1" ref="F186" ca="1">MAX(IFERROR(_xludf.XLOOKUP(G186,'Rea - SK'!A:A,'Rea - SK'!F:F),DATE(1966,6,6)),IFERROR(_xludf.XLOOKUP(H186,'Rea - SK'!A:A,'Rea - SK'!F:F),DATE(1966,6,6)),IFERROR(_xludf.XLOOKUP(I186,'Rea - SK'!A:A,'Rea - SK'!F:F),DATE(1966,6,6)),IFERROR(_xludf.XLOOKUP(J186,'Rea - SK'!A:A,'Rea - SK'!F:F),DATE(1966,6,6)),IFERROR(_xludf.XLOOKUP(K186,'Rea - SK'!A:A,'Rea - SK'!F:F),DATE(1966,6,6)))</f>
        <v>24264</v>
      </c>
      <c r="G186" s="3" t="s">
        <v>1567</v>
      </c>
      <c r="H186" s="2" t="s">
        <v>2617</v>
      </c>
      <c r="I186" s="2" t="s">
        <v>2617</v>
      </c>
      <c r="J186" s="2" t="s">
        <v>2369</v>
      </c>
      <c r="K186" s="2" t="s">
        <v>2369</v>
      </c>
      <c r="L186" s="18"/>
    </row>
    <row r="187" spans="1:12" ht="18.75" customHeight="1" x14ac:dyDescent="0.2">
      <c r="A187" s="2" t="s">
        <v>5101</v>
      </c>
      <c r="B187" s="2">
        <v>50727</v>
      </c>
      <c r="C187" s="2">
        <v>5902557394050</v>
      </c>
      <c r="D187" s="4" t="s">
        <v>5102</v>
      </c>
      <c r="E187" s="3">
        <f t="array" aca="1" ref="E187" ca="1">IFERROR(_xludf.XLOOKUP(G187,'Rea - SK'!A:A,'Rea - SK'!E:E),0)+IFERROR(_xludf.XLOOKUP(H187,'Rea - SK'!A:A,'Rea - SK'!E:E),0)+IFERROR(_xludf.XLOOKUP(I187,'Rea - SK'!A:A,'Rea - SK'!E:E),0)+IFERROR(_xludf.XLOOKUP(J187,'Rea - SK'!A:A,'Rea - SK'!E:E),0)+IFERROR(_xludf.XLOOKUP(K187,'Rea - SK'!A:A,'Rea - SK'!E:E),0)</f>
        <v>0</v>
      </c>
      <c r="F187" s="11">
        <f t="array" aca="1" ref="F187" ca="1">MAX(IFERROR(_xludf.XLOOKUP(G187,'Rea - SK'!A:A,'Rea - SK'!F:F),DATE(1966,6,6)),IFERROR(_xludf.XLOOKUP(H187,'Rea - SK'!A:A,'Rea - SK'!F:F),DATE(1966,6,6)),IFERROR(_xludf.XLOOKUP(I187,'Rea - SK'!A:A,'Rea - SK'!F:F),DATE(1966,6,6)),IFERROR(_xludf.XLOOKUP(J187,'Rea - SK'!A:A,'Rea - SK'!F:F),DATE(1966,6,6)),IFERROR(_xludf.XLOOKUP(K187,'Rea - SK'!A:A,'Rea - SK'!F:F),DATE(1966,6,6)))</f>
        <v>24264</v>
      </c>
      <c r="G187" s="3" t="s">
        <v>1567</v>
      </c>
      <c r="H187" s="2" t="s">
        <v>2621</v>
      </c>
      <c r="I187" s="2" t="s">
        <v>2621</v>
      </c>
      <c r="J187" s="2" t="s">
        <v>2369</v>
      </c>
      <c r="K187" s="2" t="s">
        <v>2369</v>
      </c>
      <c r="L187" s="18"/>
    </row>
    <row r="188" spans="1:12" ht="18.75" customHeight="1" x14ac:dyDescent="0.2">
      <c r="A188" s="2" t="s">
        <v>5103</v>
      </c>
      <c r="B188" s="2">
        <v>50726</v>
      </c>
      <c r="C188" s="2">
        <v>5902557394043</v>
      </c>
      <c r="D188" s="4" t="s">
        <v>5104</v>
      </c>
      <c r="E188" s="3">
        <f t="array" aca="1" ref="E188" ca="1">IFERROR(_xludf.XLOOKUP(G188,'Rea - SK'!A:A,'Rea - SK'!E:E),0)+IFERROR(_xludf.XLOOKUP(H188,'Rea - SK'!A:A,'Rea - SK'!E:E),0)+IFERROR(_xludf.XLOOKUP(I188,'Rea - SK'!A:A,'Rea - SK'!E:E),0)+IFERROR(_xludf.XLOOKUP(J188,'Rea - SK'!A:A,'Rea - SK'!E:E),0)+IFERROR(_xludf.XLOOKUP(K188,'Rea - SK'!A:A,'Rea - SK'!E:E),0)</f>
        <v>0</v>
      </c>
      <c r="F188" s="11">
        <f t="array" aca="1" ref="F188" ca="1">MAX(IFERROR(_xludf.XLOOKUP(G188,'Rea - SK'!A:A,'Rea - SK'!F:F),DATE(1966,6,6)),IFERROR(_xludf.XLOOKUP(H188,'Rea - SK'!A:A,'Rea - SK'!F:F),DATE(1966,6,6)),IFERROR(_xludf.XLOOKUP(I188,'Rea - SK'!A:A,'Rea - SK'!F:F),DATE(1966,6,6)),IFERROR(_xludf.XLOOKUP(J188,'Rea - SK'!A:A,'Rea - SK'!F:F),DATE(1966,6,6)),IFERROR(_xludf.XLOOKUP(K188,'Rea - SK'!A:A,'Rea - SK'!F:F),DATE(1966,6,6)))</f>
        <v>24264</v>
      </c>
      <c r="G188" s="3" t="s">
        <v>1567</v>
      </c>
      <c r="H188" s="2" t="s">
        <v>2619</v>
      </c>
      <c r="I188" s="2" t="s">
        <v>2619</v>
      </c>
      <c r="J188" s="2" t="s">
        <v>2369</v>
      </c>
      <c r="K188" s="2" t="s">
        <v>2369</v>
      </c>
      <c r="L188" s="18"/>
    </row>
    <row r="189" spans="1:12" ht="18.75" customHeight="1" x14ac:dyDescent="0.2">
      <c r="A189" s="2" t="s">
        <v>5105</v>
      </c>
      <c r="B189" s="2">
        <v>50645</v>
      </c>
      <c r="C189" s="2">
        <v>5902557395897</v>
      </c>
      <c r="D189" s="4" t="s">
        <v>5106</v>
      </c>
      <c r="E189" s="3">
        <f t="array" aca="1" ref="E189" ca="1">IFERROR(_xludf.XLOOKUP(G189,'Rea - SK'!A:A,'Rea - SK'!E:E),0)+IFERROR(_xludf.XLOOKUP(H189,'Rea - SK'!A:A,'Rea - SK'!E:E),0)+IFERROR(_xludf.XLOOKUP(I189,'Rea - SK'!A:A,'Rea - SK'!E:E),0)+IFERROR(_xludf.XLOOKUP(J189,'Rea - SK'!A:A,'Rea - SK'!E:E),0)+IFERROR(_xludf.XLOOKUP(K189,'Rea - SK'!A:A,'Rea - SK'!E:E),0)</f>
        <v>0</v>
      </c>
      <c r="F189" s="11">
        <f t="array" aca="1" ref="F189" ca="1">MAX(IFERROR(_xludf.XLOOKUP(G189,'Rea - SK'!A:A,'Rea - SK'!F:F),DATE(1966,6,6)),IFERROR(_xludf.XLOOKUP(H189,'Rea - SK'!A:A,'Rea - SK'!F:F),DATE(1966,6,6)),IFERROR(_xludf.XLOOKUP(I189,'Rea - SK'!A:A,'Rea - SK'!F:F),DATE(1966,6,6)),IFERROR(_xludf.XLOOKUP(J189,'Rea - SK'!A:A,'Rea - SK'!F:F),DATE(1966,6,6)),IFERROR(_xludf.XLOOKUP(K189,'Rea - SK'!A:A,'Rea - SK'!F:F),DATE(1966,6,6)))</f>
        <v>24264</v>
      </c>
      <c r="G189" s="3" t="s">
        <v>1509</v>
      </c>
      <c r="H189" s="2" t="s">
        <v>2629</v>
      </c>
      <c r="I189" s="19"/>
      <c r="J189" s="19"/>
      <c r="K189" s="19"/>
      <c r="L189" s="18"/>
    </row>
    <row r="190" spans="1:12" ht="18.75" customHeight="1" x14ac:dyDescent="0.2">
      <c r="A190" s="2" t="s">
        <v>5107</v>
      </c>
      <c r="B190" s="2">
        <v>50644</v>
      </c>
      <c r="C190" s="2">
        <v>5902557395880</v>
      </c>
      <c r="D190" s="4" t="s">
        <v>5108</v>
      </c>
      <c r="E190" s="3">
        <f t="array" aca="1" ref="E190" ca="1">IFERROR(_xludf.XLOOKUP(G190,'Rea - SK'!A:A,'Rea - SK'!E:E),0)+IFERROR(_xludf.XLOOKUP(H190,'Rea - SK'!A:A,'Rea - SK'!E:E),0)+IFERROR(_xludf.XLOOKUP(I190,'Rea - SK'!A:A,'Rea - SK'!E:E),0)+IFERROR(_xludf.XLOOKUP(J190,'Rea - SK'!A:A,'Rea - SK'!E:E),0)+IFERROR(_xludf.XLOOKUP(K190,'Rea - SK'!A:A,'Rea - SK'!E:E),0)</f>
        <v>0</v>
      </c>
      <c r="F190" s="11">
        <f t="array" aca="1" ref="F190" ca="1">MAX(IFERROR(_xludf.XLOOKUP(G190,'Rea - SK'!A:A,'Rea - SK'!F:F),DATE(1966,6,6)),IFERROR(_xludf.XLOOKUP(H190,'Rea - SK'!A:A,'Rea - SK'!F:F),DATE(1966,6,6)),IFERROR(_xludf.XLOOKUP(I190,'Rea - SK'!A:A,'Rea - SK'!F:F),DATE(1966,6,6)),IFERROR(_xludf.XLOOKUP(J190,'Rea - SK'!A:A,'Rea - SK'!F:F),DATE(1966,6,6)),IFERROR(_xludf.XLOOKUP(K190,'Rea - SK'!A:A,'Rea - SK'!F:F),DATE(1966,6,6)))</f>
        <v>24264</v>
      </c>
      <c r="G190" s="3" t="s">
        <v>1509</v>
      </c>
      <c r="H190" s="2" t="s">
        <v>2633</v>
      </c>
      <c r="I190" s="19"/>
      <c r="J190" s="19"/>
      <c r="K190" s="19"/>
      <c r="L190" s="18"/>
    </row>
    <row r="191" spans="1:12" ht="18.75" customHeight="1" x14ac:dyDescent="0.2">
      <c r="A191" s="2" t="s">
        <v>5109</v>
      </c>
      <c r="B191" s="2">
        <v>50643</v>
      </c>
      <c r="C191" s="2">
        <v>5902557395873</v>
      </c>
      <c r="D191" s="4" t="s">
        <v>5110</v>
      </c>
      <c r="E191" s="3">
        <f t="array" aca="1" ref="E191" ca="1">IFERROR(_xludf.XLOOKUP(G191,'Rea - SK'!A:A,'Rea - SK'!E:E),0)+IFERROR(_xludf.XLOOKUP(H191,'Rea - SK'!A:A,'Rea - SK'!E:E),0)+IFERROR(_xludf.XLOOKUP(I191,'Rea - SK'!A:A,'Rea - SK'!E:E),0)+IFERROR(_xludf.XLOOKUP(J191,'Rea - SK'!A:A,'Rea - SK'!E:E),0)+IFERROR(_xludf.XLOOKUP(K191,'Rea - SK'!A:A,'Rea - SK'!E:E),0)</f>
        <v>0</v>
      </c>
      <c r="F191" s="11">
        <f t="array" aca="1" ref="F191" ca="1">MAX(IFERROR(_xludf.XLOOKUP(G191,'Rea - SK'!A:A,'Rea - SK'!F:F),DATE(1966,6,6)),IFERROR(_xludf.XLOOKUP(H191,'Rea - SK'!A:A,'Rea - SK'!F:F),DATE(1966,6,6)),IFERROR(_xludf.XLOOKUP(I191,'Rea - SK'!A:A,'Rea - SK'!F:F),DATE(1966,6,6)),IFERROR(_xludf.XLOOKUP(J191,'Rea - SK'!A:A,'Rea - SK'!F:F),DATE(1966,6,6)),IFERROR(_xludf.XLOOKUP(K191,'Rea - SK'!A:A,'Rea - SK'!F:F),DATE(1966,6,6)))</f>
        <v>24264</v>
      </c>
      <c r="G191" s="3" t="s">
        <v>1509</v>
      </c>
      <c r="H191" s="2" t="s">
        <v>2631</v>
      </c>
      <c r="I191" s="19"/>
      <c r="J191" s="19"/>
      <c r="K191" s="19"/>
      <c r="L191" s="18"/>
    </row>
    <row r="192" spans="1:12" ht="18.75" customHeight="1" x14ac:dyDescent="0.2">
      <c r="A192" s="2" t="s">
        <v>5111</v>
      </c>
      <c r="B192" s="2">
        <v>50642</v>
      </c>
      <c r="C192" s="2">
        <v>5902557395927</v>
      </c>
      <c r="D192" s="4" t="s">
        <v>5112</v>
      </c>
      <c r="E192" s="3">
        <f t="array" aca="1" ref="E192" ca="1">IFERROR(_xludf.XLOOKUP(G192,'Rea - SK'!A:A,'Rea - SK'!E:E),0)+IFERROR(_xludf.XLOOKUP(H192,'Rea - SK'!A:A,'Rea - SK'!E:E),0)+IFERROR(_xludf.XLOOKUP(I192,'Rea - SK'!A:A,'Rea - SK'!E:E),0)+IFERROR(_xludf.XLOOKUP(J192,'Rea - SK'!A:A,'Rea - SK'!E:E),0)+IFERROR(_xludf.XLOOKUP(K192,'Rea - SK'!A:A,'Rea - SK'!E:E),0)</f>
        <v>0</v>
      </c>
      <c r="F192" s="11">
        <f t="array" aca="1" ref="F192" ca="1">MAX(IFERROR(_xludf.XLOOKUP(G192,'Rea - SK'!A:A,'Rea - SK'!F:F),DATE(1966,6,6)),IFERROR(_xludf.XLOOKUP(H192,'Rea - SK'!A:A,'Rea - SK'!F:F),DATE(1966,6,6)),IFERROR(_xludf.XLOOKUP(I192,'Rea - SK'!A:A,'Rea - SK'!F:F),DATE(1966,6,6)),IFERROR(_xludf.XLOOKUP(J192,'Rea - SK'!A:A,'Rea - SK'!F:F),DATE(1966,6,6)),IFERROR(_xludf.XLOOKUP(K192,'Rea - SK'!A:A,'Rea - SK'!F:F),DATE(1966,6,6)))</f>
        <v>24264</v>
      </c>
      <c r="G192" s="3" t="s">
        <v>1513</v>
      </c>
      <c r="H192" s="2" t="s">
        <v>2629</v>
      </c>
      <c r="I192" s="19"/>
      <c r="J192" s="19"/>
      <c r="K192" s="19"/>
      <c r="L192" s="18"/>
    </row>
    <row r="193" spans="1:12" ht="18.75" customHeight="1" x14ac:dyDescent="0.2">
      <c r="A193" s="2" t="s">
        <v>5113</v>
      </c>
      <c r="B193" s="2">
        <v>50641</v>
      </c>
      <c r="C193" s="2">
        <v>5902557395910</v>
      </c>
      <c r="D193" s="4" t="s">
        <v>5114</v>
      </c>
      <c r="E193" s="3">
        <f t="array" aca="1" ref="E193" ca="1">IFERROR(_xludf.XLOOKUP(G193,'Rea - SK'!A:A,'Rea - SK'!E:E),0)+IFERROR(_xludf.XLOOKUP(H193,'Rea - SK'!A:A,'Rea - SK'!E:E),0)+IFERROR(_xludf.XLOOKUP(I193,'Rea - SK'!A:A,'Rea - SK'!E:E),0)+IFERROR(_xludf.XLOOKUP(J193,'Rea - SK'!A:A,'Rea - SK'!E:E),0)+IFERROR(_xludf.XLOOKUP(K193,'Rea - SK'!A:A,'Rea - SK'!E:E),0)</f>
        <v>0</v>
      </c>
      <c r="F193" s="11">
        <f t="array" aca="1" ref="F193" ca="1">MAX(IFERROR(_xludf.XLOOKUP(G193,'Rea - SK'!A:A,'Rea - SK'!F:F),DATE(1966,6,6)),IFERROR(_xludf.XLOOKUP(H193,'Rea - SK'!A:A,'Rea - SK'!F:F),DATE(1966,6,6)),IFERROR(_xludf.XLOOKUP(I193,'Rea - SK'!A:A,'Rea - SK'!F:F),DATE(1966,6,6)),IFERROR(_xludf.XLOOKUP(J193,'Rea - SK'!A:A,'Rea - SK'!F:F),DATE(1966,6,6)),IFERROR(_xludf.XLOOKUP(K193,'Rea - SK'!A:A,'Rea - SK'!F:F),DATE(1966,6,6)))</f>
        <v>24264</v>
      </c>
      <c r="G193" s="3" t="s">
        <v>1513</v>
      </c>
      <c r="H193" s="2" t="s">
        <v>2633</v>
      </c>
      <c r="I193" s="19"/>
      <c r="J193" s="19"/>
      <c r="K193" s="19"/>
      <c r="L193" s="18"/>
    </row>
    <row r="194" spans="1:12" ht="18.75" customHeight="1" x14ac:dyDescent="0.2">
      <c r="A194" s="2" t="s">
        <v>5115</v>
      </c>
      <c r="B194" s="2">
        <v>50640</v>
      </c>
      <c r="C194" s="2">
        <v>5902557395903</v>
      </c>
      <c r="D194" s="4" t="s">
        <v>5116</v>
      </c>
      <c r="E194" s="3">
        <f t="array" aca="1" ref="E194" ca="1">IFERROR(_xludf.XLOOKUP(G194,'Rea - SK'!A:A,'Rea - SK'!E:E),0)+IFERROR(_xludf.XLOOKUP(H194,'Rea - SK'!A:A,'Rea - SK'!E:E),0)+IFERROR(_xludf.XLOOKUP(I194,'Rea - SK'!A:A,'Rea - SK'!E:E),0)+IFERROR(_xludf.XLOOKUP(J194,'Rea - SK'!A:A,'Rea - SK'!E:E),0)+IFERROR(_xludf.XLOOKUP(K194,'Rea - SK'!A:A,'Rea - SK'!E:E),0)</f>
        <v>0</v>
      </c>
      <c r="F194" s="11">
        <f t="array" aca="1" ref="F194" ca="1">MAX(IFERROR(_xludf.XLOOKUP(G194,'Rea - SK'!A:A,'Rea - SK'!F:F),DATE(1966,6,6)),IFERROR(_xludf.XLOOKUP(H194,'Rea - SK'!A:A,'Rea - SK'!F:F),DATE(1966,6,6)),IFERROR(_xludf.XLOOKUP(I194,'Rea - SK'!A:A,'Rea - SK'!F:F),DATE(1966,6,6)),IFERROR(_xludf.XLOOKUP(J194,'Rea - SK'!A:A,'Rea - SK'!F:F),DATE(1966,6,6)),IFERROR(_xludf.XLOOKUP(K194,'Rea - SK'!A:A,'Rea - SK'!F:F),DATE(1966,6,6)))</f>
        <v>24264</v>
      </c>
      <c r="G194" s="3" t="s">
        <v>1513</v>
      </c>
      <c r="H194" s="2" t="s">
        <v>2631</v>
      </c>
      <c r="I194" s="19"/>
      <c r="J194" s="19"/>
      <c r="K194" s="19"/>
      <c r="L194" s="18"/>
    </row>
    <row r="195" spans="1:12" ht="18.75" customHeight="1" x14ac:dyDescent="0.2">
      <c r="A195" s="2" t="s">
        <v>5117</v>
      </c>
      <c r="B195" s="2">
        <v>50639</v>
      </c>
      <c r="C195" s="2">
        <v>5902557395958</v>
      </c>
      <c r="D195" s="4" t="s">
        <v>5118</v>
      </c>
      <c r="E195" s="3">
        <f t="array" aca="1" ref="E195" ca="1">IFERROR(_xludf.XLOOKUP(G195,'Rea - SK'!A:A,'Rea - SK'!E:E),0)+IFERROR(_xludf.XLOOKUP(H195,'Rea - SK'!A:A,'Rea - SK'!E:E),0)+IFERROR(_xludf.XLOOKUP(I195,'Rea - SK'!A:A,'Rea - SK'!E:E),0)+IFERROR(_xludf.XLOOKUP(J195,'Rea - SK'!A:A,'Rea - SK'!E:E),0)+IFERROR(_xludf.XLOOKUP(K195,'Rea - SK'!A:A,'Rea - SK'!E:E),0)</f>
        <v>0</v>
      </c>
      <c r="F195" s="11">
        <f t="array" aca="1" ref="F195" ca="1">MAX(IFERROR(_xludf.XLOOKUP(G195,'Rea - SK'!A:A,'Rea - SK'!F:F),DATE(1966,6,6)),IFERROR(_xludf.XLOOKUP(H195,'Rea - SK'!A:A,'Rea - SK'!F:F),DATE(1966,6,6)),IFERROR(_xludf.XLOOKUP(I195,'Rea - SK'!A:A,'Rea - SK'!F:F),DATE(1966,6,6)),IFERROR(_xludf.XLOOKUP(J195,'Rea - SK'!A:A,'Rea - SK'!F:F),DATE(1966,6,6)),IFERROR(_xludf.XLOOKUP(K195,'Rea - SK'!A:A,'Rea - SK'!F:F),DATE(1966,6,6)))</f>
        <v>24264</v>
      </c>
      <c r="G195" s="3" t="s">
        <v>1511</v>
      </c>
      <c r="H195" s="2" t="s">
        <v>2629</v>
      </c>
      <c r="I195" s="19"/>
      <c r="J195" s="19"/>
      <c r="K195" s="19"/>
      <c r="L195" s="18"/>
    </row>
    <row r="196" spans="1:12" ht="18.75" customHeight="1" x14ac:dyDescent="0.2">
      <c r="A196" s="2" t="s">
        <v>5119</v>
      </c>
      <c r="B196" s="2">
        <v>50638</v>
      </c>
      <c r="C196" s="2">
        <v>5902557395941</v>
      </c>
      <c r="D196" s="4" t="s">
        <v>5120</v>
      </c>
      <c r="E196" s="3">
        <f t="array" aca="1" ref="E196" ca="1">IFERROR(_xludf.XLOOKUP(G196,'Rea - SK'!A:A,'Rea - SK'!E:E),0)+IFERROR(_xludf.XLOOKUP(H196,'Rea - SK'!A:A,'Rea - SK'!E:E),0)+IFERROR(_xludf.XLOOKUP(I196,'Rea - SK'!A:A,'Rea - SK'!E:E),0)+IFERROR(_xludf.XLOOKUP(J196,'Rea - SK'!A:A,'Rea - SK'!E:E),0)+IFERROR(_xludf.XLOOKUP(K196,'Rea - SK'!A:A,'Rea - SK'!E:E),0)</f>
        <v>0</v>
      </c>
      <c r="F196" s="11">
        <f t="array" aca="1" ref="F196" ca="1">MAX(IFERROR(_xludf.XLOOKUP(G196,'Rea - SK'!A:A,'Rea - SK'!F:F),DATE(1966,6,6)),IFERROR(_xludf.XLOOKUP(H196,'Rea - SK'!A:A,'Rea - SK'!F:F),DATE(1966,6,6)),IFERROR(_xludf.XLOOKUP(I196,'Rea - SK'!A:A,'Rea - SK'!F:F),DATE(1966,6,6)),IFERROR(_xludf.XLOOKUP(J196,'Rea - SK'!A:A,'Rea - SK'!F:F),DATE(1966,6,6)),IFERROR(_xludf.XLOOKUP(K196,'Rea - SK'!A:A,'Rea - SK'!F:F),DATE(1966,6,6)))</f>
        <v>24264</v>
      </c>
      <c r="G196" s="3" t="s">
        <v>1511</v>
      </c>
      <c r="H196" s="2" t="s">
        <v>2633</v>
      </c>
      <c r="I196" s="19"/>
      <c r="J196" s="19"/>
      <c r="K196" s="19"/>
      <c r="L196" s="18"/>
    </row>
    <row r="197" spans="1:12" ht="18.75" customHeight="1" x14ac:dyDescent="0.2">
      <c r="A197" s="2" t="s">
        <v>5121</v>
      </c>
      <c r="B197" s="2">
        <v>50637</v>
      </c>
      <c r="C197" s="2">
        <v>5902557395934</v>
      </c>
      <c r="D197" s="4" t="s">
        <v>5122</v>
      </c>
      <c r="E197" s="3">
        <f t="array" aca="1" ref="E197" ca="1">IFERROR(_xludf.XLOOKUP(G197,'Rea - SK'!A:A,'Rea - SK'!E:E),0)+IFERROR(_xludf.XLOOKUP(H197,'Rea - SK'!A:A,'Rea - SK'!E:E),0)+IFERROR(_xludf.XLOOKUP(I197,'Rea - SK'!A:A,'Rea - SK'!E:E),0)+IFERROR(_xludf.XLOOKUP(J197,'Rea - SK'!A:A,'Rea - SK'!E:E),0)+IFERROR(_xludf.XLOOKUP(K197,'Rea - SK'!A:A,'Rea - SK'!E:E),0)</f>
        <v>0</v>
      </c>
      <c r="F197" s="11">
        <f t="array" aca="1" ref="F197" ca="1">MAX(IFERROR(_xludf.XLOOKUP(G197,'Rea - SK'!A:A,'Rea - SK'!F:F),DATE(1966,6,6)),IFERROR(_xludf.XLOOKUP(H197,'Rea - SK'!A:A,'Rea - SK'!F:F),DATE(1966,6,6)),IFERROR(_xludf.XLOOKUP(I197,'Rea - SK'!A:A,'Rea - SK'!F:F),DATE(1966,6,6)),IFERROR(_xludf.XLOOKUP(J197,'Rea - SK'!A:A,'Rea - SK'!F:F),DATE(1966,6,6)),IFERROR(_xludf.XLOOKUP(K197,'Rea - SK'!A:A,'Rea - SK'!F:F),DATE(1966,6,6)))</f>
        <v>24264</v>
      </c>
      <c r="G197" s="3" t="s">
        <v>1511</v>
      </c>
      <c r="H197" s="2" t="s">
        <v>2631</v>
      </c>
      <c r="I197" s="19"/>
      <c r="J197" s="19"/>
      <c r="K197" s="19"/>
      <c r="L197" s="18"/>
    </row>
    <row r="198" spans="1:12" ht="18.75" customHeight="1" x14ac:dyDescent="0.2">
      <c r="A198" s="2" t="s">
        <v>5123</v>
      </c>
      <c r="B198" s="2">
        <v>50529</v>
      </c>
      <c r="C198" s="2">
        <v>5902557392841</v>
      </c>
      <c r="D198" s="4" t="s">
        <v>5124</v>
      </c>
      <c r="E198" s="3">
        <f t="array" aca="1" ref="E198" ca="1">IFERROR(_xludf.XLOOKUP(G198,'Rea - SK'!A:A,'Rea - SK'!E:E),0)+IFERROR(_xludf.XLOOKUP(H198,'Rea - SK'!A:A,'Rea - SK'!E:E),0)+IFERROR(_xludf.XLOOKUP(I198,'Rea - SK'!A:A,'Rea - SK'!E:E),0)+IFERROR(_xludf.XLOOKUP(J198,'Rea - SK'!A:A,'Rea - SK'!E:E),0)+IFERROR(_xludf.XLOOKUP(K198,'Rea - SK'!A:A,'Rea - SK'!E:E),0)</f>
        <v>0</v>
      </c>
      <c r="F198" s="11">
        <f t="array" aca="1" ref="F198" ca="1">MAX(IFERROR(_xludf.XLOOKUP(G198,'Rea - SK'!A:A,'Rea - SK'!F:F),DATE(1966,6,6)),IFERROR(_xludf.XLOOKUP(H198,'Rea - SK'!A:A,'Rea - SK'!F:F),DATE(1966,6,6)),IFERROR(_xludf.XLOOKUP(I198,'Rea - SK'!A:A,'Rea - SK'!F:F),DATE(1966,6,6)),IFERROR(_xludf.XLOOKUP(J198,'Rea - SK'!A:A,'Rea - SK'!F:F),DATE(1966,6,6)),IFERROR(_xludf.XLOOKUP(K198,'Rea - SK'!A:A,'Rea - SK'!F:F),DATE(1966,6,6)))</f>
        <v>24264</v>
      </c>
      <c r="G198" s="3" t="s">
        <v>1457</v>
      </c>
      <c r="H198" s="2" t="s">
        <v>1457</v>
      </c>
      <c r="I198" s="19"/>
      <c r="J198" s="19"/>
      <c r="K198" s="19"/>
      <c r="L198" s="18"/>
    </row>
    <row r="199" spans="1:12" ht="18.75" customHeight="1" x14ac:dyDescent="0.2">
      <c r="A199" s="2" t="s">
        <v>5125</v>
      </c>
      <c r="B199" s="2">
        <v>50528</v>
      </c>
      <c r="C199" s="2">
        <v>5902557392810</v>
      </c>
      <c r="D199" s="4" t="s">
        <v>5126</v>
      </c>
      <c r="E199" s="3">
        <f t="array" aca="1" ref="E199" ca="1">IFERROR(_xludf.XLOOKUP(G199,'Rea - SK'!A:A,'Rea - SK'!E:E),0)+IFERROR(_xludf.XLOOKUP(H199,'Rea - SK'!A:A,'Rea - SK'!E:E),0)+IFERROR(_xludf.XLOOKUP(I199,'Rea - SK'!A:A,'Rea - SK'!E:E),0)+IFERROR(_xludf.XLOOKUP(J199,'Rea - SK'!A:A,'Rea - SK'!E:E),0)+IFERROR(_xludf.XLOOKUP(K199,'Rea - SK'!A:A,'Rea - SK'!E:E),0)</f>
        <v>0</v>
      </c>
      <c r="F199" s="11">
        <f t="array" aca="1" ref="F199" ca="1">MAX(IFERROR(_xludf.XLOOKUP(G199,'Rea - SK'!A:A,'Rea - SK'!F:F),DATE(1966,6,6)),IFERROR(_xludf.XLOOKUP(H199,'Rea - SK'!A:A,'Rea - SK'!F:F),DATE(1966,6,6)),IFERROR(_xludf.XLOOKUP(I199,'Rea - SK'!A:A,'Rea - SK'!F:F),DATE(1966,6,6)),IFERROR(_xludf.XLOOKUP(J199,'Rea - SK'!A:A,'Rea - SK'!F:F),DATE(1966,6,6)),IFERROR(_xludf.XLOOKUP(K199,'Rea - SK'!A:A,'Rea - SK'!F:F),DATE(1966,6,6)))</f>
        <v>24264</v>
      </c>
      <c r="G199" s="3" t="s">
        <v>1455</v>
      </c>
      <c r="H199" s="2" t="s">
        <v>1457</v>
      </c>
      <c r="I199" s="19"/>
      <c r="J199" s="19"/>
      <c r="K199" s="19"/>
      <c r="L199" s="18"/>
    </row>
    <row r="200" spans="1:12" ht="18.75" customHeight="1" x14ac:dyDescent="0.2">
      <c r="A200" s="2" t="s">
        <v>5127</v>
      </c>
      <c r="B200" s="2">
        <v>50527</v>
      </c>
      <c r="C200" s="2">
        <v>5902557392803</v>
      </c>
      <c r="D200" s="4" t="s">
        <v>5128</v>
      </c>
      <c r="E200" s="3">
        <f t="array" aca="1" ref="E200" ca="1">IFERROR(_xludf.XLOOKUP(G200,'Rea - SK'!A:A,'Rea - SK'!E:E),0)+IFERROR(_xludf.XLOOKUP(H200,'Rea - SK'!A:A,'Rea - SK'!E:E),0)+IFERROR(_xludf.XLOOKUP(I200,'Rea - SK'!A:A,'Rea - SK'!E:E),0)+IFERROR(_xludf.XLOOKUP(J200,'Rea - SK'!A:A,'Rea - SK'!E:E),0)+IFERROR(_xludf.XLOOKUP(K200,'Rea - SK'!A:A,'Rea - SK'!E:E),0)</f>
        <v>0</v>
      </c>
      <c r="F200" s="11">
        <f t="array" aca="1" ref="F200" ca="1">MAX(IFERROR(_xludf.XLOOKUP(G200,'Rea - SK'!A:A,'Rea - SK'!F:F),DATE(1966,6,6)),IFERROR(_xludf.XLOOKUP(H200,'Rea - SK'!A:A,'Rea - SK'!F:F),DATE(1966,6,6)),IFERROR(_xludf.XLOOKUP(I200,'Rea - SK'!A:A,'Rea - SK'!F:F),DATE(1966,6,6)),IFERROR(_xludf.XLOOKUP(J200,'Rea - SK'!A:A,'Rea - SK'!F:F),DATE(1966,6,6)),IFERROR(_xludf.XLOOKUP(K200,'Rea - SK'!A:A,'Rea - SK'!F:F),DATE(1966,6,6)))</f>
        <v>24264</v>
      </c>
      <c r="G200" s="3" t="s">
        <v>1461</v>
      </c>
      <c r="H200" s="2" t="s">
        <v>1457</v>
      </c>
      <c r="I200" s="19"/>
      <c r="J200" s="19"/>
      <c r="K200" s="19"/>
      <c r="L200" s="18"/>
    </row>
    <row r="201" spans="1:12" ht="18.75" customHeight="1" x14ac:dyDescent="0.2">
      <c r="A201" s="2" t="s">
        <v>5129</v>
      </c>
      <c r="B201" s="2">
        <v>50526</v>
      </c>
      <c r="C201" s="2">
        <v>5902557392797</v>
      </c>
      <c r="D201" s="4" t="s">
        <v>5130</v>
      </c>
      <c r="E201" s="3">
        <f t="array" aca="1" ref="E201" ca="1">IFERROR(_xludf.XLOOKUP(G201,'Rea - SK'!A:A,'Rea - SK'!E:E),0)+IFERROR(_xludf.XLOOKUP(H201,'Rea - SK'!A:A,'Rea - SK'!E:E),0)+IFERROR(_xludf.XLOOKUP(I201,'Rea - SK'!A:A,'Rea - SK'!E:E),0)+IFERROR(_xludf.XLOOKUP(J201,'Rea - SK'!A:A,'Rea - SK'!E:E),0)+IFERROR(_xludf.XLOOKUP(K201,'Rea - SK'!A:A,'Rea - SK'!E:E),0)</f>
        <v>0</v>
      </c>
      <c r="F201" s="11">
        <f t="array" aca="1" ref="F201" ca="1">MAX(IFERROR(_xludf.XLOOKUP(G201,'Rea - SK'!A:A,'Rea - SK'!F:F),DATE(1966,6,6)),IFERROR(_xludf.XLOOKUP(H201,'Rea - SK'!A:A,'Rea - SK'!F:F),DATE(1966,6,6)),IFERROR(_xludf.XLOOKUP(I201,'Rea - SK'!A:A,'Rea - SK'!F:F),DATE(1966,6,6)),IFERROR(_xludf.XLOOKUP(J201,'Rea - SK'!A:A,'Rea - SK'!F:F),DATE(1966,6,6)),IFERROR(_xludf.XLOOKUP(K201,'Rea - SK'!A:A,'Rea - SK'!F:F),DATE(1966,6,6)))</f>
        <v>24264</v>
      </c>
      <c r="G201" s="3" t="s">
        <v>1459</v>
      </c>
      <c r="H201" s="2" t="s">
        <v>1457</v>
      </c>
      <c r="I201" s="19"/>
      <c r="J201" s="19"/>
      <c r="K201" s="19"/>
      <c r="L201" s="18"/>
    </row>
    <row r="202" spans="1:12" ht="18.75" customHeight="1" x14ac:dyDescent="0.2">
      <c r="A202" s="2" t="s">
        <v>5131</v>
      </c>
      <c r="B202" s="2">
        <v>50523</v>
      </c>
      <c r="C202" s="2">
        <v>5902557392773</v>
      </c>
      <c r="D202" s="4" t="s">
        <v>5132</v>
      </c>
      <c r="E202" s="3">
        <f t="array" aca="1" ref="E202" ca="1">IFERROR(_xludf.XLOOKUP(G202,'Rea - SK'!A:A,'Rea - SK'!E:E),0)+IFERROR(_xludf.XLOOKUP(H202,'Rea - SK'!A:A,'Rea - SK'!E:E),0)+IFERROR(_xludf.XLOOKUP(I202,'Rea - SK'!A:A,'Rea - SK'!E:E),0)+IFERROR(_xludf.XLOOKUP(J202,'Rea - SK'!A:A,'Rea - SK'!E:E),0)+IFERROR(_xludf.XLOOKUP(K202,'Rea - SK'!A:A,'Rea - SK'!E:E),0)</f>
        <v>0</v>
      </c>
      <c r="F202" s="11">
        <f t="array" aca="1" ref="F202" ca="1">MAX(IFERROR(_xludf.XLOOKUP(G202,'Rea - SK'!A:A,'Rea - SK'!F:F),DATE(1966,6,6)),IFERROR(_xludf.XLOOKUP(H202,'Rea - SK'!A:A,'Rea - SK'!F:F),DATE(1966,6,6)),IFERROR(_xludf.XLOOKUP(I202,'Rea - SK'!A:A,'Rea - SK'!F:F),DATE(1966,6,6)),IFERROR(_xludf.XLOOKUP(J202,'Rea - SK'!A:A,'Rea - SK'!F:F),DATE(1966,6,6)),IFERROR(_xludf.XLOOKUP(K202,'Rea - SK'!A:A,'Rea - SK'!F:F),DATE(1966,6,6)))</f>
        <v>24264</v>
      </c>
      <c r="G202" s="3" t="s">
        <v>1457</v>
      </c>
      <c r="H202" s="2" t="s">
        <v>2605</v>
      </c>
      <c r="I202" s="19"/>
      <c r="J202" s="19"/>
      <c r="K202" s="19"/>
      <c r="L202" s="18"/>
    </row>
    <row r="203" spans="1:12" ht="18.75" customHeight="1" x14ac:dyDescent="0.2">
      <c r="A203" s="2" t="s">
        <v>5133</v>
      </c>
      <c r="B203" s="2">
        <v>50261</v>
      </c>
      <c r="C203" s="2">
        <v>5902557392858</v>
      </c>
      <c r="D203" s="4" t="s">
        <v>5134</v>
      </c>
      <c r="E203" s="3">
        <f t="array" aca="1" ref="E203" ca="1">IFERROR(_xludf.XLOOKUP(G203,'Rea - SK'!A:A,'Rea - SK'!E:E),0)+IFERROR(_xludf.XLOOKUP(H203,'Rea - SK'!A:A,'Rea - SK'!E:E),0)+IFERROR(_xludf.XLOOKUP(I203,'Rea - SK'!A:A,'Rea - SK'!E:E),0)+IFERROR(_xludf.XLOOKUP(J203,'Rea - SK'!A:A,'Rea - SK'!E:E),0)+IFERROR(_xludf.XLOOKUP(K203,'Rea - SK'!A:A,'Rea - SK'!E:E),0)</f>
        <v>0</v>
      </c>
      <c r="F203" s="11">
        <f t="array" aca="1" ref="F203" ca="1">MAX(IFERROR(_xludf.XLOOKUP(G203,'Rea - SK'!A:A,'Rea - SK'!F:F),DATE(1966,6,6)),IFERROR(_xludf.XLOOKUP(H203,'Rea - SK'!A:A,'Rea - SK'!F:F),DATE(1966,6,6)),IFERROR(_xludf.XLOOKUP(I203,'Rea - SK'!A:A,'Rea - SK'!F:F),DATE(1966,6,6)),IFERROR(_xludf.XLOOKUP(J203,'Rea - SK'!A:A,'Rea - SK'!F:F),DATE(1966,6,6)),IFERROR(_xludf.XLOOKUP(K203,'Rea - SK'!A:A,'Rea - SK'!F:F),DATE(1966,6,6)))</f>
        <v>24264</v>
      </c>
      <c r="G203" s="3" t="s">
        <v>1457</v>
      </c>
      <c r="H203" s="2" t="s">
        <v>11</v>
      </c>
      <c r="I203" s="19"/>
      <c r="J203" s="19"/>
      <c r="K203" s="19"/>
      <c r="L203" s="18"/>
    </row>
    <row r="204" spans="1:12" ht="18.75" customHeight="1" x14ac:dyDescent="0.2">
      <c r="A204" s="2" t="s">
        <v>5135</v>
      </c>
      <c r="B204" s="2">
        <v>50219</v>
      </c>
      <c r="C204" s="2">
        <v>5902557398782</v>
      </c>
      <c r="D204" s="4" t="s">
        <v>5136</v>
      </c>
      <c r="E204" s="3">
        <f t="array" aca="1" ref="E204" ca="1">IFERROR(_xludf.XLOOKUP(G204,'Rea - SK'!A:A,'Rea - SK'!E:E),0)+IFERROR(_xludf.XLOOKUP(H204,'Rea - SK'!A:A,'Rea - SK'!E:E),0)+IFERROR(_xludf.XLOOKUP(I204,'Rea - SK'!A:A,'Rea - SK'!E:E),0)+IFERROR(_xludf.XLOOKUP(J204,'Rea - SK'!A:A,'Rea - SK'!E:E),0)+IFERROR(_xludf.XLOOKUP(K204,'Rea - SK'!A:A,'Rea - SK'!E:E),0)</f>
        <v>0</v>
      </c>
      <c r="F204" s="11">
        <f t="array" aca="1" ref="F204" ca="1">MAX(IFERROR(_xludf.XLOOKUP(G204,'Rea - SK'!A:A,'Rea - SK'!F:F),DATE(1966,6,6)),IFERROR(_xludf.XLOOKUP(H204,'Rea - SK'!A:A,'Rea - SK'!F:F),DATE(1966,6,6)),IFERROR(_xludf.XLOOKUP(I204,'Rea - SK'!A:A,'Rea - SK'!F:F),DATE(1966,6,6)),IFERROR(_xludf.XLOOKUP(J204,'Rea - SK'!A:A,'Rea - SK'!F:F),DATE(1966,6,6)),IFERROR(_xludf.XLOOKUP(K204,'Rea - SK'!A:A,'Rea - SK'!F:F),DATE(1966,6,6)))</f>
        <v>24264</v>
      </c>
      <c r="G204" s="3" t="s">
        <v>1455</v>
      </c>
      <c r="H204" s="2" t="s">
        <v>1455</v>
      </c>
      <c r="I204" s="19"/>
      <c r="J204" s="19"/>
      <c r="K204" s="19"/>
      <c r="L204" s="18"/>
    </row>
    <row r="205" spans="1:12" ht="18.75" customHeight="1" x14ac:dyDescent="0.2">
      <c r="A205" s="2" t="s">
        <v>5137</v>
      </c>
      <c r="B205" s="2">
        <v>50218</v>
      </c>
      <c r="C205" s="2">
        <v>5902557398744</v>
      </c>
      <c r="D205" s="4" t="s">
        <v>5138</v>
      </c>
      <c r="E205" s="3">
        <f t="array" aca="1" ref="E205" ca="1">IFERROR(_xludf.XLOOKUP(G205,'Rea - SK'!A:A,'Rea - SK'!E:E),0)+IFERROR(_xludf.XLOOKUP(H205,'Rea - SK'!A:A,'Rea - SK'!E:E),0)+IFERROR(_xludf.XLOOKUP(I205,'Rea - SK'!A:A,'Rea - SK'!E:E),0)+IFERROR(_xludf.XLOOKUP(J205,'Rea - SK'!A:A,'Rea - SK'!E:E),0)+IFERROR(_xludf.XLOOKUP(K205,'Rea - SK'!A:A,'Rea - SK'!E:E),0)</f>
        <v>0</v>
      </c>
      <c r="F205" s="11">
        <f t="array" aca="1" ref="F205" ca="1">MAX(IFERROR(_xludf.XLOOKUP(G205,'Rea - SK'!A:A,'Rea - SK'!F:F),DATE(1966,6,6)),IFERROR(_xludf.XLOOKUP(H205,'Rea - SK'!A:A,'Rea - SK'!F:F),DATE(1966,6,6)),IFERROR(_xludf.XLOOKUP(I205,'Rea - SK'!A:A,'Rea - SK'!F:F),DATE(1966,6,6)),IFERROR(_xludf.XLOOKUP(J205,'Rea - SK'!A:A,'Rea - SK'!F:F),DATE(1966,6,6)),IFERROR(_xludf.XLOOKUP(K205,'Rea - SK'!A:A,'Rea - SK'!F:F),DATE(1966,6,6)))</f>
        <v>24264</v>
      </c>
      <c r="G205" s="3" t="s">
        <v>1461</v>
      </c>
      <c r="H205" s="2" t="s">
        <v>1455</v>
      </c>
      <c r="I205" s="19"/>
      <c r="J205" s="19"/>
      <c r="K205" s="19"/>
      <c r="L205" s="18"/>
    </row>
    <row r="206" spans="1:12" ht="18.75" customHeight="1" x14ac:dyDescent="0.2">
      <c r="A206" s="2" t="s">
        <v>5139</v>
      </c>
      <c r="B206" s="2">
        <v>50217</v>
      </c>
      <c r="C206" s="2">
        <v>5902557386505</v>
      </c>
      <c r="D206" s="4" t="s">
        <v>5140</v>
      </c>
      <c r="E206" s="3">
        <f t="array" aca="1" ref="E206" ca="1">IFERROR(_xludf.XLOOKUP(G206,'Rea - SK'!A:A,'Rea - SK'!E:E),0)+IFERROR(_xludf.XLOOKUP(H206,'Rea - SK'!A:A,'Rea - SK'!E:E),0)+IFERROR(_xludf.XLOOKUP(I206,'Rea - SK'!A:A,'Rea - SK'!E:E),0)+IFERROR(_xludf.XLOOKUP(J206,'Rea - SK'!A:A,'Rea - SK'!E:E),0)+IFERROR(_xludf.XLOOKUP(K206,'Rea - SK'!A:A,'Rea - SK'!E:E),0)</f>
        <v>0</v>
      </c>
      <c r="F206" s="11">
        <f t="array" aca="1" ref="F206" ca="1">MAX(IFERROR(_xludf.XLOOKUP(G206,'Rea - SK'!A:A,'Rea - SK'!F:F),DATE(1966,6,6)),IFERROR(_xludf.XLOOKUP(H206,'Rea - SK'!A:A,'Rea - SK'!F:F),DATE(1966,6,6)),IFERROR(_xludf.XLOOKUP(I206,'Rea - SK'!A:A,'Rea - SK'!F:F),DATE(1966,6,6)),IFERROR(_xludf.XLOOKUP(J206,'Rea - SK'!A:A,'Rea - SK'!F:F),DATE(1966,6,6)),IFERROR(_xludf.XLOOKUP(K206,'Rea - SK'!A:A,'Rea - SK'!F:F),DATE(1966,6,6)))</f>
        <v>24264</v>
      </c>
      <c r="G206" s="3" t="s">
        <v>1461</v>
      </c>
      <c r="H206" s="2" t="s">
        <v>1461</v>
      </c>
      <c r="I206" s="19"/>
      <c r="J206" s="19"/>
      <c r="K206" s="19"/>
      <c r="L206" s="18"/>
    </row>
    <row r="207" spans="1:12" ht="18.75" customHeight="1" x14ac:dyDescent="0.2">
      <c r="A207" s="2" t="s">
        <v>5141</v>
      </c>
      <c r="B207" s="2">
        <v>50216</v>
      </c>
      <c r="C207" s="2">
        <v>5902557398799</v>
      </c>
      <c r="D207" s="4" t="s">
        <v>5142</v>
      </c>
      <c r="E207" s="3">
        <f t="array" aca="1" ref="E207" ca="1">IFERROR(_xludf.XLOOKUP(G207,'Rea - SK'!A:A,'Rea - SK'!E:E),0)+IFERROR(_xludf.XLOOKUP(H207,'Rea - SK'!A:A,'Rea - SK'!E:E),0)+IFERROR(_xludf.XLOOKUP(I207,'Rea - SK'!A:A,'Rea - SK'!E:E),0)+IFERROR(_xludf.XLOOKUP(J207,'Rea - SK'!A:A,'Rea - SK'!E:E),0)+IFERROR(_xludf.XLOOKUP(K207,'Rea - SK'!A:A,'Rea - SK'!E:E),0)</f>
        <v>0</v>
      </c>
      <c r="F207" s="11">
        <f t="array" aca="1" ref="F207" ca="1">MAX(IFERROR(_xludf.XLOOKUP(G207,'Rea - SK'!A:A,'Rea - SK'!F:F),DATE(1966,6,6)),IFERROR(_xludf.XLOOKUP(H207,'Rea - SK'!A:A,'Rea - SK'!F:F),DATE(1966,6,6)),IFERROR(_xludf.XLOOKUP(I207,'Rea - SK'!A:A,'Rea - SK'!F:F),DATE(1966,6,6)),IFERROR(_xludf.XLOOKUP(J207,'Rea - SK'!A:A,'Rea - SK'!F:F),DATE(1966,6,6)),IFERROR(_xludf.XLOOKUP(K207,'Rea - SK'!A:A,'Rea - SK'!F:F),DATE(1966,6,6)))</f>
        <v>24264</v>
      </c>
      <c r="G207" s="3" t="s">
        <v>1459</v>
      </c>
      <c r="H207" s="2" t="s">
        <v>1455</v>
      </c>
      <c r="I207" s="19"/>
      <c r="J207" s="19"/>
      <c r="K207" s="19"/>
      <c r="L207" s="18"/>
    </row>
    <row r="208" spans="1:12" ht="18.75" customHeight="1" x14ac:dyDescent="0.2">
      <c r="A208" s="2" t="s">
        <v>5143</v>
      </c>
      <c r="B208" s="2">
        <v>50215</v>
      </c>
      <c r="C208" s="2">
        <v>5902557398805</v>
      </c>
      <c r="D208" s="4" t="s">
        <v>5144</v>
      </c>
      <c r="E208" s="3">
        <f t="array" aca="1" ref="E208" ca="1">IFERROR(_xludf.XLOOKUP(G208,'Rea - SK'!A:A,'Rea - SK'!E:E),0)+IFERROR(_xludf.XLOOKUP(H208,'Rea - SK'!A:A,'Rea - SK'!E:E),0)+IFERROR(_xludf.XLOOKUP(I208,'Rea - SK'!A:A,'Rea - SK'!E:E),0)+IFERROR(_xludf.XLOOKUP(J208,'Rea - SK'!A:A,'Rea - SK'!E:E),0)+IFERROR(_xludf.XLOOKUP(K208,'Rea - SK'!A:A,'Rea - SK'!E:E),0)</f>
        <v>0</v>
      </c>
      <c r="F208" s="11">
        <f t="array" aca="1" ref="F208" ca="1">MAX(IFERROR(_xludf.XLOOKUP(G208,'Rea - SK'!A:A,'Rea - SK'!F:F),DATE(1966,6,6)),IFERROR(_xludf.XLOOKUP(H208,'Rea - SK'!A:A,'Rea - SK'!F:F),DATE(1966,6,6)),IFERROR(_xludf.XLOOKUP(I208,'Rea - SK'!A:A,'Rea - SK'!F:F),DATE(1966,6,6)),IFERROR(_xludf.XLOOKUP(J208,'Rea - SK'!A:A,'Rea - SK'!F:F),DATE(1966,6,6)),IFERROR(_xludf.XLOOKUP(K208,'Rea - SK'!A:A,'Rea - SK'!F:F),DATE(1966,6,6)))</f>
        <v>24264</v>
      </c>
      <c r="G208" s="3" t="s">
        <v>1459</v>
      </c>
      <c r="H208" s="2" t="s">
        <v>1461</v>
      </c>
      <c r="I208" s="19"/>
      <c r="J208" s="19"/>
      <c r="K208" s="19"/>
      <c r="L208" s="18"/>
    </row>
    <row r="209" spans="1:12" ht="18.75" customHeight="1" x14ac:dyDescent="0.2">
      <c r="A209" s="2" t="s">
        <v>5145</v>
      </c>
      <c r="B209" s="2">
        <v>50214</v>
      </c>
      <c r="C209" s="2">
        <v>5902557386550</v>
      </c>
      <c r="D209" s="4" t="s">
        <v>5146</v>
      </c>
      <c r="E209" s="3">
        <f t="array" aca="1" ref="E209" ca="1">IFERROR(_xludf.XLOOKUP(G209,'Rea - SK'!A:A,'Rea - SK'!E:E),0)+IFERROR(_xludf.XLOOKUP(H209,'Rea - SK'!A:A,'Rea - SK'!E:E),0)+IFERROR(_xludf.XLOOKUP(I209,'Rea - SK'!A:A,'Rea - SK'!E:E),0)+IFERROR(_xludf.XLOOKUP(J209,'Rea - SK'!A:A,'Rea - SK'!E:E),0)+IFERROR(_xludf.XLOOKUP(K209,'Rea - SK'!A:A,'Rea - SK'!E:E),0)</f>
        <v>0</v>
      </c>
      <c r="F209" s="11">
        <f t="array" aca="1" ref="F209" ca="1">MAX(IFERROR(_xludf.XLOOKUP(G209,'Rea - SK'!A:A,'Rea - SK'!F:F),DATE(1966,6,6)),IFERROR(_xludf.XLOOKUP(H209,'Rea - SK'!A:A,'Rea - SK'!F:F),DATE(1966,6,6)),IFERROR(_xludf.XLOOKUP(I209,'Rea - SK'!A:A,'Rea - SK'!F:F),DATE(1966,6,6)),IFERROR(_xludf.XLOOKUP(J209,'Rea - SK'!A:A,'Rea - SK'!F:F),DATE(1966,6,6)),IFERROR(_xludf.XLOOKUP(K209,'Rea - SK'!A:A,'Rea - SK'!F:F),DATE(1966,6,6)))</f>
        <v>24264</v>
      </c>
      <c r="G209" s="3" t="s">
        <v>1459</v>
      </c>
      <c r="H209" s="2" t="s">
        <v>1459</v>
      </c>
      <c r="I209" s="19"/>
      <c r="J209" s="19"/>
      <c r="K209" s="19"/>
      <c r="L209" s="18"/>
    </row>
    <row r="210" spans="1:12" ht="18.75" customHeight="1" x14ac:dyDescent="0.2">
      <c r="A210" s="16" t="s">
        <v>5147</v>
      </c>
      <c r="B210" s="2">
        <v>50206</v>
      </c>
      <c r="C210" s="2">
        <v>5906366005466</v>
      </c>
      <c r="D210" s="4" t="s">
        <v>5148</v>
      </c>
      <c r="E210" s="3">
        <f t="array" aca="1" ref="E210" ca="1">IFERROR(_xludf.XLOOKUP(G210,'Rea - SK'!A:A,'Rea - SK'!E:E),0)+IFERROR(_xludf.XLOOKUP(H210,'Rea - SK'!A:A,'Rea - SK'!E:E),0)+IFERROR(_xludf.XLOOKUP(I210,'Rea - SK'!A:A,'Rea - SK'!E:E),0)+IFERROR(_xludf.XLOOKUP(J210,'Rea - SK'!A:A,'Rea - SK'!E:E),0)+IFERROR(_xludf.XLOOKUP(K210,'Rea - SK'!A:A,'Rea - SK'!E:E),0)</f>
        <v>0</v>
      </c>
      <c r="F210" s="11">
        <f t="array" aca="1" ref="F210" ca="1">MAX(IFERROR(_xludf.XLOOKUP(G210,'Rea - SK'!A:A,'Rea - SK'!F:F),DATE(1966,6,6)),IFERROR(_xludf.XLOOKUP(H210,'Rea - SK'!A:A,'Rea - SK'!F:F),DATE(1966,6,6)),IFERROR(_xludf.XLOOKUP(I210,'Rea - SK'!A:A,'Rea - SK'!F:F),DATE(1966,6,6)),IFERROR(_xludf.XLOOKUP(J210,'Rea - SK'!A:A,'Rea - SK'!F:F),DATE(1966,6,6)),IFERROR(_xludf.XLOOKUP(K210,'Rea - SK'!A:A,'Rea - SK'!F:F),DATE(1966,6,6)))</f>
        <v>24264</v>
      </c>
      <c r="G210" s="2" t="s">
        <v>1463</v>
      </c>
      <c r="H210" s="2" t="s">
        <v>1463</v>
      </c>
      <c r="I210" s="19"/>
      <c r="J210" s="19"/>
      <c r="K210" s="19"/>
      <c r="L210" s="18"/>
    </row>
    <row r="211" spans="1:12" ht="18.75" customHeight="1" x14ac:dyDescent="0.2">
      <c r="A211" s="16" t="s">
        <v>5149</v>
      </c>
      <c r="B211" s="2">
        <v>50205</v>
      </c>
      <c r="C211" s="2">
        <v>5906366005459</v>
      </c>
      <c r="D211" s="4" t="s">
        <v>5150</v>
      </c>
      <c r="E211" s="3">
        <f t="array" aca="1" ref="E211" ca="1">IFERROR(_xludf.XLOOKUP(G211,'Rea - SK'!A:A,'Rea - SK'!E:E),0)+IFERROR(_xludf.XLOOKUP(H211,'Rea - SK'!A:A,'Rea - SK'!E:E),0)+IFERROR(_xludf.XLOOKUP(I211,'Rea - SK'!A:A,'Rea - SK'!E:E),0)+IFERROR(_xludf.XLOOKUP(J211,'Rea - SK'!A:A,'Rea - SK'!E:E),0)+IFERROR(_xludf.XLOOKUP(K211,'Rea - SK'!A:A,'Rea - SK'!E:E),0)</f>
        <v>0</v>
      </c>
      <c r="F211" s="11">
        <f t="array" aca="1" ref="F211" ca="1">MAX(IFERROR(_xludf.XLOOKUP(G211,'Rea - SK'!A:A,'Rea - SK'!F:F),DATE(1966,6,6)),IFERROR(_xludf.XLOOKUP(H211,'Rea - SK'!A:A,'Rea - SK'!F:F),DATE(1966,6,6)),IFERROR(_xludf.XLOOKUP(I211,'Rea - SK'!A:A,'Rea - SK'!F:F),DATE(1966,6,6)),IFERROR(_xludf.XLOOKUP(J211,'Rea - SK'!A:A,'Rea - SK'!F:F),DATE(1966,6,6)),IFERROR(_xludf.XLOOKUP(K211,'Rea - SK'!A:A,'Rea - SK'!F:F),DATE(1966,6,6)))</f>
        <v>24264</v>
      </c>
      <c r="G211" s="2" t="s">
        <v>1467</v>
      </c>
      <c r="H211" s="2" t="s">
        <v>1463</v>
      </c>
      <c r="I211" s="19"/>
      <c r="J211" s="19"/>
      <c r="K211" s="19"/>
      <c r="L211" s="18"/>
    </row>
    <row r="212" spans="1:12" ht="18.75" customHeight="1" x14ac:dyDescent="0.2">
      <c r="A212" s="16" t="s">
        <v>5151</v>
      </c>
      <c r="B212" s="2">
        <v>50204</v>
      </c>
      <c r="C212" s="2">
        <v>5906366005442</v>
      </c>
      <c r="D212" s="4" t="s">
        <v>5152</v>
      </c>
      <c r="E212" s="3">
        <f t="array" aca="1" ref="E212" ca="1">IFERROR(_xludf.XLOOKUP(G212,'Rea - SK'!A:A,'Rea - SK'!E:E),0)+IFERROR(_xludf.XLOOKUP(H212,'Rea - SK'!A:A,'Rea - SK'!E:E),0)+IFERROR(_xludf.XLOOKUP(I212,'Rea - SK'!A:A,'Rea - SK'!E:E),0)+IFERROR(_xludf.XLOOKUP(J212,'Rea - SK'!A:A,'Rea - SK'!E:E),0)+IFERROR(_xludf.XLOOKUP(K212,'Rea - SK'!A:A,'Rea - SK'!E:E),0)</f>
        <v>0</v>
      </c>
      <c r="F212" s="11">
        <f t="array" aca="1" ref="F212" ca="1">MAX(IFERROR(_xludf.XLOOKUP(G212,'Rea - SK'!A:A,'Rea - SK'!F:F),DATE(1966,6,6)),IFERROR(_xludf.XLOOKUP(H212,'Rea - SK'!A:A,'Rea - SK'!F:F),DATE(1966,6,6)),IFERROR(_xludf.XLOOKUP(I212,'Rea - SK'!A:A,'Rea - SK'!F:F),DATE(1966,6,6)),IFERROR(_xludf.XLOOKUP(J212,'Rea - SK'!A:A,'Rea - SK'!F:F),DATE(1966,6,6)),IFERROR(_xludf.XLOOKUP(K212,'Rea - SK'!A:A,'Rea - SK'!F:F),DATE(1966,6,6)))</f>
        <v>24264</v>
      </c>
      <c r="G212" s="2" t="s">
        <v>1467</v>
      </c>
      <c r="H212" s="2" t="s">
        <v>1467</v>
      </c>
      <c r="I212" s="19"/>
      <c r="J212" s="19"/>
      <c r="K212" s="19"/>
      <c r="L212" s="18"/>
    </row>
    <row r="213" spans="1:12" ht="18.75" customHeight="1" x14ac:dyDescent="0.2">
      <c r="A213" s="16" t="s">
        <v>5153</v>
      </c>
      <c r="B213" s="2">
        <v>50203</v>
      </c>
      <c r="C213" s="2">
        <v>5906366005435</v>
      </c>
      <c r="D213" s="4" t="s">
        <v>5154</v>
      </c>
      <c r="E213" s="3">
        <f t="array" aca="1" ref="E213" ca="1">IFERROR(_xludf.XLOOKUP(G213,'Rea - SK'!A:A,'Rea - SK'!E:E),0)+IFERROR(_xludf.XLOOKUP(H213,'Rea - SK'!A:A,'Rea - SK'!E:E),0)+IFERROR(_xludf.XLOOKUP(I213,'Rea - SK'!A:A,'Rea - SK'!E:E),0)+IFERROR(_xludf.XLOOKUP(J213,'Rea - SK'!A:A,'Rea - SK'!E:E),0)+IFERROR(_xludf.XLOOKUP(K213,'Rea - SK'!A:A,'Rea - SK'!E:E),0)</f>
        <v>0</v>
      </c>
      <c r="F213" s="11">
        <f t="array" aca="1" ref="F213" ca="1">MAX(IFERROR(_xludf.XLOOKUP(G213,'Rea - SK'!A:A,'Rea - SK'!F:F),DATE(1966,6,6)),IFERROR(_xludf.XLOOKUP(H213,'Rea - SK'!A:A,'Rea - SK'!F:F),DATE(1966,6,6)),IFERROR(_xludf.XLOOKUP(I213,'Rea - SK'!A:A,'Rea - SK'!F:F),DATE(1966,6,6)),IFERROR(_xludf.XLOOKUP(J213,'Rea - SK'!A:A,'Rea - SK'!F:F),DATE(1966,6,6)),IFERROR(_xludf.XLOOKUP(K213,'Rea - SK'!A:A,'Rea - SK'!F:F),DATE(1966,6,6)))</f>
        <v>24264</v>
      </c>
      <c r="G213" s="2" t="s">
        <v>1465</v>
      </c>
      <c r="H213" s="2" t="s">
        <v>1463</v>
      </c>
      <c r="I213" s="19"/>
      <c r="J213" s="19"/>
      <c r="K213" s="19"/>
      <c r="L213" s="18"/>
    </row>
    <row r="214" spans="1:12" ht="18.75" customHeight="1" x14ac:dyDescent="0.2">
      <c r="A214" s="16" t="s">
        <v>5155</v>
      </c>
      <c r="B214" s="2">
        <v>50202</v>
      </c>
      <c r="C214" s="2">
        <v>5906366005428</v>
      </c>
      <c r="D214" s="4" t="s">
        <v>5156</v>
      </c>
      <c r="E214" s="3">
        <f t="array" aca="1" ref="E214" ca="1">IFERROR(_xludf.XLOOKUP(G214,'Rea - SK'!A:A,'Rea - SK'!E:E),0)+IFERROR(_xludf.XLOOKUP(H214,'Rea - SK'!A:A,'Rea - SK'!E:E),0)+IFERROR(_xludf.XLOOKUP(I214,'Rea - SK'!A:A,'Rea - SK'!E:E),0)+IFERROR(_xludf.XLOOKUP(J214,'Rea - SK'!A:A,'Rea - SK'!E:E),0)+IFERROR(_xludf.XLOOKUP(K214,'Rea - SK'!A:A,'Rea - SK'!E:E),0)</f>
        <v>0</v>
      </c>
      <c r="F214" s="11">
        <f t="array" aca="1" ref="F214" ca="1">MAX(IFERROR(_xludf.XLOOKUP(G214,'Rea - SK'!A:A,'Rea - SK'!F:F),DATE(1966,6,6)),IFERROR(_xludf.XLOOKUP(H214,'Rea - SK'!A:A,'Rea - SK'!F:F),DATE(1966,6,6)),IFERROR(_xludf.XLOOKUP(I214,'Rea - SK'!A:A,'Rea - SK'!F:F),DATE(1966,6,6)),IFERROR(_xludf.XLOOKUP(J214,'Rea - SK'!A:A,'Rea - SK'!F:F),DATE(1966,6,6)),IFERROR(_xludf.XLOOKUP(K214,'Rea - SK'!A:A,'Rea - SK'!F:F),DATE(1966,6,6)))</f>
        <v>24264</v>
      </c>
      <c r="G214" s="2" t="s">
        <v>1465</v>
      </c>
      <c r="H214" s="2" t="s">
        <v>1467</v>
      </c>
      <c r="I214" s="19"/>
      <c r="J214" s="19"/>
      <c r="K214" s="19"/>
      <c r="L214" s="18"/>
    </row>
    <row r="215" spans="1:12" ht="18.75" customHeight="1" x14ac:dyDescent="0.2">
      <c r="A215" s="16" t="s">
        <v>5157</v>
      </c>
      <c r="B215" s="2">
        <v>50201</v>
      </c>
      <c r="C215" s="2">
        <v>5902557386888</v>
      </c>
      <c r="D215" s="4" t="s">
        <v>5158</v>
      </c>
      <c r="E215" s="3">
        <f t="array" aca="1" ref="E215" ca="1">IFERROR(_xludf.XLOOKUP(G215,'Rea - SK'!A:A,'Rea - SK'!E:E),0)+IFERROR(_xludf.XLOOKUP(H215,'Rea - SK'!A:A,'Rea - SK'!E:E),0)+IFERROR(_xludf.XLOOKUP(I215,'Rea - SK'!A:A,'Rea - SK'!E:E),0)+IFERROR(_xludf.XLOOKUP(J215,'Rea - SK'!A:A,'Rea - SK'!E:E),0)+IFERROR(_xludf.XLOOKUP(K215,'Rea - SK'!A:A,'Rea - SK'!E:E),0)</f>
        <v>0</v>
      </c>
      <c r="F215" s="11">
        <f t="array" aca="1" ref="F215" ca="1">MAX(IFERROR(_xludf.XLOOKUP(G215,'Rea - SK'!A:A,'Rea - SK'!F:F),DATE(1966,6,6)),IFERROR(_xludf.XLOOKUP(H215,'Rea - SK'!A:A,'Rea - SK'!F:F),DATE(1966,6,6)),IFERROR(_xludf.XLOOKUP(I215,'Rea - SK'!A:A,'Rea - SK'!F:F),DATE(1966,6,6)),IFERROR(_xludf.XLOOKUP(J215,'Rea - SK'!A:A,'Rea - SK'!F:F),DATE(1966,6,6)),IFERROR(_xludf.XLOOKUP(K215,'Rea - SK'!A:A,'Rea - SK'!F:F),DATE(1966,6,6)))</f>
        <v>24264</v>
      </c>
      <c r="G215" s="2" t="s">
        <v>1465</v>
      </c>
      <c r="H215" s="2" t="s">
        <v>1465</v>
      </c>
      <c r="I215" s="19"/>
      <c r="J215" s="19"/>
      <c r="K215" s="19"/>
      <c r="L215" s="18"/>
    </row>
    <row r="216" spans="1:12" ht="18.75" customHeight="1" x14ac:dyDescent="0.2">
      <c r="A216" s="2" t="s">
        <v>5159</v>
      </c>
      <c r="B216" s="2">
        <v>50193</v>
      </c>
      <c r="C216" s="2">
        <v>5902557386161</v>
      </c>
      <c r="D216" s="4" t="s">
        <v>5160</v>
      </c>
      <c r="E216" s="3">
        <f t="array" aca="1" ref="E216" ca="1">IFERROR(_xludf.XLOOKUP(G216,'Rea - SK'!A:A,'Rea - SK'!E:E),0)+IFERROR(_xludf.XLOOKUP(H216,'Rea - SK'!A:A,'Rea - SK'!E:E),0)+IFERROR(_xludf.XLOOKUP(I216,'Rea - SK'!A:A,'Rea - SK'!E:E),0)+IFERROR(_xludf.XLOOKUP(J216,'Rea - SK'!A:A,'Rea - SK'!E:E),0)+IFERROR(_xludf.XLOOKUP(K216,'Rea - SK'!A:A,'Rea - SK'!E:E),0)</f>
        <v>0</v>
      </c>
      <c r="F216" s="11">
        <f t="array" aca="1" ref="F216" ca="1">MAX(IFERROR(_xludf.XLOOKUP(G216,'Rea - SK'!A:A,'Rea - SK'!F:F),DATE(1966,6,6)),IFERROR(_xludf.XLOOKUP(H216,'Rea - SK'!A:A,'Rea - SK'!F:F),DATE(1966,6,6)),IFERROR(_xludf.XLOOKUP(I216,'Rea - SK'!A:A,'Rea - SK'!F:F),DATE(1966,6,6)),IFERROR(_xludf.XLOOKUP(J216,'Rea - SK'!A:A,'Rea - SK'!F:F),DATE(1966,6,6)),IFERROR(_xludf.XLOOKUP(K216,'Rea - SK'!A:A,'Rea - SK'!F:F),DATE(1966,6,6)))</f>
        <v>24264</v>
      </c>
      <c r="G216" s="3" t="s">
        <v>1463</v>
      </c>
      <c r="H216" s="2" t="s">
        <v>2611</v>
      </c>
      <c r="I216" s="19"/>
      <c r="J216" s="19"/>
      <c r="K216" s="19"/>
      <c r="L216" s="18"/>
    </row>
    <row r="217" spans="1:12" ht="18.75" customHeight="1" x14ac:dyDescent="0.2">
      <c r="A217" s="2" t="s">
        <v>5161</v>
      </c>
      <c r="B217" s="2">
        <v>50192</v>
      </c>
      <c r="C217" s="2">
        <v>5902557386154</v>
      </c>
      <c r="D217" s="4" t="s">
        <v>5162</v>
      </c>
      <c r="E217" s="3">
        <f t="array" aca="1" ref="E217" ca="1">IFERROR(_xludf.XLOOKUP(G217,'Rea - SK'!A:A,'Rea - SK'!E:E),0)+IFERROR(_xludf.XLOOKUP(H217,'Rea - SK'!A:A,'Rea - SK'!E:E),0)+IFERROR(_xludf.XLOOKUP(I217,'Rea - SK'!A:A,'Rea - SK'!E:E),0)+IFERROR(_xludf.XLOOKUP(J217,'Rea - SK'!A:A,'Rea - SK'!E:E),0)+IFERROR(_xludf.XLOOKUP(K217,'Rea - SK'!A:A,'Rea - SK'!E:E),0)</f>
        <v>0</v>
      </c>
      <c r="F217" s="11">
        <f t="array" aca="1" ref="F217" ca="1">MAX(IFERROR(_xludf.XLOOKUP(G217,'Rea - SK'!A:A,'Rea - SK'!F:F),DATE(1966,6,6)),IFERROR(_xludf.XLOOKUP(H217,'Rea - SK'!A:A,'Rea - SK'!F:F),DATE(1966,6,6)),IFERROR(_xludf.XLOOKUP(I217,'Rea - SK'!A:A,'Rea - SK'!F:F),DATE(1966,6,6)),IFERROR(_xludf.XLOOKUP(J217,'Rea - SK'!A:A,'Rea - SK'!F:F),DATE(1966,6,6)),IFERROR(_xludf.XLOOKUP(K217,'Rea - SK'!A:A,'Rea - SK'!F:F),DATE(1966,6,6)))</f>
        <v>24264</v>
      </c>
      <c r="G217" s="3" t="s">
        <v>1463</v>
      </c>
      <c r="H217" s="2" t="s">
        <v>2609</v>
      </c>
      <c r="I217" s="19"/>
      <c r="J217" s="19"/>
      <c r="K217" s="19"/>
      <c r="L217" s="18"/>
    </row>
    <row r="218" spans="1:12" ht="18.75" customHeight="1" x14ac:dyDescent="0.2">
      <c r="A218" s="2" t="s">
        <v>5163</v>
      </c>
      <c r="B218" s="2">
        <v>50191</v>
      </c>
      <c r="C218" s="2">
        <v>5902557386239</v>
      </c>
      <c r="D218" s="4" t="s">
        <v>5164</v>
      </c>
      <c r="E218" s="3">
        <f t="array" aca="1" ref="E218" ca="1">IFERROR(_xludf.XLOOKUP(G218,'Rea - SK'!A:A,'Rea - SK'!E:E),0)+IFERROR(_xludf.XLOOKUP(H218,'Rea - SK'!A:A,'Rea - SK'!E:E),0)+IFERROR(_xludf.XLOOKUP(I218,'Rea - SK'!A:A,'Rea - SK'!E:E),0)+IFERROR(_xludf.XLOOKUP(J218,'Rea - SK'!A:A,'Rea - SK'!E:E),0)+IFERROR(_xludf.XLOOKUP(K218,'Rea - SK'!A:A,'Rea - SK'!E:E),0)</f>
        <v>0</v>
      </c>
      <c r="F218" s="11">
        <f t="array" aca="1" ref="F218" ca="1">MAX(IFERROR(_xludf.XLOOKUP(G218,'Rea - SK'!A:A,'Rea - SK'!F:F),DATE(1966,6,6)),IFERROR(_xludf.XLOOKUP(H218,'Rea - SK'!A:A,'Rea - SK'!F:F),DATE(1966,6,6)),IFERROR(_xludf.XLOOKUP(I218,'Rea - SK'!A:A,'Rea - SK'!F:F),DATE(1966,6,6)),IFERROR(_xludf.XLOOKUP(J218,'Rea - SK'!A:A,'Rea - SK'!F:F),DATE(1966,6,6)),IFERROR(_xludf.XLOOKUP(K218,'Rea - SK'!A:A,'Rea - SK'!F:F),DATE(1966,6,6)))</f>
        <v>24264</v>
      </c>
      <c r="G218" s="3" t="s">
        <v>1467</v>
      </c>
      <c r="H218" s="2" t="s">
        <v>2611</v>
      </c>
      <c r="I218" s="19"/>
      <c r="J218" s="19"/>
      <c r="K218" s="19"/>
      <c r="L218" s="18"/>
    </row>
    <row r="219" spans="1:12" ht="18.75" customHeight="1" x14ac:dyDescent="0.2">
      <c r="A219" s="2" t="s">
        <v>5165</v>
      </c>
      <c r="B219" s="2">
        <v>50190</v>
      </c>
      <c r="C219" s="2">
        <v>5902557386130</v>
      </c>
      <c r="D219" s="4" t="s">
        <v>5166</v>
      </c>
      <c r="E219" s="3">
        <f t="array" aca="1" ref="E219" ca="1">IFERROR(_xludf.XLOOKUP(G219,'Rea - SK'!A:A,'Rea - SK'!E:E),0)+IFERROR(_xludf.XLOOKUP(H219,'Rea - SK'!A:A,'Rea - SK'!E:E),0)+IFERROR(_xludf.XLOOKUP(I219,'Rea - SK'!A:A,'Rea - SK'!E:E),0)+IFERROR(_xludf.XLOOKUP(J219,'Rea - SK'!A:A,'Rea - SK'!E:E),0)+IFERROR(_xludf.XLOOKUP(K219,'Rea - SK'!A:A,'Rea - SK'!E:E),0)</f>
        <v>0</v>
      </c>
      <c r="F219" s="11">
        <f t="array" aca="1" ref="F219" ca="1">MAX(IFERROR(_xludf.XLOOKUP(G219,'Rea - SK'!A:A,'Rea - SK'!F:F),DATE(1966,6,6)),IFERROR(_xludf.XLOOKUP(H219,'Rea - SK'!A:A,'Rea - SK'!F:F),DATE(1966,6,6)),IFERROR(_xludf.XLOOKUP(I219,'Rea - SK'!A:A,'Rea - SK'!F:F),DATE(1966,6,6)),IFERROR(_xludf.XLOOKUP(J219,'Rea - SK'!A:A,'Rea - SK'!F:F),DATE(1966,6,6)),IFERROR(_xludf.XLOOKUP(K219,'Rea - SK'!A:A,'Rea - SK'!F:F),DATE(1966,6,6)))</f>
        <v>24264</v>
      </c>
      <c r="G219" s="3" t="s">
        <v>1467</v>
      </c>
      <c r="H219" s="2" t="s">
        <v>2609</v>
      </c>
      <c r="I219" s="19"/>
      <c r="J219" s="19"/>
      <c r="K219" s="19"/>
      <c r="L219" s="18"/>
    </row>
    <row r="220" spans="1:12" ht="18.75" customHeight="1" x14ac:dyDescent="0.2">
      <c r="A220" s="2" t="s">
        <v>5167</v>
      </c>
      <c r="B220" s="2">
        <v>50186</v>
      </c>
      <c r="C220" s="2">
        <v>5902557386116</v>
      </c>
      <c r="D220" s="4" t="s">
        <v>5168</v>
      </c>
      <c r="E220" s="3">
        <f t="array" aca="1" ref="E220" ca="1">IFERROR(_xludf.XLOOKUP(G220,'Rea - SK'!A:A,'Rea - SK'!E:E),0)+IFERROR(_xludf.XLOOKUP(H220,'Rea - SK'!A:A,'Rea - SK'!E:E),0)+IFERROR(_xludf.XLOOKUP(I220,'Rea - SK'!A:A,'Rea - SK'!E:E),0)+IFERROR(_xludf.XLOOKUP(J220,'Rea - SK'!A:A,'Rea - SK'!E:E),0)+IFERROR(_xludf.XLOOKUP(K220,'Rea - SK'!A:A,'Rea - SK'!E:E),0)</f>
        <v>0</v>
      </c>
      <c r="F220" s="11">
        <f t="array" aca="1" ref="F220" ca="1">MAX(IFERROR(_xludf.XLOOKUP(G220,'Rea - SK'!A:A,'Rea - SK'!F:F),DATE(1966,6,6)),IFERROR(_xludf.XLOOKUP(H220,'Rea - SK'!A:A,'Rea - SK'!F:F),DATE(1966,6,6)),IFERROR(_xludf.XLOOKUP(I220,'Rea - SK'!A:A,'Rea - SK'!F:F),DATE(1966,6,6)),IFERROR(_xludf.XLOOKUP(J220,'Rea - SK'!A:A,'Rea - SK'!F:F),DATE(1966,6,6)),IFERROR(_xludf.XLOOKUP(K220,'Rea - SK'!A:A,'Rea - SK'!F:F),DATE(1966,6,6)))</f>
        <v>24264</v>
      </c>
      <c r="G220" s="3" t="s">
        <v>1465</v>
      </c>
      <c r="H220" s="2" t="s">
        <v>2611</v>
      </c>
      <c r="I220" s="19"/>
      <c r="J220" s="19"/>
      <c r="K220" s="19"/>
      <c r="L220" s="18"/>
    </row>
    <row r="221" spans="1:12" ht="18.75" customHeight="1" x14ac:dyDescent="0.2">
      <c r="A221" s="2" t="s">
        <v>5169</v>
      </c>
      <c r="B221" s="2">
        <v>50185</v>
      </c>
      <c r="C221" s="2">
        <v>5902557386123</v>
      </c>
      <c r="D221" s="4" t="s">
        <v>5170</v>
      </c>
      <c r="E221" s="3">
        <f t="array" aca="1" ref="E221" ca="1">IFERROR(_xludf.XLOOKUP(G221,'Rea - SK'!A:A,'Rea - SK'!E:E),0)+IFERROR(_xludf.XLOOKUP(H221,'Rea - SK'!A:A,'Rea - SK'!E:E),0)+IFERROR(_xludf.XLOOKUP(I221,'Rea - SK'!A:A,'Rea - SK'!E:E),0)+IFERROR(_xludf.XLOOKUP(J221,'Rea - SK'!A:A,'Rea - SK'!E:E),0)+IFERROR(_xludf.XLOOKUP(K221,'Rea - SK'!A:A,'Rea - SK'!E:E),0)</f>
        <v>0</v>
      </c>
      <c r="F221" s="11">
        <f t="array" aca="1" ref="F221" ca="1">MAX(IFERROR(_xludf.XLOOKUP(G221,'Rea - SK'!A:A,'Rea - SK'!F:F),DATE(1966,6,6)),IFERROR(_xludf.XLOOKUP(H221,'Rea - SK'!A:A,'Rea - SK'!F:F),DATE(1966,6,6)),IFERROR(_xludf.XLOOKUP(I221,'Rea - SK'!A:A,'Rea - SK'!F:F),DATE(1966,6,6)),IFERROR(_xludf.XLOOKUP(J221,'Rea - SK'!A:A,'Rea - SK'!F:F),DATE(1966,6,6)),IFERROR(_xludf.XLOOKUP(K221,'Rea - SK'!A:A,'Rea - SK'!F:F),DATE(1966,6,6)))</f>
        <v>24264</v>
      </c>
      <c r="G221" s="3" t="s">
        <v>1465</v>
      </c>
      <c r="H221" s="2" t="s">
        <v>2609</v>
      </c>
      <c r="I221" s="19"/>
      <c r="J221" s="19"/>
      <c r="K221" s="19"/>
      <c r="L221" s="18"/>
    </row>
    <row r="222" spans="1:12" ht="18.75" customHeight="1" x14ac:dyDescent="0.2">
      <c r="A222" s="2" t="s">
        <v>5171</v>
      </c>
      <c r="B222" s="2">
        <v>50180</v>
      </c>
      <c r="C222" s="2">
        <v>5902557387380</v>
      </c>
      <c r="D222" s="4" t="s">
        <v>5172</v>
      </c>
      <c r="E222" s="3">
        <f t="array" aca="1" ref="E222" ca="1">IFERROR(_xludf.XLOOKUP(G222,'Rea - SK'!A:A,'Rea - SK'!E:E),0)+IFERROR(_xludf.XLOOKUP(H222,'Rea - SK'!A:A,'Rea - SK'!E:E),0)+IFERROR(_xludf.XLOOKUP(I222,'Rea - SK'!A:A,'Rea - SK'!E:E),0)+IFERROR(_xludf.XLOOKUP(J222,'Rea - SK'!A:A,'Rea - SK'!E:E),0)+IFERROR(_xludf.XLOOKUP(K222,'Rea - SK'!A:A,'Rea - SK'!E:E),0)</f>
        <v>0</v>
      </c>
      <c r="F222" s="11">
        <f t="array" aca="1" ref="F222" ca="1">MAX(IFERROR(_xludf.XLOOKUP(G222,'Rea - SK'!A:A,'Rea - SK'!F:F),DATE(1966,6,6)),IFERROR(_xludf.XLOOKUP(H222,'Rea - SK'!A:A,'Rea - SK'!F:F),DATE(1966,6,6)),IFERROR(_xludf.XLOOKUP(I222,'Rea - SK'!A:A,'Rea - SK'!F:F),DATE(1966,6,6)),IFERROR(_xludf.XLOOKUP(J222,'Rea - SK'!A:A,'Rea - SK'!F:F),DATE(1966,6,6)),IFERROR(_xludf.XLOOKUP(K222,'Rea - SK'!A:A,'Rea - SK'!F:F),DATE(1966,6,6)))</f>
        <v>24264</v>
      </c>
      <c r="G222" s="3" t="s">
        <v>1455</v>
      </c>
      <c r="H222" s="2" t="s">
        <v>2607</v>
      </c>
      <c r="I222" s="19"/>
      <c r="J222" s="19"/>
      <c r="K222" s="19"/>
      <c r="L222" s="18"/>
    </row>
    <row r="223" spans="1:12" ht="18.75" customHeight="1" x14ac:dyDescent="0.2">
      <c r="A223" s="2" t="s">
        <v>5173</v>
      </c>
      <c r="B223" s="2">
        <v>50179</v>
      </c>
      <c r="C223" s="2">
        <v>5902557398775</v>
      </c>
      <c r="D223" s="4" t="s">
        <v>5174</v>
      </c>
      <c r="E223" s="3">
        <f t="array" aca="1" ref="E223" ca="1">IFERROR(_xludf.XLOOKUP(G223,'Rea - SK'!A:A,'Rea - SK'!E:E),0)+IFERROR(_xludf.XLOOKUP(H223,'Rea - SK'!A:A,'Rea - SK'!E:E),0)+IFERROR(_xludf.XLOOKUP(I223,'Rea - SK'!A:A,'Rea - SK'!E:E),0)+IFERROR(_xludf.XLOOKUP(J223,'Rea - SK'!A:A,'Rea - SK'!E:E),0)+IFERROR(_xludf.XLOOKUP(K223,'Rea - SK'!A:A,'Rea - SK'!E:E),0)</f>
        <v>0</v>
      </c>
      <c r="F223" s="11">
        <f t="array" aca="1" ref="F223" ca="1">MAX(IFERROR(_xludf.XLOOKUP(G223,'Rea - SK'!A:A,'Rea - SK'!F:F),DATE(1966,6,6)),IFERROR(_xludf.XLOOKUP(H223,'Rea - SK'!A:A,'Rea - SK'!F:F),DATE(1966,6,6)),IFERROR(_xludf.XLOOKUP(I223,'Rea - SK'!A:A,'Rea - SK'!F:F),DATE(1966,6,6)),IFERROR(_xludf.XLOOKUP(J223,'Rea - SK'!A:A,'Rea - SK'!F:F),DATE(1966,6,6)),IFERROR(_xludf.XLOOKUP(K223,'Rea - SK'!A:A,'Rea - SK'!F:F),DATE(1966,6,6)))</f>
        <v>24264</v>
      </c>
      <c r="G223" s="3" t="s">
        <v>1455</v>
      </c>
      <c r="H223" s="2" t="s">
        <v>2605</v>
      </c>
      <c r="I223" s="19"/>
      <c r="J223" s="19"/>
      <c r="K223" s="19"/>
      <c r="L223" s="18"/>
    </row>
    <row r="224" spans="1:12" ht="18.75" customHeight="1" x14ac:dyDescent="0.2">
      <c r="A224" s="2" t="s">
        <v>5175</v>
      </c>
      <c r="B224" s="2">
        <v>50178</v>
      </c>
      <c r="C224" s="2">
        <v>5902557387397</v>
      </c>
      <c r="D224" s="4" t="s">
        <v>5176</v>
      </c>
      <c r="E224" s="3">
        <f t="array" aca="1" ref="E224" ca="1">IFERROR(_xludf.XLOOKUP(G224,'Rea - SK'!A:A,'Rea - SK'!E:E),0)+IFERROR(_xludf.XLOOKUP(H224,'Rea - SK'!A:A,'Rea - SK'!E:E),0)+IFERROR(_xludf.XLOOKUP(I224,'Rea - SK'!A:A,'Rea - SK'!E:E),0)+IFERROR(_xludf.XLOOKUP(J224,'Rea - SK'!A:A,'Rea - SK'!E:E),0)+IFERROR(_xludf.XLOOKUP(K224,'Rea - SK'!A:A,'Rea - SK'!E:E),0)</f>
        <v>0</v>
      </c>
      <c r="F224" s="11">
        <f t="array" aca="1" ref="F224" ca="1">MAX(IFERROR(_xludf.XLOOKUP(G224,'Rea - SK'!A:A,'Rea - SK'!F:F),DATE(1966,6,6)),IFERROR(_xludf.XLOOKUP(H224,'Rea - SK'!A:A,'Rea - SK'!F:F),DATE(1966,6,6)),IFERROR(_xludf.XLOOKUP(I224,'Rea - SK'!A:A,'Rea - SK'!F:F),DATE(1966,6,6)),IFERROR(_xludf.XLOOKUP(J224,'Rea - SK'!A:A,'Rea - SK'!F:F),DATE(1966,6,6)),IFERROR(_xludf.XLOOKUP(K224,'Rea - SK'!A:A,'Rea - SK'!F:F),DATE(1966,6,6)))</f>
        <v>24264</v>
      </c>
      <c r="G224" s="3" t="s">
        <v>1461</v>
      </c>
      <c r="H224" s="2" t="s">
        <v>2607</v>
      </c>
      <c r="I224" s="19"/>
      <c r="J224" s="19"/>
      <c r="K224" s="19"/>
      <c r="L224" s="18"/>
    </row>
    <row r="225" spans="1:12" ht="18.75" customHeight="1" x14ac:dyDescent="0.2">
      <c r="A225" s="2" t="s">
        <v>5177</v>
      </c>
      <c r="B225" s="2">
        <v>50177</v>
      </c>
      <c r="C225" s="2">
        <v>5902557398768</v>
      </c>
      <c r="D225" s="4" t="s">
        <v>5178</v>
      </c>
      <c r="E225" s="3">
        <f t="array" aca="1" ref="E225" ca="1">IFERROR(_xludf.XLOOKUP(G225,'Rea - SK'!A:A,'Rea - SK'!E:E),0)+IFERROR(_xludf.XLOOKUP(H225,'Rea - SK'!A:A,'Rea - SK'!E:E),0)+IFERROR(_xludf.XLOOKUP(I225,'Rea - SK'!A:A,'Rea - SK'!E:E),0)+IFERROR(_xludf.XLOOKUP(J225,'Rea - SK'!A:A,'Rea - SK'!E:E),0)+IFERROR(_xludf.XLOOKUP(K225,'Rea - SK'!A:A,'Rea - SK'!E:E),0)</f>
        <v>0</v>
      </c>
      <c r="F225" s="11">
        <f t="array" aca="1" ref="F225" ca="1">MAX(IFERROR(_xludf.XLOOKUP(G225,'Rea - SK'!A:A,'Rea - SK'!F:F),DATE(1966,6,6)),IFERROR(_xludf.XLOOKUP(H225,'Rea - SK'!A:A,'Rea - SK'!F:F),DATE(1966,6,6)),IFERROR(_xludf.XLOOKUP(I225,'Rea - SK'!A:A,'Rea - SK'!F:F),DATE(1966,6,6)),IFERROR(_xludf.XLOOKUP(J225,'Rea - SK'!A:A,'Rea - SK'!F:F),DATE(1966,6,6)),IFERROR(_xludf.XLOOKUP(K225,'Rea - SK'!A:A,'Rea - SK'!F:F),DATE(1966,6,6)))</f>
        <v>24264</v>
      </c>
      <c r="G225" s="3" t="s">
        <v>1461</v>
      </c>
      <c r="H225" s="2" t="s">
        <v>2605</v>
      </c>
      <c r="I225" s="19"/>
      <c r="J225" s="19"/>
      <c r="K225" s="19"/>
      <c r="L225" s="18"/>
    </row>
    <row r="226" spans="1:12" ht="18.75" customHeight="1" x14ac:dyDescent="0.2">
      <c r="A226" s="2" t="s">
        <v>5179</v>
      </c>
      <c r="B226" s="2">
        <v>50174</v>
      </c>
      <c r="C226" s="2">
        <v>5902557398751</v>
      </c>
      <c r="D226" s="4" t="s">
        <v>5180</v>
      </c>
      <c r="E226" s="3">
        <f t="array" aca="1" ref="E226" ca="1">IFERROR(_xludf.XLOOKUP(G226,'Rea - SK'!A:A,'Rea - SK'!E:E),0)+IFERROR(_xludf.XLOOKUP(H226,'Rea - SK'!A:A,'Rea - SK'!E:E),0)+IFERROR(_xludf.XLOOKUP(I226,'Rea - SK'!A:A,'Rea - SK'!E:E),0)+IFERROR(_xludf.XLOOKUP(J226,'Rea - SK'!A:A,'Rea - SK'!E:E),0)+IFERROR(_xludf.XLOOKUP(K226,'Rea - SK'!A:A,'Rea - SK'!E:E),0)</f>
        <v>0</v>
      </c>
      <c r="F226" s="11">
        <f t="array" aca="1" ref="F226" ca="1">MAX(IFERROR(_xludf.XLOOKUP(G226,'Rea - SK'!A:A,'Rea - SK'!F:F),DATE(1966,6,6)),IFERROR(_xludf.XLOOKUP(H226,'Rea - SK'!A:A,'Rea - SK'!F:F),DATE(1966,6,6)),IFERROR(_xludf.XLOOKUP(I226,'Rea - SK'!A:A,'Rea - SK'!F:F),DATE(1966,6,6)),IFERROR(_xludf.XLOOKUP(J226,'Rea - SK'!A:A,'Rea - SK'!F:F),DATE(1966,6,6)),IFERROR(_xludf.XLOOKUP(K226,'Rea - SK'!A:A,'Rea - SK'!F:F),DATE(1966,6,6)))</f>
        <v>24264</v>
      </c>
      <c r="G226" s="3" t="s">
        <v>1459</v>
      </c>
      <c r="H226" s="2" t="s">
        <v>2607</v>
      </c>
      <c r="I226" s="19"/>
      <c r="J226" s="19"/>
      <c r="K226" s="19"/>
      <c r="L226" s="18"/>
    </row>
    <row r="227" spans="1:12" ht="18.75" customHeight="1" x14ac:dyDescent="0.2">
      <c r="A227" s="2" t="s">
        <v>5181</v>
      </c>
      <c r="B227" s="2">
        <v>50173</v>
      </c>
      <c r="C227" s="2">
        <v>5902557386512</v>
      </c>
      <c r="D227" s="4" t="s">
        <v>5182</v>
      </c>
      <c r="E227" s="3">
        <f t="array" aca="1" ref="E227" ca="1">IFERROR(_xludf.XLOOKUP(G227,'Rea - SK'!A:A,'Rea - SK'!E:E),0)+IFERROR(_xludf.XLOOKUP(H227,'Rea - SK'!A:A,'Rea - SK'!E:E),0)+IFERROR(_xludf.XLOOKUP(I227,'Rea - SK'!A:A,'Rea - SK'!E:E),0)+IFERROR(_xludf.XLOOKUP(J227,'Rea - SK'!A:A,'Rea - SK'!E:E),0)+IFERROR(_xludf.XLOOKUP(K227,'Rea - SK'!A:A,'Rea - SK'!E:E),0)</f>
        <v>0</v>
      </c>
      <c r="F227" s="11">
        <f t="array" aca="1" ref="F227" ca="1">MAX(IFERROR(_xludf.XLOOKUP(G227,'Rea - SK'!A:A,'Rea - SK'!F:F),DATE(1966,6,6)),IFERROR(_xludf.XLOOKUP(H227,'Rea - SK'!A:A,'Rea - SK'!F:F),DATE(1966,6,6)),IFERROR(_xludf.XLOOKUP(I227,'Rea - SK'!A:A,'Rea - SK'!F:F),DATE(1966,6,6)),IFERROR(_xludf.XLOOKUP(J227,'Rea - SK'!A:A,'Rea - SK'!F:F),DATE(1966,6,6)),IFERROR(_xludf.XLOOKUP(K227,'Rea - SK'!A:A,'Rea - SK'!F:F),DATE(1966,6,6)))</f>
        <v>24264</v>
      </c>
      <c r="G227" s="3" t="s">
        <v>1459</v>
      </c>
      <c r="H227" s="2" t="s">
        <v>2605</v>
      </c>
      <c r="I227" s="19"/>
      <c r="J227" s="19"/>
      <c r="K227" s="19"/>
      <c r="L227" s="18"/>
    </row>
    <row r="228" spans="1:12" ht="18.75" customHeight="1" x14ac:dyDescent="0.2">
      <c r="A228" s="16" t="s">
        <v>5183</v>
      </c>
      <c r="B228" s="2">
        <v>50166</v>
      </c>
      <c r="C228" s="2">
        <v>5906366007200</v>
      </c>
      <c r="D228" s="4" t="s">
        <v>5184</v>
      </c>
      <c r="E228" s="3">
        <f t="array" aca="1" ref="E228" ca="1">IFERROR(_xludf.XLOOKUP(G228,'Rea - SK'!A:A,'Rea - SK'!E:E),0)+IFERROR(_xludf.XLOOKUP(H228,'Rea - SK'!A:A,'Rea - SK'!E:E),0)+IFERROR(_xludf.XLOOKUP(I228,'Rea - SK'!A:A,'Rea - SK'!E:E),0)+IFERROR(_xludf.XLOOKUP(J228,'Rea - SK'!A:A,'Rea - SK'!E:E),0)+IFERROR(_xludf.XLOOKUP(K228,'Rea - SK'!A:A,'Rea - SK'!E:E),0)</f>
        <v>0</v>
      </c>
      <c r="F228" s="11">
        <f t="array" aca="1" ref="F228" ca="1">MAX(IFERROR(_xludf.XLOOKUP(G228,'Rea - SK'!A:A,'Rea - SK'!F:F),DATE(1966,6,6)),IFERROR(_xludf.XLOOKUP(H228,'Rea - SK'!A:A,'Rea - SK'!F:F),DATE(1966,6,6)),IFERROR(_xludf.XLOOKUP(I228,'Rea - SK'!A:A,'Rea - SK'!F:F),DATE(1966,6,6)),IFERROR(_xludf.XLOOKUP(J228,'Rea - SK'!A:A,'Rea - SK'!F:F),DATE(1966,6,6)),IFERROR(_xludf.XLOOKUP(K228,'Rea - SK'!A:A,'Rea - SK'!F:F),DATE(1966,6,6)))</f>
        <v>24264</v>
      </c>
      <c r="G228" s="2" t="s">
        <v>1531</v>
      </c>
      <c r="H228" s="2" t="s">
        <v>2635</v>
      </c>
      <c r="I228" s="2"/>
      <c r="J228" s="2"/>
      <c r="K228" s="2"/>
      <c r="L228" s="18"/>
    </row>
    <row r="229" spans="1:12" ht="18.75" customHeight="1" x14ac:dyDescent="0.2">
      <c r="A229" s="16" t="s">
        <v>5185</v>
      </c>
      <c r="B229" s="2">
        <v>50165</v>
      </c>
      <c r="C229" s="2">
        <v>5906366007194</v>
      </c>
      <c r="D229" s="4" t="s">
        <v>5186</v>
      </c>
      <c r="E229" s="3">
        <f t="array" aca="1" ref="E229" ca="1">IFERROR(_xludf.XLOOKUP(G229,'Rea - SK'!A:A,'Rea - SK'!E:E),0)+IFERROR(_xludf.XLOOKUP(H229,'Rea - SK'!A:A,'Rea - SK'!E:E),0)+IFERROR(_xludf.XLOOKUP(I229,'Rea - SK'!A:A,'Rea - SK'!E:E),0)+IFERROR(_xludf.XLOOKUP(J229,'Rea - SK'!A:A,'Rea - SK'!E:E),0)+IFERROR(_xludf.XLOOKUP(K229,'Rea - SK'!A:A,'Rea - SK'!E:E),0)</f>
        <v>0</v>
      </c>
      <c r="F229" s="11">
        <f t="array" aca="1" ref="F229" ca="1">MAX(IFERROR(_xludf.XLOOKUP(G229,'Rea - SK'!A:A,'Rea - SK'!F:F),DATE(1966,6,6)),IFERROR(_xludf.XLOOKUP(H229,'Rea - SK'!A:A,'Rea - SK'!F:F),DATE(1966,6,6)),IFERROR(_xludf.XLOOKUP(I229,'Rea - SK'!A:A,'Rea - SK'!F:F),DATE(1966,6,6)),IFERROR(_xludf.XLOOKUP(J229,'Rea - SK'!A:A,'Rea - SK'!F:F),DATE(1966,6,6)),IFERROR(_xludf.XLOOKUP(K229,'Rea - SK'!A:A,'Rea - SK'!F:F),DATE(1966,6,6)))</f>
        <v>24264</v>
      </c>
      <c r="G229" s="2" t="s">
        <v>1531</v>
      </c>
      <c r="H229" s="2" t="s">
        <v>2639</v>
      </c>
      <c r="I229" s="2"/>
      <c r="J229" s="2"/>
      <c r="K229" s="2"/>
      <c r="L229" s="18"/>
    </row>
    <row r="230" spans="1:12" ht="18.75" customHeight="1" x14ac:dyDescent="0.2">
      <c r="A230" s="16" t="s">
        <v>5187</v>
      </c>
      <c r="B230" s="2">
        <v>50164</v>
      </c>
      <c r="C230" s="2">
        <v>5906366007187</v>
      </c>
      <c r="D230" s="4" t="s">
        <v>5188</v>
      </c>
      <c r="E230" s="3">
        <f t="array" aca="1" ref="E230" ca="1">IFERROR(_xludf.XLOOKUP(G230,'Rea - SK'!A:A,'Rea - SK'!E:E),0)+IFERROR(_xludf.XLOOKUP(H230,'Rea - SK'!A:A,'Rea - SK'!E:E),0)+IFERROR(_xludf.XLOOKUP(I230,'Rea - SK'!A:A,'Rea - SK'!E:E),0)+IFERROR(_xludf.XLOOKUP(J230,'Rea - SK'!A:A,'Rea - SK'!E:E),0)+IFERROR(_xludf.XLOOKUP(K230,'Rea - SK'!A:A,'Rea - SK'!E:E),0)</f>
        <v>0</v>
      </c>
      <c r="F230" s="11">
        <f t="array" aca="1" ref="F230" ca="1">MAX(IFERROR(_xludf.XLOOKUP(G230,'Rea - SK'!A:A,'Rea - SK'!F:F),DATE(1966,6,6)),IFERROR(_xludf.XLOOKUP(H230,'Rea - SK'!A:A,'Rea - SK'!F:F),DATE(1966,6,6)),IFERROR(_xludf.XLOOKUP(I230,'Rea - SK'!A:A,'Rea - SK'!F:F),DATE(1966,6,6)),IFERROR(_xludf.XLOOKUP(J230,'Rea - SK'!A:A,'Rea - SK'!F:F),DATE(1966,6,6)),IFERROR(_xludf.XLOOKUP(K230,'Rea - SK'!A:A,'Rea - SK'!F:F),DATE(1966,6,6)))</f>
        <v>24264</v>
      </c>
      <c r="G230" s="2" t="s">
        <v>1531</v>
      </c>
      <c r="H230" s="2" t="s">
        <v>2637</v>
      </c>
      <c r="I230" s="2"/>
      <c r="J230" s="2"/>
      <c r="K230" s="2"/>
      <c r="L230" s="18"/>
    </row>
    <row r="231" spans="1:12" ht="18.75" customHeight="1" x14ac:dyDescent="0.2">
      <c r="A231" s="16" t="s">
        <v>5189</v>
      </c>
      <c r="B231" s="2">
        <v>50163</v>
      </c>
      <c r="C231" s="2">
        <v>5906366007170</v>
      </c>
      <c r="D231" s="4" t="s">
        <v>5190</v>
      </c>
      <c r="E231" s="3">
        <f t="array" aca="1" ref="E231" ca="1">IFERROR(_xludf.XLOOKUP(G231,'Rea - SK'!A:A,'Rea - SK'!E:E),0)+IFERROR(_xludf.XLOOKUP(H231,'Rea - SK'!A:A,'Rea - SK'!E:E),0)+IFERROR(_xludf.XLOOKUP(I231,'Rea - SK'!A:A,'Rea - SK'!E:E),0)+IFERROR(_xludf.XLOOKUP(J231,'Rea - SK'!A:A,'Rea - SK'!E:E),0)+IFERROR(_xludf.XLOOKUP(K231,'Rea - SK'!A:A,'Rea - SK'!E:E),0)</f>
        <v>0</v>
      </c>
      <c r="F231" s="11">
        <f t="array" aca="1" ref="F231" ca="1">MAX(IFERROR(_xludf.XLOOKUP(G231,'Rea - SK'!A:A,'Rea - SK'!F:F),DATE(1966,6,6)),IFERROR(_xludf.XLOOKUP(H231,'Rea - SK'!A:A,'Rea - SK'!F:F),DATE(1966,6,6)),IFERROR(_xludf.XLOOKUP(I231,'Rea - SK'!A:A,'Rea - SK'!F:F),DATE(1966,6,6)),IFERROR(_xludf.XLOOKUP(J231,'Rea - SK'!A:A,'Rea - SK'!F:F),DATE(1966,6,6)),IFERROR(_xludf.XLOOKUP(K231,'Rea - SK'!A:A,'Rea - SK'!F:F),DATE(1966,6,6)))</f>
        <v>24264</v>
      </c>
      <c r="G231" s="2" t="s">
        <v>1529</v>
      </c>
      <c r="H231" s="2" t="s">
        <v>2635</v>
      </c>
      <c r="I231" s="2"/>
      <c r="J231" s="2"/>
      <c r="K231" s="2"/>
      <c r="L231" s="18"/>
    </row>
    <row r="232" spans="1:12" ht="18.75" customHeight="1" x14ac:dyDescent="0.2">
      <c r="A232" s="16" t="s">
        <v>5191</v>
      </c>
      <c r="B232" s="2">
        <v>50162</v>
      </c>
      <c r="C232" s="2">
        <v>5906366007163</v>
      </c>
      <c r="D232" s="4" t="s">
        <v>5192</v>
      </c>
      <c r="E232" s="3">
        <f t="array" aca="1" ref="E232" ca="1">IFERROR(_xludf.XLOOKUP(G232,'Rea - SK'!A:A,'Rea - SK'!E:E),0)+IFERROR(_xludf.XLOOKUP(H232,'Rea - SK'!A:A,'Rea - SK'!E:E),0)+IFERROR(_xludf.XLOOKUP(I232,'Rea - SK'!A:A,'Rea - SK'!E:E),0)+IFERROR(_xludf.XLOOKUP(J232,'Rea - SK'!A:A,'Rea - SK'!E:E),0)+IFERROR(_xludf.XLOOKUP(K232,'Rea - SK'!A:A,'Rea - SK'!E:E),0)</f>
        <v>0</v>
      </c>
      <c r="F232" s="11">
        <f t="array" aca="1" ref="F232" ca="1">MAX(IFERROR(_xludf.XLOOKUP(G232,'Rea - SK'!A:A,'Rea - SK'!F:F),DATE(1966,6,6)),IFERROR(_xludf.XLOOKUP(H232,'Rea - SK'!A:A,'Rea - SK'!F:F),DATE(1966,6,6)),IFERROR(_xludf.XLOOKUP(I232,'Rea - SK'!A:A,'Rea - SK'!F:F),DATE(1966,6,6)),IFERROR(_xludf.XLOOKUP(J232,'Rea - SK'!A:A,'Rea - SK'!F:F),DATE(1966,6,6)),IFERROR(_xludf.XLOOKUP(K232,'Rea - SK'!A:A,'Rea - SK'!F:F),DATE(1966,6,6)))</f>
        <v>24264</v>
      </c>
      <c r="G232" s="2" t="s">
        <v>1529</v>
      </c>
      <c r="H232" s="2" t="s">
        <v>2639</v>
      </c>
      <c r="I232" s="2"/>
      <c r="J232" s="2"/>
      <c r="K232" s="2"/>
      <c r="L232" s="18"/>
    </row>
    <row r="233" spans="1:12" ht="18.75" customHeight="1" x14ac:dyDescent="0.2">
      <c r="A233" s="16" t="s">
        <v>5193</v>
      </c>
      <c r="B233" s="2">
        <v>50161</v>
      </c>
      <c r="C233" s="2">
        <v>5906366007156</v>
      </c>
      <c r="D233" s="4" t="s">
        <v>5194</v>
      </c>
      <c r="E233" s="3">
        <f t="array" aca="1" ref="E233" ca="1">IFERROR(_xludf.XLOOKUP(G233,'Rea - SK'!A:A,'Rea - SK'!E:E),0)+IFERROR(_xludf.XLOOKUP(H233,'Rea - SK'!A:A,'Rea - SK'!E:E),0)+IFERROR(_xludf.XLOOKUP(I233,'Rea - SK'!A:A,'Rea - SK'!E:E),0)+IFERROR(_xludf.XLOOKUP(J233,'Rea - SK'!A:A,'Rea - SK'!E:E),0)+IFERROR(_xludf.XLOOKUP(K233,'Rea - SK'!A:A,'Rea - SK'!E:E),0)</f>
        <v>0</v>
      </c>
      <c r="F233" s="11">
        <f t="array" aca="1" ref="F233" ca="1">MAX(IFERROR(_xludf.XLOOKUP(G233,'Rea - SK'!A:A,'Rea - SK'!F:F),DATE(1966,6,6)),IFERROR(_xludf.XLOOKUP(H233,'Rea - SK'!A:A,'Rea - SK'!F:F),DATE(1966,6,6)),IFERROR(_xludf.XLOOKUP(I233,'Rea - SK'!A:A,'Rea - SK'!F:F),DATE(1966,6,6)),IFERROR(_xludf.XLOOKUP(J233,'Rea - SK'!A:A,'Rea - SK'!F:F),DATE(1966,6,6)),IFERROR(_xludf.XLOOKUP(K233,'Rea - SK'!A:A,'Rea - SK'!F:F),DATE(1966,6,6)))</f>
        <v>24264</v>
      </c>
      <c r="G233" s="2" t="s">
        <v>1529</v>
      </c>
      <c r="H233" s="2" t="s">
        <v>2637</v>
      </c>
      <c r="I233" s="2"/>
      <c r="J233" s="2"/>
      <c r="K233" s="2"/>
      <c r="L233" s="18"/>
    </row>
    <row r="234" spans="1:12" ht="18.75" customHeight="1" x14ac:dyDescent="0.2">
      <c r="A234" s="16" t="s">
        <v>5195</v>
      </c>
      <c r="B234" s="2">
        <v>50160</v>
      </c>
      <c r="C234" s="2">
        <v>5902557390557</v>
      </c>
      <c r="D234" s="4" t="s">
        <v>5196</v>
      </c>
      <c r="E234" s="3">
        <f t="array" aca="1" ref="E234" ca="1">IFERROR(_xludf.XLOOKUP(G234,'Rea - SK'!A:A,'Rea - SK'!E:E),0)+IFERROR(_xludf.XLOOKUP(H234,'Rea - SK'!A:A,'Rea - SK'!E:E),0)+IFERROR(_xludf.XLOOKUP(I234,'Rea - SK'!A:A,'Rea - SK'!E:E),0)+IFERROR(_xludf.XLOOKUP(J234,'Rea - SK'!A:A,'Rea - SK'!E:E),0)+IFERROR(_xludf.XLOOKUP(K234,'Rea - SK'!A:A,'Rea - SK'!E:E),0)</f>
        <v>0</v>
      </c>
      <c r="F234" s="11">
        <f t="array" aca="1" ref="F234" ca="1">MAX(IFERROR(_xludf.XLOOKUP(G234,'Rea - SK'!A:A,'Rea - SK'!F:F),DATE(1966,6,6)),IFERROR(_xludf.XLOOKUP(H234,'Rea - SK'!A:A,'Rea - SK'!F:F),DATE(1966,6,6)),IFERROR(_xludf.XLOOKUP(I234,'Rea - SK'!A:A,'Rea - SK'!F:F),DATE(1966,6,6)),IFERROR(_xludf.XLOOKUP(J234,'Rea - SK'!A:A,'Rea - SK'!F:F),DATE(1966,6,6)),IFERROR(_xludf.XLOOKUP(K234,'Rea - SK'!A:A,'Rea - SK'!F:F),DATE(1966,6,6)))</f>
        <v>24264</v>
      </c>
      <c r="G234" s="2" t="s">
        <v>1561</v>
      </c>
      <c r="H234" s="2" t="s">
        <v>2635</v>
      </c>
      <c r="I234" s="19"/>
      <c r="J234" s="19"/>
      <c r="K234" s="19"/>
      <c r="L234" s="18"/>
    </row>
    <row r="235" spans="1:12" ht="18.75" customHeight="1" x14ac:dyDescent="0.2">
      <c r="A235" s="16" t="s">
        <v>5197</v>
      </c>
      <c r="B235" s="2">
        <v>50159</v>
      </c>
      <c r="C235" s="2">
        <v>5902557390533</v>
      </c>
      <c r="D235" s="4" t="s">
        <v>5198</v>
      </c>
      <c r="E235" s="3">
        <f t="array" aca="1" ref="E235" ca="1">IFERROR(_xludf.XLOOKUP(G235,'Rea - SK'!A:A,'Rea - SK'!E:E),0)+IFERROR(_xludf.XLOOKUP(H235,'Rea - SK'!A:A,'Rea - SK'!E:E),0)+IFERROR(_xludf.XLOOKUP(I235,'Rea - SK'!A:A,'Rea - SK'!E:E),0)+IFERROR(_xludf.XLOOKUP(J235,'Rea - SK'!A:A,'Rea - SK'!E:E),0)+IFERROR(_xludf.XLOOKUP(K235,'Rea - SK'!A:A,'Rea - SK'!E:E),0)</f>
        <v>0</v>
      </c>
      <c r="F235" s="11">
        <f t="array" aca="1" ref="F235" ca="1">MAX(IFERROR(_xludf.XLOOKUP(G235,'Rea - SK'!A:A,'Rea - SK'!F:F),DATE(1966,6,6)),IFERROR(_xludf.XLOOKUP(H235,'Rea - SK'!A:A,'Rea - SK'!F:F),DATE(1966,6,6)),IFERROR(_xludf.XLOOKUP(I235,'Rea - SK'!A:A,'Rea - SK'!F:F),DATE(1966,6,6)),IFERROR(_xludf.XLOOKUP(J235,'Rea - SK'!A:A,'Rea - SK'!F:F),DATE(1966,6,6)),IFERROR(_xludf.XLOOKUP(K235,'Rea - SK'!A:A,'Rea - SK'!F:F),DATE(1966,6,6)))</f>
        <v>24264</v>
      </c>
      <c r="G235" s="2" t="s">
        <v>1561</v>
      </c>
      <c r="H235" s="2" t="s">
        <v>2639</v>
      </c>
      <c r="I235" s="19"/>
      <c r="J235" s="19"/>
      <c r="K235" s="19"/>
      <c r="L235" s="18"/>
    </row>
    <row r="236" spans="1:12" ht="18.75" customHeight="1" x14ac:dyDescent="0.2">
      <c r="A236" s="16" t="s">
        <v>5199</v>
      </c>
      <c r="B236" s="2">
        <v>50158</v>
      </c>
      <c r="C236" s="2">
        <v>5902557390526</v>
      </c>
      <c r="D236" s="4" t="s">
        <v>5200</v>
      </c>
      <c r="E236" s="3">
        <f t="array" aca="1" ref="E236" ca="1">IFERROR(_xludf.XLOOKUP(G236,'Rea - SK'!A:A,'Rea - SK'!E:E),0)+IFERROR(_xludf.XLOOKUP(H236,'Rea - SK'!A:A,'Rea - SK'!E:E),0)+IFERROR(_xludf.XLOOKUP(I236,'Rea - SK'!A:A,'Rea - SK'!E:E),0)+IFERROR(_xludf.XLOOKUP(J236,'Rea - SK'!A:A,'Rea - SK'!E:E),0)+IFERROR(_xludf.XLOOKUP(K236,'Rea - SK'!A:A,'Rea - SK'!E:E),0)</f>
        <v>0</v>
      </c>
      <c r="F236" s="11">
        <f t="array" aca="1" ref="F236" ca="1">MAX(IFERROR(_xludf.XLOOKUP(G236,'Rea - SK'!A:A,'Rea - SK'!F:F),DATE(1966,6,6)),IFERROR(_xludf.XLOOKUP(H236,'Rea - SK'!A:A,'Rea - SK'!F:F),DATE(1966,6,6)),IFERROR(_xludf.XLOOKUP(I236,'Rea - SK'!A:A,'Rea - SK'!F:F),DATE(1966,6,6)),IFERROR(_xludf.XLOOKUP(J236,'Rea - SK'!A:A,'Rea - SK'!F:F),DATE(1966,6,6)),IFERROR(_xludf.XLOOKUP(K236,'Rea - SK'!A:A,'Rea - SK'!F:F),DATE(1966,6,6)))</f>
        <v>24264</v>
      </c>
      <c r="G236" s="2" t="s">
        <v>1561</v>
      </c>
      <c r="H236" s="2" t="s">
        <v>2637</v>
      </c>
      <c r="I236" s="19"/>
      <c r="J236" s="19"/>
      <c r="K236" s="19"/>
      <c r="L236" s="18"/>
    </row>
    <row r="237" spans="1:12" ht="18.75" customHeight="1" x14ac:dyDescent="0.2">
      <c r="A237" s="16" t="s">
        <v>5201</v>
      </c>
      <c r="B237" s="2">
        <v>50157</v>
      </c>
      <c r="C237" s="2">
        <v>5902557390519</v>
      </c>
      <c r="D237" s="4" t="s">
        <v>5202</v>
      </c>
      <c r="E237" s="3">
        <f t="array" aca="1" ref="E237" ca="1">IFERROR(_xludf.XLOOKUP(G237,'Rea - SK'!A:A,'Rea - SK'!E:E),0)+IFERROR(_xludf.XLOOKUP(H237,'Rea - SK'!A:A,'Rea - SK'!E:E),0)+IFERROR(_xludf.XLOOKUP(I237,'Rea - SK'!A:A,'Rea - SK'!E:E),0)+IFERROR(_xludf.XLOOKUP(J237,'Rea - SK'!A:A,'Rea - SK'!E:E),0)+IFERROR(_xludf.XLOOKUP(K237,'Rea - SK'!A:A,'Rea - SK'!E:E),0)</f>
        <v>0</v>
      </c>
      <c r="F237" s="11">
        <f t="array" aca="1" ref="F237" ca="1">MAX(IFERROR(_xludf.XLOOKUP(G237,'Rea - SK'!A:A,'Rea - SK'!F:F),DATE(1966,6,6)),IFERROR(_xludf.XLOOKUP(H237,'Rea - SK'!A:A,'Rea - SK'!F:F),DATE(1966,6,6)),IFERROR(_xludf.XLOOKUP(I237,'Rea - SK'!A:A,'Rea - SK'!F:F),DATE(1966,6,6)),IFERROR(_xludf.XLOOKUP(J237,'Rea - SK'!A:A,'Rea - SK'!F:F),DATE(1966,6,6)),IFERROR(_xludf.XLOOKUP(K237,'Rea - SK'!A:A,'Rea - SK'!F:F),DATE(1966,6,6)))</f>
        <v>24264</v>
      </c>
      <c r="G237" s="2" t="s">
        <v>1559</v>
      </c>
      <c r="H237" s="2" t="s">
        <v>2635</v>
      </c>
      <c r="I237" s="19"/>
      <c r="J237" s="19"/>
      <c r="K237" s="19"/>
      <c r="L237" s="18"/>
    </row>
    <row r="238" spans="1:12" ht="18.75" customHeight="1" x14ac:dyDescent="0.2">
      <c r="A238" s="16" t="s">
        <v>5203</v>
      </c>
      <c r="B238" s="2">
        <v>50156</v>
      </c>
      <c r="C238" s="2">
        <v>5902557390502</v>
      </c>
      <c r="D238" s="4" t="s">
        <v>5204</v>
      </c>
      <c r="E238" s="3">
        <f t="array" aca="1" ref="E238" ca="1">IFERROR(_xludf.XLOOKUP(G238,'Rea - SK'!A:A,'Rea - SK'!E:E),0)+IFERROR(_xludf.XLOOKUP(H238,'Rea - SK'!A:A,'Rea - SK'!E:E),0)+IFERROR(_xludf.XLOOKUP(I238,'Rea - SK'!A:A,'Rea - SK'!E:E),0)+IFERROR(_xludf.XLOOKUP(J238,'Rea - SK'!A:A,'Rea - SK'!E:E),0)+IFERROR(_xludf.XLOOKUP(K238,'Rea - SK'!A:A,'Rea - SK'!E:E),0)</f>
        <v>0</v>
      </c>
      <c r="F238" s="11">
        <f t="array" aca="1" ref="F238" ca="1">MAX(IFERROR(_xludf.XLOOKUP(G238,'Rea - SK'!A:A,'Rea - SK'!F:F),DATE(1966,6,6)),IFERROR(_xludf.XLOOKUP(H238,'Rea - SK'!A:A,'Rea - SK'!F:F),DATE(1966,6,6)),IFERROR(_xludf.XLOOKUP(I238,'Rea - SK'!A:A,'Rea - SK'!F:F),DATE(1966,6,6)),IFERROR(_xludf.XLOOKUP(J238,'Rea - SK'!A:A,'Rea - SK'!F:F),DATE(1966,6,6)),IFERROR(_xludf.XLOOKUP(K238,'Rea - SK'!A:A,'Rea - SK'!F:F),DATE(1966,6,6)))</f>
        <v>24264</v>
      </c>
      <c r="G238" s="2" t="s">
        <v>1559</v>
      </c>
      <c r="H238" s="2" t="s">
        <v>2639</v>
      </c>
      <c r="I238" s="19"/>
      <c r="J238" s="19"/>
      <c r="K238" s="19"/>
      <c r="L238" s="18"/>
    </row>
    <row r="239" spans="1:12" ht="18.75" customHeight="1" x14ac:dyDescent="0.2">
      <c r="A239" s="16" t="s">
        <v>5205</v>
      </c>
      <c r="B239" s="2">
        <v>50155</v>
      </c>
      <c r="C239" s="2">
        <v>5902557390496</v>
      </c>
      <c r="D239" s="4" t="s">
        <v>5206</v>
      </c>
      <c r="E239" s="3">
        <f t="array" aca="1" ref="E239" ca="1">IFERROR(_xludf.XLOOKUP(G239,'Rea - SK'!A:A,'Rea - SK'!E:E),0)+IFERROR(_xludf.XLOOKUP(H239,'Rea - SK'!A:A,'Rea - SK'!E:E),0)+IFERROR(_xludf.XLOOKUP(I239,'Rea - SK'!A:A,'Rea - SK'!E:E),0)+IFERROR(_xludf.XLOOKUP(J239,'Rea - SK'!A:A,'Rea - SK'!E:E),0)+IFERROR(_xludf.XLOOKUP(K239,'Rea - SK'!A:A,'Rea - SK'!E:E),0)</f>
        <v>0</v>
      </c>
      <c r="F239" s="11">
        <f t="array" aca="1" ref="F239" ca="1">MAX(IFERROR(_xludf.XLOOKUP(G239,'Rea - SK'!A:A,'Rea - SK'!F:F),DATE(1966,6,6)),IFERROR(_xludf.XLOOKUP(H239,'Rea - SK'!A:A,'Rea - SK'!F:F),DATE(1966,6,6)),IFERROR(_xludf.XLOOKUP(I239,'Rea - SK'!A:A,'Rea - SK'!F:F),DATE(1966,6,6)),IFERROR(_xludf.XLOOKUP(J239,'Rea - SK'!A:A,'Rea - SK'!F:F),DATE(1966,6,6)),IFERROR(_xludf.XLOOKUP(K239,'Rea - SK'!A:A,'Rea - SK'!F:F),DATE(1966,6,6)))</f>
        <v>24264</v>
      </c>
      <c r="G239" s="2" t="s">
        <v>1559</v>
      </c>
      <c r="H239" s="2" t="s">
        <v>2637</v>
      </c>
      <c r="I239" s="19"/>
      <c r="J239" s="19"/>
      <c r="K239" s="19"/>
      <c r="L239" s="18"/>
    </row>
    <row r="240" spans="1:12" ht="18.75" customHeight="1" x14ac:dyDescent="0.2">
      <c r="A240" s="16" t="s">
        <v>5207</v>
      </c>
      <c r="B240" s="2">
        <v>50154</v>
      </c>
      <c r="C240" s="2">
        <v>5902557387267</v>
      </c>
      <c r="D240" s="4" t="s">
        <v>5208</v>
      </c>
      <c r="E240" s="3">
        <f t="array" aca="1" ref="E240" ca="1">IFERROR(_xludf.XLOOKUP(G240,'Rea - SK'!A:A,'Rea - SK'!E:E),0)+IFERROR(_xludf.XLOOKUP(H240,'Rea - SK'!A:A,'Rea - SK'!E:E),0)+IFERROR(_xludf.XLOOKUP(I240,'Rea - SK'!A:A,'Rea - SK'!E:E),0)+IFERROR(_xludf.XLOOKUP(J240,'Rea - SK'!A:A,'Rea - SK'!E:E),0)+IFERROR(_xludf.XLOOKUP(K240,'Rea - SK'!A:A,'Rea - SK'!E:E),0)</f>
        <v>0</v>
      </c>
      <c r="F240" s="11">
        <f t="array" aca="1" ref="F240" ca="1">MAX(IFERROR(_xludf.XLOOKUP(G240,'Rea - SK'!A:A,'Rea - SK'!F:F),DATE(1966,6,6)),IFERROR(_xludf.XLOOKUP(H240,'Rea - SK'!A:A,'Rea - SK'!F:F),DATE(1966,6,6)),IFERROR(_xludf.XLOOKUP(I240,'Rea - SK'!A:A,'Rea - SK'!F:F),DATE(1966,6,6)),IFERROR(_xludf.XLOOKUP(J240,'Rea - SK'!A:A,'Rea - SK'!F:F),DATE(1966,6,6)),IFERROR(_xludf.XLOOKUP(K240,'Rea - SK'!A:A,'Rea - SK'!F:F),DATE(1966,6,6)))</f>
        <v>24264</v>
      </c>
      <c r="G240" s="2" t="s">
        <v>1557</v>
      </c>
      <c r="H240" s="2" t="s">
        <v>2635</v>
      </c>
      <c r="I240" s="19"/>
      <c r="J240" s="19"/>
      <c r="K240" s="19"/>
      <c r="L240" s="18"/>
    </row>
    <row r="241" spans="1:12" ht="18.75" customHeight="1" x14ac:dyDescent="0.2">
      <c r="A241" s="16" t="s">
        <v>5209</v>
      </c>
      <c r="B241" s="2">
        <v>50153</v>
      </c>
      <c r="C241" s="2">
        <v>5902557387250</v>
      </c>
      <c r="D241" s="4" t="s">
        <v>5210</v>
      </c>
      <c r="E241" s="3">
        <f t="array" aca="1" ref="E241" ca="1">IFERROR(_xludf.XLOOKUP(G241,'Rea - SK'!A:A,'Rea - SK'!E:E),0)+IFERROR(_xludf.XLOOKUP(H241,'Rea - SK'!A:A,'Rea - SK'!E:E),0)+IFERROR(_xludf.XLOOKUP(I241,'Rea - SK'!A:A,'Rea - SK'!E:E),0)+IFERROR(_xludf.XLOOKUP(J241,'Rea - SK'!A:A,'Rea - SK'!E:E),0)+IFERROR(_xludf.XLOOKUP(K241,'Rea - SK'!A:A,'Rea - SK'!E:E),0)</f>
        <v>0</v>
      </c>
      <c r="F241" s="11">
        <f t="array" aca="1" ref="F241" ca="1">MAX(IFERROR(_xludf.XLOOKUP(G241,'Rea - SK'!A:A,'Rea - SK'!F:F),DATE(1966,6,6)),IFERROR(_xludf.XLOOKUP(H241,'Rea - SK'!A:A,'Rea - SK'!F:F),DATE(1966,6,6)),IFERROR(_xludf.XLOOKUP(I241,'Rea - SK'!A:A,'Rea - SK'!F:F),DATE(1966,6,6)),IFERROR(_xludf.XLOOKUP(J241,'Rea - SK'!A:A,'Rea - SK'!F:F),DATE(1966,6,6)),IFERROR(_xludf.XLOOKUP(K241,'Rea - SK'!A:A,'Rea - SK'!F:F),DATE(1966,6,6)))</f>
        <v>24264</v>
      </c>
      <c r="G241" s="2" t="s">
        <v>1557</v>
      </c>
      <c r="H241" s="2" t="s">
        <v>2639</v>
      </c>
      <c r="I241" s="19"/>
      <c r="J241" s="19"/>
      <c r="K241" s="19"/>
      <c r="L241" s="18"/>
    </row>
    <row r="242" spans="1:12" ht="18.75" customHeight="1" x14ac:dyDescent="0.2">
      <c r="A242" s="16" t="s">
        <v>5211</v>
      </c>
      <c r="B242" s="2">
        <v>50152</v>
      </c>
      <c r="C242" s="2">
        <v>5902557387243</v>
      </c>
      <c r="D242" s="4" t="s">
        <v>5212</v>
      </c>
      <c r="E242" s="3">
        <f t="array" aca="1" ref="E242" ca="1">IFERROR(_xludf.XLOOKUP(G242,'Rea - SK'!A:A,'Rea - SK'!E:E),0)+IFERROR(_xludf.XLOOKUP(H242,'Rea - SK'!A:A,'Rea - SK'!E:E),0)+IFERROR(_xludf.XLOOKUP(I242,'Rea - SK'!A:A,'Rea - SK'!E:E),0)+IFERROR(_xludf.XLOOKUP(J242,'Rea - SK'!A:A,'Rea - SK'!E:E),0)+IFERROR(_xludf.XLOOKUP(K242,'Rea - SK'!A:A,'Rea - SK'!E:E),0)</f>
        <v>0</v>
      </c>
      <c r="F242" s="11">
        <f t="array" aca="1" ref="F242" ca="1">MAX(IFERROR(_xludf.XLOOKUP(G242,'Rea - SK'!A:A,'Rea - SK'!F:F),DATE(1966,6,6)),IFERROR(_xludf.XLOOKUP(H242,'Rea - SK'!A:A,'Rea - SK'!F:F),DATE(1966,6,6)),IFERROR(_xludf.XLOOKUP(I242,'Rea - SK'!A:A,'Rea - SK'!F:F),DATE(1966,6,6)),IFERROR(_xludf.XLOOKUP(J242,'Rea - SK'!A:A,'Rea - SK'!F:F),DATE(1966,6,6)),IFERROR(_xludf.XLOOKUP(K242,'Rea - SK'!A:A,'Rea - SK'!F:F),DATE(1966,6,6)))</f>
        <v>24264</v>
      </c>
      <c r="G242" s="2" t="s">
        <v>1557</v>
      </c>
      <c r="H242" s="2" t="s">
        <v>2637</v>
      </c>
      <c r="I242" s="19"/>
      <c r="J242" s="19"/>
      <c r="K242" s="19"/>
      <c r="L242" s="18"/>
    </row>
    <row r="243" spans="1:12" ht="18.75" customHeight="1" x14ac:dyDescent="0.2">
      <c r="A243" s="2" t="s">
        <v>5213</v>
      </c>
      <c r="B243" s="2">
        <v>49627</v>
      </c>
      <c r="C243" s="2"/>
      <c r="D243" s="4" t="s">
        <v>5214</v>
      </c>
      <c r="E243" s="3">
        <f t="array" aca="1" ref="E243" ca="1">IFERROR(_xludf.XLOOKUP(G243,'Rea - SK'!A:A,'Rea - SK'!E:E),0)+IFERROR(_xludf.XLOOKUP(H243,'Rea - SK'!A:A,'Rea - SK'!E:E),0)+IFERROR(_xludf.XLOOKUP(I243,'Rea - SK'!A:A,'Rea - SK'!E:E),0)+IFERROR(_xludf.XLOOKUP(J243,'Rea - SK'!A:A,'Rea - SK'!E:E),0)+IFERROR(_xludf.XLOOKUP(K243,'Rea - SK'!A:A,'Rea - SK'!E:E),0)</f>
        <v>0</v>
      </c>
      <c r="F243" s="11">
        <f t="array" aca="1" ref="F243" ca="1">MAX(IFERROR(_xludf.XLOOKUP(G243,'Rea - SK'!A:A,'Rea - SK'!F:F),DATE(1966,6,6)),IFERROR(_xludf.XLOOKUP(H243,'Rea - SK'!A:A,'Rea - SK'!F:F),DATE(1966,6,6)),IFERROR(_xludf.XLOOKUP(I243,'Rea - SK'!A:A,'Rea - SK'!F:F),DATE(1966,6,6)),IFERROR(_xludf.XLOOKUP(J243,'Rea - SK'!A:A,'Rea - SK'!F:F),DATE(1966,6,6)),IFERROR(_xludf.XLOOKUP(K243,'Rea - SK'!A:A,'Rea - SK'!F:F),DATE(1966,6,6)))</f>
        <v>24264</v>
      </c>
      <c r="G243" s="3" t="s">
        <v>1705</v>
      </c>
      <c r="H243" s="2" t="s">
        <v>1279</v>
      </c>
      <c r="I243" s="19"/>
      <c r="J243" s="19"/>
      <c r="K243" s="19"/>
      <c r="L243" s="18"/>
    </row>
    <row r="244" spans="1:12" ht="18.75" customHeight="1" x14ac:dyDescent="0.2">
      <c r="A244" s="2" t="s">
        <v>5215</v>
      </c>
      <c r="B244" s="2">
        <v>49626</v>
      </c>
      <c r="C244" s="2"/>
      <c r="D244" s="4" t="s">
        <v>5216</v>
      </c>
      <c r="E244" s="3">
        <f t="array" aca="1" ref="E244" ca="1">IFERROR(_xludf.XLOOKUP(G244,'Rea - SK'!A:A,'Rea - SK'!E:E),0)+IFERROR(_xludf.XLOOKUP(H244,'Rea - SK'!A:A,'Rea - SK'!E:E),0)+IFERROR(_xludf.XLOOKUP(I244,'Rea - SK'!A:A,'Rea - SK'!E:E),0)+IFERROR(_xludf.XLOOKUP(J244,'Rea - SK'!A:A,'Rea - SK'!E:E),0)+IFERROR(_xludf.XLOOKUP(K244,'Rea - SK'!A:A,'Rea - SK'!E:E),0)</f>
        <v>0</v>
      </c>
      <c r="F244" s="11">
        <f t="array" aca="1" ref="F244" ca="1">MAX(IFERROR(_xludf.XLOOKUP(G244,'Rea - SK'!A:A,'Rea - SK'!F:F),DATE(1966,6,6)),IFERROR(_xludf.XLOOKUP(H244,'Rea - SK'!A:A,'Rea - SK'!F:F),DATE(1966,6,6)),IFERROR(_xludf.XLOOKUP(I244,'Rea - SK'!A:A,'Rea - SK'!F:F),DATE(1966,6,6)),IFERROR(_xludf.XLOOKUP(J244,'Rea - SK'!A:A,'Rea - SK'!F:F),DATE(1966,6,6)),IFERROR(_xludf.XLOOKUP(K244,'Rea - SK'!A:A,'Rea - SK'!F:F),DATE(1966,6,6)))</f>
        <v>24264</v>
      </c>
      <c r="G244" s="3" t="s">
        <v>1705</v>
      </c>
      <c r="H244" s="2" t="s">
        <v>1277</v>
      </c>
      <c r="I244" s="19"/>
      <c r="J244" s="19"/>
      <c r="K244" s="19"/>
      <c r="L244" s="18"/>
    </row>
    <row r="245" spans="1:12" ht="18.75" customHeight="1" x14ac:dyDescent="0.2">
      <c r="A245" s="2" t="s">
        <v>5217</v>
      </c>
      <c r="B245" s="2">
        <v>49623</v>
      </c>
      <c r="C245" s="2"/>
      <c r="D245" s="4" t="s">
        <v>5218</v>
      </c>
      <c r="E245" s="3">
        <f t="array" aca="1" ref="E245" ca="1">IFERROR(_xludf.XLOOKUP(G245,'Rea - SK'!A:A,'Rea - SK'!E:E),0)+IFERROR(_xludf.XLOOKUP(H245,'Rea - SK'!A:A,'Rea - SK'!E:E),0)+IFERROR(_xludf.XLOOKUP(I245,'Rea - SK'!A:A,'Rea - SK'!E:E),0)+IFERROR(_xludf.XLOOKUP(J245,'Rea - SK'!A:A,'Rea - SK'!E:E),0)+IFERROR(_xludf.XLOOKUP(K245,'Rea - SK'!A:A,'Rea - SK'!E:E),0)</f>
        <v>0</v>
      </c>
      <c r="F245" s="11">
        <f t="array" aca="1" ref="F245" ca="1">MAX(IFERROR(_xludf.XLOOKUP(G245,'Rea - SK'!A:A,'Rea - SK'!F:F),DATE(1966,6,6)),IFERROR(_xludf.XLOOKUP(H245,'Rea - SK'!A:A,'Rea - SK'!F:F),DATE(1966,6,6)),IFERROR(_xludf.XLOOKUP(I245,'Rea - SK'!A:A,'Rea - SK'!F:F),DATE(1966,6,6)),IFERROR(_xludf.XLOOKUP(J245,'Rea - SK'!A:A,'Rea - SK'!F:F),DATE(1966,6,6)),IFERROR(_xludf.XLOOKUP(K245,'Rea - SK'!A:A,'Rea - SK'!F:F),DATE(1966,6,6)))</f>
        <v>24264</v>
      </c>
      <c r="G245" s="3" t="s">
        <v>1711</v>
      </c>
      <c r="H245" s="2" t="s">
        <v>1279</v>
      </c>
      <c r="I245" s="19"/>
      <c r="J245" s="19"/>
      <c r="K245" s="19"/>
      <c r="L245" s="18"/>
    </row>
    <row r="246" spans="1:12" ht="18.75" customHeight="1" x14ac:dyDescent="0.2">
      <c r="A246" s="2" t="s">
        <v>5219</v>
      </c>
      <c r="B246" s="2">
        <v>49622</v>
      </c>
      <c r="C246" s="2"/>
      <c r="D246" s="4" t="s">
        <v>5220</v>
      </c>
      <c r="E246" s="3">
        <f t="array" aca="1" ref="E246" ca="1">IFERROR(_xludf.XLOOKUP(G246,'Rea - SK'!A:A,'Rea - SK'!E:E),0)+IFERROR(_xludf.XLOOKUP(H246,'Rea - SK'!A:A,'Rea - SK'!E:E),0)+IFERROR(_xludf.XLOOKUP(I246,'Rea - SK'!A:A,'Rea - SK'!E:E),0)+IFERROR(_xludf.XLOOKUP(J246,'Rea - SK'!A:A,'Rea - SK'!E:E),0)+IFERROR(_xludf.XLOOKUP(K246,'Rea - SK'!A:A,'Rea - SK'!E:E),0)</f>
        <v>0</v>
      </c>
      <c r="F246" s="11">
        <f t="array" aca="1" ref="F246" ca="1">MAX(IFERROR(_xludf.XLOOKUP(G246,'Rea - SK'!A:A,'Rea - SK'!F:F),DATE(1966,6,6)),IFERROR(_xludf.XLOOKUP(H246,'Rea - SK'!A:A,'Rea - SK'!F:F),DATE(1966,6,6)),IFERROR(_xludf.XLOOKUP(I246,'Rea - SK'!A:A,'Rea - SK'!F:F),DATE(1966,6,6)),IFERROR(_xludf.XLOOKUP(J246,'Rea - SK'!A:A,'Rea - SK'!F:F),DATE(1966,6,6)),IFERROR(_xludf.XLOOKUP(K246,'Rea - SK'!A:A,'Rea - SK'!F:F),DATE(1966,6,6)))</f>
        <v>24264</v>
      </c>
      <c r="G246" s="3" t="s">
        <v>1711</v>
      </c>
      <c r="H246" s="2" t="s">
        <v>1277</v>
      </c>
      <c r="I246" s="19"/>
      <c r="J246" s="19"/>
      <c r="K246" s="19"/>
      <c r="L246" s="18"/>
    </row>
    <row r="247" spans="1:12" ht="18.75" customHeight="1" x14ac:dyDescent="0.2">
      <c r="A247" s="2" t="s">
        <v>5221</v>
      </c>
      <c r="B247" s="2">
        <v>49575</v>
      </c>
      <c r="C247" s="2"/>
      <c r="D247" s="4" t="s">
        <v>5222</v>
      </c>
      <c r="E247" s="3">
        <f t="array" aca="1" ref="E247" ca="1">IFERROR(_xludf.XLOOKUP(G247,'Rea - SK'!A:A,'Rea - SK'!E:E),0)+IFERROR(_xludf.XLOOKUP(H247,'Rea - SK'!A:A,'Rea - SK'!E:E),0)+IFERROR(_xludf.XLOOKUP(I247,'Rea - SK'!A:A,'Rea - SK'!E:E),0)+IFERROR(_xludf.XLOOKUP(J247,'Rea - SK'!A:A,'Rea - SK'!E:E),0)+IFERROR(_xludf.XLOOKUP(K247,'Rea - SK'!A:A,'Rea - SK'!E:E),0)</f>
        <v>0</v>
      </c>
      <c r="F247" s="11">
        <f t="array" aca="1" ref="F247" ca="1">MAX(IFERROR(_xludf.XLOOKUP(G247,'Rea - SK'!A:A,'Rea - SK'!F:F),DATE(1966,6,6)),IFERROR(_xludf.XLOOKUP(H247,'Rea - SK'!A:A,'Rea - SK'!F:F),DATE(1966,6,6)),IFERROR(_xludf.XLOOKUP(I247,'Rea - SK'!A:A,'Rea - SK'!F:F),DATE(1966,6,6)),IFERROR(_xludf.XLOOKUP(J247,'Rea - SK'!A:A,'Rea - SK'!F:F),DATE(1966,6,6)),IFERROR(_xludf.XLOOKUP(K247,'Rea - SK'!A:A,'Rea - SK'!F:F),DATE(1966,6,6)))</f>
        <v>24264</v>
      </c>
      <c r="G247" s="3" t="s">
        <v>1715</v>
      </c>
      <c r="H247" s="2" t="s">
        <v>1283</v>
      </c>
      <c r="I247" s="19"/>
      <c r="J247" s="19"/>
      <c r="K247" s="19"/>
      <c r="L247" s="18"/>
    </row>
    <row r="248" spans="1:12" ht="18.75" customHeight="1" x14ac:dyDescent="0.2">
      <c r="A248" s="2" t="s">
        <v>5223</v>
      </c>
      <c r="B248" s="2">
        <v>49574</v>
      </c>
      <c r="C248" s="2"/>
      <c r="D248" s="4" t="s">
        <v>5224</v>
      </c>
      <c r="E248" s="3">
        <f t="array" aca="1" ref="E248" ca="1">IFERROR(_xludf.XLOOKUP(G248,'Rea - SK'!A:A,'Rea - SK'!E:E),0)+IFERROR(_xludf.XLOOKUP(H248,'Rea - SK'!A:A,'Rea - SK'!E:E),0)+IFERROR(_xludf.XLOOKUP(I248,'Rea - SK'!A:A,'Rea - SK'!E:E),0)+IFERROR(_xludf.XLOOKUP(J248,'Rea - SK'!A:A,'Rea - SK'!E:E),0)+IFERROR(_xludf.XLOOKUP(K248,'Rea - SK'!A:A,'Rea - SK'!E:E),0)</f>
        <v>0</v>
      </c>
      <c r="F248" s="11">
        <f t="array" aca="1" ref="F248" ca="1">MAX(IFERROR(_xludf.XLOOKUP(G248,'Rea - SK'!A:A,'Rea - SK'!F:F),DATE(1966,6,6)),IFERROR(_xludf.XLOOKUP(H248,'Rea - SK'!A:A,'Rea - SK'!F:F),DATE(1966,6,6)),IFERROR(_xludf.XLOOKUP(I248,'Rea - SK'!A:A,'Rea - SK'!F:F),DATE(1966,6,6)),IFERROR(_xludf.XLOOKUP(J248,'Rea - SK'!A:A,'Rea - SK'!F:F),DATE(1966,6,6)),IFERROR(_xludf.XLOOKUP(K248,'Rea - SK'!A:A,'Rea - SK'!F:F),DATE(1966,6,6)))</f>
        <v>24264</v>
      </c>
      <c r="G248" s="3" t="s">
        <v>1713</v>
      </c>
      <c r="H248" s="2" t="s">
        <v>1281</v>
      </c>
      <c r="I248" s="19"/>
      <c r="J248" s="19"/>
      <c r="K248" s="19"/>
      <c r="L248" s="18"/>
    </row>
    <row r="249" spans="1:12" ht="18.75" customHeight="1" x14ac:dyDescent="0.2">
      <c r="A249" s="2" t="s">
        <v>5225</v>
      </c>
      <c r="B249" s="2">
        <v>49572</v>
      </c>
      <c r="C249" s="2"/>
      <c r="D249" s="4" t="s">
        <v>5226</v>
      </c>
      <c r="E249" s="3">
        <f t="array" aca="1" ref="E249" ca="1">IFERROR(_xludf.XLOOKUP(G249,'Rea - SK'!A:A,'Rea - SK'!E:E),0)+IFERROR(_xludf.XLOOKUP(H249,'Rea - SK'!A:A,'Rea - SK'!E:E),0)+IFERROR(_xludf.XLOOKUP(I249,'Rea - SK'!A:A,'Rea - SK'!E:E),0)+IFERROR(_xludf.XLOOKUP(J249,'Rea - SK'!A:A,'Rea - SK'!E:E),0)+IFERROR(_xludf.XLOOKUP(K249,'Rea - SK'!A:A,'Rea - SK'!E:E),0)</f>
        <v>0</v>
      </c>
      <c r="F249" s="11">
        <f t="array" aca="1" ref="F249" ca="1">MAX(IFERROR(_xludf.XLOOKUP(G249,'Rea - SK'!A:A,'Rea - SK'!F:F),DATE(1966,6,6)),IFERROR(_xludf.XLOOKUP(H249,'Rea - SK'!A:A,'Rea - SK'!F:F),DATE(1966,6,6)),IFERROR(_xludf.XLOOKUP(I249,'Rea - SK'!A:A,'Rea - SK'!F:F),DATE(1966,6,6)),IFERROR(_xludf.XLOOKUP(J249,'Rea - SK'!A:A,'Rea - SK'!F:F),DATE(1966,6,6)),IFERROR(_xludf.XLOOKUP(K249,'Rea - SK'!A:A,'Rea - SK'!F:F),DATE(1966,6,6)))</f>
        <v>24264</v>
      </c>
      <c r="G249" s="3" t="s">
        <v>1709</v>
      </c>
      <c r="H249" s="2" t="s">
        <v>1283</v>
      </c>
      <c r="I249" s="19"/>
      <c r="J249" s="19"/>
      <c r="K249" s="19"/>
      <c r="L249" s="18"/>
    </row>
    <row r="250" spans="1:12" ht="18.75" customHeight="1" x14ac:dyDescent="0.2">
      <c r="A250" s="2" t="s">
        <v>5227</v>
      </c>
      <c r="B250" s="2">
        <v>49570</v>
      </c>
      <c r="C250" s="2"/>
      <c r="D250" s="4" t="s">
        <v>5228</v>
      </c>
      <c r="E250" s="3">
        <f t="array" aca="1" ref="E250" ca="1">IFERROR(_xludf.XLOOKUP(G250,'Rea - SK'!A:A,'Rea - SK'!E:E),0)+IFERROR(_xludf.XLOOKUP(H250,'Rea - SK'!A:A,'Rea - SK'!E:E),0)+IFERROR(_xludf.XLOOKUP(I250,'Rea - SK'!A:A,'Rea - SK'!E:E),0)+IFERROR(_xludf.XLOOKUP(J250,'Rea - SK'!A:A,'Rea - SK'!E:E),0)+IFERROR(_xludf.XLOOKUP(K250,'Rea - SK'!A:A,'Rea - SK'!E:E),0)</f>
        <v>0</v>
      </c>
      <c r="F250" s="11">
        <f t="array" aca="1" ref="F250" ca="1">MAX(IFERROR(_xludf.XLOOKUP(G250,'Rea - SK'!A:A,'Rea - SK'!F:F),DATE(1966,6,6)),IFERROR(_xludf.XLOOKUP(H250,'Rea - SK'!A:A,'Rea - SK'!F:F),DATE(1966,6,6)),IFERROR(_xludf.XLOOKUP(I250,'Rea - SK'!A:A,'Rea - SK'!F:F),DATE(1966,6,6)),IFERROR(_xludf.XLOOKUP(J250,'Rea - SK'!A:A,'Rea - SK'!F:F),DATE(1966,6,6)),IFERROR(_xludf.XLOOKUP(K250,'Rea - SK'!A:A,'Rea - SK'!F:F),DATE(1966,6,6)))</f>
        <v>24264</v>
      </c>
      <c r="G250" s="3" t="s">
        <v>1707</v>
      </c>
      <c r="H250" s="2" t="s">
        <v>1281</v>
      </c>
      <c r="I250" s="19"/>
      <c r="J250" s="19"/>
      <c r="K250" s="19"/>
      <c r="L250" s="18"/>
    </row>
    <row r="251" spans="1:12" ht="18.75" customHeight="1" x14ac:dyDescent="0.2">
      <c r="A251" s="16" t="s">
        <v>5229</v>
      </c>
      <c r="B251" s="2">
        <v>49335</v>
      </c>
      <c r="C251" s="2">
        <v>5902557382736</v>
      </c>
      <c r="D251" s="4" t="s">
        <v>5230</v>
      </c>
      <c r="E251" s="3">
        <f t="array" aca="1" ref="E251" ca="1">IFERROR(_xludf.XLOOKUP(G251,'Rea - SK'!A:A,'Rea - SK'!E:E),0)+IFERROR(_xludf.XLOOKUP(H251,'Rea - SK'!A:A,'Rea - SK'!E:E),0)+IFERROR(_xludf.XLOOKUP(I251,'Rea - SK'!A:A,'Rea - SK'!E:E),0)+IFERROR(_xludf.XLOOKUP(J251,'Rea - SK'!A:A,'Rea - SK'!E:E),0)+IFERROR(_xludf.XLOOKUP(K251,'Rea - SK'!A:A,'Rea - SK'!E:E),0)</f>
        <v>0</v>
      </c>
      <c r="F251" s="11">
        <f t="array" aca="1" ref="F251" ca="1">MAX(IFERROR(_xludf.XLOOKUP(G251,'Rea - SK'!A:A,'Rea - SK'!F:F),DATE(1966,6,6)),IFERROR(_xludf.XLOOKUP(H251,'Rea - SK'!A:A,'Rea - SK'!F:F),DATE(1966,6,6)),IFERROR(_xludf.XLOOKUP(I251,'Rea - SK'!A:A,'Rea - SK'!F:F),DATE(1966,6,6)),IFERROR(_xludf.XLOOKUP(J251,'Rea - SK'!A:A,'Rea - SK'!F:F),DATE(1966,6,6)),IFERROR(_xludf.XLOOKUP(K251,'Rea - SK'!A:A,'Rea - SK'!F:F),DATE(1966,6,6)))</f>
        <v>24264</v>
      </c>
      <c r="G251" s="2" t="s">
        <v>1555</v>
      </c>
      <c r="H251" s="2" t="s">
        <v>2629</v>
      </c>
      <c r="I251" s="19"/>
      <c r="J251" s="19"/>
      <c r="K251" s="19"/>
      <c r="L251" s="18"/>
    </row>
    <row r="252" spans="1:12" ht="18.75" customHeight="1" x14ac:dyDescent="0.2">
      <c r="A252" s="16" t="s">
        <v>5231</v>
      </c>
      <c r="B252" s="2">
        <v>49334</v>
      </c>
      <c r="C252" s="2">
        <v>5902557382743</v>
      </c>
      <c r="D252" s="4" t="s">
        <v>5232</v>
      </c>
      <c r="E252" s="3">
        <f t="array" aca="1" ref="E252" ca="1">IFERROR(_xludf.XLOOKUP(G252,'Rea - SK'!A:A,'Rea - SK'!E:E),0)+IFERROR(_xludf.XLOOKUP(H252,'Rea - SK'!A:A,'Rea - SK'!E:E),0)+IFERROR(_xludf.XLOOKUP(I252,'Rea - SK'!A:A,'Rea - SK'!E:E),0)+IFERROR(_xludf.XLOOKUP(J252,'Rea - SK'!A:A,'Rea - SK'!E:E),0)+IFERROR(_xludf.XLOOKUP(K252,'Rea - SK'!A:A,'Rea - SK'!E:E),0)</f>
        <v>0</v>
      </c>
      <c r="F252" s="11">
        <f t="array" aca="1" ref="F252" ca="1">MAX(IFERROR(_xludf.XLOOKUP(G252,'Rea - SK'!A:A,'Rea - SK'!F:F),DATE(1966,6,6)),IFERROR(_xludf.XLOOKUP(H252,'Rea - SK'!A:A,'Rea - SK'!F:F),DATE(1966,6,6)),IFERROR(_xludf.XLOOKUP(I252,'Rea - SK'!A:A,'Rea - SK'!F:F),DATE(1966,6,6)),IFERROR(_xludf.XLOOKUP(J252,'Rea - SK'!A:A,'Rea - SK'!F:F),DATE(1966,6,6)),IFERROR(_xludf.XLOOKUP(K252,'Rea - SK'!A:A,'Rea - SK'!F:F),DATE(1966,6,6)))</f>
        <v>24264</v>
      </c>
      <c r="G252" s="2" t="s">
        <v>1555</v>
      </c>
      <c r="H252" s="2" t="s">
        <v>2633</v>
      </c>
      <c r="I252" s="19"/>
      <c r="J252" s="19"/>
      <c r="K252" s="19"/>
      <c r="L252" s="18"/>
    </row>
    <row r="253" spans="1:12" ht="18.75" customHeight="1" x14ac:dyDescent="0.2">
      <c r="A253" s="16" t="s">
        <v>5233</v>
      </c>
      <c r="B253" s="2">
        <v>49333</v>
      </c>
      <c r="C253" s="2">
        <v>5902557382750</v>
      </c>
      <c r="D253" s="4" t="s">
        <v>5234</v>
      </c>
      <c r="E253" s="3">
        <f t="array" aca="1" ref="E253" ca="1">IFERROR(_xludf.XLOOKUP(G253,'Rea - SK'!A:A,'Rea - SK'!E:E),0)+IFERROR(_xludf.XLOOKUP(H253,'Rea - SK'!A:A,'Rea - SK'!E:E),0)+IFERROR(_xludf.XLOOKUP(I253,'Rea - SK'!A:A,'Rea - SK'!E:E),0)+IFERROR(_xludf.XLOOKUP(J253,'Rea - SK'!A:A,'Rea - SK'!E:E),0)+IFERROR(_xludf.XLOOKUP(K253,'Rea - SK'!A:A,'Rea - SK'!E:E),0)</f>
        <v>0</v>
      </c>
      <c r="F253" s="11">
        <f t="array" aca="1" ref="F253" ca="1">MAX(IFERROR(_xludf.XLOOKUP(G253,'Rea - SK'!A:A,'Rea - SK'!F:F),DATE(1966,6,6)),IFERROR(_xludf.XLOOKUP(H253,'Rea - SK'!A:A,'Rea - SK'!F:F),DATE(1966,6,6)),IFERROR(_xludf.XLOOKUP(I253,'Rea - SK'!A:A,'Rea - SK'!F:F),DATE(1966,6,6)),IFERROR(_xludf.XLOOKUP(J253,'Rea - SK'!A:A,'Rea - SK'!F:F),DATE(1966,6,6)),IFERROR(_xludf.XLOOKUP(K253,'Rea - SK'!A:A,'Rea - SK'!F:F),DATE(1966,6,6)))</f>
        <v>24264</v>
      </c>
      <c r="G253" s="2" t="s">
        <v>1555</v>
      </c>
      <c r="H253" s="2" t="s">
        <v>2631</v>
      </c>
      <c r="I253" s="19"/>
      <c r="J253" s="19"/>
      <c r="K253" s="19"/>
      <c r="L253" s="18"/>
    </row>
    <row r="254" spans="1:12" ht="18.75" customHeight="1" x14ac:dyDescent="0.2">
      <c r="A254" s="16" t="s">
        <v>5235</v>
      </c>
      <c r="B254" s="2">
        <v>49332</v>
      </c>
      <c r="C254" s="2">
        <v>5902557382729</v>
      </c>
      <c r="D254" s="4" t="s">
        <v>5236</v>
      </c>
      <c r="E254" s="3">
        <f t="array" aca="1" ref="E254" ca="1">IFERROR(_xludf.XLOOKUP(G254,'Rea - SK'!A:A,'Rea - SK'!E:E),0)+IFERROR(_xludf.XLOOKUP(H254,'Rea - SK'!A:A,'Rea - SK'!E:E),0)+IFERROR(_xludf.XLOOKUP(I254,'Rea - SK'!A:A,'Rea - SK'!E:E),0)+IFERROR(_xludf.XLOOKUP(J254,'Rea - SK'!A:A,'Rea - SK'!E:E),0)+IFERROR(_xludf.XLOOKUP(K254,'Rea - SK'!A:A,'Rea - SK'!E:E),0)</f>
        <v>0</v>
      </c>
      <c r="F254" s="11">
        <f t="array" aca="1" ref="F254" ca="1">MAX(IFERROR(_xludf.XLOOKUP(G254,'Rea - SK'!A:A,'Rea - SK'!F:F),DATE(1966,6,6)),IFERROR(_xludf.XLOOKUP(H254,'Rea - SK'!A:A,'Rea - SK'!F:F),DATE(1966,6,6)),IFERROR(_xludf.XLOOKUP(I254,'Rea - SK'!A:A,'Rea - SK'!F:F),DATE(1966,6,6)),IFERROR(_xludf.XLOOKUP(J254,'Rea - SK'!A:A,'Rea - SK'!F:F),DATE(1966,6,6)),IFERROR(_xludf.XLOOKUP(K254,'Rea - SK'!A:A,'Rea - SK'!F:F),DATE(1966,6,6)))</f>
        <v>24264</v>
      </c>
      <c r="G254" s="2" t="s">
        <v>1553</v>
      </c>
      <c r="H254" s="2" t="s">
        <v>2629</v>
      </c>
      <c r="I254" s="19"/>
      <c r="J254" s="19"/>
      <c r="K254" s="19"/>
      <c r="L254" s="18"/>
    </row>
    <row r="255" spans="1:12" ht="18.75" customHeight="1" x14ac:dyDescent="0.2">
      <c r="A255" s="16" t="s">
        <v>5237</v>
      </c>
      <c r="B255" s="2">
        <v>49331</v>
      </c>
      <c r="C255" s="2">
        <v>5902557382712</v>
      </c>
      <c r="D255" s="4" t="s">
        <v>5238</v>
      </c>
      <c r="E255" s="3">
        <f t="array" aca="1" ref="E255" ca="1">IFERROR(_xludf.XLOOKUP(G255,'Rea - SK'!A:A,'Rea - SK'!E:E),0)+IFERROR(_xludf.XLOOKUP(H255,'Rea - SK'!A:A,'Rea - SK'!E:E),0)+IFERROR(_xludf.XLOOKUP(I255,'Rea - SK'!A:A,'Rea - SK'!E:E),0)+IFERROR(_xludf.XLOOKUP(J255,'Rea - SK'!A:A,'Rea - SK'!E:E),0)+IFERROR(_xludf.XLOOKUP(K255,'Rea - SK'!A:A,'Rea - SK'!E:E),0)</f>
        <v>0</v>
      </c>
      <c r="F255" s="11">
        <f t="array" aca="1" ref="F255" ca="1">MAX(IFERROR(_xludf.XLOOKUP(G255,'Rea - SK'!A:A,'Rea - SK'!F:F),DATE(1966,6,6)),IFERROR(_xludf.XLOOKUP(H255,'Rea - SK'!A:A,'Rea - SK'!F:F),DATE(1966,6,6)),IFERROR(_xludf.XLOOKUP(I255,'Rea - SK'!A:A,'Rea - SK'!F:F),DATE(1966,6,6)),IFERROR(_xludf.XLOOKUP(J255,'Rea - SK'!A:A,'Rea - SK'!F:F),DATE(1966,6,6)),IFERROR(_xludf.XLOOKUP(K255,'Rea - SK'!A:A,'Rea - SK'!F:F),DATE(1966,6,6)))</f>
        <v>24264</v>
      </c>
      <c r="G255" s="2" t="s">
        <v>1553</v>
      </c>
      <c r="H255" s="2" t="s">
        <v>2633</v>
      </c>
      <c r="I255" s="19"/>
      <c r="J255" s="19"/>
      <c r="K255" s="19"/>
      <c r="L255" s="18"/>
    </row>
    <row r="256" spans="1:12" ht="18.75" customHeight="1" x14ac:dyDescent="0.2">
      <c r="A256" s="16" t="s">
        <v>5239</v>
      </c>
      <c r="B256" s="2">
        <v>49330</v>
      </c>
      <c r="C256" s="2">
        <v>5902557382705</v>
      </c>
      <c r="D256" s="4" t="s">
        <v>5240</v>
      </c>
      <c r="E256" s="3">
        <f t="array" aca="1" ref="E256" ca="1">IFERROR(_xludf.XLOOKUP(G256,'Rea - SK'!A:A,'Rea - SK'!E:E),0)+IFERROR(_xludf.XLOOKUP(H256,'Rea - SK'!A:A,'Rea - SK'!E:E),0)+IFERROR(_xludf.XLOOKUP(I256,'Rea - SK'!A:A,'Rea - SK'!E:E),0)+IFERROR(_xludf.XLOOKUP(J256,'Rea - SK'!A:A,'Rea - SK'!E:E),0)+IFERROR(_xludf.XLOOKUP(K256,'Rea - SK'!A:A,'Rea - SK'!E:E),0)</f>
        <v>0</v>
      </c>
      <c r="F256" s="11">
        <f t="array" aca="1" ref="F256" ca="1">MAX(IFERROR(_xludf.XLOOKUP(G256,'Rea - SK'!A:A,'Rea - SK'!F:F),DATE(1966,6,6)),IFERROR(_xludf.XLOOKUP(H256,'Rea - SK'!A:A,'Rea - SK'!F:F),DATE(1966,6,6)),IFERROR(_xludf.XLOOKUP(I256,'Rea - SK'!A:A,'Rea - SK'!F:F),DATE(1966,6,6)),IFERROR(_xludf.XLOOKUP(J256,'Rea - SK'!A:A,'Rea - SK'!F:F),DATE(1966,6,6)),IFERROR(_xludf.XLOOKUP(K256,'Rea - SK'!A:A,'Rea - SK'!F:F),DATE(1966,6,6)))</f>
        <v>24264</v>
      </c>
      <c r="G256" s="2" t="s">
        <v>1553</v>
      </c>
      <c r="H256" s="2" t="s">
        <v>2631</v>
      </c>
      <c r="I256" s="19"/>
      <c r="J256" s="19"/>
      <c r="K256" s="19"/>
      <c r="L256" s="18"/>
    </row>
    <row r="257" spans="1:12" ht="18.75" customHeight="1" x14ac:dyDescent="0.2">
      <c r="A257" s="16" t="s">
        <v>5241</v>
      </c>
      <c r="B257" s="2">
        <v>49329</v>
      </c>
      <c r="C257" s="2">
        <v>5902557382675</v>
      </c>
      <c r="D257" s="4" t="s">
        <v>5242</v>
      </c>
      <c r="E257" s="3">
        <f t="array" aca="1" ref="E257" ca="1">IFERROR(_xludf.XLOOKUP(G257,'Rea - SK'!A:A,'Rea - SK'!E:E),0)+IFERROR(_xludf.XLOOKUP(H257,'Rea - SK'!A:A,'Rea - SK'!E:E),0)+IFERROR(_xludf.XLOOKUP(I257,'Rea - SK'!A:A,'Rea - SK'!E:E),0)+IFERROR(_xludf.XLOOKUP(J257,'Rea - SK'!A:A,'Rea - SK'!E:E),0)+IFERROR(_xludf.XLOOKUP(K257,'Rea - SK'!A:A,'Rea - SK'!E:E),0)</f>
        <v>0</v>
      </c>
      <c r="F257" s="11">
        <f t="array" aca="1" ref="F257" ca="1">MAX(IFERROR(_xludf.XLOOKUP(G257,'Rea - SK'!A:A,'Rea - SK'!F:F),DATE(1966,6,6)),IFERROR(_xludf.XLOOKUP(H257,'Rea - SK'!A:A,'Rea - SK'!F:F),DATE(1966,6,6)),IFERROR(_xludf.XLOOKUP(I257,'Rea - SK'!A:A,'Rea - SK'!F:F),DATE(1966,6,6)),IFERROR(_xludf.XLOOKUP(J257,'Rea - SK'!A:A,'Rea - SK'!F:F),DATE(1966,6,6)),IFERROR(_xludf.XLOOKUP(K257,'Rea - SK'!A:A,'Rea - SK'!F:F),DATE(1966,6,6)))</f>
        <v>24264</v>
      </c>
      <c r="G257" s="2" t="s">
        <v>1551</v>
      </c>
      <c r="H257" s="2" t="s">
        <v>2629</v>
      </c>
      <c r="I257" s="19"/>
      <c r="J257" s="19"/>
      <c r="K257" s="19"/>
      <c r="L257" s="18"/>
    </row>
    <row r="258" spans="1:12" ht="18.75" customHeight="1" x14ac:dyDescent="0.2">
      <c r="A258" s="16" t="s">
        <v>5243</v>
      </c>
      <c r="B258" s="2">
        <v>49328</v>
      </c>
      <c r="C258" s="2">
        <v>5902557382682</v>
      </c>
      <c r="D258" s="4" t="s">
        <v>5244</v>
      </c>
      <c r="E258" s="3">
        <f t="array" aca="1" ref="E258" ca="1">IFERROR(_xludf.XLOOKUP(G258,'Rea - SK'!A:A,'Rea - SK'!E:E),0)+IFERROR(_xludf.XLOOKUP(H258,'Rea - SK'!A:A,'Rea - SK'!E:E),0)+IFERROR(_xludf.XLOOKUP(I258,'Rea - SK'!A:A,'Rea - SK'!E:E),0)+IFERROR(_xludf.XLOOKUP(J258,'Rea - SK'!A:A,'Rea - SK'!E:E),0)+IFERROR(_xludf.XLOOKUP(K258,'Rea - SK'!A:A,'Rea - SK'!E:E),0)</f>
        <v>0</v>
      </c>
      <c r="F258" s="11">
        <f t="array" aca="1" ref="F258" ca="1">MAX(IFERROR(_xludf.XLOOKUP(G258,'Rea - SK'!A:A,'Rea - SK'!F:F),DATE(1966,6,6)),IFERROR(_xludf.XLOOKUP(H258,'Rea - SK'!A:A,'Rea - SK'!F:F),DATE(1966,6,6)),IFERROR(_xludf.XLOOKUP(I258,'Rea - SK'!A:A,'Rea - SK'!F:F),DATE(1966,6,6)),IFERROR(_xludf.XLOOKUP(J258,'Rea - SK'!A:A,'Rea - SK'!F:F),DATE(1966,6,6)),IFERROR(_xludf.XLOOKUP(K258,'Rea - SK'!A:A,'Rea - SK'!F:F),DATE(1966,6,6)))</f>
        <v>24264</v>
      </c>
      <c r="G258" s="2" t="s">
        <v>1551</v>
      </c>
      <c r="H258" s="2" t="s">
        <v>2633</v>
      </c>
      <c r="I258" s="19"/>
      <c r="J258" s="19"/>
      <c r="K258" s="19"/>
      <c r="L258" s="18"/>
    </row>
    <row r="259" spans="1:12" ht="18.75" customHeight="1" x14ac:dyDescent="0.2">
      <c r="A259" s="16" t="s">
        <v>5245</v>
      </c>
      <c r="B259" s="2">
        <v>49327</v>
      </c>
      <c r="C259" s="2">
        <v>5902557382699</v>
      </c>
      <c r="D259" s="4" t="s">
        <v>5246</v>
      </c>
      <c r="E259" s="3">
        <f t="array" aca="1" ref="E259" ca="1">IFERROR(_xludf.XLOOKUP(G259,'Rea - SK'!A:A,'Rea - SK'!E:E),0)+IFERROR(_xludf.XLOOKUP(H259,'Rea - SK'!A:A,'Rea - SK'!E:E),0)+IFERROR(_xludf.XLOOKUP(I259,'Rea - SK'!A:A,'Rea - SK'!E:E),0)+IFERROR(_xludf.XLOOKUP(J259,'Rea - SK'!A:A,'Rea - SK'!E:E),0)+IFERROR(_xludf.XLOOKUP(K259,'Rea - SK'!A:A,'Rea - SK'!E:E),0)</f>
        <v>0</v>
      </c>
      <c r="F259" s="11">
        <f t="array" aca="1" ref="F259" ca="1">MAX(IFERROR(_xludf.XLOOKUP(G259,'Rea - SK'!A:A,'Rea - SK'!F:F),DATE(1966,6,6)),IFERROR(_xludf.XLOOKUP(H259,'Rea - SK'!A:A,'Rea - SK'!F:F),DATE(1966,6,6)),IFERROR(_xludf.XLOOKUP(I259,'Rea - SK'!A:A,'Rea - SK'!F:F),DATE(1966,6,6)),IFERROR(_xludf.XLOOKUP(J259,'Rea - SK'!A:A,'Rea - SK'!F:F),DATE(1966,6,6)),IFERROR(_xludf.XLOOKUP(K259,'Rea - SK'!A:A,'Rea - SK'!F:F),DATE(1966,6,6)))</f>
        <v>24264</v>
      </c>
      <c r="G259" s="2" t="s">
        <v>1551</v>
      </c>
      <c r="H259" s="2" t="s">
        <v>2631</v>
      </c>
      <c r="I259" s="19"/>
      <c r="J259" s="19"/>
      <c r="K259" s="19"/>
      <c r="L259" s="18"/>
    </row>
    <row r="260" spans="1:12" ht="18.75" customHeight="1" x14ac:dyDescent="0.2">
      <c r="A260" s="16" t="s">
        <v>5247</v>
      </c>
      <c r="B260" s="2">
        <v>49326</v>
      </c>
      <c r="C260" s="2">
        <v>5902557382668</v>
      </c>
      <c r="D260" s="4" t="s">
        <v>5248</v>
      </c>
      <c r="E260" s="3">
        <f t="array" aca="1" ref="E260" ca="1">IFERROR(_xludf.XLOOKUP(G260,'Rea - SK'!A:A,'Rea - SK'!E:E),0)+IFERROR(_xludf.XLOOKUP(H260,'Rea - SK'!A:A,'Rea - SK'!E:E),0)+IFERROR(_xludf.XLOOKUP(I260,'Rea - SK'!A:A,'Rea - SK'!E:E),0)+IFERROR(_xludf.XLOOKUP(J260,'Rea - SK'!A:A,'Rea - SK'!E:E),0)+IFERROR(_xludf.XLOOKUP(K260,'Rea - SK'!A:A,'Rea - SK'!E:E),0)</f>
        <v>0</v>
      </c>
      <c r="F260" s="11">
        <f t="array" aca="1" ref="F260" ca="1">MAX(IFERROR(_xludf.XLOOKUP(G260,'Rea - SK'!A:A,'Rea - SK'!F:F),DATE(1966,6,6)),IFERROR(_xludf.XLOOKUP(H260,'Rea - SK'!A:A,'Rea - SK'!F:F),DATE(1966,6,6)),IFERROR(_xludf.XLOOKUP(I260,'Rea - SK'!A:A,'Rea - SK'!F:F),DATE(1966,6,6)),IFERROR(_xludf.XLOOKUP(J260,'Rea - SK'!A:A,'Rea - SK'!F:F),DATE(1966,6,6)),IFERROR(_xludf.XLOOKUP(K260,'Rea - SK'!A:A,'Rea - SK'!F:F),DATE(1966,6,6)))</f>
        <v>24264</v>
      </c>
      <c r="G260" s="2" t="s">
        <v>1549</v>
      </c>
      <c r="H260" s="2" t="s">
        <v>2629</v>
      </c>
      <c r="I260" s="19"/>
      <c r="J260" s="19"/>
      <c r="K260" s="19"/>
      <c r="L260" s="18"/>
    </row>
    <row r="261" spans="1:12" ht="18.75" customHeight="1" x14ac:dyDescent="0.2">
      <c r="A261" s="16" t="s">
        <v>5249</v>
      </c>
      <c r="B261" s="2">
        <v>49325</v>
      </c>
      <c r="C261" s="2">
        <v>5902557382651</v>
      </c>
      <c r="D261" s="4" t="s">
        <v>5250</v>
      </c>
      <c r="E261" s="3">
        <f t="array" aca="1" ref="E261" ca="1">IFERROR(_xludf.XLOOKUP(G261,'Rea - SK'!A:A,'Rea - SK'!E:E),0)+IFERROR(_xludf.XLOOKUP(H261,'Rea - SK'!A:A,'Rea - SK'!E:E),0)+IFERROR(_xludf.XLOOKUP(I261,'Rea - SK'!A:A,'Rea - SK'!E:E),0)+IFERROR(_xludf.XLOOKUP(J261,'Rea - SK'!A:A,'Rea - SK'!E:E),0)+IFERROR(_xludf.XLOOKUP(K261,'Rea - SK'!A:A,'Rea - SK'!E:E),0)</f>
        <v>0</v>
      </c>
      <c r="F261" s="11">
        <f t="array" aca="1" ref="F261" ca="1">MAX(IFERROR(_xludf.XLOOKUP(G261,'Rea - SK'!A:A,'Rea - SK'!F:F),DATE(1966,6,6)),IFERROR(_xludf.XLOOKUP(H261,'Rea - SK'!A:A,'Rea - SK'!F:F),DATE(1966,6,6)),IFERROR(_xludf.XLOOKUP(I261,'Rea - SK'!A:A,'Rea - SK'!F:F),DATE(1966,6,6)),IFERROR(_xludf.XLOOKUP(J261,'Rea - SK'!A:A,'Rea - SK'!F:F),DATE(1966,6,6)),IFERROR(_xludf.XLOOKUP(K261,'Rea - SK'!A:A,'Rea - SK'!F:F),DATE(1966,6,6)))</f>
        <v>24264</v>
      </c>
      <c r="G261" s="2" t="s">
        <v>1549</v>
      </c>
      <c r="H261" s="2" t="s">
        <v>2633</v>
      </c>
      <c r="I261" s="19"/>
      <c r="J261" s="19"/>
      <c r="K261" s="19"/>
      <c r="L261" s="18"/>
    </row>
    <row r="262" spans="1:12" ht="18.75" customHeight="1" x14ac:dyDescent="0.2">
      <c r="A262" s="16" t="s">
        <v>5251</v>
      </c>
      <c r="B262" s="2">
        <v>49324</v>
      </c>
      <c r="C262" s="2">
        <v>5902557382644</v>
      </c>
      <c r="D262" s="4" t="s">
        <v>5252</v>
      </c>
      <c r="E262" s="3">
        <f t="array" aca="1" ref="E262" ca="1">IFERROR(_xludf.XLOOKUP(G262,'Rea - SK'!A:A,'Rea - SK'!E:E),0)+IFERROR(_xludf.XLOOKUP(H262,'Rea - SK'!A:A,'Rea - SK'!E:E),0)+IFERROR(_xludf.XLOOKUP(I262,'Rea - SK'!A:A,'Rea - SK'!E:E),0)+IFERROR(_xludf.XLOOKUP(J262,'Rea - SK'!A:A,'Rea - SK'!E:E),0)+IFERROR(_xludf.XLOOKUP(K262,'Rea - SK'!A:A,'Rea - SK'!E:E),0)</f>
        <v>0</v>
      </c>
      <c r="F262" s="11">
        <f t="array" aca="1" ref="F262" ca="1">MAX(IFERROR(_xludf.XLOOKUP(G262,'Rea - SK'!A:A,'Rea - SK'!F:F),DATE(1966,6,6)),IFERROR(_xludf.XLOOKUP(H262,'Rea - SK'!A:A,'Rea - SK'!F:F),DATE(1966,6,6)),IFERROR(_xludf.XLOOKUP(I262,'Rea - SK'!A:A,'Rea - SK'!F:F),DATE(1966,6,6)),IFERROR(_xludf.XLOOKUP(J262,'Rea - SK'!A:A,'Rea - SK'!F:F),DATE(1966,6,6)),IFERROR(_xludf.XLOOKUP(K262,'Rea - SK'!A:A,'Rea - SK'!F:F),DATE(1966,6,6)))</f>
        <v>24264</v>
      </c>
      <c r="G262" s="2" t="s">
        <v>1549</v>
      </c>
      <c r="H262" s="2" t="s">
        <v>2631</v>
      </c>
      <c r="I262" s="19"/>
      <c r="J262" s="19"/>
      <c r="K262" s="19"/>
      <c r="L262" s="18"/>
    </row>
    <row r="263" spans="1:12" ht="18.75" customHeight="1" x14ac:dyDescent="0.2">
      <c r="A263" s="16" t="s">
        <v>5253</v>
      </c>
      <c r="B263" s="2">
        <v>49323</v>
      </c>
      <c r="C263" s="2">
        <v>5902557382613</v>
      </c>
      <c r="D263" s="4" t="s">
        <v>5254</v>
      </c>
      <c r="E263" s="3">
        <f t="array" aca="1" ref="E263" ca="1">IFERROR(_xludf.XLOOKUP(G263,'Rea - SK'!A:A,'Rea - SK'!E:E),0)+IFERROR(_xludf.XLOOKUP(H263,'Rea - SK'!A:A,'Rea - SK'!E:E),0)+IFERROR(_xludf.XLOOKUP(I263,'Rea - SK'!A:A,'Rea - SK'!E:E),0)+IFERROR(_xludf.XLOOKUP(J263,'Rea - SK'!A:A,'Rea - SK'!E:E),0)+IFERROR(_xludf.XLOOKUP(K263,'Rea - SK'!A:A,'Rea - SK'!E:E),0)</f>
        <v>0</v>
      </c>
      <c r="F263" s="11">
        <f t="array" aca="1" ref="F263" ca="1">MAX(IFERROR(_xludf.XLOOKUP(G263,'Rea - SK'!A:A,'Rea - SK'!F:F),DATE(1966,6,6)),IFERROR(_xludf.XLOOKUP(H263,'Rea - SK'!A:A,'Rea - SK'!F:F),DATE(1966,6,6)),IFERROR(_xludf.XLOOKUP(I263,'Rea - SK'!A:A,'Rea - SK'!F:F),DATE(1966,6,6)),IFERROR(_xludf.XLOOKUP(J263,'Rea - SK'!A:A,'Rea - SK'!F:F),DATE(1966,6,6)),IFERROR(_xludf.XLOOKUP(K263,'Rea - SK'!A:A,'Rea - SK'!F:F),DATE(1966,6,6)))</f>
        <v>24264</v>
      </c>
      <c r="G263" s="2" t="s">
        <v>1547</v>
      </c>
      <c r="H263" s="2" t="s">
        <v>2629</v>
      </c>
      <c r="I263" s="19"/>
      <c r="J263" s="19"/>
      <c r="K263" s="19"/>
      <c r="L263" s="18"/>
    </row>
    <row r="264" spans="1:12" ht="18.75" customHeight="1" x14ac:dyDescent="0.2">
      <c r="A264" s="16" t="s">
        <v>5255</v>
      </c>
      <c r="B264" s="2">
        <v>49322</v>
      </c>
      <c r="C264" s="2">
        <v>5902557382620</v>
      </c>
      <c r="D264" s="4" t="s">
        <v>5256</v>
      </c>
      <c r="E264" s="3">
        <f t="array" aca="1" ref="E264" ca="1">IFERROR(_xludf.XLOOKUP(G264,'Rea - SK'!A:A,'Rea - SK'!E:E),0)+IFERROR(_xludf.XLOOKUP(H264,'Rea - SK'!A:A,'Rea - SK'!E:E),0)+IFERROR(_xludf.XLOOKUP(I264,'Rea - SK'!A:A,'Rea - SK'!E:E),0)+IFERROR(_xludf.XLOOKUP(J264,'Rea - SK'!A:A,'Rea - SK'!E:E),0)+IFERROR(_xludf.XLOOKUP(K264,'Rea - SK'!A:A,'Rea - SK'!E:E),0)</f>
        <v>0</v>
      </c>
      <c r="F264" s="11">
        <f t="array" aca="1" ref="F264" ca="1">MAX(IFERROR(_xludf.XLOOKUP(G264,'Rea - SK'!A:A,'Rea - SK'!F:F),DATE(1966,6,6)),IFERROR(_xludf.XLOOKUP(H264,'Rea - SK'!A:A,'Rea - SK'!F:F),DATE(1966,6,6)),IFERROR(_xludf.XLOOKUP(I264,'Rea - SK'!A:A,'Rea - SK'!F:F),DATE(1966,6,6)),IFERROR(_xludf.XLOOKUP(J264,'Rea - SK'!A:A,'Rea - SK'!F:F),DATE(1966,6,6)),IFERROR(_xludf.XLOOKUP(K264,'Rea - SK'!A:A,'Rea - SK'!F:F),DATE(1966,6,6)))</f>
        <v>24264</v>
      </c>
      <c r="G264" s="2" t="s">
        <v>1547</v>
      </c>
      <c r="H264" s="2" t="s">
        <v>2633</v>
      </c>
      <c r="I264" s="19"/>
      <c r="J264" s="19"/>
      <c r="K264" s="19"/>
      <c r="L264" s="18"/>
    </row>
    <row r="265" spans="1:12" ht="18.75" customHeight="1" x14ac:dyDescent="0.2">
      <c r="A265" s="16" t="s">
        <v>5257</v>
      </c>
      <c r="B265" s="2">
        <v>49321</v>
      </c>
      <c r="C265" s="2">
        <v>5902557382637</v>
      </c>
      <c r="D265" s="4" t="s">
        <v>5258</v>
      </c>
      <c r="E265" s="3">
        <f t="array" aca="1" ref="E265" ca="1">IFERROR(_xludf.XLOOKUP(G265,'Rea - SK'!A:A,'Rea - SK'!E:E),0)+IFERROR(_xludf.XLOOKUP(H265,'Rea - SK'!A:A,'Rea - SK'!E:E),0)+IFERROR(_xludf.XLOOKUP(I265,'Rea - SK'!A:A,'Rea - SK'!E:E),0)+IFERROR(_xludf.XLOOKUP(J265,'Rea - SK'!A:A,'Rea - SK'!E:E),0)+IFERROR(_xludf.XLOOKUP(K265,'Rea - SK'!A:A,'Rea - SK'!E:E),0)</f>
        <v>0</v>
      </c>
      <c r="F265" s="11">
        <f t="array" aca="1" ref="F265" ca="1">MAX(IFERROR(_xludf.XLOOKUP(G265,'Rea - SK'!A:A,'Rea - SK'!F:F),DATE(1966,6,6)),IFERROR(_xludf.XLOOKUP(H265,'Rea - SK'!A:A,'Rea - SK'!F:F),DATE(1966,6,6)),IFERROR(_xludf.XLOOKUP(I265,'Rea - SK'!A:A,'Rea - SK'!F:F),DATE(1966,6,6)),IFERROR(_xludf.XLOOKUP(J265,'Rea - SK'!A:A,'Rea - SK'!F:F),DATE(1966,6,6)),IFERROR(_xludf.XLOOKUP(K265,'Rea - SK'!A:A,'Rea - SK'!F:F),DATE(1966,6,6)))</f>
        <v>24264</v>
      </c>
      <c r="G265" s="2" t="s">
        <v>1547</v>
      </c>
      <c r="H265" s="2" t="s">
        <v>2631</v>
      </c>
      <c r="I265" s="19"/>
      <c r="J265" s="19"/>
      <c r="K265" s="19"/>
      <c r="L265" s="18"/>
    </row>
    <row r="266" spans="1:12" ht="18.75" customHeight="1" x14ac:dyDescent="0.2">
      <c r="A266" s="16" t="s">
        <v>5259</v>
      </c>
      <c r="B266" s="2">
        <v>49320</v>
      </c>
      <c r="C266" s="2">
        <v>5902557382606</v>
      </c>
      <c r="D266" s="4" t="s">
        <v>5260</v>
      </c>
      <c r="E266" s="3">
        <f t="array" aca="1" ref="E266" ca="1">IFERROR(_xludf.XLOOKUP(G266,'Rea - SK'!A:A,'Rea - SK'!E:E),0)+IFERROR(_xludf.XLOOKUP(H266,'Rea - SK'!A:A,'Rea - SK'!E:E),0)+IFERROR(_xludf.XLOOKUP(I266,'Rea - SK'!A:A,'Rea - SK'!E:E),0)+IFERROR(_xludf.XLOOKUP(J266,'Rea - SK'!A:A,'Rea - SK'!E:E),0)+IFERROR(_xludf.XLOOKUP(K266,'Rea - SK'!A:A,'Rea - SK'!E:E),0)</f>
        <v>0</v>
      </c>
      <c r="F266" s="11">
        <f t="array" aca="1" ref="F266" ca="1">MAX(IFERROR(_xludf.XLOOKUP(G266,'Rea - SK'!A:A,'Rea - SK'!F:F),DATE(1966,6,6)),IFERROR(_xludf.XLOOKUP(H266,'Rea - SK'!A:A,'Rea - SK'!F:F),DATE(1966,6,6)),IFERROR(_xludf.XLOOKUP(I266,'Rea - SK'!A:A,'Rea - SK'!F:F),DATE(1966,6,6)),IFERROR(_xludf.XLOOKUP(J266,'Rea - SK'!A:A,'Rea - SK'!F:F),DATE(1966,6,6)),IFERROR(_xludf.XLOOKUP(K266,'Rea - SK'!A:A,'Rea - SK'!F:F),DATE(1966,6,6)))</f>
        <v>24264</v>
      </c>
      <c r="G266" s="2" t="s">
        <v>1545</v>
      </c>
      <c r="H266" s="2" t="s">
        <v>2629</v>
      </c>
      <c r="I266" s="19"/>
      <c r="J266" s="19"/>
      <c r="K266" s="19"/>
      <c r="L266" s="18"/>
    </row>
    <row r="267" spans="1:12" ht="18.75" customHeight="1" x14ac:dyDescent="0.2">
      <c r="A267" s="16" t="s">
        <v>5261</v>
      </c>
      <c r="B267" s="2">
        <v>49319</v>
      </c>
      <c r="C267" s="2">
        <v>5902557382590</v>
      </c>
      <c r="D267" s="4" t="s">
        <v>5262</v>
      </c>
      <c r="E267" s="3">
        <f t="array" aca="1" ref="E267" ca="1">IFERROR(_xludf.XLOOKUP(G267,'Rea - SK'!A:A,'Rea - SK'!E:E),0)+IFERROR(_xludf.XLOOKUP(H267,'Rea - SK'!A:A,'Rea - SK'!E:E),0)+IFERROR(_xludf.XLOOKUP(I267,'Rea - SK'!A:A,'Rea - SK'!E:E),0)+IFERROR(_xludf.XLOOKUP(J267,'Rea - SK'!A:A,'Rea - SK'!E:E),0)+IFERROR(_xludf.XLOOKUP(K267,'Rea - SK'!A:A,'Rea - SK'!E:E),0)</f>
        <v>0</v>
      </c>
      <c r="F267" s="11">
        <f t="array" aca="1" ref="F267" ca="1">MAX(IFERROR(_xludf.XLOOKUP(G267,'Rea - SK'!A:A,'Rea - SK'!F:F),DATE(1966,6,6)),IFERROR(_xludf.XLOOKUP(H267,'Rea - SK'!A:A,'Rea - SK'!F:F),DATE(1966,6,6)),IFERROR(_xludf.XLOOKUP(I267,'Rea - SK'!A:A,'Rea - SK'!F:F),DATE(1966,6,6)),IFERROR(_xludf.XLOOKUP(J267,'Rea - SK'!A:A,'Rea - SK'!F:F),DATE(1966,6,6)),IFERROR(_xludf.XLOOKUP(K267,'Rea - SK'!A:A,'Rea - SK'!F:F),DATE(1966,6,6)))</f>
        <v>24264</v>
      </c>
      <c r="G267" s="2" t="s">
        <v>1545</v>
      </c>
      <c r="H267" s="2" t="s">
        <v>2633</v>
      </c>
      <c r="I267" s="19"/>
      <c r="J267" s="19"/>
      <c r="K267" s="19"/>
      <c r="L267" s="18"/>
    </row>
    <row r="268" spans="1:12" ht="18.75" customHeight="1" x14ac:dyDescent="0.2">
      <c r="A268" s="16" t="s">
        <v>5263</v>
      </c>
      <c r="B268" s="2">
        <v>49318</v>
      </c>
      <c r="C268" s="2">
        <v>5902557382583</v>
      </c>
      <c r="D268" s="4" t="s">
        <v>5264</v>
      </c>
      <c r="E268" s="3">
        <f t="array" aca="1" ref="E268" ca="1">IFERROR(_xludf.XLOOKUP(G268,'Rea - SK'!A:A,'Rea - SK'!E:E),0)+IFERROR(_xludf.XLOOKUP(H268,'Rea - SK'!A:A,'Rea - SK'!E:E),0)+IFERROR(_xludf.XLOOKUP(I268,'Rea - SK'!A:A,'Rea - SK'!E:E),0)+IFERROR(_xludf.XLOOKUP(J268,'Rea - SK'!A:A,'Rea - SK'!E:E),0)+IFERROR(_xludf.XLOOKUP(K268,'Rea - SK'!A:A,'Rea - SK'!E:E),0)</f>
        <v>0</v>
      </c>
      <c r="F268" s="11">
        <f t="array" aca="1" ref="F268" ca="1">MAX(IFERROR(_xludf.XLOOKUP(G268,'Rea - SK'!A:A,'Rea - SK'!F:F),DATE(1966,6,6)),IFERROR(_xludf.XLOOKUP(H268,'Rea - SK'!A:A,'Rea - SK'!F:F),DATE(1966,6,6)),IFERROR(_xludf.XLOOKUP(I268,'Rea - SK'!A:A,'Rea - SK'!F:F),DATE(1966,6,6)),IFERROR(_xludf.XLOOKUP(J268,'Rea - SK'!A:A,'Rea - SK'!F:F),DATE(1966,6,6)),IFERROR(_xludf.XLOOKUP(K268,'Rea - SK'!A:A,'Rea - SK'!F:F),DATE(1966,6,6)))</f>
        <v>24264</v>
      </c>
      <c r="G268" s="2" t="s">
        <v>1545</v>
      </c>
      <c r="H268" s="2" t="s">
        <v>2631</v>
      </c>
      <c r="I268" s="19"/>
      <c r="J268" s="19"/>
      <c r="K268" s="19"/>
      <c r="L268" s="18"/>
    </row>
    <row r="269" spans="1:12" ht="18.75" customHeight="1" x14ac:dyDescent="0.2">
      <c r="A269" s="16" t="s">
        <v>5265</v>
      </c>
      <c r="B269" s="2">
        <v>49294</v>
      </c>
      <c r="C269" s="2">
        <v>5902557382576</v>
      </c>
      <c r="D269" s="4" t="s">
        <v>5266</v>
      </c>
      <c r="E269" s="3">
        <f t="array" aca="1" ref="E269" ca="1">IFERROR(_xludf.XLOOKUP(G269,'Rea - SK'!A:A,'Rea - SK'!E:E),0)+IFERROR(_xludf.XLOOKUP(H269,'Rea - SK'!A:A,'Rea - SK'!E:E),0)+IFERROR(_xludf.XLOOKUP(I269,'Rea - SK'!A:A,'Rea - SK'!E:E),0)+IFERROR(_xludf.XLOOKUP(J269,'Rea - SK'!A:A,'Rea - SK'!E:E),0)+IFERROR(_xludf.XLOOKUP(K269,'Rea - SK'!A:A,'Rea - SK'!E:E),0)</f>
        <v>0</v>
      </c>
      <c r="F269" s="11">
        <f t="array" aca="1" ref="F269" ca="1">MAX(IFERROR(_xludf.XLOOKUP(G269,'Rea - SK'!A:A,'Rea - SK'!F:F),DATE(1966,6,6)),IFERROR(_xludf.XLOOKUP(H269,'Rea - SK'!A:A,'Rea - SK'!F:F),DATE(1966,6,6)),IFERROR(_xludf.XLOOKUP(I269,'Rea - SK'!A:A,'Rea - SK'!F:F),DATE(1966,6,6)),IFERROR(_xludf.XLOOKUP(J269,'Rea - SK'!A:A,'Rea - SK'!F:F),DATE(1966,6,6)),IFERROR(_xludf.XLOOKUP(K269,'Rea - SK'!A:A,'Rea - SK'!F:F),DATE(1966,6,6)))</f>
        <v>24264</v>
      </c>
      <c r="G269" s="2" t="s">
        <v>1543</v>
      </c>
      <c r="H269" s="2" t="s">
        <v>2623</v>
      </c>
      <c r="I269" s="19"/>
      <c r="J269" s="19"/>
      <c r="K269" s="19"/>
      <c r="L269" s="18"/>
    </row>
    <row r="270" spans="1:12" ht="18.75" customHeight="1" x14ac:dyDescent="0.2">
      <c r="A270" s="16" t="s">
        <v>5267</v>
      </c>
      <c r="B270" s="2">
        <v>49293</v>
      </c>
      <c r="C270" s="2">
        <v>5902557382569</v>
      </c>
      <c r="D270" s="4" t="s">
        <v>5268</v>
      </c>
      <c r="E270" s="3">
        <f t="array" aca="1" ref="E270" ca="1">IFERROR(_xludf.XLOOKUP(G270,'Rea - SK'!A:A,'Rea - SK'!E:E),0)+IFERROR(_xludf.XLOOKUP(H270,'Rea - SK'!A:A,'Rea - SK'!E:E),0)+IFERROR(_xludf.XLOOKUP(I270,'Rea - SK'!A:A,'Rea - SK'!E:E),0)+IFERROR(_xludf.XLOOKUP(J270,'Rea - SK'!A:A,'Rea - SK'!E:E),0)+IFERROR(_xludf.XLOOKUP(K270,'Rea - SK'!A:A,'Rea - SK'!E:E),0)</f>
        <v>0</v>
      </c>
      <c r="F270" s="11">
        <f t="array" aca="1" ref="F270" ca="1">MAX(IFERROR(_xludf.XLOOKUP(G270,'Rea - SK'!A:A,'Rea - SK'!F:F),DATE(1966,6,6)),IFERROR(_xludf.XLOOKUP(H270,'Rea - SK'!A:A,'Rea - SK'!F:F),DATE(1966,6,6)),IFERROR(_xludf.XLOOKUP(I270,'Rea - SK'!A:A,'Rea - SK'!F:F),DATE(1966,6,6)),IFERROR(_xludf.XLOOKUP(J270,'Rea - SK'!A:A,'Rea - SK'!F:F),DATE(1966,6,6)),IFERROR(_xludf.XLOOKUP(K270,'Rea - SK'!A:A,'Rea - SK'!F:F),DATE(1966,6,6)))</f>
        <v>24264</v>
      </c>
      <c r="G270" s="2" t="s">
        <v>1543</v>
      </c>
      <c r="H270" s="2" t="s">
        <v>2627</v>
      </c>
      <c r="I270" s="19"/>
      <c r="J270" s="19"/>
      <c r="K270" s="19"/>
      <c r="L270" s="18"/>
    </row>
    <row r="271" spans="1:12" ht="18.75" customHeight="1" x14ac:dyDescent="0.2">
      <c r="A271" s="16" t="s">
        <v>5269</v>
      </c>
      <c r="B271" s="2">
        <v>49292</v>
      </c>
      <c r="C271" s="2">
        <v>5902557382552</v>
      </c>
      <c r="D271" s="4" t="s">
        <v>5270</v>
      </c>
      <c r="E271" s="3">
        <f t="array" aca="1" ref="E271" ca="1">IFERROR(_xludf.XLOOKUP(G271,'Rea - SK'!A:A,'Rea - SK'!E:E),0)+IFERROR(_xludf.XLOOKUP(H271,'Rea - SK'!A:A,'Rea - SK'!E:E),0)+IFERROR(_xludf.XLOOKUP(I271,'Rea - SK'!A:A,'Rea - SK'!E:E),0)+IFERROR(_xludf.XLOOKUP(J271,'Rea - SK'!A:A,'Rea - SK'!E:E),0)+IFERROR(_xludf.XLOOKUP(K271,'Rea - SK'!A:A,'Rea - SK'!E:E),0)</f>
        <v>0</v>
      </c>
      <c r="F271" s="11">
        <f t="array" aca="1" ref="F271" ca="1">MAX(IFERROR(_xludf.XLOOKUP(G271,'Rea - SK'!A:A,'Rea - SK'!F:F),DATE(1966,6,6)),IFERROR(_xludf.XLOOKUP(H271,'Rea - SK'!A:A,'Rea - SK'!F:F),DATE(1966,6,6)),IFERROR(_xludf.XLOOKUP(I271,'Rea - SK'!A:A,'Rea - SK'!F:F),DATE(1966,6,6)),IFERROR(_xludf.XLOOKUP(J271,'Rea - SK'!A:A,'Rea - SK'!F:F),DATE(1966,6,6)),IFERROR(_xludf.XLOOKUP(K271,'Rea - SK'!A:A,'Rea - SK'!F:F),DATE(1966,6,6)))</f>
        <v>24264</v>
      </c>
      <c r="G271" s="2" t="s">
        <v>1543</v>
      </c>
      <c r="H271" s="2" t="s">
        <v>2625</v>
      </c>
      <c r="I271" s="19"/>
      <c r="J271" s="19"/>
      <c r="K271" s="19"/>
      <c r="L271" s="18"/>
    </row>
    <row r="272" spans="1:12" ht="18.75" customHeight="1" x14ac:dyDescent="0.2">
      <c r="A272" s="16" t="s">
        <v>5271</v>
      </c>
      <c r="B272" s="2">
        <v>49291</v>
      </c>
      <c r="C272" s="2">
        <v>5902557382545</v>
      </c>
      <c r="D272" s="4" t="s">
        <v>5272</v>
      </c>
      <c r="E272" s="3">
        <f t="array" aca="1" ref="E272" ca="1">IFERROR(_xludf.XLOOKUP(G272,'Rea - SK'!A:A,'Rea - SK'!E:E),0)+IFERROR(_xludf.XLOOKUP(H272,'Rea - SK'!A:A,'Rea - SK'!E:E),0)+IFERROR(_xludf.XLOOKUP(I272,'Rea - SK'!A:A,'Rea - SK'!E:E),0)+IFERROR(_xludf.XLOOKUP(J272,'Rea - SK'!A:A,'Rea - SK'!E:E),0)+IFERROR(_xludf.XLOOKUP(K272,'Rea - SK'!A:A,'Rea - SK'!E:E),0)</f>
        <v>0</v>
      </c>
      <c r="F272" s="11">
        <f t="array" aca="1" ref="F272" ca="1">MAX(IFERROR(_xludf.XLOOKUP(G272,'Rea - SK'!A:A,'Rea - SK'!F:F),DATE(1966,6,6)),IFERROR(_xludf.XLOOKUP(H272,'Rea - SK'!A:A,'Rea - SK'!F:F),DATE(1966,6,6)),IFERROR(_xludf.XLOOKUP(I272,'Rea - SK'!A:A,'Rea - SK'!F:F),DATE(1966,6,6)),IFERROR(_xludf.XLOOKUP(J272,'Rea - SK'!A:A,'Rea - SK'!F:F),DATE(1966,6,6)),IFERROR(_xludf.XLOOKUP(K272,'Rea - SK'!A:A,'Rea - SK'!F:F),DATE(1966,6,6)))</f>
        <v>24264</v>
      </c>
      <c r="G272" s="2" t="s">
        <v>1541</v>
      </c>
      <c r="H272" s="2" t="s">
        <v>2623</v>
      </c>
      <c r="I272" s="19"/>
      <c r="J272" s="19"/>
      <c r="K272" s="19"/>
      <c r="L272" s="18"/>
    </row>
    <row r="273" spans="1:12" ht="18.75" customHeight="1" x14ac:dyDescent="0.2">
      <c r="A273" s="16" t="s">
        <v>5273</v>
      </c>
      <c r="B273" s="2">
        <v>49290</v>
      </c>
      <c r="C273" s="2">
        <v>5902557382538</v>
      </c>
      <c r="D273" s="4" t="s">
        <v>5274</v>
      </c>
      <c r="E273" s="3">
        <f t="array" aca="1" ref="E273" ca="1">IFERROR(_xludf.XLOOKUP(G273,'Rea - SK'!A:A,'Rea - SK'!E:E),0)+IFERROR(_xludf.XLOOKUP(H273,'Rea - SK'!A:A,'Rea - SK'!E:E),0)+IFERROR(_xludf.XLOOKUP(I273,'Rea - SK'!A:A,'Rea - SK'!E:E),0)+IFERROR(_xludf.XLOOKUP(J273,'Rea - SK'!A:A,'Rea - SK'!E:E),0)+IFERROR(_xludf.XLOOKUP(K273,'Rea - SK'!A:A,'Rea - SK'!E:E),0)</f>
        <v>0</v>
      </c>
      <c r="F273" s="11">
        <f t="array" aca="1" ref="F273" ca="1">MAX(IFERROR(_xludf.XLOOKUP(G273,'Rea - SK'!A:A,'Rea - SK'!F:F),DATE(1966,6,6)),IFERROR(_xludf.XLOOKUP(H273,'Rea - SK'!A:A,'Rea - SK'!F:F),DATE(1966,6,6)),IFERROR(_xludf.XLOOKUP(I273,'Rea - SK'!A:A,'Rea - SK'!F:F),DATE(1966,6,6)),IFERROR(_xludf.XLOOKUP(J273,'Rea - SK'!A:A,'Rea - SK'!F:F),DATE(1966,6,6)),IFERROR(_xludf.XLOOKUP(K273,'Rea - SK'!A:A,'Rea - SK'!F:F),DATE(1966,6,6)))</f>
        <v>24264</v>
      </c>
      <c r="G273" s="2" t="s">
        <v>1541</v>
      </c>
      <c r="H273" s="2" t="s">
        <v>2627</v>
      </c>
      <c r="I273" s="19"/>
      <c r="J273" s="19"/>
      <c r="K273" s="19"/>
      <c r="L273" s="18"/>
    </row>
    <row r="274" spans="1:12" ht="18.75" customHeight="1" x14ac:dyDescent="0.2">
      <c r="A274" s="16" t="s">
        <v>5275</v>
      </c>
      <c r="B274" s="2">
        <v>49289</v>
      </c>
      <c r="C274" s="2">
        <v>5902557382521</v>
      </c>
      <c r="D274" s="4" t="s">
        <v>5276</v>
      </c>
      <c r="E274" s="3">
        <f t="array" aca="1" ref="E274" ca="1">IFERROR(_xludf.XLOOKUP(G274,'Rea - SK'!A:A,'Rea - SK'!E:E),0)+IFERROR(_xludf.XLOOKUP(H274,'Rea - SK'!A:A,'Rea - SK'!E:E),0)+IFERROR(_xludf.XLOOKUP(I274,'Rea - SK'!A:A,'Rea - SK'!E:E),0)+IFERROR(_xludf.XLOOKUP(J274,'Rea - SK'!A:A,'Rea - SK'!E:E),0)+IFERROR(_xludf.XLOOKUP(K274,'Rea - SK'!A:A,'Rea - SK'!E:E),0)</f>
        <v>0</v>
      </c>
      <c r="F274" s="11">
        <f t="array" aca="1" ref="F274" ca="1">MAX(IFERROR(_xludf.XLOOKUP(G274,'Rea - SK'!A:A,'Rea - SK'!F:F),DATE(1966,6,6)),IFERROR(_xludf.XLOOKUP(H274,'Rea - SK'!A:A,'Rea - SK'!F:F),DATE(1966,6,6)),IFERROR(_xludf.XLOOKUP(I274,'Rea - SK'!A:A,'Rea - SK'!F:F),DATE(1966,6,6)),IFERROR(_xludf.XLOOKUP(J274,'Rea - SK'!A:A,'Rea - SK'!F:F),DATE(1966,6,6)),IFERROR(_xludf.XLOOKUP(K274,'Rea - SK'!A:A,'Rea - SK'!F:F),DATE(1966,6,6)))</f>
        <v>24264</v>
      </c>
      <c r="G274" s="2" t="s">
        <v>1541</v>
      </c>
      <c r="H274" s="2" t="s">
        <v>2625</v>
      </c>
      <c r="I274" s="19"/>
      <c r="J274" s="19"/>
      <c r="K274" s="19"/>
      <c r="L274" s="18"/>
    </row>
    <row r="275" spans="1:12" ht="18.75" customHeight="1" x14ac:dyDescent="0.2">
      <c r="A275" s="16" t="s">
        <v>5277</v>
      </c>
      <c r="B275" s="2">
        <v>49288</v>
      </c>
      <c r="C275" s="2">
        <v>5902557382514</v>
      </c>
      <c r="D275" s="4" t="s">
        <v>5278</v>
      </c>
      <c r="E275" s="3">
        <f t="array" aca="1" ref="E275" ca="1">IFERROR(_xludf.XLOOKUP(G275,'Rea - SK'!A:A,'Rea - SK'!E:E),0)+IFERROR(_xludf.XLOOKUP(H275,'Rea - SK'!A:A,'Rea - SK'!E:E),0)+IFERROR(_xludf.XLOOKUP(I275,'Rea - SK'!A:A,'Rea - SK'!E:E),0)+IFERROR(_xludf.XLOOKUP(J275,'Rea - SK'!A:A,'Rea - SK'!E:E),0)+IFERROR(_xludf.XLOOKUP(K275,'Rea - SK'!A:A,'Rea - SK'!E:E),0)</f>
        <v>0</v>
      </c>
      <c r="F275" s="11">
        <f t="array" aca="1" ref="F275" ca="1">MAX(IFERROR(_xludf.XLOOKUP(G275,'Rea - SK'!A:A,'Rea - SK'!F:F),DATE(1966,6,6)),IFERROR(_xludf.XLOOKUP(H275,'Rea - SK'!A:A,'Rea - SK'!F:F),DATE(1966,6,6)),IFERROR(_xludf.XLOOKUP(I275,'Rea - SK'!A:A,'Rea - SK'!F:F),DATE(1966,6,6)),IFERROR(_xludf.XLOOKUP(J275,'Rea - SK'!A:A,'Rea - SK'!F:F),DATE(1966,6,6)),IFERROR(_xludf.XLOOKUP(K275,'Rea - SK'!A:A,'Rea - SK'!F:F),DATE(1966,6,6)))</f>
        <v>24264</v>
      </c>
      <c r="G275" s="2" t="s">
        <v>1539</v>
      </c>
      <c r="H275" s="2" t="s">
        <v>2623</v>
      </c>
      <c r="I275" s="19"/>
      <c r="J275" s="19"/>
      <c r="K275" s="19"/>
      <c r="L275" s="18"/>
    </row>
    <row r="276" spans="1:12" ht="18.75" customHeight="1" x14ac:dyDescent="0.2">
      <c r="A276" s="16" t="s">
        <v>5279</v>
      </c>
      <c r="B276" s="2">
        <v>49287</v>
      </c>
      <c r="C276" s="2">
        <v>5902557382507</v>
      </c>
      <c r="D276" s="4" t="s">
        <v>5280</v>
      </c>
      <c r="E276" s="3">
        <f t="array" aca="1" ref="E276" ca="1">IFERROR(_xludf.XLOOKUP(G276,'Rea - SK'!A:A,'Rea - SK'!E:E),0)+IFERROR(_xludf.XLOOKUP(H276,'Rea - SK'!A:A,'Rea - SK'!E:E),0)+IFERROR(_xludf.XLOOKUP(I276,'Rea - SK'!A:A,'Rea - SK'!E:E),0)+IFERROR(_xludf.XLOOKUP(J276,'Rea - SK'!A:A,'Rea - SK'!E:E),0)+IFERROR(_xludf.XLOOKUP(K276,'Rea - SK'!A:A,'Rea - SK'!E:E),0)</f>
        <v>0</v>
      </c>
      <c r="F276" s="11">
        <f t="array" aca="1" ref="F276" ca="1">MAX(IFERROR(_xludf.XLOOKUP(G276,'Rea - SK'!A:A,'Rea - SK'!F:F),DATE(1966,6,6)),IFERROR(_xludf.XLOOKUP(H276,'Rea - SK'!A:A,'Rea - SK'!F:F),DATE(1966,6,6)),IFERROR(_xludf.XLOOKUP(I276,'Rea - SK'!A:A,'Rea - SK'!F:F),DATE(1966,6,6)),IFERROR(_xludf.XLOOKUP(J276,'Rea - SK'!A:A,'Rea - SK'!F:F),DATE(1966,6,6)),IFERROR(_xludf.XLOOKUP(K276,'Rea - SK'!A:A,'Rea - SK'!F:F),DATE(1966,6,6)))</f>
        <v>24264</v>
      </c>
      <c r="G276" s="2" t="s">
        <v>1539</v>
      </c>
      <c r="H276" s="2" t="s">
        <v>2627</v>
      </c>
      <c r="I276" s="19"/>
      <c r="J276" s="19"/>
      <c r="K276" s="19"/>
      <c r="L276" s="18"/>
    </row>
    <row r="277" spans="1:12" ht="18.75" customHeight="1" x14ac:dyDescent="0.2">
      <c r="A277" s="16" t="s">
        <v>5281</v>
      </c>
      <c r="B277" s="2">
        <v>49286</v>
      </c>
      <c r="C277" s="2">
        <v>5902557382491</v>
      </c>
      <c r="D277" s="4" t="s">
        <v>5282</v>
      </c>
      <c r="E277" s="3">
        <f t="array" aca="1" ref="E277" ca="1">IFERROR(_xludf.XLOOKUP(G277,'Rea - SK'!A:A,'Rea - SK'!E:E),0)+IFERROR(_xludf.XLOOKUP(H277,'Rea - SK'!A:A,'Rea - SK'!E:E),0)+IFERROR(_xludf.XLOOKUP(I277,'Rea - SK'!A:A,'Rea - SK'!E:E),0)+IFERROR(_xludf.XLOOKUP(J277,'Rea - SK'!A:A,'Rea - SK'!E:E),0)+IFERROR(_xludf.XLOOKUP(K277,'Rea - SK'!A:A,'Rea - SK'!E:E),0)</f>
        <v>0</v>
      </c>
      <c r="F277" s="11">
        <f t="array" aca="1" ref="F277" ca="1">MAX(IFERROR(_xludf.XLOOKUP(G277,'Rea - SK'!A:A,'Rea - SK'!F:F),DATE(1966,6,6)),IFERROR(_xludf.XLOOKUP(H277,'Rea - SK'!A:A,'Rea - SK'!F:F),DATE(1966,6,6)),IFERROR(_xludf.XLOOKUP(I277,'Rea - SK'!A:A,'Rea - SK'!F:F),DATE(1966,6,6)),IFERROR(_xludf.XLOOKUP(J277,'Rea - SK'!A:A,'Rea - SK'!F:F),DATE(1966,6,6)),IFERROR(_xludf.XLOOKUP(K277,'Rea - SK'!A:A,'Rea - SK'!F:F),DATE(1966,6,6)))</f>
        <v>24264</v>
      </c>
      <c r="G277" s="2" t="s">
        <v>1539</v>
      </c>
      <c r="H277" s="2" t="s">
        <v>2625</v>
      </c>
      <c r="I277" s="19"/>
      <c r="J277" s="19"/>
      <c r="K277" s="19"/>
      <c r="L277" s="18"/>
    </row>
    <row r="278" spans="1:12" ht="18.75" customHeight="1" x14ac:dyDescent="0.2">
      <c r="A278" s="16" t="s">
        <v>5283</v>
      </c>
      <c r="B278" s="2">
        <v>49285</v>
      </c>
      <c r="C278" s="2">
        <v>5902557382484</v>
      </c>
      <c r="D278" s="4" t="s">
        <v>5284</v>
      </c>
      <c r="E278" s="3">
        <f t="array" aca="1" ref="E278" ca="1">IFERROR(_xludf.XLOOKUP(G278,'Rea - SK'!A:A,'Rea - SK'!E:E),0)+IFERROR(_xludf.XLOOKUP(H278,'Rea - SK'!A:A,'Rea - SK'!E:E),0)+IFERROR(_xludf.XLOOKUP(I278,'Rea - SK'!A:A,'Rea - SK'!E:E),0)+IFERROR(_xludf.XLOOKUP(J278,'Rea - SK'!A:A,'Rea - SK'!E:E),0)+IFERROR(_xludf.XLOOKUP(K278,'Rea - SK'!A:A,'Rea - SK'!E:E),0)</f>
        <v>0</v>
      </c>
      <c r="F278" s="11">
        <f t="array" aca="1" ref="F278" ca="1">MAX(IFERROR(_xludf.XLOOKUP(G278,'Rea - SK'!A:A,'Rea - SK'!F:F),DATE(1966,6,6)),IFERROR(_xludf.XLOOKUP(H278,'Rea - SK'!A:A,'Rea - SK'!F:F),DATE(1966,6,6)),IFERROR(_xludf.XLOOKUP(I278,'Rea - SK'!A:A,'Rea - SK'!F:F),DATE(1966,6,6)),IFERROR(_xludf.XLOOKUP(J278,'Rea - SK'!A:A,'Rea - SK'!F:F),DATE(1966,6,6)),IFERROR(_xludf.XLOOKUP(K278,'Rea - SK'!A:A,'Rea - SK'!F:F),DATE(1966,6,6)))</f>
        <v>24264</v>
      </c>
      <c r="G278" s="2" t="s">
        <v>1537</v>
      </c>
      <c r="H278" s="2" t="s">
        <v>2623</v>
      </c>
      <c r="I278" s="19"/>
      <c r="J278" s="19"/>
      <c r="K278" s="19"/>
      <c r="L278" s="18"/>
    </row>
    <row r="279" spans="1:12" ht="18.75" customHeight="1" x14ac:dyDescent="0.2">
      <c r="A279" s="16" t="s">
        <v>5285</v>
      </c>
      <c r="B279" s="2">
        <v>49284</v>
      </c>
      <c r="C279" s="2">
        <v>5902557382477</v>
      </c>
      <c r="D279" s="4" t="s">
        <v>5286</v>
      </c>
      <c r="E279" s="3">
        <f t="array" aca="1" ref="E279" ca="1">IFERROR(_xludf.XLOOKUP(G279,'Rea - SK'!A:A,'Rea - SK'!E:E),0)+IFERROR(_xludf.XLOOKUP(H279,'Rea - SK'!A:A,'Rea - SK'!E:E),0)+IFERROR(_xludf.XLOOKUP(I279,'Rea - SK'!A:A,'Rea - SK'!E:E),0)+IFERROR(_xludf.XLOOKUP(J279,'Rea - SK'!A:A,'Rea - SK'!E:E),0)+IFERROR(_xludf.XLOOKUP(K279,'Rea - SK'!A:A,'Rea - SK'!E:E),0)</f>
        <v>0</v>
      </c>
      <c r="F279" s="11">
        <f t="array" aca="1" ref="F279" ca="1">MAX(IFERROR(_xludf.XLOOKUP(G279,'Rea - SK'!A:A,'Rea - SK'!F:F),DATE(1966,6,6)),IFERROR(_xludf.XLOOKUP(H279,'Rea - SK'!A:A,'Rea - SK'!F:F),DATE(1966,6,6)),IFERROR(_xludf.XLOOKUP(I279,'Rea - SK'!A:A,'Rea - SK'!F:F),DATE(1966,6,6)),IFERROR(_xludf.XLOOKUP(J279,'Rea - SK'!A:A,'Rea - SK'!F:F),DATE(1966,6,6)),IFERROR(_xludf.XLOOKUP(K279,'Rea - SK'!A:A,'Rea - SK'!F:F),DATE(1966,6,6)))</f>
        <v>24264</v>
      </c>
      <c r="G279" s="2" t="s">
        <v>1537</v>
      </c>
      <c r="H279" s="2" t="s">
        <v>2627</v>
      </c>
      <c r="I279" s="19"/>
      <c r="J279" s="19"/>
      <c r="K279" s="19"/>
      <c r="L279" s="18"/>
    </row>
    <row r="280" spans="1:12" ht="18.75" customHeight="1" x14ac:dyDescent="0.2">
      <c r="A280" s="16" t="s">
        <v>5287</v>
      </c>
      <c r="B280" s="2">
        <v>49283</v>
      </c>
      <c r="C280" s="2">
        <v>5902557382460</v>
      </c>
      <c r="D280" s="4" t="s">
        <v>5288</v>
      </c>
      <c r="E280" s="3">
        <f t="array" aca="1" ref="E280" ca="1">IFERROR(_xludf.XLOOKUP(G280,'Rea - SK'!A:A,'Rea - SK'!E:E),0)+IFERROR(_xludf.XLOOKUP(H280,'Rea - SK'!A:A,'Rea - SK'!E:E),0)+IFERROR(_xludf.XLOOKUP(I280,'Rea - SK'!A:A,'Rea - SK'!E:E),0)+IFERROR(_xludf.XLOOKUP(J280,'Rea - SK'!A:A,'Rea - SK'!E:E),0)+IFERROR(_xludf.XLOOKUP(K280,'Rea - SK'!A:A,'Rea - SK'!E:E),0)</f>
        <v>0</v>
      </c>
      <c r="F280" s="11">
        <f t="array" aca="1" ref="F280" ca="1">MAX(IFERROR(_xludf.XLOOKUP(G280,'Rea - SK'!A:A,'Rea - SK'!F:F),DATE(1966,6,6)),IFERROR(_xludf.XLOOKUP(H280,'Rea - SK'!A:A,'Rea - SK'!F:F),DATE(1966,6,6)),IFERROR(_xludf.XLOOKUP(I280,'Rea - SK'!A:A,'Rea - SK'!F:F),DATE(1966,6,6)),IFERROR(_xludf.XLOOKUP(J280,'Rea - SK'!A:A,'Rea - SK'!F:F),DATE(1966,6,6)),IFERROR(_xludf.XLOOKUP(K280,'Rea - SK'!A:A,'Rea - SK'!F:F),DATE(1966,6,6)))</f>
        <v>24264</v>
      </c>
      <c r="G280" s="2" t="s">
        <v>1537</v>
      </c>
      <c r="H280" s="2" t="s">
        <v>2625</v>
      </c>
      <c r="I280" s="19"/>
      <c r="J280" s="19"/>
      <c r="K280" s="19"/>
      <c r="L280" s="18"/>
    </row>
    <row r="281" spans="1:12" ht="18.75" customHeight="1" x14ac:dyDescent="0.2">
      <c r="A281" s="16" t="s">
        <v>5289</v>
      </c>
      <c r="B281" s="2">
        <v>49282</v>
      </c>
      <c r="C281" s="2">
        <v>5902557382453</v>
      </c>
      <c r="D281" s="4" t="s">
        <v>5290</v>
      </c>
      <c r="E281" s="3">
        <f t="array" aca="1" ref="E281" ca="1">IFERROR(_xludf.XLOOKUP(G281,'Rea - SK'!A:A,'Rea - SK'!E:E),0)+IFERROR(_xludf.XLOOKUP(H281,'Rea - SK'!A:A,'Rea - SK'!E:E),0)+IFERROR(_xludf.XLOOKUP(I281,'Rea - SK'!A:A,'Rea - SK'!E:E),0)+IFERROR(_xludf.XLOOKUP(J281,'Rea - SK'!A:A,'Rea - SK'!E:E),0)+IFERROR(_xludf.XLOOKUP(K281,'Rea - SK'!A:A,'Rea - SK'!E:E),0)</f>
        <v>0</v>
      </c>
      <c r="F281" s="11">
        <f t="array" aca="1" ref="F281" ca="1">MAX(IFERROR(_xludf.XLOOKUP(G281,'Rea - SK'!A:A,'Rea - SK'!F:F),DATE(1966,6,6)),IFERROR(_xludf.XLOOKUP(H281,'Rea - SK'!A:A,'Rea - SK'!F:F),DATE(1966,6,6)),IFERROR(_xludf.XLOOKUP(I281,'Rea - SK'!A:A,'Rea - SK'!F:F),DATE(1966,6,6)),IFERROR(_xludf.XLOOKUP(J281,'Rea - SK'!A:A,'Rea - SK'!F:F),DATE(1966,6,6)),IFERROR(_xludf.XLOOKUP(K281,'Rea - SK'!A:A,'Rea - SK'!F:F),DATE(1966,6,6)))</f>
        <v>24264</v>
      </c>
      <c r="G281" s="2" t="s">
        <v>1535</v>
      </c>
      <c r="H281" s="2" t="s">
        <v>2623</v>
      </c>
      <c r="I281" s="19"/>
      <c r="J281" s="19"/>
      <c r="K281" s="19"/>
      <c r="L281" s="18"/>
    </row>
    <row r="282" spans="1:12" ht="18.75" customHeight="1" x14ac:dyDescent="0.2">
      <c r="A282" s="16" t="s">
        <v>5291</v>
      </c>
      <c r="B282" s="2">
        <v>49281</v>
      </c>
      <c r="C282" s="2">
        <v>5902557382446</v>
      </c>
      <c r="D282" s="4" t="s">
        <v>5292</v>
      </c>
      <c r="E282" s="3">
        <f t="array" aca="1" ref="E282" ca="1">IFERROR(_xludf.XLOOKUP(G282,'Rea - SK'!A:A,'Rea - SK'!E:E),0)+IFERROR(_xludf.XLOOKUP(H282,'Rea - SK'!A:A,'Rea - SK'!E:E),0)+IFERROR(_xludf.XLOOKUP(I282,'Rea - SK'!A:A,'Rea - SK'!E:E),0)+IFERROR(_xludf.XLOOKUP(J282,'Rea - SK'!A:A,'Rea - SK'!E:E),0)+IFERROR(_xludf.XLOOKUP(K282,'Rea - SK'!A:A,'Rea - SK'!E:E),0)</f>
        <v>0</v>
      </c>
      <c r="F282" s="11">
        <f t="array" aca="1" ref="F282" ca="1">MAX(IFERROR(_xludf.XLOOKUP(G282,'Rea - SK'!A:A,'Rea - SK'!F:F),DATE(1966,6,6)),IFERROR(_xludf.XLOOKUP(H282,'Rea - SK'!A:A,'Rea - SK'!F:F),DATE(1966,6,6)),IFERROR(_xludf.XLOOKUP(I282,'Rea - SK'!A:A,'Rea - SK'!F:F),DATE(1966,6,6)),IFERROR(_xludf.XLOOKUP(J282,'Rea - SK'!A:A,'Rea - SK'!F:F),DATE(1966,6,6)),IFERROR(_xludf.XLOOKUP(K282,'Rea - SK'!A:A,'Rea - SK'!F:F),DATE(1966,6,6)))</f>
        <v>24264</v>
      </c>
      <c r="G282" s="2" t="s">
        <v>1535</v>
      </c>
      <c r="H282" s="2" t="s">
        <v>2627</v>
      </c>
      <c r="I282" s="19"/>
      <c r="J282" s="19"/>
      <c r="K282" s="19"/>
      <c r="L282" s="18"/>
    </row>
    <row r="283" spans="1:12" ht="18.75" customHeight="1" x14ac:dyDescent="0.2">
      <c r="A283" s="16" t="s">
        <v>5293</v>
      </c>
      <c r="B283" s="2">
        <v>49280</v>
      </c>
      <c r="C283" s="2">
        <v>5902557382439</v>
      </c>
      <c r="D283" s="4" t="s">
        <v>5294</v>
      </c>
      <c r="E283" s="3">
        <f t="array" aca="1" ref="E283" ca="1">IFERROR(_xludf.XLOOKUP(G283,'Rea - SK'!A:A,'Rea - SK'!E:E),0)+IFERROR(_xludf.XLOOKUP(H283,'Rea - SK'!A:A,'Rea - SK'!E:E),0)+IFERROR(_xludf.XLOOKUP(I283,'Rea - SK'!A:A,'Rea - SK'!E:E),0)+IFERROR(_xludf.XLOOKUP(J283,'Rea - SK'!A:A,'Rea - SK'!E:E),0)+IFERROR(_xludf.XLOOKUP(K283,'Rea - SK'!A:A,'Rea - SK'!E:E),0)</f>
        <v>0</v>
      </c>
      <c r="F283" s="11">
        <f t="array" aca="1" ref="F283" ca="1">MAX(IFERROR(_xludf.XLOOKUP(G283,'Rea - SK'!A:A,'Rea - SK'!F:F),DATE(1966,6,6)),IFERROR(_xludf.XLOOKUP(H283,'Rea - SK'!A:A,'Rea - SK'!F:F),DATE(1966,6,6)),IFERROR(_xludf.XLOOKUP(I283,'Rea - SK'!A:A,'Rea - SK'!F:F),DATE(1966,6,6)),IFERROR(_xludf.XLOOKUP(J283,'Rea - SK'!A:A,'Rea - SK'!F:F),DATE(1966,6,6)),IFERROR(_xludf.XLOOKUP(K283,'Rea - SK'!A:A,'Rea - SK'!F:F),DATE(1966,6,6)))</f>
        <v>24264</v>
      </c>
      <c r="G283" s="2" t="s">
        <v>1535</v>
      </c>
      <c r="H283" s="2" t="s">
        <v>2625</v>
      </c>
      <c r="I283" s="19"/>
      <c r="J283" s="19"/>
      <c r="K283" s="19"/>
      <c r="L283" s="18"/>
    </row>
    <row r="284" spans="1:12" ht="18.75" customHeight="1" x14ac:dyDescent="0.2">
      <c r="A284" s="16" t="s">
        <v>5295</v>
      </c>
      <c r="B284" s="2">
        <v>49279</v>
      </c>
      <c r="C284" s="2">
        <v>5902557382422</v>
      </c>
      <c r="D284" s="4" t="s">
        <v>5296</v>
      </c>
      <c r="E284" s="3">
        <f t="array" aca="1" ref="E284" ca="1">IFERROR(_xludf.XLOOKUP(G284,'Rea - SK'!A:A,'Rea - SK'!E:E),0)+IFERROR(_xludf.XLOOKUP(H284,'Rea - SK'!A:A,'Rea - SK'!E:E),0)+IFERROR(_xludf.XLOOKUP(I284,'Rea - SK'!A:A,'Rea - SK'!E:E),0)+IFERROR(_xludf.XLOOKUP(J284,'Rea - SK'!A:A,'Rea - SK'!E:E),0)+IFERROR(_xludf.XLOOKUP(K284,'Rea - SK'!A:A,'Rea - SK'!E:E),0)</f>
        <v>0</v>
      </c>
      <c r="F284" s="11">
        <f t="array" aca="1" ref="F284" ca="1">MAX(IFERROR(_xludf.XLOOKUP(G284,'Rea - SK'!A:A,'Rea - SK'!F:F),DATE(1966,6,6)),IFERROR(_xludf.XLOOKUP(H284,'Rea - SK'!A:A,'Rea - SK'!F:F),DATE(1966,6,6)),IFERROR(_xludf.XLOOKUP(I284,'Rea - SK'!A:A,'Rea - SK'!F:F),DATE(1966,6,6)),IFERROR(_xludf.XLOOKUP(J284,'Rea - SK'!A:A,'Rea - SK'!F:F),DATE(1966,6,6)),IFERROR(_xludf.XLOOKUP(K284,'Rea - SK'!A:A,'Rea - SK'!F:F),DATE(1966,6,6)))</f>
        <v>24264</v>
      </c>
      <c r="G284" s="2" t="s">
        <v>1533</v>
      </c>
      <c r="H284" s="2" t="s">
        <v>2623</v>
      </c>
      <c r="I284" s="19"/>
      <c r="J284" s="19"/>
      <c r="K284" s="19"/>
      <c r="L284" s="18"/>
    </row>
    <row r="285" spans="1:12" ht="18.75" customHeight="1" x14ac:dyDescent="0.2">
      <c r="A285" s="16" t="s">
        <v>5297</v>
      </c>
      <c r="B285" s="2">
        <v>49278</v>
      </c>
      <c r="C285" s="2">
        <v>5902557382415</v>
      </c>
      <c r="D285" s="4" t="s">
        <v>5298</v>
      </c>
      <c r="E285" s="3">
        <f t="array" aca="1" ref="E285" ca="1">IFERROR(_xludf.XLOOKUP(G285,'Rea - SK'!A:A,'Rea - SK'!E:E),0)+IFERROR(_xludf.XLOOKUP(H285,'Rea - SK'!A:A,'Rea - SK'!E:E),0)+IFERROR(_xludf.XLOOKUP(I285,'Rea - SK'!A:A,'Rea - SK'!E:E),0)+IFERROR(_xludf.XLOOKUP(J285,'Rea - SK'!A:A,'Rea - SK'!E:E),0)+IFERROR(_xludf.XLOOKUP(K285,'Rea - SK'!A:A,'Rea - SK'!E:E),0)</f>
        <v>0</v>
      </c>
      <c r="F285" s="11">
        <f t="array" aca="1" ref="F285" ca="1">MAX(IFERROR(_xludf.XLOOKUP(G285,'Rea - SK'!A:A,'Rea - SK'!F:F),DATE(1966,6,6)),IFERROR(_xludf.XLOOKUP(H285,'Rea - SK'!A:A,'Rea - SK'!F:F),DATE(1966,6,6)),IFERROR(_xludf.XLOOKUP(I285,'Rea - SK'!A:A,'Rea - SK'!F:F),DATE(1966,6,6)),IFERROR(_xludf.XLOOKUP(J285,'Rea - SK'!A:A,'Rea - SK'!F:F),DATE(1966,6,6)),IFERROR(_xludf.XLOOKUP(K285,'Rea - SK'!A:A,'Rea - SK'!F:F),DATE(1966,6,6)))</f>
        <v>24264</v>
      </c>
      <c r="G285" s="2" t="s">
        <v>1533</v>
      </c>
      <c r="H285" s="2" t="s">
        <v>2627</v>
      </c>
      <c r="I285" s="19"/>
      <c r="J285" s="19"/>
      <c r="K285" s="19"/>
      <c r="L285" s="18"/>
    </row>
    <row r="286" spans="1:12" ht="18.75" customHeight="1" x14ac:dyDescent="0.2">
      <c r="A286" s="16" t="s">
        <v>5299</v>
      </c>
      <c r="B286" s="2">
        <v>49277</v>
      </c>
      <c r="C286" s="2">
        <v>5902557382408</v>
      </c>
      <c r="D286" s="4" t="s">
        <v>5300</v>
      </c>
      <c r="E286" s="3">
        <f t="array" aca="1" ref="E286" ca="1">IFERROR(_xludf.XLOOKUP(G286,'Rea - SK'!A:A,'Rea - SK'!E:E),0)+IFERROR(_xludf.XLOOKUP(H286,'Rea - SK'!A:A,'Rea - SK'!E:E),0)+IFERROR(_xludf.XLOOKUP(I286,'Rea - SK'!A:A,'Rea - SK'!E:E),0)+IFERROR(_xludf.XLOOKUP(J286,'Rea - SK'!A:A,'Rea - SK'!E:E),0)+IFERROR(_xludf.XLOOKUP(K286,'Rea - SK'!A:A,'Rea - SK'!E:E),0)</f>
        <v>0</v>
      </c>
      <c r="F286" s="11">
        <f t="array" aca="1" ref="F286" ca="1">MAX(IFERROR(_xludf.XLOOKUP(G286,'Rea - SK'!A:A,'Rea - SK'!F:F),DATE(1966,6,6)),IFERROR(_xludf.XLOOKUP(H286,'Rea - SK'!A:A,'Rea - SK'!F:F),DATE(1966,6,6)),IFERROR(_xludf.XLOOKUP(I286,'Rea - SK'!A:A,'Rea - SK'!F:F),DATE(1966,6,6)),IFERROR(_xludf.XLOOKUP(J286,'Rea - SK'!A:A,'Rea - SK'!F:F),DATE(1966,6,6)),IFERROR(_xludf.XLOOKUP(K286,'Rea - SK'!A:A,'Rea - SK'!F:F),DATE(1966,6,6)))</f>
        <v>24264</v>
      </c>
      <c r="G286" s="2" t="s">
        <v>1533</v>
      </c>
      <c r="H286" s="2" t="s">
        <v>2625</v>
      </c>
      <c r="I286" s="19"/>
      <c r="J286" s="19"/>
      <c r="K286" s="19"/>
      <c r="L286" s="18"/>
    </row>
    <row r="287" spans="1:12" ht="18.75" customHeight="1" x14ac:dyDescent="0.2">
      <c r="A287" s="2" t="s">
        <v>5301</v>
      </c>
      <c r="B287" s="2">
        <v>49244</v>
      </c>
      <c r="C287" s="2">
        <v>5902557382354</v>
      </c>
      <c r="D287" s="4" t="s">
        <v>5302</v>
      </c>
      <c r="E287" s="3">
        <f t="array" aca="1" ref="E287" ca="1">IFERROR(_xludf.XLOOKUP(G287,'Rea - SK'!A:A,'Rea - SK'!E:E),0)+IFERROR(_xludf.XLOOKUP(H287,'Rea - SK'!A:A,'Rea - SK'!E:E),0)+IFERROR(_xludf.XLOOKUP(I287,'Rea - SK'!A:A,'Rea - SK'!E:E),0)+IFERROR(_xludf.XLOOKUP(J287,'Rea - SK'!A:A,'Rea - SK'!E:E),0)+IFERROR(_xludf.XLOOKUP(K287,'Rea - SK'!A:A,'Rea - SK'!E:E),0)</f>
        <v>0</v>
      </c>
      <c r="F287" s="11">
        <f t="array" aca="1" ref="F287" ca="1">MAX(IFERROR(_xludf.XLOOKUP(G287,'Rea - SK'!A:A,'Rea - SK'!F:F),DATE(1966,6,6)),IFERROR(_xludf.XLOOKUP(H287,'Rea - SK'!A:A,'Rea - SK'!F:F),DATE(1966,6,6)),IFERROR(_xludf.XLOOKUP(I287,'Rea - SK'!A:A,'Rea - SK'!F:F),DATE(1966,6,6)),IFERROR(_xludf.XLOOKUP(J287,'Rea - SK'!A:A,'Rea - SK'!F:F),DATE(1966,6,6)),IFERROR(_xludf.XLOOKUP(K287,'Rea - SK'!A:A,'Rea - SK'!F:F),DATE(1966,6,6)))</f>
        <v>24264</v>
      </c>
      <c r="G287" s="3" t="s">
        <v>1573</v>
      </c>
      <c r="H287" s="2" t="s">
        <v>2623</v>
      </c>
      <c r="I287" s="19"/>
      <c r="J287" s="19"/>
      <c r="K287" s="19"/>
      <c r="L287" s="18"/>
    </row>
    <row r="288" spans="1:12" ht="18.75" customHeight="1" x14ac:dyDescent="0.2">
      <c r="A288" s="2" t="s">
        <v>5303</v>
      </c>
      <c r="B288" s="2">
        <v>49243</v>
      </c>
      <c r="C288" s="2">
        <v>5902557382347</v>
      </c>
      <c r="D288" s="4" t="s">
        <v>5304</v>
      </c>
      <c r="E288" s="3">
        <f t="array" aca="1" ref="E288" ca="1">IFERROR(_xludf.XLOOKUP(G288,'Rea - SK'!A:A,'Rea - SK'!E:E),0)+IFERROR(_xludf.XLOOKUP(H288,'Rea - SK'!A:A,'Rea - SK'!E:E),0)+IFERROR(_xludf.XLOOKUP(I288,'Rea - SK'!A:A,'Rea - SK'!E:E),0)+IFERROR(_xludf.XLOOKUP(J288,'Rea - SK'!A:A,'Rea - SK'!E:E),0)+IFERROR(_xludf.XLOOKUP(K288,'Rea - SK'!A:A,'Rea - SK'!E:E),0)</f>
        <v>0</v>
      </c>
      <c r="F288" s="11">
        <f t="array" aca="1" ref="F288" ca="1">MAX(IFERROR(_xludf.XLOOKUP(G288,'Rea - SK'!A:A,'Rea - SK'!F:F),DATE(1966,6,6)),IFERROR(_xludf.XLOOKUP(H288,'Rea - SK'!A:A,'Rea - SK'!F:F),DATE(1966,6,6)),IFERROR(_xludf.XLOOKUP(I288,'Rea - SK'!A:A,'Rea - SK'!F:F),DATE(1966,6,6)),IFERROR(_xludf.XLOOKUP(J288,'Rea - SK'!A:A,'Rea - SK'!F:F),DATE(1966,6,6)),IFERROR(_xludf.XLOOKUP(K288,'Rea - SK'!A:A,'Rea - SK'!F:F),DATE(1966,6,6)))</f>
        <v>24264</v>
      </c>
      <c r="G288" s="3" t="s">
        <v>1573</v>
      </c>
      <c r="H288" s="2" t="s">
        <v>2627</v>
      </c>
      <c r="I288" s="19"/>
      <c r="J288" s="19"/>
      <c r="K288" s="19"/>
      <c r="L288" s="18"/>
    </row>
    <row r="289" spans="1:12" ht="18.75" customHeight="1" x14ac:dyDescent="0.2">
      <c r="A289" s="2" t="s">
        <v>5305</v>
      </c>
      <c r="B289" s="2">
        <v>49242</v>
      </c>
      <c r="C289" s="2">
        <v>5902557382330</v>
      </c>
      <c r="D289" s="4" t="s">
        <v>5306</v>
      </c>
      <c r="E289" s="3">
        <f t="array" aca="1" ref="E289" ca="1">IFERROR(_xludf.XLOOKUP(G289,'Rea - SK'!A:A,'Rea - SK'!E:E),0)+IFERROR(_xludf.XLOOKUP(H289,'Rea - SK'!A:A,'Rea - SK'!E:E),0)+IFERROR(_xludf.XLOOKUP(I289,'Rea - SK'!A:A,'Rea - SK'!E:E),0)+IFERROR(_xludf.XLOOKUP(J289,'Rea - SK'!A:A,'Rea - SK'!E:E),0)+IFERROR(_xludf.XLOOKUP(K289,'Rea - SK'!A:A,'Rea - SK'!E:E),0)</f>
        <v>0</v>
      </c>
      <c r="F289" s="11">
        <f t="array" aca="1" ref="F289" ca="1">MAX(IFERROR(_xludf.XLOOKUP(G289,'Rea - SK'!A:A,'Rea - SK'!F:F),DATE(1966,6,6)),IFERROR(_xludf.XLOOKUP(H289,'Rea - SK'!A:A,'Rea - SK'!F:F),DATE(1966,6,6)),IFERROR(_xludf.XLOOKUP(I289,'Rea - SK'!A:A,'Rea - SK'!F:F),DATE(1966,6,6)),IFERROR(_xludf.XLOOKUP(J289,'Rea - SK'!A:A,'Rea - SK'!F:F),DATE(1966,6,6)),IFERROR(_xludf.XLOOKUP(K289,'Rea - SK'!A:A,'Rea - SK'!F:F),DATE(1966,6,6)))</f>
        <v>24264</v>
      </c>
      <c r="G289" s="3" t="s">
        <v>1573</v>
      </c>
      <c r="H289" s="2" t="s">
        <v>2625</v>
      </c>
      <c r="I289" s="19"/>
      <c r="J289" s="19"/>
      <c r="K289" s="19"/>
      <c r="L289" s="18"/>
    </row>
    <row r="290" spans="1:12" ht="18.75" customHeight="1" x14ac:dyDescent="0.2">
      <c r="A290" s="2" t="s">
        <v>5307</v>
      </c>
      <c r="B290" s="2">
        <v>49241</v>
      </c>
      <c r="C290" s="2">
        <v>5902557382323</v>
      </c>
      <c r="D290" s="4" t="s">
        <v>5308</v>
      </c>
      <c r="E290" s="3">
        <f t="array" aca="1" ref="E290" ca="1">IFERROR(_xludf.XLOOKUP(G290,'Rea - SK'!A:A,'Rea - SK'!E:E),0)+IFERROR(_xludf.XLOOKUP(H290,'Rea - SK'!A:A,'Rea - SK'!E:E),0)+IFERROR(_xludf.XLOOKUP(I290,'Rea - SK'!A:A,'Rea - SK'!E:E),0)+IFERROR(_xludf.XLOOKUP(J290,'Rea - SK'!A:A,'Rea - SK'!E:E),0)+IFERROR(_xludf.XLOOKUP(K290,'Rea - SK'!A:A,'Rea - SK'!E:E),0)</f>
        <v>0</v>
      </c>
      <c r="F290" s="11">
        <f t="array" aca="1" ref="F290" ca="1">MAX(IFERROR(_xludf.XLOOKUP(G290,'Rea - SK'!A:A,'Rea - SK'!F:F),DATE(1966,6,6)),IFERROR(_xludf.XLOOKUP(H290,'Rea - SK'!A:A,'Rea - SK'!F:F),DATE(1966,6,6)),IFERROR(_xludf.XLOOKUP(I290,'Rea - SK'!A:A,'Rea - SK'!F:F),DATE(1966,6,6)),IFERROR(_xludf.XLOOKUP(J290,'Rea - SK'!A:A,'Rea - SK'!F:F),DATE(1966,6,6)),IFERROR(_xludf.XLOOKUP(K290,'Rea - SK'!A:A,'Rea - SK'!F:F),DATE(1966,6,6)))</f>
        <v>24264</v>
      </c>
      <c r="G290" s="3" t="s">
        <v>1575</v>
      </c>
      <c r="H290" s="2" t="s">
        <v>2623</v>
      </c>
      <c r="I290" s="19"/>
      <c r="J290" s="19"/>
      <c r="K290" s="19"/>
      <c r="L290" s="18"/>
    </row>
    <row r="291" spans="1:12" ht="18.75" customHeight="1" x14ac:dyDescent="0.2">
      <c r="A291" s="2" t="s">
        <v>5309</v>
      </c>
      <c r="B291" s="2">
        <v>49240</v>
      </c>
      <c r="C291" s="2">
        <v>5902557382316</v>
      </c>
      <c r="D291" s="4" t="s">
        <v>5310</v>
      </c>
      <c r="E291" s="3">
        <f t="array" aca="1" ref="E291" ca="1">IFERROR(_xludf.XLOOKUP(G291,'Rea - SK'!A:A,'Rea - SK'!E:E),0)+IFERROR(_xludf.XLOOKUP(H291,'Rea - SK'!A:A,'Rea - SK'!E:E),0)+IFERROR(_xludf.XLOOKUP(I291,'Rea - SK'!A:A,'Rea - SK'!E:E),0)+IFERROR(_xludf.XLOOKUP(J291,'Rea - SK'!A:A,'Rea - SK'!E:E),0)+IFERROR(_xludf.XLOOKUP(K291,'Rea - SK'!A:A,'Rea - SK'!E:E),0)</f>
        <v>0</v>
      </c>
      <c r="F291" s="11">
        <f t="array" aca="1" ref="F291" ca="1">MAX(IFERROR(_xludf.XLOOKUP(G291,'Rea - SK'!A:A,'Rea - SK'!F:F),DATE(1966,6,6)),IFERROR(_xludf.XLOOKUP(H291,'Rea - SK'!A:A,'Rea - SK'!F:F),DATE(1966,6,6)),IFERROR(_xludf.XLOOKUP(I291,'Rea - SK'!A:A,'Rea - SK'!F:F),DATE(1966,6,6)),IFERROR(_xludf.XLOOKUP(J291,'Rea - SK'!A:A,'Rea - SK'!F:F),DATE(1966,6,6)),IFERROR(_xludf.XLOOKUP(K291,'Rea - SK'!A:A,'Rea - SK'!F:F),DATE(1966,6,6)))</f>
        <v>24264</v>
      </c>
      <c r="G291" s="3" t="s">
        <v>1575</v>
      </c>
      <c r="H291" s="2" t="s">
        <v>2627</v>
      </c>
      <c r="I291" s="19"/>
      <c r="J291" s="19"/>
      <c r="K291" s="19"/>
      <c r="L291" s="18"/>
    </row>
    <row r="292" spans="1:12" ht="18.75" customHeight="1" x14ac:dyDescent="0.2">
      <c r="A292" s="2" t="s">
        <v>5311</v>
      </c>
      <c r="B292" s="2">
        <v>49239</v>
      </c>
      <c r="C292" s="2">
        <v>5902557382309</v>
      </c>
      <c r="D292" s="4" t="s">
        <v>5312</v>
      </c>
      <c r="E292" s="3">
        <f t="array" aca="1" ref="E292" ca="1">IFERROR(_xludf.XLOOKUP(G292,'Rea - SK'!A:A,'Rea - SK'!E:E),0)+IFERROR(_xludf.XLOOKUP(H292,'Rea - SK'!A:A,'Rea - SK'!E:E),0)+IFERROR(_xludf.XLOOKUP(I292,'Rea - SK'!A:A,'Rea - SK'!E:E),0)+IFERROR(_xludf.XLOOKUP(J292,'Rea - SK'!A:A,'Rea - SK'!E:E),0)+IFERROR(_xludf.XLOOKUP(K292,'Rea - SK'!A:A,'Rea - SK'!E:E),0)</f>
        <v>0</v>
      </c>
      <c r="F292" s="11">
        <f t="array" aca="1" ref="F292" ca="1">MAX(IFERROR(_xludf.XLOOKUP(G292,'Rea - SK'!A:A,'Rea - SK'!F:F),DATE(1966,6,6)),IFERROR(_xludf.XLOOKUP(H292,'Rea - SK'!A:A,'Rea - SK'!F:F),DATE(1966,6,6)),IFERROR(_xludf.XLOOKUP(I292,'Rea - SK'!A:A,'Rea - SK'!F:F),DATE(1966,6,6)),IFERROR(_xludf.XLOOKUP(J292,'Rea - SK'!A:A,'Rea - SK'!F:F),DATE(1966,6,6)),IFERROR(_xludf.XLOOKUP(K292,'Rea - SK'!A:A,'Rea - SK'!F:F),DATE(1966,6,6)))</f>
        <v>24264</v>
      </c>
      <c r="G292" s="3" t="s">
        <v>1575</v>
      </c>
      <c r="H292" s="2" t="s">
        <v>2625</v>
      </c>
      <c r="I292" s="19"/>
      <c r="J292" s="19"/>
      <c r="K292" s="19"/>
      <c r="L292" s="18"/>
    </row>
    <row r="293" spans="1:12" ht="18.75" customHeight="1" x14ac:dyDescent="0.2">
      <c r="A293" s="16" t="s">
        <v>5313</v>
      </c>
      <c r="B293" s="2">
        <v>49179</v>
      </c>
      <c r="C293" s="2">
        <v>5902557382385</v>
      </c>
      <c r="D293" s="4" t="s">
        <v>5314</v>
      </c>
      <c r="E293" s="3">
        <f t="array" aca="1" ref="E293" ca="1">IFERROR(_xludf.XLOOKUP(G293,'Rea - SK'!A:A,'Rea - SK'!E:E),0)+IFERROR(_xludf.XLOOKUP(H293,'Rea - SK'!A:A,'Rea - SK'!E:E),0)+IFERROR(_xludf.XLOOKUP(I293,'Rea - SK'!A:A,'Rea - SK'!E:E),0)+IFERROR(_xludf.XLOOKUP(J293,'Rea - SK'!A:A,'Rea - SK'!E:E),0)+IFERROR(_xludf.XLOOKUP(K293,'Rea - SK'!A:A,'Rea - SK'!E:E),0)</f>
        <v>0</v>
      </c>
      <c r="F293" s="11">
        <f t="array" aca="1" ref="F293" ca="1">MAX(IFERROR(_xludf.XLOOKUP(G293,'Rea - SK'!A:A,'Rea - SK'!F:F),DATE(1966,6,6)),IFERROR(_xludf.XLOOKUP(H293,'Rea - SK'!A:A,'Rea - SK'!F:F),DATE(1966,6,6)),IFERROR(_xludf.XLOOKUP(I293,'Rea - SK'!A:A,'Rea - SK'!F:F),DATE(1966,6,6)),IFERROR(_xludf.XLOOKUP(J293,'Rea - SK'!A:A,'Rea - SK'!F:F),DATE(1966,6,6)),IFERROR(_xludf.XLOOKUP(K293,'Rea - SK'!A:A,'Rea - SK'!F:F),DATE(1966,6,6)))</f>
        <v>24264</v>
      </c>
      <c r="G293" s="2" t="s">
        <v>1443</v>
      </c>
      <c r="H293" s="2" t="s">
        <v>2463</v>
      </c>
      <c r="I293" s="19"/>
      <c r="J293" s="19"/>
      <c r="K293" s="19"/>
      <c r="L293" s="18"/>
    </row>
    <row r="294" spans="1:12" ht="18.75" customHeight="1" x14ac:dyDescent="0.2">
      <c r="A294" s="16" t="s">
        <v>5315</v>
      </c>
      <c r="B294" s="2">
        <v>49178</v>
      </c>
      <c r="C294" s="2">
        <v>5902557382378</v>
      </c>
      <c r="D294" s="4" t="s">
        <v>5316</v>
      </c>
      <c r="E294" s="3">
        <f t="array" aca="1" ref="E294" ca="1">IFERROR(_xludf.XLOOKUP(G294,'Rea - SK'!A:A,'Rea - SK'!E:E),0)+IFERROR(_xludf.XLOOKUP(H294,'Rea - SK'!A:A,'Rea - SK'!E:E),0)+IFERROR(_xludf.XLOOKUP(I294,'Rea - SK'!A:A,'Rea - SK'!E:E),0)+IFERROR(_xludf.XLOOKUP(J294,'Rea - SK'!A:A,'Rea - SK'!E:E),0)+IFERROR(_xludf.XLOOKUP(K294,'Rea - SK'!A:A,'Rea - SK'!E:E),0)</f>
        <v>0</v>
      </c>
      <c r="F294" s="11">
        <f t="array" aca="1" ref="F294" ca="1">MAX(IFERROR(_xludf.XLOOKUP(G294,'Rea - SK'!A:A,'Rea - SK'!F:F),DATE(1966,6,6)),IFERROR(_xludf.XLOOKUP(H294,'Rea - SK'!A:A,'Rea - SK'!F:F),DATE(1966,6,6)),IFERROR(_xludf.XLOOKUP(I294,'Rea - SK'!A:A,'Rea - SK'!F:F),DATE(1966,6,6)),IFERROR(_xludf.XLOOKUP(J294,'Rea - SK'!A:A,'Rea - SK'!F:F),DATE(1966,6,6)),IFERROR(_xludf.XLOOKUP(K294,'Rea - SK'!A:A,'Rea - SK'!F:F),DATE(1966,6,6)))</f>
        <v>24264</v>
      </c>
      <c r="G294" s="2" t="s">
        <v>1447</v>
      </c>
      <c r="H294" s="2" t="s">
        <v>2463</v>
      </c>
      <c r="I294" s="19"/>
      <c r="J294" s="19"/>
      <c r="K294" s="19"/>
      <c r="L294" s="18"/>
    </row>
    <row r="295" spans="1:12" ht="18.75" customHeight="1" x14ac:dyDescent="0.2">
      <c r="A295" s="16" t="s">
        <v>5317</v>
      </c>
      <c r="B295" s="2">
        <v>49177</v>
      </c>
      <c r="C295" s="2">
        <v>5902557382361</v>
      </c>
      <c r="D295" s="4" t="s">
        <v>5318</v>
      </c>
      <c r="E295" s="3">
        <f t="array" aca="1" ref="E295" ca="1">IFERROR(_xludf.XLOOKUP(G295,'Rea - SK'!A:A,'Rea - SK'!E:E),0)+IFERROR(_xludf.XLOOKUP(H295,'Rea - SK'!A:A,'Rea - SK'!E:E),0)+IFERROR(_xludf.XLOOKUP(I295,'Rea - SK'!A:A,'Rea - SK'!E:E),0)+IFERROR(_xludf.XLOOKUP(J295,'Rea - SK'!A:A,'Rea - SK'!E:E),0)+IFERROR(_xludf.XLOOKUP(K295,'Rea - SK'!A:A,'Rea - SK'!E:E),0)</f>
        <v>0</v>
      </c>
      <c r="F295" s="11">
        <f t="array" aca="1" ref="F295" ca="1">MAX(IFERROR(_xludf.XLOOKUP(G295,'Rea - SK'!A:A,'Rea - SK'!F:F),DATE(1966,6,6)),IFERROR(_xludf.XLOOKUP(H295,'Rea - SK'!A:A,'Rea - SK'!F:F),DATE(1966,6,6)),IFERROR(_xludf.XLOOKUP(I295,'Rea - SK'!A:A,'Rea - SK'!F:F),DATE(1966,6,6)),IFERROR(_xludf.XLOOKUP(J295,'Rea - SK'!A:A,'Rea - SK'!F:F),DATE(1966,6,6)),IFERROR(_xludf.XLOOKUP(K295,'Rea - SK'!A:A,'Rea - SK'!F:F),DATE(1966,6,6)))</f>
        <v>24264</v>
      </c>
      <c r="G295" s="2" t="s">
        <v>1445</v>
      </c>
      <c r="H295" s="2" t="s">
        <v>2463</v>
      </c>
      <c r="I295" s="19"/>
      <c r="J295" s="19"/>
      <c r="K295" s="19"/>
      <c r="L295" s="18"/>
    </row>
    <row r="296" spans="1:12" ht="18.75" customHeight="1" x14ac:dyDescent="0.2">
      <c r="A296" s="16" t="s">
        <v>5319</v>
      </c>
      <c r="B296" s="2">
        <v>49160</v>
      </c>
      <c r="C296" s="2">
        <v>5902557382293</v>
      </c>
      <c r="D296" s="4" t="s">
        <v>5320</v>
      </c>
      <c r="E296" s="3">
        <f t="array" aca="1" ref="E296" ca="1">IFERROR(_xludf.XLOOKUP(G296,'Rea - SK'!A:A,'Rea - SK'!E:E),0)+IFERROR(_xludf.XLOOKUP(H296,'Rea - SK'!A:A,'Rea - SK'!E:E),0)+IFERROR(_xludf.XLOOKUP(I296,'Rea - SK'!A:A,'Rea - SK'!E:E),0)+IFERROR(_xludf.XLOOKUP(J296,'Rea - SK'!A:A,'Rea - SK'!E:E),0)+IFERROR(_xludf.XLOOKUP(K296,'Rea - SK'!A:A,'Rea - SK'!E:E),0)</f>
        <v>0</v>
      </c>
      <c r="F296" s="11">
        <f t="array" aca="1" ref="F296" ca="1">MAX(IFERROR(_xludf.XLOOKUP(G296,'Rea - SK'!A:A,'Rea - SK'!F:F),DATE(1966,6,6)),IFERROR(_xludf.XLOOKUP(H296,'Rea - SK'!A:A,'Rea - SK'!F:F),DATE(1966,6,6)),IFERROR(_xludf.XLOOKUP(I296,'Rea - SK'!A:A,'Rea - SK'!F:F),DATE(1966,6,6)),IFERROR(_xludf.XLOOKUP(J296,'Rea - SK'!A:A,'Rea - SK'!F:F),DATE(1966,6,6)),IFERROR(_xludf.XLOOKUP(K296,'Rea - SK'!A:A,'Rea - SK'!F:F),DATE(1966,6,6)))</f>
        <v>24264</v>
      </c>
      <c r="G296" s="2" t="s">
        <v>1577</v>
      </c>
      <c r="H296" s="2" t="s">
        <v>2629</v>
      </c>
      <c r="I296" s="19"/>
      <c r="J296" s="19"/>
      <c r="K296" s="19"/>
      <c r="L296" s="18"/>
    </row>
    <row r="297" spans="1:12" ht="18.75" customHeight="1" x14ac:dyDescent="0.2">
      <c r="A297" s="16" t="s">
        <v>5321</v>
      </c>
      <c r="B297" s="2">
        <v>49159</v>
      </c>
      <c r="C297" s="2">
        <v>5902557382286</v>
      </c>
      <c r="D297" s="4" t="s">
        <v>5322</v>
      </c>
      <c r="E297" s="3">
        <f t="array" aca="1" ref="E297" ca="1">IFERROR(_xludf.XLOOKUP(G297,'Rea - SK'!A:A,'Rea - SK'!E:E),0)+IFERROR(_xludf.XLOOKUP(H297,'Rea - SK'!A:A,'Rea - SK'!E:E),0)+IFERROR(_xludf.XLOOKUP(I297,'Rea - SK'!A:A,'Rea - SK'!E:E),0)+IFERROR(_xludf.XLOOKUP(J297,'Rea - SK'!A:A,'Rea - SK'!E:E),0)+IFERROR(_xludf.XLOOKUP(K297,'Rea - SK'!A:A,'Rea - SK'!E:E),0)</f>
        <v>0</v>
      </c>
      <c r="F297" s="11">
        <f t="array" aca="1" ref="F297" ca="1">MAX(IFERROR(_xludf.XLOOKUP(G297,'Rea - SK'!A:A,'Rea - SK'!F:F),DATE(1966,6,6)),IFERROR(_xludf.XLOOKUP(H297,'Rea - SK'!A:A,'Rea - SK'!F:F),DATE(1966,6,6)),IFERROR(_xludf.XLOOKUP(I297,'Rea - SK'!A:A,'Rea - SK'!F:F),DATE(1966,6,6)),IFERROR(_xludf.XLOOKUP(J297,'Rea - SK'!A:A,'Rea - SK'!F:F),DATE(1966,6,6)),IFERROR(_xludf.XLOOKUP(K297,'Rea - SK'!A:A,'Rea - SK'!F:F),DATE(1966,6,6)))</f>
        <v>24264</v>
      </c>
      <c r="G297" s="2" t="s">
        <v>1577</v>
      </c>
      <c r="H297" s="2" t="s">
        <v>2633</v>
      </c>
      <c r="I297" s="19"/>
      <c r="J297" s="19"/>
      <c r="K297" s="19"/>
      <c r="L297" s="18"/>
    </row>
    <row r="298" spans="1:12" ht="18.75" customHeight="1" x14ac:dyDescent="0.2">
      <c r="A298" s="16" t="s">
        <v>5323</v>
      </c>
      <c r="B298" s="2">
        <v>49158</v>
      </c>
      <c r="C298" s="2">
        <v>5902557382279</v>
      </c>
      <c r="D298" s="4" t="s">
        <v>5324</v>
      </c>
      <c r="E298" s="3">
        <f t="array" aca="1" ref="E298" ca="1">IFERROR(_xludf.XLOOKUP(G298,'Rea - SK'!A:A,'Rea - SK'!E:E),0)+IFERROR(_xludf.XLOOKUP(H298,'Rea - SK'!A:A,'Rea - SK'!E:E),0)+IFERROR(_xludf.XLOOKUP(I298,'Rea - SK'!A:A,'Rea - SK'!E:E),0)+IFERROR(_xludf.XLOOKUP(J298,'Rea - SK'!A:A,'Rea - SK'!E:E),0)+IFERROR(_xludf.XLOOKUP(K298,'Rea - SK'!A:A,'Rea - SK'!E:E),0)</f>
        <v>0</v>
      </c>
      <c r="F298" s="11">
        <f t="array" aca="1" ref="F298" ca="1">MAX(IFERROR(_xludf.XLOOKUP(G298,'Rea - SK'!A:A,'Rea - SK'!F:F),DATE(1966,6,6)),IFERROR(_xludf.XLOOKUP(H298,'Rea - SK'!A:A,'Rea - SK'!F:F),DATE(1966,6,6)),IFERROR(_xludf.XLOOKUP(I298,'Rea - SK'!A:A,'Rea - SK'!F:F),DATE(1966,6,6)),IFERROR(_xludf.XLOOKUP(J298,'Rea - SK'!A:A,'Rea - SK'!F:F),DATE(1966,6,6)),IFERROR(_xludf.XLOOKUP(K298,'Rea - SK'!A:A,'Rea - SK'!F:F),DATE(1966,6,6)))</f>
        <v>24264</v>
      </c>
      <c r="G298" s="2" t="s">
        <v>1577</v>
      </c>
      <c r="H298" s="2" t="s">
        <v>2631</v>
      </c>
      <c r="I298" s="19"/>
      <c r="J298" s="19"/>
      <c r="K298" s="19"/>
      <c r="L298" s="18"/>
    </row>
    <row r="299" spans="1:12" ht="18.75" customHeight="1" x14ac:dyDescent="0.2">
      <c r="A299" s="16" t="s">
        <v>5325</v>
      </c>
      <c r="B299" s="2">
        <v>49157</v>
      </c>
      <c r="C299" s="2">
        <v>5902557382262</v>
      </c>
      <c r="D299" s="4" t="s">
        <v>5326</v>
      </c>
      <c r="E299" s="3">
        <f t="array" aca="1" ref="E299" ca="1">IFERROR(_xludf.XLOOKUP(G299,'Rea - SK'!A:A,'Rea - SK'!E:E),0)+IFERROR(_xludf.XLOOKUP(H299,'Rea - SK'!A:A,'Rea - SK'!E:E),0)+IFERROR(_xludf.XLOOKUP(I299,'Rea - SK'!A:A,'Rea - SK'!E:E),0)+IFERROR(_xludf.XLOOKUP(J299,'Rea - SK'!A:A,'Rea - SK'!E:E),0)+IFERROR(_xludf.XLOOKUP(K299,'Rea - SK'!A:A,'Rea - SK'!E:E),0)</f>
        <v>0</v>
      </c>
      <c r="F299" s="11">
        <f t="array" aca="1" ref="F299" ca="1">MAX(IFERROR(_xludf.XLOOKUP(G299,'Rea - SK'!A:A,'Rea - SK'!F:F),DATE(1966,6,6)),IFERROR(_xludf.XLOOKUP(H299,'Rea - SK'!A:A,'Rea - SK'!F:F),DATE(1966,6,6)),IFERROR(_xludf.XLOOKUP(I299,'Rea - SK'!A:A,'Rea - SK'!F:F),DATE(1966,6,6)),IFERROR(_xludf.XLOOKUP(J299,'Rea - SK'!A:A,'Rea - SK'!F:F),DATE(1966,6,6)),IFERROR(_xludf.XLOOKUP(K299,'Rea - SK'!A:A,'Rea - SK'!F:F),DATE(1966,6,6)))</f>
        <v>24264</v>
      </c>
      <c r="G299" s="2" t="s">
        <v>1579</v>
      </c>
      <c r="H299" s="2" t="s">
        <v>2629</v>
      </c>
      <c r="I299" s="19"/>
      <c r="J299" s="19"/>
      <c r="K299" s="19"/>
      <c r="L299" s="18"/>
    </row>
    <row r="300" spans="1:12" ht="18.75" customHeight="1" x14ac:dyDescent="0.2">
      <c r="A300" s="16" t="s">
        <v>5327</v>
      </c>
      <c r="B300" s="2">
        <v>49156</v>
      </c>
      <c r="C300" s="2">
        <v>5902557382255</v>
      </c>
      <c r="D300" s="4" t="s">
        <v>5328</v>
      </c>
      <c r="E300" s="3">
        <f t="array" aca="1" ref="E300" ca="1">IFERROR(_xludf.XLOOKUP(G300,'Rea - SK'!A:A,'Rea - SK'!E:E),0)+IFERROR(_xludf.XLOOKUP(H300,'Rea - SK'!A:A,'Rea - SK'!E:E),0)+IFERROR(_xludf.XLOOKUP(I300,'Rea - SK'!A:A,'Rea - SK'!E:E),0)+IFERROR(_xludf.XLOOKUP(J300,'Rea - SK'!A:A,'Rea - SK'!E:E),0)+IFERROR(_xludf.XLOOKUP(K300,'Rea - SK'!A:A,'Rea - SK'!E:E),0)</f>
        <v>0</v>
      </c>
      <c r="F300" s="11">
        <f t="array" aca="1" ref="F300" ca="1">MAX(IFERROR(_xludf.XLOOKUP(G300,'Rea - SK'!A:A,'Rea - SK'!F:F),DATE(1966,6,6)),IFERROR(_xludf.XLOOKUP(H300,'Rea - SK'!A:A,'Rea - SK'!F:F),DATE(1966,6,6)),IFERROR(_xludf.XLOOKUP(I300,'Rea - SK'!A:A,'Rea - SK'!F:F),DATE(1966,6,6)),IFERROR(_xludf.XLOOKUP(J300,'Rea - SK'!A:A,'Rea - SK'!F:F),DATE(1966,6,6)),IFERROR(_xludf.XLOOKUP(K300,'Rea - SK'!A:A,'Rea - SK'!F:F),DATE(1966,6,6)))</f>
        <v>24264</v>
      </c>
      <c r="G300" s="2" t="s">
        <v>1579</v>
      </c>
      <c r="H300" s="2" t="s">
        <v>2633</v>
      </c>
      <c r="I300" s="19"/>
      <c r="J300" s="19"/>
      <c r="K300" s="19"/>
      <c r="L300" s="18"/>
    </row>
    <row r="301" spans="1:12" ht="18.75" customHeight="1" x14ac:dyDescent="0.2">
      <c r="A301" s="16" t="s">
        <v>5329</v>
      </c>
      <c r="B301" s="2">
        <v>49155</v>
      </c>
      <c r="C301" s="2">
        <v>5902557382248</v>
      </c>
      <c r="D301" s="4" t="s">
        <v>5330</v>
      </c>
      <c r="E301" s="3">
        <f t="array" aca="1" ref="E301" ca="1">IFERROR(_xludf.XLOOKUP(G301,'Rea - SK'!A:A,'Rea - SK'!E:E),0)+IFERROR(_xludf.XLOOKUP(H301,'Rea - SK'!A:A,'Rea - SK'!E:E),0)+IFERROR(_xludf.XLOOKUP(I301,'Rea - SK'!A:A,'Rea - SK'!E:E),0)+IFERROR(_xludf.XLOOKUP(J301,'Rea - SK'!A:A,'Rea - SK'!E:E),0)+IFERROR(_xludf.XLOOKUP(K301,'Rea - SK'!A:A,'Rea - SK'!E:E),0)</f>
        <v>0</v>
      </c>
      <c r="F301" s="11">
        <f t="array" aca="1" ref="F301" ca="1">MAX(IFERROR(_xludf.XLOOKUP(G301,'Rea - SK'!A:A,'Rea - SK'!F:F),DATE(1966,6,6)),IFERROR(_xludf.XLOOKUP(H301,'Rea - SK'!A:A,'Rea - SK'!F:F),DATE(1966,6,6)),IFERROR(_xludf.XLOOKUP(I301,'Rea - SK'!A:A,'Rea - SK'!F:F),DATE(1966,6,6)),IFERROR(_xludf.XLOOKUP(J301,'Rea - SK'!A:A,'Rea - SK'!F:F),DATE(1966,6,6)),IFERROR(_xludf.XLOOKUP(K301,'Rea - SK'!A:A,'Rea - SK'!F:F),DATE(1966,6,6)))</f>
        <v>24264</v>
      </c>
      <c r="G301" s="2" t="s">
        <v>1579</v>
      </c>
      <c r="H301" s="2" t="s">
        <v>2631</v>
      </c>
      <c r="I301" s="19"/>
      <c r="J301" s="19"/>
      <c r="K301" s="19"/>
      <c r="L301" s="18"/>
    </row>
    <row r="302" spans="1:12" ht="18.75" customHeight="1" x14ac:dyDescent="0.2">
      <c r="A302" s="2" t="s">
        <v>5331</v>
      </c>
      <c r="B302" s="2">
        <v>49147</v>
      </c>
      <c r="C302" s="2">
        <v>5902557376612</v>
      </c>
      <c r="D302" s="4" t="s">
        <v>1444</v>
      </c>
      <c r="E302" s="3">
        <f t="array" aca="1" ref="E302" ca="1">IFERROR(_xludf.XLOOKUP(G302,'Rea - SK'!A:A,'Rea - SK'!E:E),0)+IFERROR(_xludf.XLOOKUP(H302,'Rea - SK'!A:A,'Rea - SK'!E:E),0)+IFERROR(_xludf.XLOOKUP(I302,'Rea - SK'!A:A,'Rea - SK'!E:E),0)+IFERROR(_xludf.XLOOKUP(J302,'Rea - SK'!A:A,'Rea - SK'!E:E),0)+IFERROR(_xludf.XLOOKUP(K302,'Rea - SK'!A:A,'Rea - SK'!E:E),0)</f>
        <v>0</v>
      </c>
      <c r="F302" s="11">
        <f t="array" aca="1" ref="F302" ca="1">MAX(IFERROR(_xludf.XLOOKUP(G302,'Rea - SK'!A:A,'Rea - SK'!F:F),DATE(1966,6,6)),IFERROR(_xludf.XLOOKUP(H302,'Rea - SK'!A:A,'Rea - SK'!F:F),DATE(1966,6,6)),IFERROR(_xludf.XLOOKUP(I302,'Rea - SK'!A:A,'Rea - SK'!F:F),DATE(1966,6,6)),IFERROR(_xludf.XLOOKUP(J302,'Rea - SK'!A:A,'Rea - SK'!F:F),DATE(1966,6,6)),IFERROR(_xludf.XLOOKUP(K302,'Rea - SK'!A:A,'Rea - SK'!F:F),DATE(1966,6,6)))</f>
        <v>24264</v>
      </c>
      <c r="G302" s="3" t="s">
        <v>1443</v>
      </c>
      <c r="H302" s="2" t="s">
        <v>7</v>
      </c>
      <c r="I302" s="19"/>
      <c r="J302" s="19"/>
      <c r="K302" s="19"/>
      <c r="L302" s="18"/>
    </row>
    <row r="303" spans="1:12" ht="18.75" customHeight="1" x14ac:dyDescent="0.2">
      <c r="A303" s="16" t="s">
        <v>5332</v>
      </c>
      <c r="B303" s="2">
        <v>49146</v>
      </c>
      <c r="C303" s="2">
        <v>5906366005299</v>
      </c>
      <c r="D303" s="4" t="s">
        <v>1448</v>
      </c>
      <c r="E303" s="3">
        <f t="array" aca="1" ref="E303" ca="1">IFERROR(_xludf.XLOOKUP(G303,'Rea - SK'!A:A,'Rea - SK'!E:E),0)+IFERROR(_xludf.XLOOKUP(H303,'Rea - SK'!A:A,'Rea - SK'!E:E),0)+IFERROR(_xludf.XLOOKUP(I303,'Rea - SK'!A:A,'Rea - SK'!E:E),0)+IFERROR(_xludf.XLOOKUP(J303,'Rea - SK'!A:A,'Rea - SK'!E:E),0)+IFERROR(_xludf.XLOOKUP(K303,'Rea - SK'!A:A,'Rea - SK'!E:E),0)</f>
        <v>0</v>
      </c>
      <c r="F303" s="11">
        <f t="array" aca="1" ref="F303" ca="1">MAX(IFERROR(_xludf.XLOOKUP(G303,'Rea - SK'!A:A,'Rea - SK'!F:F),DATE(1966,6,6)),IFERROR(_xludf.XLOOKUP(H303,'Rea - SK'!A:A,'Rea - SK'!F:F),DATE(1966,6,6)),IFERROR(_xludf.XLOOKUP(I303,'Rea - SK'!A:A,'Rea - SK'!F:F),DATE(1966,6,6)),IFERROR(_xludf.XLOOKUP(J303,'Rea - SK'!A:A,'Rea - SK'!F:F),DATE(1966,6,6)),IFERROR(_xludf.XLOOKUP(K303,'Rea - SK'!A:A,'Rea - SK'!F:F),DATE(1966,6,6)))</f>
        <v>24264</v>
      </c>
      <c r="G303" s="2" t="s">
        <v>1447</v>
      </c>
      <c r="H303" s="2" t="s">
        <v>7</v>
      </c>
      <c r="I303" s="19"/>
      <c r="J303" s="19"/>
      <c r="K303" s="19"/>
      <c r="L303" s="18"/>
    </row>
    <row r="304" spans="1:12" ht="18.75" customHeight="1" x14ac:dyDescent="0.2">
      <c r="A304" s="16" t="s">
        <v>5333</v>
      </c>
      <c r="B304" s="2">
        <v>49144</v>
      </c>
      <c r="C304" s="2">
        <v>5906366005282</v>
      </c>
      <c r="D304" s="4" t="s">
        <v>1446</v>
      </c>
      <c r="E304" s="3">
        <f t="array" aca="1" ref="E304" ca="1">IFERROR(_xludf.XLOOKUP(G304,'Rea - SK'!A:A,'Rea - SK'!E:E),0)+IFERROR(_xludf.XLOOKUP(H304,'Rea - SK'!A:A,'Rea - SK'!E:E),0)+IFERROR(_xludf.XLOOKUP(I304,'Rea - SK'!A:A,'Rea - SK'!E:E),0)+IFERROR(_xludf.XLOOKUP(J304,'Rea - SK'!A:A,'Rea - SK'!E:E),0)+IFERROR(_xludf.XLOOKUP(K304,'Rea - SK'!A:A,'Rea - SK'!E:E),0)</f>
        <v>0</v>
      </c>
      <c r="F304" s="11">
        <f t="array" aca="1" ref="F304" ca="1">MAX(IFERROR(_xludf.XLOOKUP(G304,'Rea - SK'!A:A,'Rea - SK'!F:F),DATE(1966,6,6)),IFERROR(_xludf.XLOOKUP(H304,'Rea - SK'!A:A,'Rea - SK'!F:F),DATE(1966,6,6)),IFERROR(_xludf.XLOOKUP(I304,'Rea - SK'!A:A,'Rea - SK'!F:F),DATE(1966,6,6)),IFERROR(_xludf.XLOOKUP(J304,'Rea - SK'!A:A,'Rea - SK'!F:F),DATE(1966,6,6)),IFERROR(_xludf.XLOOKUP(K304,'Rea - SK'!A:A,'Rea - SK'!F:F),DATE(1966,6,6)))</f>
        <v>24264</v>
      </c>
      <c r="G304" s="2" t="s">
        <v>1445</v>
      </c>
      <c r="H304" s="2" t="s">
        <v>7</v>
      </c>
      <c r="I304" s="19"/>
      <c r="J304" s="19"/>
      <c r="K304" s="19"/>
      <c r="L304" s="18"/>
    </row>
    <row r="305" spans="1:12" ht="18.75" customHeight="1" x14ac:dyDescent="0.2">
      <c r="A305" s="2" t="s">
        <v>5334</v>
      </c>
      <c r="B305" s="2">
        <v>48836</v>
      </c>
      <c r="C305" s="2">
        <v>5902557381227</v>
      </c>
      <c r="D305" s="4" t="s">
        <v>5335</v>
      </c>
      <c r="E305" s="3">
        <f t="array" aca="1" ref="E305" ca="1">IFERROR(_xludf.XLOOKUP(G305,'Rea - SK'!A:A,'Rea - SK'!E:E),0)+IFERROR(_xludf.XLOOKUP(H305,'Rea - SK'!A:A,'Rea - SK'!E:E),0)+IFERROR(_xludf.XLOOKUP(I305,'Rea - SK'!A:A,'Rea - SK'!E:E),0)+IFERROR(_xludf.XLOOKUP(J305,'Rea - SK'!A:A,'Rea - SK'!E:E),0)+IFERROR(_xludf.XLOOKUP(K305,'Rea - SK'!A:A,'Rea - SK'!E:E),0)</f>
        <v>0</v>
      </c>
      <c r="F305" s="11">
        <f t="array" aca="1" ref="F305" ca="1">MAX(IFERROR(_xludf.XLOOKUP(G305,'Rea - SK'!A:A,'Rea - SK'!F:F),DATE(1966,6,6)),IFERROR(_xludf.XLOOKUP(H305,'Rea - SK'!A:A,'Rea - SK'!F:F),DATE(1966,6,6)),IFERROR(_xludf.XLOOKUP(I305,'Rea - SK'!A:A,'Rea - SK'!F:F),DATE(1966,6,6)),IFERROR(_xludf.XLOOKUP(J305,'Rea - SK'!A:A,'Rea - SK'!F:F),DATE(1966,6,6)),IFERROR(_xludf.XLOOKUP(K305,'Rea - SK'!A:A,'Rea - SK'!F:F),DATE(1966,6,6)))</f>
        <v>24264</v>
      </c>
      <c r="G305" s="3" t="s">
        <v>1451</v>
      </c>
      <c r="H305" s="2" t="s">
        <v>2465</v>
      </c>
      <c r="I305" s="19"/>
      <c r="J305" s="19"/>
      <c r="K305" s="19"/>
      <c r="L305" s="18"/>
    </row>
    <row r="306" spans="1:12" ht="18.75" customHeight="1" x14ac:dyDescent="0.2">
      <c r="A306" s="2" t="s">
        <v>5336</v>
      </c>
      <c r="B306" s="2">
        <v>48835</v>
      </c>
      <c r="C306" s="2">
        <v>5902557381234</v>
      </c>
      <c r="D306" s="4" t="s">
        <v>5337</v>
      </c>
      <c r="E306" s="3">
        <f t="array" aca="1" ref="E306" ca="1">IFERROR(_xludf.XLOOKUP(G306,'Rea - SK'!A:A,'Rea - SK'!E:E),0)+IFERROR(_xludf.XLOOKUP(H306,'Rea - SK'!A:A,'Rea - SK'!E:E),0)+IFERROR(_xludf.XLOOKUP(I306,'Rea - SK'!A:A,'Rea - SK'!E:E),0)+IFERROR(_xludf.XLOOKUP(J306,'Rea - SK'!A:A,'Rea - SK'!E:E),0)+IFERROR(_xludf.XLOOKUP(K306,'Rea - SK'!A:A,'Rea - SK'!E:E),0)</f>
        <v>0</v>
      </c>
      <c r="F306" s="11">
        <f t="array" aca="1" ref="F306" ca="1">MAX(IFERROR(_xludf.XLOOKUP(G306,'Rea - SK'!A:A,'Rea - SK'!F:F),DATE(1966,6,6)),IFERROR(_xludf.XLOOKUP(H306,'Rea - SK'!A:A,'Rea - SK'!F:F),DATE(1966,6,6)),IFERROR(_xludf.XLOOKUP(I306,'Rea - SK'!A:A,'Rea - SK'!F:F),DATE(1966,6,6)),IFERROR(_xludf.XLOOKUP(J306,'Rea - SK'!A:A,'Rea - SK'!F:F),DATE(1966,6,6)),IFERROR(_xludf.XLOOKUP(K306,'Rea - SK'!A:A,'Rea - SK'!F:F),DATE(1966,6,6)))</f>
        <v>24264</v>
      </c>
      <c r="G306" s="3" t="s">
        <v>1453</v>
      </c>
      <c r="H306" s="2" t="s">
        <v>2465</v>
      </c>
      <c r="I306" s="19"/>
      <c r="J306" s="19"/>
      <c r="K306" s="19"/>
      <c r="L306" s="18"/>
    </row>
    <row r="307" spans="1:12" ht="18.75" customHeight="1" x14ac:dyDescent="0.2">
      <c r="A307" s="2" t="s">
        <v>5338</v>
      </c>
      <c r="B307" s="2">
        <v>48834</v>
      </c>
      <c r="C307" s="2">
        <v>5902557381241</v>
      </c>
      <c r="D307" s="4" t="s">
        <v>5339</v>
      </c>
      <c r="E307" s="3">
        <f t="array" aca="1" ref="E307" ca="1">IFERROR(_xludf.XLOOKUP(G307,'Rea - SK'!A:A,'Rea - SK'!E:E),0)+IFERROR(_xludf.XLOOKUP(H307,'Rea - SK'!A:A,'Rea - SK'!E:E),0)+IFERROR(_xludf.XLOOKUP(I307,'Rea - SK'!A:A,'Rea - SK'!E:E),0)+IFERROR(_xludf.XLOOKUP(J307,'Rea - SK'!A:A,'Rea - SK'!E:E),0)+IFERROR(_xludf.XLOOKUP(K307,'Rea - SK'!A:A,'Rea - SK'!E:E),0)</f>
        <v>0</v>
      </c>
      <c r="F307" s="11">
        <f t="array" aca="1" ref="F307" ca="1">MAX(IFERROR(_xludf.XLOOKUP(G307,'Rea - SK'!A:A,'Rea - SK'!F:F),DATE(1966,6,6)),IFERROR(_xludf.XLOOKUP(H307,'Rea - SK'!A:A,'Rea - SK'!F:F),DATE(1966,6,6)),IFERROR(_xludf.XLOOKUP(I307,'Rea - SK'!A:A,'Rea - SK'!F:F),DATE(1966,6,6)),IFERROR(_xludf.XLOOKUP(J307,'Rea - SK'!A:A,'Rea - SK'!F:F),DATE(1966,6,6)),IFERROR(_xludf.XLOOKUP(K307,'Rea - SK'!A:A,'Rea - SK'!F:F),DATE(1966,6,6)))</f>
        <v>24264</v>
      </c>
      <c r="G307" s="3" t="s">
        <v>1449</v>
      </c>
      <c r="H307" s="2" t="s">
        <v>2465</v>
      </c>
      <c r="I307" s="19"/>
      <c r="J307" s="19"/>
      <c r="K307" s="19"/>
      <c r="L307" s="18"/>
    </row>
    <row r="308" spans="1:12" ht="18.75" customHeight="1" x14ac:dyDescent="0.2">
      <c r="A308" s="2" t="s">
        <v>5340</v>
      </c>
      <c r="B308" s="2">
        <v>48833</v>
      </c>
      <c r="C308" s="2">
        <v>5902557392766</v>
      </c>
      <c r="D308" s="4" t="s">
        <v>1450</v>
      </c>
      <c r="E308" s="3">
        <f t="array" aca="1" ref="E308" ca="1">IFERROR(_xludf.XLOOKUP(G308,'Rea - SK'!A:A,'Rea - SK'!E:E),0)+IFERROR(_xludf.XLOOKUP(H308,'Rea - SK'!A:A,'Rea - SK'!E:E),0)+IFERROR(_xludf.XLOOKUP(I308,'Rea - SK'!A:A,'Rea - SK'!E:E),0)+IFERROR(_xludf.XLOOKUP(J308,'Rea - SK'!A:A,'Rea - SK'!E:E),0)+IFERROR(_xludf.XLOOKUP(K308,'Rea - SK'!A:A,'Rea - SK'!E:E),0)</f>
        <v>0</v>
      </c>
      <c r="F308" s="11">
        <f t="array" aca="1" ref="F308" ca="1">MAX(IFERROR(_xludf.XLOOKUP(G308,'Rea - SK'!A:A,'Rea - SK'!F:F),DATE(1966,6,6)),IFERROR(_xludf.XLOOKUP(H308,'Rea - SK'!A:A,'Rea - SK'!F:F),DATE(1966,6,6)),IFERROR(_xludf.XLOOKUP(I308,'Rea - SK'!A:A,'Rea - SK'!F:F),DATE(1966,6,6)),IFERROR(_xludf.XLOOKUP(J308,'Rea - SK'!A:A,'Rea - SK'!F:F),DATE(1966,6,6)),IFERROR(_xludf.XLOOKUP(K308,'Rea - SK'!A:A,'Rea - SK'!F:F),DATE(1966,6,6)))</f>
        <v>24264</v>
      </c>
      <c r="G308" s="3" t="s">
        <v>1449</v>
      </c>
      <c r="H308" s="2" t="s">
        <v>9</v>
      </c>
      <c r="I308" s="19"/>
      <c r="J308" s="19"/>
      <c r="K308" s="19"/>
      <c r="L308" s="18"/>
    </row>
    <row r="309" spans="1:12" ht="18.75" customHeight="1" x14ac:dyDescent="0.2">
      <c r="A309" s="2" t="s">
        <v>5341</v>
      </c>
      <c r="B309" s="2">
        <v>48832</v>
      </c>
      <c r="C309" s="2">
        <v>5902557392759</v>
      </c>
      <c r="D309" s="4" t="s">
        <v>1454</v>
      </c>
      <c r="E309" s="3">
        <f t="array" aca="1" ref="E309" ca="1">IFERROR(_xludf.XLOOKUP(G309,'Rea - SK'!A:A,'Rea - SK'!E:E),0)+IFERROR(_xludf.XLOOKUP(H309,'Rea - SK'!A:A,'Rea - SK'!E:E),0)+IFERROR(_xludf.XLOOKUP(I309,'Rea - SK'!A:A,'Rea - SK'!E:E),0)+IFERROR(_xludf.XLOOKUP(J309,'Rea - SK'!A:A,'Rea - SK'!E:E),0)+IFERROR(_xludf.XLOOKUP(K309,'Rea - SK'!A:A,'Rea - SK'!E:E),0)</f>
        <v>0</v>
      </c>
      <c r="F309" s="11">
        <f t="array" aca="1" ref="F309" ca="1">MAX(IFERROR(_xludf.XLOOKUP(G309,'Rea - SK'!A:A,'Rea - SK'!F:F),DATE(1966,6,6)),IFERROR(_xludf.XLOOKUP(H309,'Rea - SK'!A:A,'Rea - SK'!F:F),DATE(1966,6,6)),IFERROR(_xludf.XLOOKUP(I309,'Rea - SK'!A:A,'Rea - SK'!F:F),DATE(1966,6,6)),IFERROR(_xludf.XLOOKUP(J309,'Rea - SK'!A:A,'Rea - SK'!F:F),DATE(1966,6,6)),IFERROR(_xludf.XLOOKUP(K309,'Rea - SK'!A:A,'Rea - SK'!F:F),DATE(1966,6,6)))</f>
        <v>24264</v>
      </c>
      <c r="G309" s="3" t="s">
        <v>1453</v>
      </c>
      <c r="H309" s="2" t="s">
        <v>9</v>
      </c>
      <c r="I309" s="19"/>
      <c r="J309" s="19"/>
      <c r="K309" s="19"/>
      <c r="L309" s="18"/>
    </row>
    <row r="310" spans="1:12" ht="18.75" customHeight="1" x14ac:dyDescent="0.2">
      <c r="A310" s="2" t="s">
        <v>5342</v>
      </c>
      <c r="B310" s="2">
        <v>48831</v>
      </c>
      <c r="C310" s="2">
        <v>5902557392742</v>
      </c>
      <c r="D310" s="4" t="s">
        <v>1452</v>
      </c>
      <c r="E310" s="3">
        <f t="array" aca="1" ref="E310" ca="1">IFERROR(_xludf.XLOOKUP(G310,'Rea - SK'!A:A,'Rea - SK'!E:E),0)+IFERROR(_xludf.XLOOKUP(H310,'Rea - SK'!A:A,'Rea - SK'!E:E),0)+IFERROR(_xludf.XLOOKUP(I310,'Rea - SK'!A:A,'Rea - SK'!E:E),0)+IFERROR(_xludf.XLOOKUP(J310,'Rea - SK'!A:A,'Rea - SK'!E:E),0)+IFERROR(_xludf.XLOOKUP(K310,'Rea - SK'!A:A,'Rea - SK'!E:E),0)</f>
        <v>0</v>
      </c>
      <c r="F310" s="11">
        <f t="array" aca="1" ref="F310" ca="1">MAX(IFERROR(_xludf.XLOOKUP(G310,'Rea - SK'!A:A,'Rea - SK'!F:F),DATE(1966,6,6)),IFERROR(_xludf.XLOOKUP(H310,'Rea - SK'!A:A,'Rea - SK'!F:F),DATE(1966,6,6)),IFERROR(_xludf.XLOOKUP(I310,'Rea - SK'!A:A,'Rea - SK'!F:F),DATE(1966,6,6)),IFERROR(_xludf.XLOOKUP(J310,'Rea - SK'!A:A,'Rea - SK'!F:F),DATE(1966,6,6)),IFERROR(_xludf.XLOOKUP(K310,'Rea - SK'!A:A,'Rea - SK'!F:F),DATE(1966,6,6)))</f>
        <v>24264</v>
      </c>
      <c r="G310" s="3" t="s">
        <v>1451</v>
      </c>
      <c r="H310" s="2" t="s">
        <v>9</v>
      </c>
      <c r="I310" s="19"/>
      <c r="J310" s="19"/>
      <c r="K310" s="19"/>
      <c r="L310" s="18"/>
    </row>
    <row r="311" spans="1:12" ht="18.75" customHeight="1" x14ac:dyDescent="0.2">
      <c r="A311" s="2" t="s">
        <v>5343</v>
      </c>
      <c r="B311" s="2">
        <v>48736</v>
      </c>
      <c r="C311" s="2">
        <v>5902557396092</v>
      </c>
      <c r="D311" s="4" t="s">
        <v>5344</v>
      </c>
      <c r="E311" s="3">
        <f t="array" aca="1" ref="E311" ca="1">IFERROR(_xludf.XLOOKUP(G311,'Rea - SK'!A:A,'Rea - SK'!E:E),0)+IFERROR(_xludf.XLOOKUP(H311,'Rea - SK'!A:A,'Rea - SK'!E:E),0)+IFERROR(_xludf.XLOOKUP(I311,'Rea - SK'!A:A,'Rea - SK'!E:E),0)+IFERROR(_xludf.XLOOKUP(J311,'Rea - SK'!A:A,'Rea - SK'!E:E),0)+IFERROR(_xludf.XLOOKUP(K311,'Rea - SK'!A:A,'Rea - SK'!E:E),0)</f>
        <v>0</v>
      </c>
      <c r="F311" s="11">
        <f t="array" aca="1" ref="F311" ca="1">MAX(IFERROR(_xludf.XLOOKUP(G311,'Rea - SK'!A:A,'Rea - SK'!F:F),DATE(1966,6,6)),IFERROR(_xludf.XLOOKUP(H311,'Rea - SK'!A:A,'Rea - SK'!F:F),DATE(1966,6,6)),IFERROR(_xludf.XLOOKUP(I311,'Rea - SK'!A:A,'Rea - SK'!F:F),DATE(1966,6,6)),IFERROR(_xludf.XLOOKUP(J311,'Rea - SK'!A:A,'Rea - SK'!F:F),DATE(1966,6,6)),IFERROR(_xludf.XLOOKUP(K311,'Rea - SK'!A:A,'Rea - SK'!F:F),DATE(1966,6,6)))</f>
        <v>24264</v>
      </c>
      <c r="G311" s="2" t="s">
        <v>1667</v>
      </c>
      <c r="H311" s="2" t="s">
        <v>1261</v>
      </c>
      <c r="I311" s="19"/>
      <c r="J311" s="19"/>
      <c r="K311" s="19"/>
      <c r="L311" s="18"/>
    </row>
    <row r="312" spans="1:12" ht="18.75" customHeight="1" x14ac:dyDescent="0.2">
      <c r="A312" s="16" t="s">
        <v>5345</v>
      </c>
      <c r="B312" s="2">
        <v>47716</v>
      </c>
      <c r="C312" s="2">
        <v>5906366004926</v>
      </c>
      <c r="D312" s="4" t="s">
        <v>5346</v>
      </c>
      <c r="E312" s="3">
        <f t="array" aca="1" ref="E312" ca="1">IFERROR(_xludf.XLOOKUP(G312,'Rea - SK'!A:A,'Rea - SK'!E:E),0)+IFERROR(_xludf.XLOOKUP(H312,'Rea - SK'!A:A,'Rea - SK'!E:E),0)+IFERROR(_xludf.XLOOKUP(I312,'Rea - SK'!A:A,'Rea - SK'!E:E),0)+IFERROR(_xludf.XLOOKUP(J312,'Rea - SK'!A:A,'Rea - SK'!E:E),0)+IFERROR(_xludf.XLOOKUP(K312,'Rea - SK'!A:A,'Rea - SK'!E:E),0)</f>
        <v>0</v>
      </c>
      <c r="F312" s="11">
        <f t="array" aca="1" ref="F312" ca="1">MAX(IFERROR(_xludf.XLOOKUP(G312,'Rea - SK'!A:A,'Rea - SK'!F:F),DATE(1966,6,6)),IFERROR(_xludf.XLOOKUP(H312,'Rea - SK'!A:A,'Rea - SK'!F:F),DATE(1966,6,6)),IFERROR(_xludf.XLOOKUP(I312,'Rea - SK'!A:A,'Rea - SK'!F:F),DATE(1966,6,6)),IFERROR(_xludf.XLOOKUP(J312,'Rea - SK'!A:A,'Rea - SK'!F:F),DATE(1966,6,6)),IFERROR(_xludf.XLOOKUP(K312,'Rea - SK'!A:A,'Rea - SK'!F:F),DATE(1966,6,6)))</f>
        <v>24264</v>
      </c>
      <c r="G312" s="2" t="s">
        <v>1455</v>
      </c>
      <c r="H312" s="2" t="s">
        <v>11</v>
      </c>
      <c r="I312" s="19"/>
      <c r="J312" s="19"/>
      <c r="K312" s="19"/>
      <c r="L312" s="18"/>
    </row>
    <row r="313" spans="1:12" ht="18.75" customHeight="1" x14ac:dyDescent="0.2">
      <c r="A313" s="2" t="s">
        <v>5347</v>
      </c>
      <c r="B313" s="2">
        <v>47715</v>
      </c>
      <c r="C313" s="2">
        <v>5906366008085</v>
      </c>
      <c r="D313" s="4" t="s">
        <v>5348</v>
      </c>
      <c r="E313" s="3">
        <f t="array" aca="1" ref="E313" ca="1">IFERROR(_xludf.XLOOKUP(G313,'Rea - SK'!A:A,'Rea - SK'!E:E),0)+IFERROR(_xludf.XLOOKUP(H313,'Rea - SK'!A:A,'Rea - SK'!E:E),0)+IFERROR(_xludf.XLOOKUP(I313,'Rea - SK'!A:A,'Rea - SK'!E:E),0)+IFERROR(_xludf.XLOOKUP(J313,'Rea - SK'!A:A,'Rea - SK'!E:E),0)+IFERROR(_xludf.XLOOKUP(K313,'Rea - SK'!A:A,'Rea - SK'!E:E),0)</f>
        <v>0</v>
      </c>
      <c r="F313" s="11">
        <f t="array" aca="1" ref="F313" ca="1">MAX(IFERROR(_xludf.XLOOKUP(G313,'Rea - SK'!A:A,'Rea - SK'!F:F),DATE(1966,6,6)),IFERROR(_xludf.XLOOKUP(H313,'Rea - SK'!A:A,'Rea - SK'!F:F),DATE(1966,6,6)),IFERROR(_xludf.XLOOKUP(I313,'Rea - SK'!A:A,'Rea - SK'!F:F),DATE(1966,6,6)),IFERROR(_xludf.XLOOKUP(J313,'Rea - SK'!A:A,'Rea - SK'!F:F),DATE(1966,6,6)),IFERROR(_xludf.XLOOKUP(K313,'Rea - SK'!A:A,'Rea - SK'!F:F),DATE(1966,6,6)))</f>
        <v>24264</v>
      </c>
      <c r="G313" s="3" t="s">
        <v>1461</v>
      </c>
      <c r="H313" s="2" t="s">
        <v>11</v>
      </c>
      <c r="I313" s="19"/>
      <c r="J313" s="19"/>
      <c r="K313" s="19"/>
      <c r="L313" s="18"/>
    </row>
    <row r="314" spans="1:12" ht="18.75" customHeight="1" x14ac:dyDescent="0.2">
      <c r="A314" s="16" t="s">
        <v>5349</v>
      </c>
      <c r="B314" s="2">
        <v>47714</v>
      </c>
      <c r="C314" s="2">
        <v>5906366004919</v>
      </c>
      <c r="D314" s="4" t="s">
        <v>5350</v>
      </c>
      <c r="E314" s="3">
        <f t="array" aca="1" ref="E314" ca="1">IFERROR(_xludf.XLOOKUP(G314,'Rea - SK'!A:A,'Rea - SK'!E:E),0)+IFERROR(_xludf.XLOOKUP(H314,'Rea - SK'!A:A,'Rea - SK'!E:E),0)+IFERROR(_xludf.XLOOKUP(I314,'Rea - SK'!A:A,'Rea - SK'!E:E),0)+IFERROR(_xludf.XLOOKUP(J314,'Rea - SK'!A:A,'Rea - SK'!E:E),0)+IFERROR(_xludf.XLOOKUP(K314,'Rea - SK'!A:A,'Rea - SK'!E:E),0)</f>
        <v>0</v>
      </c>
      <c r="F314" s="11">
        <f t="array" aca="1" ref="F314" ca="1">MAX(IFERROR(_xludf.XLOOKUP(G314,'Rea - SK'!A:A,'Rea - SK'!F:F),DATE(1966,6,6)),IFERROR(_xludf.XLOOKUP(H314,'Rea - SK'!A:A,'Rea - SK'!F:F),DATE(1966,6,6)),IFERROR(_xludf.XLOOKUP(I314,'Rea - SK'!A:A,'Rea - SK'!F:F),DATE(1966,6,6)),IFERROR(_xludf.XLOOKUP(J314,'Rea - SK'!A:A,'Rea - SK'!F:F),DATE(1966,6,6)),IFERROR(_xludf.XLOOKUP(K314,'Rea - SK'!A:A,'Rea - SK'!F:F),DATE(1966,6,6)))</f>
        <v>24264</v>
      </c>
      <c r="G314" s="2" t="s">
        <v>1459</v>
      </c>
      <c r="H314" s="2" t="s">
        <v>11</v>
      </c>
      <c r="I314" s="19"/>
      <c r="J314" s="19"/>
      <c r="K314" s="19"/>
      <c r="L314" s="18"/>
    </row>
    <row r="315" spans="1:12" ht="18.75" customHeight="1" x14ac:dyDescent="0.2">
      <c r="A315" s="2" t="s">
        <v>5351</v>
      </c>
      <c r="B315" s="2">
        <v>46327</v>
      </c>
      <c r="C315" s="2">
        <v>5906366000447</v>
      </c>
      <c r="D315" s="4" t="s">
        <v>5352</v>
      </c>
      <c r="E315" s="3">
        <f t="array" aca="1" ref="E315" ca="1">IFERROR(_xludf.XLOOKUP(G315,'Rea - SK'!A:A,'Rea - SK'!E:E),0)+IFERROR(_xludf.XLOOKUP(H315,'Rea - SK'!A:A,'Rea - SK'!E:E),0)+IFERROR(_xludf.XLOOKUP(I315,'Rea - SK'!A:A,'Rea - SK'!E:E),0)+IFERROR(_xludf.XLOOKUP(J315,'Rea - SK'!A:A,'Rea - SK'!E:E),0)+IFERROR(_xludf.XLOOKUP(K315,'Rea - SK'!A:A,'Rea - SK'!E:E),0)</f>
        <v>0</v>
      </c>
      <c r="F315" s="11">
        <f t="array" aca="1" ref="F315" ca="1">MAX(IFERROR(_xludf.XLOOKUP(G315,'Rea - SK'!A:A,'Rea - SK'!F:F),DATE(1966,6,6)),IFERROR(_xludf.XLOOKUP(H315,'Rea - SK'!A:A,'Rea - SK'!F:F),DATE(1966,6,6)),IFERROR(_xludf.XLOOKUP(I315,'Rea - SK'!A:A,'Rea - SK'!F:F),DATE(1966,6,6)),IFERROR(_xludf.XLOOKUP(J315,'Rea - SK'!A:A,'Rea - SK'!F:F),DATE(1966,6,6)),IFERROR(_xludf.XLOOKUP(K315,'Rea - SK'!A:A,'Rea - SK'!F:F),DATE(1966,6,6)))</f>
        <v>24264</v>
      </c>
      <c r="G315" s="2" t="s">
        <v>3720</v>
      </c>
      <c r="H315" s="2" t="s">
        <v>1193</v>
      </c>
      <c r="I315" s="19"/>
      <c r="J315" s="19"/>
      <c r="K315" s="19"/>
      <c r="L315" s="18"/>
    </row>
    <row r="316" spans="1:12" ht="18.75" customHeight="1" x14ac:dyDescent="0.2">
      <c r="A316" s="2" t="s">
        <v>5353</v>
      </c>
      <c r="B316" s="2">
        <v>44852</v>
      </c>
      <c r="C316" s="2">
        <v>5906366000430</v>
      </c>
      <c r="D316" s="4" t="s">
        <v>5354</v>
      </c>
      <c r="E316" s="3">
        <f t="array" aca="1" ref="E316" ca="1">IFERROR(_xludf.XLOOKUP(G316,'Rea - SK'!A:A,'Rea - SK'!E:E),0)+IFERROR(_xludf.XLOOKUP(H316,'Rea - SK'!A:A,'Rea - SK'!E:E),0)+IFERROR(_xludf.XLOOKUP(I316,'Rea - SK'!A:A,'Rea - SK'!E:E),0)+IFERROR(_xludf.XLOOKUP(J316,'Rea - SK'!A:A,'Rea - SK'!E:E),0)+IFERROR(_xludf.XLOOKUP(K316,'Rea - SK'!A:A,'Rea - SK'!E:E),0)</f>
        <v>0</v>
      </c>
      <c r="F316" s="11">
        <f t="array" aca="1" ref="F316" ca="1">MAX(IFERROR(_xludf.XLOOKUP(G316,'Rea - SK'!A:A,'Rea - SK'!F:F),DATE(1966,6,6)),IFERROR(_xludf.XLOOKUP(H316,'Rea - SK'!A:A,'Rea - SK'!F:F),DATE(1966,6,6)),IFERROR(_xludf.XLOOKUP(I316,'Rea - SK'!A:A,'Rea - SK'!F:F),DATE(1966,6,6)),IFERROR(_xludf.XLOOKUP(J316,'Rea - SK'!A:A,'Rea - SK'!F:F),DATE(1966,6,6)),IFERROR(_xludf.XLOOKUP(K316,'Rea - SK'!A:A,'Rea - SK'!F:F),DATE(1966,6,6)))</f>
        <v>24264</v>
      </c>
      <c r="G316" s="2" t="s">
        <v>3734</v>
      </c>
      <c r="H316" s="2" t="s">
        <v>1191</v>
      </c>
      <c r="I316" s="19"/>
      <c r="J316" s="19"/>
      <c r="K316" s="19"/>
      <c r="L316" s="18"/>
    </row>
    <row r="317" spans="1:12" ht="18.75" customHeight="1" x14ac:dyDescent="0.2">
      <c r="A317" s="2" t="s">
        <v>5355</v>
      </c>
      <c r="B317" s="2">
        <v>44827</v>
      </c>
      <c r="C317" s="2">
        <v>5902557396825</v>
      </c>
      <c r="D317" s="4" t="s">
        <v>5356</v>
      </c>
      <c r="E317" s="3">
        <f t="array" aca="1" ref="E317" ca="1">IFERROR(_xludf.XLOOKUP(G317,'Rea - SK'!A:A,'Rea - SK'!E:E),0)+IFERROR(_xludf.XLOOKUP(H317,'Rea - SK'!A:A,'Rea - SK'!E:E),0)+IFERROR(_xludf.XLOOKUP(I317,'Rea - SK'!A:A,'Rea - SK'!E:E),0)+IFERROR(_xludf.XLOOKUP(J317,'Rea - SK'!A:A,'Rea - SK'!E:E),0)+IFERROR(_xludf.XLOOKUP(K317,'Rea - SK'!A:A,'Rea - SK'!E:E),0)</f>
        <v>0</v>
      </c>
      <c r="F317" s="11">
        <f t="array" aca="1" ref="F317" ca="1">MAX(IFERROR(_xludf.XLOOKUP(G317,'Rea - SK'!A:A,'Rea - SK'!F:F),DATE(1966,6,6)),IFERROR(_xludf.XLOOKUP(H317,'Rea - SK'!A:A,'Rea - SK'!F:F),DATE(1966,6,6)),IFERROR(_xludf.XLOOKUP(I317,'Rea - SK'!A:A,'Rea - SK'!F:F),DATE(1966,6,6)),IFERROR(_xludf.XLOOKUP(J317,'Rea - SK'!A:A,'Rea - SK'!F:F),DATE(1966,6,6)),IFERROR(_xludf.XLOOKUP(K317,'Rea - SK'!A:A,'Rea - SK'!F:F),DATE(1966,6,6)))</f>
        <v>24264</v>
      </c>
      <c r="G317" s="2" t="s">
        <v>2491</v>
      </c>
      <c r="H317" s="2" t="s">
        <v>3820</v>
      </c>
      <c r="I317" s="19"/>
      <c r="J317" s="19"/>
      <c r="K317" s="19"/>
      <c r="L317" s="18"/>
    </row>
    <row r="318" spans="1:12" ht="18.75" customHeight="1" x14ac:dyDescent="0.2">
      <c r="A318" s="2" t="s">
        <v>5357</v>
      </c>
      <c r="B318" s="2">
        <v>44372</v>
      </c>
      <c r="C318" s="2">
        <v>5906366004285</v>
      </c>
      <c r="D318" s="4" t="s">
        <v>5358</v>
      </c>
      <c r="E318" s="3">
        <f t="array" aca="1" ref="E318" ca="1">IFERROR(_xludf.XLOOKUP(G318,'Rea - SK'!A:A,'Rea - SK'!E:E),0)+IFERROR(_xludf.XLOOKUP(H318,'Rea - SK'!A:A,'Rea - SK'!E:E),0)+IFERROR(_xludf.XLOOKUP(I318,'Rea - SK'!A:A,'Rea - SK'!E:E),0)+IFERROR(_xludf.XLOOKUP(J318,'Rea - SK'!A:A,'Rea - SK'!E:E),0)+IFERROR(_xludf.XLOOKUP(K318,'Rea - SK'!A:A,'Rea - SK'!E:E),0)</f>
        <v>0</v>
      </c>
      <c r="F318" s="11">
        <f t="array" aca="1" ref="F318" ca="1">MAX(IFERROR(_xludf.XLOOKUP(G318,'Rea - SK'!A:A,'Rea - SK'!F:F),DATE(1966,6,6)),IFERROR(_xludf.XLOOKUP(H318,'Rea - SK'!A:A,'Rea - SK'!F:F),DATE(1966,6,6)),IFERROR(_xludf.XLOOKUP(I318,'Rea - SK'!A:A,'Rea - SK'!F:F),DATE(1966,6,6)),IFERROR(_xludf.XLOOKUP(J318,'Rea - SK'!A:A,'Rea - SK'!F:F),DATE(1966,6,6)),IFERROR(_xludf.XLOOKUP(K318,'Rea - SK'!A:A,'Rea - SK'!F:F),DATE(1966,6,6)))</f>
        <v>24264</v>
      </c>
      <c r="G318" s="2" t="s">
        <v>2511</v>
      </c>
      <c r="H318" s="2" t="s">
        <v>3824</v>
      </c>
      <c r="I318" s="19"/>
      <c r="J318" s="19"/>
      <c r="K318" s="19"/>
      <c r="L318" s="18"/>
    </row>
    <row r="319" spans="1:12" ht="18.75" customHeight="1" x14ac:dyDescent="0.2">
      <c r="A319" s="2" t="s">
        <v>5359</v>
      </c>
      <c r="B319" s="2">
        <v>44203</v>
      </c>
      <c r="C319" s="2">
        <v>5902557373598</v>
      </c>
      <c r="D319" s="4" t="s">
        <v>5360</v>
      </c>
      <c r="E319" s="3">
        <f t="array" aca="1" ref="E319" ca="1">IFERROR(_xludf.XLOOKUP(G319,'Rea - SK'!A:A,'Rea - SK'!E:E),0)+IFERROR(_xludf.XLOOKUP(H319,'Rea - SK'!A:A,'Rea - SK'!E:E),0)+IFERROR(_xludf.XLOOKUP(I319,'Rea - SK'!A:A,'Rea - SK'!E:E),0)+IFERROR(_xludf.XLOOKUP(J319,'Rea - SK'!A:A,'Rea - SK'!E:E),0)+IFERROR(_xludf.XLOOKUP(K319,'Rea - SK'!A:A,'Rea - SK'!E:E),0)</f>
        <v>0</v>
      </c>
      <c r="F319" s="11">
        <f t="array" aca="1" ref="F319" ca="1">MAX(IFERROR(_xludf.XLOOKUP(G319,'Rea - SK'!A:A,'Rea - SK'!F:F),DATE(1966,6,6)),IFERROR(_xludf.XLOOKUP(H319,'Rea - SK'!A:A,'Rea - SK'!F:F),DATE(1966,6,6)),IFERROR(_xludf.XLOOKUP(I319,'Rea - SK'!A:A,'Rea - SK'!F:F),DATE(1966,6,6)),IFERROR(_xludf.XLOOKUP(J319,'Rea - SK'!A:A,'Rea - SK'!F:F),DATE(1966,6,6)),IFERROR(_xludf.XLOOKUP(K319,'Rea - SK'!A:A,'Rea - SK'!F:F),DATE(1966,6,6)))</f>
        <v>24264</v>
      </c>
      <c r="G319" s="2" t="s">
        <v>3410</v>
      </c>
      <c r="H319" s="2" t="s">
        <v>685</v>
      </c>
      <c r="I319" s="2" t="s">
        <v>1821</v>
      </c>
      <c r="J319" s="19"/>
      <c r="K319" s="19"/>
      <c r="L319" s="18"/>
    </row>
    <row r="320" spans="1:12" ht="18.75" customHeight="1" x14ac:dyDescent="0.2">
      <c r="A320" s="2" t="s">
        <v>5361</v>
      </c>
      <c r="B320" s="2">
        <v>44202</v>
      </c>
      <c r="C320" s="2">
        <v>5902557373536</v>
      </c>
      <c r="D320" s="4" t="s">
        <v>5362</v>
      </c>
      <c r="E320" s="3">
        <f t="array" aca="1" ref="E320" ca="1">IFERROR(_xludf.XLOOKUP(G320,'Rea - SK'!A:A,'Rea - SK'!E:E),0)+IFERROR(_xludf.XLOOKUP(H320,'Rea - SK'!A:A,'Rea - SK'!E:E),0)+IFERROR(_xludf.XLOOKUP(I320,'Rea - SK'!A:A,'Rea - SK'!E:E),0)+IFERROR(_xludf.XLOOKUP(J320,'Rea - SK'!A:A,'Rea - SK'!E:E),0)+IFERROR(_xludf.XLOOKUP(K320,'Rea - SK'!A:A,'Rea - SK'!E:E),0)</f>
        <v>0</v>
      </c>
      <c r="F320" s="11">
        <f t="array" aca="1" ref="F320" ca="1">MAX(IFERROR(_xludf.XLOOKUP(G320,'Rea - SK'!A:A,'Rea - SK'!F:F),DATE(1966,6,6)),IFERROR(_xludf.XLOOKUP(H320,'Rea - SK'!A:A,'Rea - SK'!F:F),DATE(1966,6,6)),IFERROR(_xludf.XLOOKUP(I320,'Rea - SK'!A:A,'Rea - SK'!F:F),DATE(1966,6,6)),IFERROR(_xludf.XLOOKUP(J320,'Rea - SK'!A:A,'Rea - SK'!F:F),DATE(1966,6,6)),IFERROR(_xludf.XLOOKUP(K320,'Rea - SK'!A:A,'Rea - SK'!F:F),DATE(1966,6,6)))</f>
        <v>24264</v>
      </c>
      <c r="G320" s="2" t="s">
        <v>3606</v>
      </c>
      <c r="H320" s="2" t="s">
        <v>463</v>
      </c>
      <c r="I320" s="2" t="s">
        <v>1821</v>
      </c>
      <c r="J320" s="19"/>
      <c r="K320" s="19"/>
      <c r="L320" s="18"/>
    </row>
    <row r="321" spans="1:12" ht="18.75" customHeight="1" x14ac:dyDescent="0.2">
      <c r="A321" s="2" t="s">
        <v>5363</v>
      </c>
      <c r="B321" s="2">
        <v>44201</v>
      </c>
      <c r="C321" s="2">
        <v>5902557373543</v>
      </c>
      <c r="D321" s="4" t="s">
        <v>5364</v>
      </c>
      <c r="E321" s="3">
        <f t="array" aca="1" ref="E321" ca="1">IFERROR(_xludf.XLOOKUP(G321,'Rea - SK'!A:A,'Rea - SK'!E:E),0)+IFERROR(_xludf.XLOOKUP(H321,'Rea - SK'!A:A,'Rea - SK'!E:E),0)+IFERROR(_xludf.XLOOKUP(I321,'Rea - SK'!A:A,'Rea - SK'!E:E),0)+IFERROR(_xludf.XLOOKUP(J321,'Rea - SK'!A:A,'Rea - SK'!E:E),0)+IFERROR(_xludf.XLOOKUP(K321,'Rea - SK'!A:A,'Rea - SK'!E:E),0)</f>
        <v>0</v>
      </c>
      <c r="F321" s="11">
        <f t="array" aca="1" ref="F321" ca="1">MAX(IFERROR(_xludf.XLOOKUP(G321,'Rea - SK'!A:A,'Rea - SK'!F:F),DATE(1966,6,6)),IFERROR(_xludf.XLOOKUP(H321,'Rea - SK'!A:A,'Rea - SK'!F:F),DATE(1966,6,6)),IFERROR(_xludf.XLOOKUP(I321,'Rea - SK'!A:A,'Rea - SK'!F:F),DATE(1966,6,6)),IFERROR(_xludf.XLOOKUP(J321,'Rea - SK'!A:A,'Rea - SK'!F:F),DATE(1966,6,6)),IFERROR(_xludf.XLOOKUP(K321,'Rea - SK'!A:A,'Rea - SK'!F:F),DATE(1966,6,6)))</f>
        <v>24264</v>
      </c>
      <c r="G321" s="2" t="s">
        <v>2801</v>
      </c>
      <c r="H321" s="2" t="s">
        <v>701</v>
      </c>
      <c r="I321" s="2" t="s">
        <v>1807</v>
      </c>
      <c r="J321" s="19"/>
      <c r="K321" s="19"/>
      <c r="L321" s="18"/>
    </row>
    <row r="322" spans="1:12" ht="18.75" customHeight="1" x14ac:dyDescent="0.2">
      <c r="A322" s="2" t="s">
        <v>5365</v>
      </c>
      <c r="B322" s="2">
        <v>44200</v>
      </c>
      <c r="C322" s="2">
        <v>5902557373567</v>
      </c>
      <c r="D322" s="4" t="s">
        <v>5366</v>
      </c>
      <c r="E322" s="3">
        <f t="array" aca="1" ref="E322" ca="1">IFERROR(_xludf.XLOOKUP(G322,'Rea - SK'!A:A,'Rea - SK'!E:E),0)+IFERROR(_xludf.XLOOKUP(H322,'Rea - SK'!A:A,'Rea - SK'!E:E),0)+IFERROR(_xludf.XLOOKUP(I322,'Rea - SK'!A:A,'Rea - SK'!E:E),0)+IFERROR(_xludf.XLOOKUP(J322,'Rea - SK'!A:A,'Rea - SK'!E:E),0)+IFERROR(_xludf.XLOOKUP(K322,'Rea - SK'!A:A,'Rea - SK'!E:E),0)</f>
        <v>0</v>
      </c>
      <c r="F322" s="11">
        <f t="array" aca="1" ref="F322" ca="1">MAX(IFERROR(_xludf.XLOOKUP(G322,'Rea - SK'!A:A,'Rea - SK'!F:F),DATE(1966,6,6)),IFERROR(_xludf.XLOOKUP(H322,'Rea - SK'!A:A,'Rea - SK'!F:F),DATE(1966,6,6)),IFERROR(_xludf.XLOOKUP(I322,'Rea - SK'!A:A,'Rea - SK'!F:F),DATE(1966,6,6)),IFERROR(_xludf.XLOOKUP(J322,'Rea - SK'!A:A,'Rea - SK'!F:F),DATE(1966,6,6)),IFERROR(_xludf.XLOOKUP(K322,'Rea - SK'!A:A,'Rea - SK'!F:F),DATE(1966,6,6)))</f>
        <v>24264</v>
      </c>
      <c r="G322" s="2" t="s">
        <v>3512</v>
      </c>
      <c r="H322" s="2" t="s">
        <v>655</v>
      </c>
      <c r="I322" s="2" t="s">
        <v>1807</v>
      </c>
      <c r="J322" s="19"/>
      <c r="K322" s="19"/>
      <c r="L322" s="18"/>
    </row>
    <row r="323" spans="1:12" ht="18.75" customHeight="1" x14ac:dyDescent="0.2">
      <c r="A323" s="2" t="s">
        <v>5367</v>
      </c>
      <c r="B323" s="2">
        <v>44199</v>
      </c>
      <c r="C323" s="2">
        <v>5902557373574</v>
      </c>
      <c r="D323" s="4" t="s">
        <v>5368</v>
      </c>
      <c r="E323" s="3">
        <f t="array" aca="1" ref="E323" ca="1">IFERROR(_xludf.XLOOKUP(G323,'Rea - SK'!A:A,'Rea - SK'!E:E),0)+IFERROR(_xludf.XLOOKUP(H323,'Rea - SK'!A:A,'Rea - SK'!E:E),0)+IFERROR(_xludf.XLOOKUP(I323,'Rea - SK'!A:A,'Rea - SK'!E:E),0)+IFERROR(_xludf.XLOOKUP(J323,'Rea - SK'!A:A,'Rea - SK'!E:E),0)+IFERROR(_xludf.XLOOKUP(K323,'Rea - SK'!A:A,'Rea - SK'!E:E),0)</f>
        <v>0</v>
      </c>
      <c r="F323" s="11">
        <f t="array" aca="1" ref="F323" ca="1">MAX(IFERROR(_xludf.XLOOKUP(G323,'Rea - SK'!A:A,'Rea - SK'!F:F),DATE(1966,6,6)),IFERROR(_xludf.XLOOKUP(H323,'Rea - SK'!A:A,'Rea - SK'!F:F),DATE(1966,6,6)),IFERROR(_xludf.XLOOKUP(I323,'Rea - SK'!A:A,'Rea - SK'!F:F),DATE(1966,6,6)),IFERROR(_xludf.XLOOKUP(J323,'Rea - SK'!A:A,'Rea - SK'!F:F),DATE(1966,6,6)),IFERROR(_xludf.XLOOKUP(K323,'Rea - SK'!A:A,'Rea - SK'!F:F),DATE(1966,6,6)))</f>
        <v>24264</v>
      </c>
      <c r="G323" s="2" t="s">
        <v>3324</v>
      </c>
      <c r="H323" s="2" t="s">
        <v>655</v>
      </c>
      <c r="I323" s="2" t="s">
        <v>1807</v>
      </c>
      <c r="J323" s="19"/>
      <c r="K323" s="19"/>
      <c r="L323" s="18"/>
    </row>
    <row r="324" spans="1:12" ht="18.75" customHeight="1" x14ac:dyDescent="0.2">
      <c r="A324" s="2" t="s">
        <v>5369</v>
      </c>
      <c r="B324" s="2">
        <v>44198</v>
      </c>
      <c r="C324" s="2">
        <v>5902557373581</v>
      </c>
      <c r="D324" s="4" t="s">
        <v>5370</v>
      </c>
      <c r="E324" s="3">
        <f t="array" aca="1" ref="E324" ca="1">IFERROR(_xludf.XLOOKUP(G324,'Rea - SK'!A:A,'Rea - SK'!E:E),0)+IFERROR(_xludf.XLOOKUP(H324,'Rea - SK'!A:A,'Rea - SK'!E:E),0)+IFERROR(_xludf.XLOOKUP(I324,'Rea - SK'!A:A,'Rea - SK'!E:E),0)+IFERROR(_xludf.XLOOKUP(J324,'Rea - SK'!A:A,'Rea - SK'!E:E),0)+IFERROR(_xludf.XLOOKUP(K324,'Rea - SK'!A:A,'Rea - SK'!E:E),0)</f>
        <v>0</v>
      </c>
      <c r="F324" s="11">
        <f t="array" aca="1" ref="F324" ca="1">MAX(IFERROR(_xludf.XLOOKUP(G324,'Rea - SK'!A:A,'Rea - SK'!F:F),DATE(1966,6,6)),IFERROR(_xludf.XLOOKUP(H324,'Rea - SK'!A:A,'Rea - SK'!F:F),DATE(1966,6,6)),IFERROR(_xludf.XLOOKUP(I324,'Rea - SK'!A:A,'Rea - SK'!F:F),DATE(1966,6,6)),IFERROR(_xludf.XLOOKUP(J324,'Rea - SK'!A:A,'Rea - SK'!F:F),DATE(1966,6,6)),IFERROR(_xludf.XLOOKUP(K324,'Rea - SK'!A:A,'Rea - SK'!F:F),DATE(1966,6,6)))</f>
        <v>24264</v>
      </c>
      <c r="G324" s="2" t="s">
        <v>3494</v>
      </c>
      <c r="H324" s="2" t="s">
        <v>655</v>
      </c>
      <c r="I324" s="2" t="s">
        <v>1807</v>
      </c>
      <c r="J324" s="19"/>
      <c r="K324" s="19"/>
      <c r="L324" s="18"/>
    </row>
    <row r="325" spans="1:12" ht="18.75" customHeight="1" x14ac:dyDescent="0.2">
      <c r="A325" s="2" t="s">
        <v>5371</v>
      </c>
      <c r="B325" s="2">
        <v>44197</v>
      </c>
      <c r="C325" s="2">
        <v>5902557373550</v>
      </c>
      <c r="D325" s="4" t="s">
        <v>5372</v>
      </c>
      <c r="E325" s="3">
        <f t="array" aca="1" ref="E325" ca="1">IFERROR(_xludf.XLOOKUP(G325,'Rea - SK'!A:A,'Rea - SK'!E:E),0)+IFERROR(_xludf.XLOOKUP(H325,'Rea - SK'!A:A,'Rea - SK'!E:E),0)+IFERROR(_xludf.XLOOKUP(I325,'Rea - SK'!A:A,'Rea - SK'!E:E),0)+IFERROR(_xludf.XLOOKUP(J325,'Rea - SK'!A:A,'Rea - SK'!E:E),0)+IFERROR(_xludf.XLOOKUP(K325,'Rea - SK'!A:A,'Rea - SK'!E:E),0)</f>
        <v>0</v>
      </c>
      <c r="F325" s="11">
        <f t="array" aca="1" ref="F325" ca="1">MAX(IFERROR(_xludf.XLOOKUP(G325,'Rea - SK'!A:A,'Rea - SK'!F:F),DATE(1966,6,6)),IFERROR(_xludf.XLOOKUP(H325,'Rea - SK'!A:A,'Rea - SK'!F:F),DATE(1966,6,6)),IFERROR(_xludf.XLOOKUP(I325,'Rea - SK'!A:A,'Rea - SK'!F:F),DATE(1966,6,6)),IFERROR(_xludf.XLOOKUP(J325,'Rea - SK'!A:A,'Rea - SK'!F:F),DATE(1966,6,6)),IFERROR(_xludf.XLOOKUP(K325,'Rea - SK'!A:A,'Rea - SK'!F:F),DATE(1966,6,6)))</f>
        <v>24264</v>
      </c>
      <c r="G325" s="2" t="s">
        <v>3504</v>
      </c>
      <c r="H325" s="2" t="s">
        <v>685</v>
      </c>
      <c r="I325" s="2" t="s">
        <v>1821</v>
      </c>
      <c r="J325" s="19"/>
      <c r="K325" s="19"/>
      <c r="L325" s="18"/>
    </row>
    <row r="326" spans="1:12" ht="18.75" customHeight="1" x14ac:dyDescent="0.2">
      <c r="A326" s="2" t="s">
        <v>5373</v>
      </c>
      <c r="B326" s="2">
        <v>44196</v>
      </c>
      <c r="C326" s="2">
        <v>5902557373772</v>
      </c>
      <c r="D326" s="4" t="s">
        <v>5374</v>
      </c>
      <c r="E326" s="3">
        <f t="array" aca="1" ref="E326" ca="1">IFERROR(_xludf.XLOOKUP(G326,'Rea - SK'!A:A,'Rea - SK'!E:E),0)+IFERROR(_xludf.XLOOKUP(H326,'Rea - SK'!A:A,'Rea - SK'!E:E),0)+IFERROR(_xludf.XLOOKUP(I326,'Rea - SK'!A:A,'Rea - SK'!E:E),0)+IFERROR(_xludf.XLOOKUP(J326,'Rea - SK'!A:A,'Rea - SK'!E:E),0)+IFERROR(_xludf.XLOOKUP(K326,'Rea - SK'!A:A,'Rea - SK'!E:E),0)</f>
        <v>0</v>
      </c>
      <c r="F326" s="11">
        <f t="array" aca="1" ref="F326" ca="1">MAX(IFERROR(_xludf.XLOOKUP(G326,'Rea - SK'!A:A,'Rea - SK'!F:F),DATE(1966,6,6)),IFERROR(_xludf.XLOOKUP(H326,'Rea - SK'!A:A,'Rea - SK'!F:F),DATE(1966,6,6)),IFERROR(_xludf.XLOOKUP(I326,'Rea - SK'!A:A,'Rea - SK'!F:F),DATE(1966,6,6)),IFERROR(_xludf.XLOOKUP(J326,'Rea - SK'!A:A,'Rea - SK'!F:F),DATE(1966,6,6)),IFERROR(_xludf.XLOOKUP(K326,'Rea - SK'!A:A,'Rea - SK'!F:F),DATE(1966,6,6)))</f>
        <v>24264</v>
      </c>
      <c r="G326" s="2" t="s">
        <v>3165</v>
      </c>
      <c r="H326" s="2" t="s">
        <v>685</v>
      </c>
      <c r="I326" s="2" t="s">
        <v>1821</v>
      </c>
      <c r="J326" s="19"/>
      <c r="K326" s="19"/>
      <c r="L326" s="18"/>
    </row>
    <row r="327" spans="1:12" ht="18.75" customHeight="1" x14ac:dyDescent="0.2">
      <c r="A327" s="2" t="s">
        <v>5375</v>
      </c>
      <c r="B327" s="2">
        <v>44195</v>
      </c>
      <c r="C327" s="2">
        <v>5902557373611</v>
      </c>
      <c r="D327" s="4" t="s">
        <v>5376</v>
      </c>
      <c r="E327" s="3">
        <f t="array" aca="1" ref="E327" ca="1">IFERROR(_xludf.XLOOKUP(G327,'Rea - SK'!A:A,'Rea - SK'!E:E),0)+IFERROR(_xludf.XLOOKUP(H327,'Rea - SK'!A:A,'Rea - SK'!E:E),0)+IFERROR(_xludf.XLOOKUP(I327,'Rea - SK'!A:A,'Rea - SK'!E:E),0)+IFERROR(_xludf.XLOOKUP(J327,'Rea - SK'!A:A,'Rea - SK'!E:E),0)+IFERROR(_xludf.XLOOKUP(K327,'Rea - SK'!A:A,'Rea - SK'!E:E),0)</f>
        <v>0</v>
      </c>
      <c r="F327" s="11">
        <f t="array" aca="1" ref="F327" ca="1">MAX(IFERROR(_xludf.XLOOKUP(G327,'Rea - SK'!A:A,'Rea - SK'!F:F),DATE(1966,6,6)),IFERROR(_xludf.XLOOKUP(H327,'Rea - SK'!A:A,'Rea - SK'!F:F),DATE(1966,6,6)),IFERROR(_xludf.XLOOKUP(I327,'Rea - SK'!A:A,'Rea - SK'!F:F),DATE(1966,6,6)),IFERROR(_xludf.XLOOKUP(J327,'Rea - SK'!A:A,'Rea - SK'!F:F),DATE(1966,6,6)),IFERROR(_xludf.XLOOKUP(K327,'Rea - SK'!A:A,'Rea - SK'!F:F),DATE(1966,6,6)))</f>
        <v>24264</v>
      </c>
      <c r="G327" s="2" t="s">
        <v>3522</v>
      </c>
      <c r="H327" s="2" t="s">
        <v>685</v>
      </c>
      <c r="I327" s="2" t="s">
        <v>1821</v>
      </c>
      <c r="J327" s="19"/>
      <c r="K327" s="19"/>
      <c r="L327" s="18"/>
    </row>
    <row r="328" spans="1:12" ht="18.75" customHeight="1" x14ac:dyDescent="0.2">
      <c r="A328" s="2" t="s">
        <v>5377</v>
      </c>
      <c r="B328" s="2">
        <v>44194</v>
      </c>
      <c r="C328" s="2">
        <v>5902557373628</v>
      </c>
      <c r="D328" s="4" t="s">
        <v>5378</v>
      </c>
      <c r="E328" s="3">
        <f t="array" aca="1" ref="E328" ca="1">IFERROR(_xludf.XLOOKUP(G328,'Rea - SK'!A:A,'Rea - SK'!E:E),0)+IFERROR(_xludf.XLOOKUP(H328,'Rea - SK'!A:A,'Rea - SK'!E:E),0)+IFERROR(_xludf.XLOOKUP(I328,'Rea - SK'!A:A,'Rea - SK'!E:E),0)+IFERROR(_xludf.XLOOKUP(J328,'Rea - SK'!A:A,'Rea - SK'!E:E),0)+IFERROR(_xludf.XLOOKUP(K328,'Rea - SK'!A:A,'Rea - SK'!E:E),0)</f>
        <v>0</v>
      </c>
      <c r="F328" s="11">
        <f t="array" aca="1" ref="F328" ca="1">MAX(IFERROR(_xludf.XLOOKUP(G328,'Rea - SK'!A:A,'Rea - SK'!F:F),DATE(1966,6,6)),IFERROR(_xludf.XLOOKUP(H328,'Rea - SK'!A:A,'Rea - SK'!F:F),DATE(1966,6,6)),IFERROR(_xludf.XLOOKUP(I328,'Rea - SK'!A:A,'Rea - SK'!F:F),DATE(1966,6,6)),IFERROR(_xludf.XLOOKUP(J328,'Rea - SK'!A:A,'Rea - SK'!F:F),DATE(1966,6,6)),IFERROR(_xludf.XLOOKUP(K328,'Rea - SK'!A:A,'Rea - SK'!F:F),DATE(1966,6,6)))</f>
        <v>24264</v>
      </c>
      <c r="G328" s="2" t="s">
        <v>3344</v>
      </c>
      <c r="H328" s="2" t="s">
        <v>685</v>
      </c>
      <c r="I328" s="2" t="s">
        <v>1821</v>
      </c>
      <c r="J328" s="19"/>
      <c r="K328" s="19"/>
      <c r="L328" s="18"/>
    </row>
    <row r="329" spans="1:12" ht="18.75" customHeight="1" x14ac:dyDescent="0.2">
      <c r="A329" s="16" t="s">
        <v>5379</v>
      </c>
      <c r="B329" s="2">
        <v>43321</v>
      </c>
      <c r="C329" s="2">
        <v>5906366005879</v>
      </c>
      <c r="D329" s="4" t="s">
        <v>5380</v>
      </c>
      <c r="E329" s="3">
        <f t="array" aca="1" ref="E329" ca="1">IFERROR(_xludf.XLOOKUP(G329,'Rea - SK'!A:A,'Rea - SK'!E:E),0)+IFERROR(_xludf.XLOOKUP(H329,'Rea - SK'!A:A,'Rea - SK'!E:E),0)+IFERROR(_xludf.XLOOKUP(I329,'Rea - SK'!A:A,'Rea - SK'!E:E),0)+IFERROR(_xludf.XLOOKUP(J329,'Rea - SK'!A:A,'Rea - SK'!E:E),0)+IFERROR(_xludf.XLOOKUP(K329,'Rea - SK'!A:A,'Rea - SK'!E:E),0)</f>
        <v>0</v>
      </c>
      <c r="F329" s="11">
        <f t="array" aca="1" ref="F329" ca="1">MAX(IFERROR(_xludf.XLOOKUP(G329,'Rea - SK'!A:A,'Rea - SK'!F:F),DATE(1966,6,6)),IFERROR(_xludf.XLOOKUP(H329,'Rea - SK'!A:A,'Rea - SK'!F:F),DATE(1966,6,6)),IFERROR(_xludf.XLOOKUP(I329,'Rea - SK'!A:A,'Rea - SK'!F:F),DATE(1966,6,6)),IFERROR(_xludf.XLOOKUP(J329,'Rea - SK'!A:A,'Rea - SK'!F:F),DATE(1966,6,6)),IFERROR(_xludf.XLOOKUP(K329,'Rea - SK'!A:A,'Rea - SK'!F:F),DATE(1966,6,6)))</f>
        <v>24264</v>
      </c>
      <c r="G329" s="2" t="s">
        <v>3736</v>
      </c>
      <c r="H329" s="2" t="s">
        <v>1185</v>
      </c>
      <c r="I329" s="19"/>
      <c r="J329" s="19"/>
      <c r="K329" s="19"/>
      <c r="L329" s="18"/>
    </row>
    <row r="330" spans="1:12" ht="18.75" customHeight="1" x14ac:dyDescent="0.2">
      <c r="A330" s="2" t="s">
        <v>5381</v>
      </c>
      <c r="B330" s="2">
        <v>43316</v>
      </c>
      <c r="C330" s="2">
        <v>5902557393534</v>
      </c>
      <c r="D330" s="4" t="s">
        <v>5382</v>
      </c>
      <c r="E330" s="3">
        <f t="array" aca="1" ref="E330" ca="1">IFERROR(_xludf.XLOOKUP(G330,'Rea - SK'!A:A,'Rea - SK'!E:E),0)+IFERROR(_xludf.XLOOKUP(H330,'Rea - SK'!A:A,'Rea - SK'!E:E),0)+IFERROR(_xludf.XLOOKUP(I330,'Rea - SK'!A:A,'Rea - SK'!E:E),0)+IFERROR(_xludf.XLOOKUP(J330,'Rea - SK'!A:A,'Rea - SK'!E:E),0)+IFERROR(_xludf.XLOOKUP(K330,'Rea - SK'!A:A,'Rea - SK'!E:E),0)</f>
        <v>0</v>
      </c>
      <c r="F330" s="11">
        <f t="array" aca="1" ref="F330" ca="1">MAX(IFERROR(_xludf.XLOOKUP(G330,'Rea - SK'!A:A,'Rea - SK'!F:F),DATE(1966,6,6)),IFERROR(_xludf.XLOOKUP(H330,'Rea - SK'!A:A,'Rea - SK'!F:F),DATE(1966,6,6)),IFERROR(_xludf.XLOOKUP(I330,'Rea - SK'!A:A,'Rea - SK'!F:F),DATE(1966,6,6)),IFERROR(_xludf.XLOOKUP(J330,'Rea - SK'!A:A,'Rea - SK'!F:F),DATE(1966,6,6)),IFERROR(_xludf.XLOOKUP(K330,'Rea - SK'!A:A,'Rea - SK'!F:F),DATE(1966,6,6)))</f>
        <v>24264</v>
      </c>
      <c r="G330" s="2" t="s">
        <v>1653</v>
      </c>
      <c r="H330" s="2" t="s">
        <v>1357</v>
      </c>
      <c r="I330" s="19"/>
      <c r="J330" s="19"/>
      <c r="K330" s="19"/>
      <c r="L330" s="18"/>
    </row>
    <row r="331" spans="1:12" ht="18.75" customHeight="1" x14ac:dyDescent="0.2">
      <c r="A331" s="2" t="s">
        <v>5383</v>
      </c>
      <c r="B331" s="2">
        <v>43315</v>
      </c>
      <c r="C331" s="2">
        <v>5902557396399</v>
      </c>
      <c r="D331" s="4" t="s">
        <v>5384</v>
      </c>
      <c r="E331" s="3">
        <f t="array" aca="1" ref="E331" ca="1">IFERROR(_xludf.XLOOKUP(G331,'Rea - SK'!A:A,'Rea - SK'!E:E),0)+IFERROR(_xludf.XLOOKUP(H331,'Rea - SK'!A:A,'Rea - SK'!E:E),0)+IFERROR(_xludf.XLOOKUP(I331,'Rea - SK'!A:A,'Rea - SK'!E:E),0)+IFERROR(_xludf.XLOOKUP(J331,'Rea - SK'!A:A,'Rea - SK'!E:E),0)+IFERROR(_xludf.XLOOKUP(K331,'Rea - SK'!A:A,'Rea - SK'!E:E),0)</f>
        <v>0</v>
      </c>
      <c r="F331" s="11">
        <f t="array" aca="1" ref="F331" ca="1">MAX(IFERROR(_xludf.XLOOKUP(G331,'Rea - SK'!A:A,'Rea - SK'!F:F),DATE(1966,6,6)),IFERROR(_xludf.XLOOKUP(H331,'Rea - SK'!A:A,'Rea - SK'!F:F),DATE(1966,6,6)),IFERROR(_xludf.XLOOKUP(I331,'Rea - SK'!A:A,'Rea - SK'!F:F),DATE(1966,6,6)),IFERROR(_xludf.XLOOKUP(J331,'Rea - SK'!A:A,'Rea - SK'!F:F),DATE(1966,6,6)),IFERROR(_xludf.XLOOKUP(K331,'Rea - SK'!A:A,'Rea - SK'!F:F),DATE(1966,6,6)))</f>
        <v>24264</v>
      </c>
      <c r="G331" s="2" t="s">
        <v>1653</v>
      </c>
      <c r="H331" s="2" t="s">
        <v>1363</v>
      </c>
      <c r="I331" s="19"/>
      <c r="J331" s="19"/>
      <c r="K331" s="19"/>
      <c r="L331" s="18"/>
    </row>
    <row r="332" spans="1:12" ht="18.75" customHeight="1" x14ac:dyDescent="0.2">
      <c r="A332" s="2" t="s">
        <v>5385</v>
      </c>
      <c r="B332" s="2">
        <v>43306</v>
      </c>
      <c r="C332" s="2">
        <v>5902557396795</v>
      </c>
      <c r="D332" s="4" t="s">
        <v>5386</v>
      </c>
      <c r="E332" s="3">
        <f t="array" aca="1" ref="E332" ca="1">IFERROR(_xludf.XLOOKUP(G332,'Rea - SK'!A:A,'Rea - SK'!E:E),0)+IFERROR(_xludf.XLOOKUP(H332,'Rea - SK'!A:A,'Rea - SK'!E:E),0)+IFERROR(_xludf.XLOOKUP(I332,'Rea - SK'!A:A,'Rea - SK'!E:E),0)+IFERROR(_xludf.XLOOKUP(J332,'Rea - SK'!A:A,'Rea - SK'!E:E),0)+IFERROR(_xludf.XLOOKUP(K332,'Rea - SK'!A:A,'Rea - SK'!E:E),0)</f>
        <v>0</v>
      </c>
      <c r="F332" s="11">
        <f t="array" aca="1" ref="F332" ca="1">MAX(IFERROR(_xludf.XLOOKUP(G332,'Rea - SK'!A:A,'Rea - SK'!F:F),DATE(1966,6,6)),IFERROR(_xludf.XLOOKUP(H332,'Rea - SK'!A:A,'Rea - SK'!F:F),DATE(1966,6,6)),IFERROR(_xludf.XLOOKUP(I332,'Rea - SK'!A:A,'Rea - SK'!F:F),DATE(1966,6,6)),IFERROR(_xludf.XLOOKUP(J332,'Rea - SK'!A:A,'Rea - SK'!F:F),DATE(1966,6,6)),IFERROR(_xludf.XLOOKUP(K332,'Rea - SK'!A:A,'Rea - SK'!F:F),DATE(1966,6,6)))</f>
        <v>24264</v>
      </c>
      <c r="G332" s="2" t="s">
        <v>1691</v>
      </c>
      <c r="H332" s="2" t="s">
        <v>1259</v>
      </c>
      <c r="I332" s="19"/>
      <c r="J332" s="19"/>
      <c r="K332" s="19"/>
      <c r="L332" s="18"/>
    </row>
    <row r="333" spans="1:12" ht="18.75" customHeight="1" x14ac:dyDescent="0.2">
      <c r="A333" s="2" t="s">
        <v>5387</v>
      </c>
      <c r="B333" s="2">
        <v>43305</v>
      </c>
      <c r="C333" s="2">
        <v>5902557396788</v>
      </c>
      <c r="D333" s="4" t="s">
        <v>5388</v>
      </c>
      <c r="E333" s="3">
        <f t="array" aca="1" ref="E333" ca="1">IFERROR(_xludf.XLOOKUP(G333,'Rea - SK'!A:A,'Rea - SK'!E:E),0)+IFERROR(_xludf.XLOOKUP(H333,'Rea - SK'!A:A,'Rea - SK'!E:E),0)+IFERROR(_xludf.XLOOKUP(I333,'Rea - SK'!A:A,'Rea - SK'!E:E),0)+IFERROR(_xludf.XLOOKUP(J333,'Rea - SK'!A:A,'Rea - SK'!E:E),0)+IFERROR(_xludf.XLOOKUP(K333,'Rea - SK'!A:A,'Rea - SK'!E:E),0)</f>
        <v>0</v>
      </c>
      <c r="F333" s="11">
        <f t="array" aca="1" ref="F333" ca="1">MAX(IFERROR(_xludf.XLOOKUP(G333,'Rea - SK'!A:A,'Rea - SK'!F:F),DATE(1966,6,6)),IFERROR(_xludf.XLOOKUP(H333,'Rea - SK'!A:A,'Rea - SK'!F:F),DATE(1966,6,6)),IFERROR(_xludf.XLOOKUP(I333,'Rea - SK'!A:A,'Rea - SK'!F:F),DATE(1966,6,6)),IFERROR(_xludf.XLOOKUP(J333,'Rea - SK'!A:A,'Rea - SK'!F:F),DATE(1966,6,6)),IFERROR(_xludf.XLOOKUP(K333,'Rea - SK'!A:A,'Rea - SK'!F:F),DATE(1966,6,6)))</f>
        <v>24264</v>
      </c>
      <c r="G333" s="2" t="s">
        <v>1691</v>
      </c>
      <c r="H333" s="2" t="s">
        <v>1263</v>
      </c>
      <c r="I333" s="19"/>
      <c r="J333" s="19"/>
      <c r="K333" s="19"/>
      <c r="L333" s="18"/>
    </row>
    <row r="334" spans="1:12" ht="18.75" customHeight="1" x14ac:dyDescent="0.2">
      <c r="A334" s="2" t="s">
        <v>5389</v>
      </c>
      <c r="B334" s="2">
        <v>43301</v>
      </c>
      <c r="C334" s="2"/>
      <c r="D334" s="4" t="s">
        <v>5390</v>
      </c>
      <c r="E334" s="3">
        <f t="array" aca="1" ref="E334" ca="1">IFERROR(_xludf.XLOOKUP(G334,'Rea - SK'!A:A,'Rea - SK'!E:E),0)+IFERROR(_xludf.XLOOKUP(H334,'Rea - SK'!A:A,'Rea - SK'!E:E),0)+IFERROR(_xludf.XLOOKUP(I334,'Rea - SK'!A:A,'Rea - SK'!E:E),0)+IFERROR(_xludf.XLOOKUP(J334,'Rea - SK'!A:A,'Rea - SK'!E:E),0)+IFERROR(_xludf.XLOOKUP(K334,'Rea - SK'!A:A,'Rea - SK'!E:E),0)</f>
        <v>0</v>
      </c>
      <c r="F334" s="11">
        <f t="array" aca="1" ref="F334" ca="1">MAX(IFERROR(_xludf.XLOOKUP(G334,'Rea - SK'!A:A,'Rea - SK'!F:F),DATE(1966,6,6)),IFERROR(_xludf.XLOOKUP(H334,'Rea - SK'!A:A,'Rea - SK'!F:F),DATE(1966,6,6)),IFERROR(_xludf.XLOOKUP(I334,'Rea - SK'!A:A,'Rea - SK'!F:F),DATE(1966,6,6)),IFERROR(_xludf.XLOOKUP(J334,'Rea - SK'!A:A,'Rea - SK'!F:F),DATE(1966,6,6)),IFERROR(_xludf.XLOOKUP(K334,'Rea - SK'!A:A,'Rea - SK'!F:F),DATE(1966,6,6)))</f>
        <v>24264</v>
      </c>
      <c r="G334" s="2" t="s">
        <v>1689</v>
      </c>
      <c r="H334" s="2" t="s">
        <v>1261</v>
      </c>
      <c r="I334" s="19"/>
      <c r="J334" s="19"/>
      <c r="K334" s="19"/>
      <c r="L334" s="18"/>
    </row>
    <row r="335" spans="1:12" ht="18.75" customHeight="1" x14ac:dyDescent="0.2">
      <c r="A335" s="2" t="s">
        <v>5391</v>
      </c>
      <c r="B335" s="2">
        <v>43297</v>
      </c>
      <c r="C335" s="2"/>
      <c r="D335" s="4" t="s">
        <v>5392</v>
      </c>
      <c r="E335" s="3">
        <f t="array" aca="1" ref="E335" ca="1">IFERROR(_xludf.XLOOKUP(G335,'Rea - SK'!A:A,'Rea - SK'!E:E),0)+IFERROR(_xludf.XLOOKUP(H335,'Rea - SK'!A:A,'Rea - SK'!E:E),0)+IFERROR(_xludf.XLOOKUP(I335,'Rea - SK'!A:A,'Rea - SK'!E:E),0)+IFERROR(_xludf.XLOOKUP(J335,'Rea - SK'!A:A,'Rea - SK'!E:E),0)+IFERROR(_xludf.XLOOKUP(K335,'Rea - SK'!A:A,'Rea - SK'!E:E),0)</f>
        <v>0</v>
      </c>
      <c r="F335" s="11">
        <f t="array" aca="1" ref="F335" ca="1">MAX(IFERROR(_xludf.XLOOKUP(G335,'Rea - SK'!A:A,'Rea - SK'!F:F),DATE(1966,6,6)),IFERROR(_xludf.XLOOKUP(H335,'Rea - SK'!A:A,'Rea - SK'!F:F),DATE(1966,6,6)),IFERROR(_xludf.XLOOKUP(I335,'Rea - SK'!A:A,'Rea - SK'!F:F),DATE(1966,6,6)),IFERROR(_xludf.XLOOKUP(J335,'Rea - SK'!A:A,'Rea - SK'!F:F),DATE(1966,6,6)),IFERROR(_xludf.XLOOKUP(K335,'Rea - SK'!A:A,'Rea - SK'!F:F),DATE(1966,6,6)))</f>
        <v>24264</v>
      </c>
      <c r="G335" s="3" t="s">
        <v>1635</v>
      </c>
      <c r="H335" s="2" t="s">
        <v>1261</v>
      </c>
      <c r="I335" s="19"/>
      <c r="J335" s="19"/>
      <c r="K335" s="19"/>
      <c r="L335" s="18"/>
    </row>
    <row r="336" spans="1:12" ht="18.75" customHeight="1" x14ac:dyDescent="0.2">
      <c r="A336" s="2" t="s">
        <v>5393</v>
      </c>
      <c r="B336" s="2">
        <v>43294</v>
      </c>
      <c r="C336" s="2">
        <v>5902557387502</v>
      </c>
      <c r="D336" s="4" t="s">
        <v>5394</v>
      </c>
      <c r="E336" s="3">
        <f t="array" aca="1" ref="E336" ca="1">IFERROR(_xludf.XLOOKUP(G336,'Rea - SK'!A:A,'Rea - SK'!E:E),0)+IFERROR(_xludf.XLOOKUP(H336,'Rea - SK'!A:A,'Rea - SK'!E:E),0)+IFERROR(_xludf.XLOOKUP(I336,'Rea - SK'!A:A,'Rea - SK'!E:E),0)+IFERROR(_xludf.XLOOKUP(J336,'Rea - SK'!A:A,'Rea - SK'!E:E),0)+IFERROR(_xludf.XLOOKUP(K336,'Rea - SK'!A:A,'Rea - SK'!E:E),0)</f>
        <v>0</v>
      </c>
      <c r="F336" s="11">
        <f t="array" aca="1" ref="F336" ca="1">MAX(IFERROR(_xludf.XLOOKUP(G336,'Rea - SK'!A:A,'Rea - SK'!F:F),DATE(1966,6,6)),IFERROR(_xludf.XLOOKUP(H336,'Rea - SK'!A:A,'Rea - SK'!F:F),DATE(1966,6,6)),IFERROR(_xludf.XLOOKUP(I336,'Rea - SK'!A:A,'Rea - SK'!F:F),DATE(1966,6,6)),IFERROR(_xludf.XLOOKUP(J336,'Rea - SK'!A:A,'Rea - SK'!F:F),DATE(1966,6,6)),IFERROR(_xludf.XLOOKUP(K336,'Rea - SK'!A:A,'Rea - SK'!F:F),DATE(1966,6,6)))</f>
        <v>24264</v>
      </c>
      <c r="G336" s="2" t="s">
        <v>1637</v>
      </c>
      <c r="H336" s="2" t="s">
        <v>1259</v>
      </c>
      <c r="I336" s="19"/>
      <c r="J336" s="19"/>
      <c r="K336" s="19"/>
      <c r="L336" s="18"/>
    </row>
    <row r="337" spans="1:12" ht="18.75" customHeight="1" x14ac:dyDescent="0.2">
      <c r="A337" s="2" t="s">
        <v>5395</v>
      </c>
      <c r="B337" s="2">
        <v>43293</v>
      </c>
      <c r="C337" s="2">
        <v>5902557387496</v>
      </c>
      <c r="D337" s="4" t="s">
        <v>5396</v>
      </c>
      <c r="E337" s="3">
        <f t="array" aca="1" ref="E337" ca="1">IFERROR(_xludf.XLOOKUP(G337,'Rea - SK'!A:A,'Rea - SK'!E:E),0)+IFERROR(_xludf.XLOOKUP(H337,'Rea - SK'!A:A,'Rea - SK'!E:E),0)+IFERROR(_xludf.XLOOKUP(I337,'Rea - SK'!A:A,'Rea - SK'!E:E),0)+IFERROR(_xludf.XLOOKUP(J337,'Rea - SK'!A:A,'Rea - SK'!E:E),0)+IFERROR(_xludf.XLOOKUP(K337,'Rea - SK'!A:A,'Rea - SK'!E:E),0)</f>
        <v>0</v>
      </c>
      <c r="F337" s="11">
        <f t="array" aca="1" ref="F337" ca="1">MAX(IFERROR(_xludf.XLOOKUP(G337,'Rea - SK'!A:A,'Rea - SK'!F:F),DATE(1966,6,6)),IFERROR(_xludf.XLOOKUP(H337,'Rea - SK'!A:A,'Rea - SK'!F:F),DATE(1966,6,6)),IFERROR(_xludf.XLOOKUP(I337,'Rea - SK'!A:A,'Rea - SK'!F:F),DATE(1966,6,6)),IFERROR(_xludf.XLOOKUP(J337,'Rea - SK'!A:A,'Rea - SK'!F:F),DATE(1966,6,6)),IFERROR(_xludf.XLOOKUP(K337,'Rea - SK'!A:A,'Rea - SK'!F:F),DATE(1966,6,6)))</f>
        <v>24264</v>
      </c>
      <c r="G337" s="2" t="s">
        <v>1637</v>
      </c>
      <c r="H337" s="2" t="s">
        <v>1263</v>
      </c>
      <c r="I337" s="19"/>
      <c r="J337" s="19"/>
      <c r="K337" s="19"/>
      <c r="L337" s="18"/>
    </row>
    <row r="338" spans="1:12" ht="18.75" customHeight="1" x14ac:dyDescent="0.2">
      <c r="A338" s="2" t="s">
        <v>5397</v>
      </c>
      <c r="B338" s="2">
        <v>43249</v>
      </c>
      <c r="C338" s="2">
        <v>5902557393558</v>
      </c>
      <c r="D338" s="4" t="s">
        <v>5398</v>
      </c>
      <c r="E338" s="3">
        <f t="array" aca="1" ref="E338" ca="1">IFERROR(_xludf.XLOOKUP(G338,'Rea - SK'!A:A,'Rea - SK'!E:E),0)+IFERROR(_xludf.XLOOKUP(H338,'Rea - SK'!A:A,'Rea - SK'!E:E),0)+IFERROR(_xludf.XLOOKUP(I338,'Rea - SK'!A:A,'Rea - SK'!E:E),0)+IFERROR(_xludf.XLOOKUP(J338,'Rea - SK'!A:A,'Rea - SK'!E:E),0)+IFERROR(_xludf.XLOOKUP(K338,'Rea - SK'!A:A,'Rea - SK'!E:E),0)</f>
        <v>0</v>
      </c>
      <c r="F338" s="11">
        <f t="array" aca="1" ref="F338" ca="1">MAX(IFERROR(_xludf.XLOOKUP(G338,'Rea - SK'!A:A,'Rea - SK'!F:F),DATE(1966,6,6)),IFERROR(_xludf.XLOOKUP(H338,'Rea - SK'!A:A,'Rea - SK'!F:F),DATE(1966,6,6)),IFERROR(_xludf.XLOOKUP(I338,'Rea - SK'!A:A,'Rea - SK'!F:F),DATE(1966,6,6)),IFERROR(_xludf.XLOOKUP(J338,'Rea - SK'!A:A,'Rea - SK'!F:F),DATE(1966,6,6)),IFERROR(_xludf.XLOOKUP(K338,'Rea - SK'!A:A,'Rea - SK'!F:F),DATE(1966,6,6)))</f>
        <v>24264</v>
      </c>
      <c r="G338" s="2" t="s">
        <v>1651</v>
      </c>
      <c r="H338" s="2" t="s">
        <v>1355</v>
      </c>
      <c r="I338" s="19"/>
      <c r="J338" s="19"/>
      <c r="K338" s="19"/>
      <c r="L338" s="18"/>
    </row>
    <row r="339" spans="1:12" ht="18.75" customHeight="1" x14ac:dyDescent="0.2">
      <c r="A339" s="2" t="s">
        <v>5399</v>
      </c>
      <c r="B339" s="2">
        <v>43248</v>
      </c>
      <c r="C339" s="2">
        <v>5902557396405</v>
      </c>
      <c r="D339" s="4" t="s">
        <v>5400</v>
      </c>
      <c r="E339" s="3">
        <f t="array" aca="1" ref="E339" ca="1">IFERROR(_xludf.XLOOKUP(G339,'Rea - SK'!A:A,'Rea - SK'!E:E),0)+IFERROR(_xludf.XLOOKUP(H339,'Rea - SK'!A:A,'Rea - SK'!E:E),0)+IFERROR(_xludf.XLOOKUP(I339,'Rea - SK'!A:A,'Rea - SK'!E:E),0)+IFERROR(_xludf.XLOOKUP(J339,'Rea - SK'!A:A,'Rea - SK'!E:E),0)+IFERROR(_xludf.XLOOKUP(K339,'Rea - SK'!A:A,'Rea - SK'!E:E),0)</f>
        <v>0</v>
      </c>
      <c r="F339" s="11">
        <f t="array" aca="1" ref="F339" ca="1">MAX(IFERROR(_xludf.XLOOKUP(G339,'Rea - SK'!A:A,'Rea - SK'!F:F),DATE(1966,6,6)),IFERROR(_xludf.XLOOKUP(H339,'Rea - SK'!A:A,'Rea - SK'!F:F),DATE(1966,6,6)),IFERROR(_xludf.XLOOKUP(I339,'Rea - SK'!A:A,'Rea - SK'!F:F),DATE(1966,6,6)),IFERROR(_xludf.XLOOKUP(J339,'Rea - SK'!A:A,'Rea - SK'!F:F),DATE(1966,6,6)),IFERROR(_xludf.XLOOKUP(K339,'Rea - SK'!A:A,'Rea - SK'!F:F),DATE(1966,6,6)))</f>
        <v>24264</v>
      </c>
      <c r="G339" s="2" t="s">
        <v>1651</v>
      </c>
      <c r="H339" s="2" t="s">
        <v>1361</v>
      </c>
      <c r="I339" s="19"/>
      <c r="J339" s="19"/>
      <c r="K339" s="19"/>
      <c r="L339" s="18"/>
    </row>
    <row r="340" spans="1:12" ht="18.75" customHeight="1" x14ac:dyDescent="0.2">
      <c r="A340" s="2" t="s">
        <v>5401</v>
      </c>
      <c r="B340" s="2">
        <v>43191</v>
      </c>
      <c r="C340" s="2">
        <v>5902557393596</v>
      </c>
      <c r="D340" s="4" t="s">
        <v>5402</v>
      </c>
      <c r="E340" s="3">
        <f t="array" aca="1" ref="E340" ca="1">IFERROR(_xludf.XLOOKUP(G340,'Rea - SK'!A:A,'Rea - SK'!E:E),0)+IFERROR(_xludf.XLOOKUP(H340,'Rea - SK'!A:A,'Rea - SK'!E:E),0)+IFERROR(_xludf.XLOOKUP(I340,'Rea - SK'!A:A,'Rea - SK'!E:E),0)+IFERROR(_xludf.XLOOKUP(J340,'Rea - SK'!A:A,'Rea - SK'!E:E),0)+IFERROR(_xludf.XLOOKUP(K340,'Rea - SK'!A:A,'Rea - SK'!E:E),0)</f>
        <v>0</v>
      </c>
      <c r="F340" s="11">
        <f t="array" aca="1" ref="F340" ca="1">MAX(IFERROR(_xludf.XLOOKUP(G340,'Rea - SK'!A:A,'Rea - SK'!F:F),DATE(1966,6,6)),IFERROR(_xludf.XLOOKUP(H340,'Rea - SK'!A:A,'Rea - SK'!F:F),DATE(1966,6,6)),IFERROR(_xludf.XLOOKUP(I340,'Rea - SK'!A:A,'Rea - SK'!F:F),DATE(1966,6,6)),IFERROR(_xludf.XLOOKUP(J340,'Rea - SK'!A:A,'Rea - SK'!F:F),DATE(1966,6,6)),IFERROR(_xludf.XLOOKUP(K340,'Rea - SK'!A:A,'Rea - SK'!F:F),DATE(1966,6,6)))</f>
        <v>24264</v>
      </c>
      <c r="G340" s="2" t="s">
        <v>1655</v>
      </c>
      <c r="H340" s="2" t="s">
        <v>1359</v>
      </c>
      <c r="I340" s="19"/>
      <c r="J340" s="19"/>
      <c r="K340" s="19"/>
      <c r="L340" s="18"/>
    </row>
    <row r="341" spans="1:12" ht="18.75" customHeight="1" x14ac:dyDescent="0.2">
      <c r="A341" s="2" t="s">
        <v>5403</v>
      </c>
      <c r="B341" s="2">
        <v>43190</v>
      </c>
      <c r="C341" s="2">
        <v>5902557396382</v>
      </c>
      <c r="D341" s="4" t="s">
        <v>5404</v>
      </c>
      <c r="E341" s="3">
        <f t="array" aca="1" ref="E341" ca="1">IFERROR(_xludf.XLOOKUP(G341,'Rea - SK'!A:A,'Rea - SK'!E:E),0)+IFERROR(_xludf.XLOOKUP(H341,'Rea - SK'!A:A,'Rea - SK'!E:E),0)+IFERROR(_xludf.XLOOKUP(I341,'Rea - SK'!A:A,'Rea - SK'!E:E),0)+IFERROR(_xludf.XLOOKUP(J341,'Rea - SK'!A:A,'Rea - SK'!E:E),0)+IFERROR(_xludf.XLOOKUP(K341,'Rea - SK'!A:A,'Rea - SK'!E:E),0)</f>
        <v>0</v>
      </c>
      <c r="F341" s="11">
        <f t="array" aca="1" ref="F341" ca="1">MAX(IFERROR(_xludf.XLOOKUP(G341,'Rea - SK'!A:A,'Rea - SK'!F:F),DATE(1966,6,6)),IFERROR(_xludf.XLOOKUP(H341,'Rea - SK'!A:A,'Rea - SK'!F:F),DATE(1966,6,6)),IFERROR(_xludf.XLOOKUP(I341,'Rea - SK'!A:A,'Rea - SK'!F:F),DATE(1966,6,6)),IFERROR(_xludf.XLOOKUP(J341,'Rea - SK'!A:A,'Rea - SK'!F:F),DATE(1966,6,6)),IFERROR(_xludf.XLOOKUP(K341,'Rea - SK'!A:A,'Rea - SK'!F:F),DATE(1966,6,6)))</f>
        <v>24264</v>
      </c>
      <c r="G341" s="2" t="s">
        <v>1655</v>
      </c>
      <c r="H341" s="2" t="s">
        <v>1365</v>
      </c>
      <c r="I341" s="19"/>
      <c r="J341" s="19"/>
      <c r="K341" s="19"/>
      <c r="L341" s="18"/>
    </row>
    <row r="342" spans="1:12" ht="18.75" customHeight="1" x14ac:dyDescent="0.2">
      <c r="A342" s="2" t="s">
        <v>5405</v>
      </c>
      <c r="B342" s="2">
        <v>43086</v>
      </c>
      <c r="C342" s="2">
        <v>5906366003110</v>
      </c>
      <c r="D342" s="4" t="s">
        <v>5406</v>
      </c>
      <c r="E342" s="3">
        <f t="array" aca="1" ref="E342" ca="1">IFERROR(_xludf.XLOOKUP(G342,'Rea - SK'!A:A,'Rea - SK'!E:E),0)+IFERROR(_xludf.XLOOKUP(H342,'Rea - SK'!A:A,'Rea - SK'!E:E),0)+IFERROR(_xludf.XLOOKUP(I342,'Rea - SK'!A:A,'Rea - SK'!E:E),0)+IFERROR(_xludf.XLOOKUP(J342,'Rea - SK'!A:A,'Rea - SK'!E:E),0)+IFERROR(_xludf.XLOOKUP(K342,'Rea - SK'!A:A,'Rea - SK'!E:E),0)</f>
        <v>0</v>
      </c>
      <c r="F342" s="11">
        <f t="array" aca="1" ref="F342" ca="1">MAX(IFERROR(_xludf.XLOOKUP(G342,'Rea - SK'!A:A,'Rea - SK'!F:F),DATE(1966,6,6)),IFERROR(_xludf.XLOOKUP(H342,'Rea - SK'!A:A,'Rea - SK'!F:F),DATE(1966,6,6)),IFERROR(_xludf.XLOOKUP(I342,'Rea - SK'!A:A,'Rea - SK'!F:F),DATE(1966,6,6)),IFERROR(_xludf.XLOOKUP(J342,'Rea - SK'!A:A,'Rea - SK'!F:F),DATE(1966,6,6)),IFERROR(_xludf.XLOOKUP(K342,'Rea - SK'!A:A,'Rea - SK'!F:F),DATE(1966,6,6)))</f>
        <v>24264</v>
      </c>
      <c r="G342" s="2" t="s">
        <v>1753</v>
      </c>
      <c r="H342" s="2" t="s">
        <v>1355</v>
      </c>
      <c r="I342" s="19"/>
      <c r="J342" s="19"/>
      <c r="K342" s="19"/>
      <c r="L342" s="18"/>
    </row>
    <row r="343" spans="1:12" ht="18.75" customHeight="1" x14ac:dyDescent="0.2">
      <c r="A343" s="2" t="s">
        <v>5407</v>
      </c>
      <c r="B343" s="2">
        <v>43085</v>
      </c>
      <c r="C343" s="2">
        <v>5906366003134</v>
      </c>
      <c r="D343" s="4" t="s">
        <v>5408</v>
      </c>
      <c r="E343" s="3">
        <f t="array" aca="1" ref="E343" ca="1">IFERROR(_xludf.XLOOKUP(G343,'Rea - SK'!A:A,'Rea - SK'!E:E),0)+IFERROR(_xludf.XLOOKUP(H343,'Rea - SK'!A:A,'Rea - SK'!E:E),0)+IFERROR(_xludf.XLOOKUP(I343,'Rea - SK'!A:A,'Rea - SK'!E:E),0)+IFERROR(_xludf.XLOOKUP(J343,'Rea - SK'!A:A,'Rea - SK'!E:E),0)+IFERROR(_xludf.XLOOKUP(K343,'Rea - SK'!A:A,'Rea - SK'!E:E),0)</f>
        <v>0</v>
      </c>
      <c r="F343" s="11">
        <f t="array" aca="1" ref="F343" ca="1">MAX(IFERROR(_xludf.XLOOKUP(G343,'Rea - SK'!A:A,'Rea - SK'!F:F),DATE(1966,6,6)),IFERROR(_xludf.XLOOKUP(H343,'Rea - SK'!A:A,'Rea - SK'!F:F),DATE(1966,6,6)),IFERROR(_xludf.XLOOKUP(I343,'Rea - SK'!A:A,'Rea - SK'!F:F),DATE(1966,6,6)),IFERROR(_xludf.XLOOKUP(J343,'Rea - SK'!A:A,'Rea - SK'!F:F),DATE(1966,6,6)),IFERROR(_xludf.XLOOKUP(K343,'Rea - SK'!A:A,'Rea - SK'!F:F),DATE(1966,6,6)))</f>
        <v>24264</v>
      </c>
      <c r="G343" s="2" t="s">
        <v>1757</v>
      </c>
      <c r="H343" s="2" t="s">
        <v>1359</v>
      </c>
      <c r="I343" s="19"/>
      <c r="J343" s="19"/>
      <c r="K343" s="19"/>
      <c r="L343" s="18"/>
    </row>
    <row r="344" spans="1:12" ht="18.75" customHeight="1" x14ac:dyDescent="0.2">
      <c r="A344" s="2" t="s">
        <v>5409</v>
      </c>
      <c r="B344" s="2">
        <v>43084</v>
      </c>
      <c r="C344" s="2">
        <v>5902557368655</v>
      </c>
      <c r="D344" s="4" t="s">
        <v>5410</v>
      </c>
      <c r="E344" s="3">
        <f t="array" aca="1" ref="E344" ca="1">IFERROR(_xludf.XLOOKUP(G344,'Rea - SK'!A:A,'Rea - SK'!E:E),0)+IFERROR(_xludf.XLOOKUP(H344,'Rea - SK'!A:A,'Rea - SK'!E:E),0)+IFERROR(_xludf.XLOOKUP(I344,'Rea - SK'!A:A,'Rea - SK'!E:E),0)+IFERROR(_xludf.XLOOKUP(J344,'Rea - SK'!A:A,'Rea - SK'!E:E),0)+IFERROR(_xludf.XLOOKUP(K344,'Rea - SK'!A:A,'Rea - SK'!E:E),0)</f>
        <v>0</v>
      </c>
      <c r="F344" s="11">
        <f t="array" aca="1" ref="F344" ca="1">MAX(IFERROR(_xludf.XLOOKUP(G344,'Rea - SK'!A:A,'Rea - SK'!F:F),DATE(1966,6,6)),IFERROR(_xludf.XLOOKUP(H344,'Rea - SK'!A:A,'Rea - SK'!F:F),DATE(1966,6,6)),IFERROR(_xludf.XLOOKUP(I344,'Rea - SK'!A:A,'Rea - SK'!F:F),DATE(1966,6,6)),IFERROR(_xludf.XLOOKUP(J344,'Rea - SK'!A:A,'Rea - SK'!F:F),DATE(1966,6,6)),IFERROR(_xludf.XLOOKUP(K344,'Rea - SK'!A:A,'Rea - SK'!F:F),DATE(1966,6,6)))</f>
        <v>24264</v>
      </c>
      <c r="G344" s="2" t="s">
        <v>1747</v>
      </c>
      <c r="H344" s="2" t="s">
        <v>1355</v>
      </c>
      <c r="I344" s="19"/>
      <c r="J344" s="19"/>
      <c r="K344" s="19"/>
      <c r="L344" s="18"/>
    </row>
    <row r="345" spans="1:12" ht="18.75" customHeight="1" x14ac:dyDescent="0.2">
      <c r="A345" s="2" t="s">
        <v>5411</v>
      </c>
      <c r="B345" s="2">
        <v>43083</v>
      </c>
      <c r="C345" s="2">
        <v>5902557396429</v>
      </c>
      <c r="D345" s="4" t="s">
        <v>5412</v>
      </c>
      <c r="E345" s="3">
        <f t="array" aca="1" ref="E345" ca="1">IFERROR(_xludf.XLOOKUP(G345,'Rea - SK'!A:A,'Rea - SK'!E:E),0)+IFERROR(_xludf.XLOOKUP(H345,'Rea - SK'!A:A,'Rea - SK'!E:E),0)+IFERROR(_xludf.XLOOKUP(I345,'Rea - SK'!A:A,'Rea - SK'!E:E),0)+IFERROR(_xludf.XLOOKUP(J345,'Rea - SK'!A:A,'Rea - SK'!E:E),0)+IFERROR(_xludf.XLOOKUP(K345,'Rea - SK'!A:A,'Rea - SK'!E:E),0)</f>
        <v>0</v>
      </c>
      <c r="F345" s="11">
        <f t="array" aca="1" ref="F345" ca="1">MAX(IFERROR(_xludf.XLOOKUP(G345,'Rea - SK'!A:A,'Rea - SK'!F:F),DATE(1966,6,6)),IFERROR(_xludf.XLOOKUP(H345,'Rea - SK'!A:A,'Rea - SK'!F:F),DATE(1966,6,6)),IFERROR(_xludf.XLOOKUP(I345,'Rea - SK'!A:A,'Rea - SK'!F:F),DATE(1966,6,6)),IFERROR(_xludf.XLOOKUP(J345,'Rea - SK'!A:A,'Rea - SK'!F:F),DATE(1966,6,6)),IFERROR(_xludf.XLOOKUP(K345,'Rea - SK'!A:A,'Rea - SK'!F:F),DATE(1966,6,6)))</f>
        <v>24264</v>
      </c>
      <c r="G345" s="2" t="s">
        <v>1751</v>
      </c>
      <c r="H345" s="2" t="s">
        <v>1359</v>
      </c>
      <c r="I345" s="19"/>
      <c r="J345" s="19"/>
      <c r="K345" s="19"/>
      <c r="L345" s="18"/>
    </row>
    <row r="346" spans="1:12" ht="18.75" customHeight="1" x14ac:dyDescent="0.2">
      <c r="A346" s="2" t="s">
        <v>5413</v>
      </c>
      <c r="B346" s="2">
        <v>43082</v>
      </c>
      <c r="C346" s="2">
        <v>5902557396412</v>
      </c>
      <c r="D346" s="4" t="s">
        <v>5414</v>
      </c>
      <c r="E346" s="3">
        <f t="array" aca="1" ref="E346" ca="1">IFERROR(_xludf.XLOOKUP(G346,'Rea - SK'!A:A,'Rea - SK'!E:E),0)+IFERROR(_xludf.XLOOKUP(H346,'Rea - SK'!A:A,'Rea - SK'!E:E),0)+IFERROR(_xludf.XLOOKUP(I346,'Rea - SK'!A:A,'Rea - SK'!E:E),0)+IFERROR(_xludf.XLOOKUP(J346,'Rea - SK'!A:A,'Rea - SK'!E:E),0)+IFERROR(_xludf.XLOOKUP(K346,'Rea - SK'!A:A,'Rea - SK'!E:E),0)</f>
        <v>0</v>
      </c>
      <c r="F346" s="11">
        <f t="array" aca="1" ref="F346" ca="1">MAX(IFERROR(_xludf.XLOOKUP(G346,'Rea - SK'!A:A,'Rea - SK'!F:F),DATE(1966,6,6)),IFERROR(_xludf.XLOOKUP(H346,'Rea - SK'!A:A,'Rea - SK'!F:F),DATE(1966,6,6)),IFERROR(_xludf.XLOOKUP(I346,'Rea - SK'!A:A,'Rea - SK'!F:F),DATE(1966,6,6)),IFERROR(_xludf.XLOOKUP(J346,'Rea - SK'!A:A,'Rea - SK'!F:F),DATE(1966,6,6)),IFERROR(_xludf.XLOOKUP(K346,'Rea - SK'!A:A,'Rea - SK'!F:F),DATE(1966,6,6)))</f>
        <v>24264</v>
      </c>
      <c r="G346" s="2" t="s">
        <v>1749</v>
      </c>
      <c r="H346" s="2" t="s">
        <v>1357</v>
      </c>
      <c r="I346" s="19"/>
      <c r="J346" s="19"/>
      <c r="K346" s="19"/>
      <c r="L346" s="18"/>
    </row>
    <row r="347" spans="1:12" ht="18.75" customHeight="1" x14ac:dyDescent="0.2">
      <c r="A347" s="2" t="s">
        <v>5415</v>
      </c>
      <c r="B347" s="2">
        <v>43081</v>
      </c>
      <c r="C347" s="2">
        <v>5906366003127</v>
      </c>
      <c r="D347" s="4" t="s">
        <v>5416</v>
      </c>
      <c r="E347" s="3">
        <f t="array" aca="1" ref="E347" ca="1">IFERROR(_xludf.XLOOKUP(G347,'Rea - SK'!A:A,'Rea - SK'!E:E),0)+IFERROR(_xludf.XLOOKUP(H347,'Rea - SK'!A:A,'Rea - SK'!E:E),0)+IFERROR(_xludf.XLOOKUP(I347,'Rea - SK'!A:A,'Rea - SK'!E:E),0)+IFERROR(_xludf.XLOOKUP(J347,'Rea - SK'!A:A,'Rea - SK'!E:E),0)+IFERROR(_xludf.XLOOKUP(K347,'Rea - SK'!A:A,'Rea - SK'!E:E),0)</f>
        <v>0</v>
      </c>
      <c r="F347" s="11">
        <f t="array" aca="1" ref="F347" ca="1">MAX(IFERROR(_xludf.XLOOKUP(G347,'Rea - SK'!A:A,'Rea - SK'!F:F),DATE(1966,6,6)),IFERROR(_xludf.XLOOKUP(H347,'Rea - SK'!A:A,'Rea - SK'!F:F),DATE(1966,6,6)),IFERROR(_xludf.XLOOKUP(I347,'Rea - SK'!A:A,'Rea - SK'!F:F),DATE(1966,6,6)),IFERROR(_xludf.XLOOKUP(J347,'Rea - SK'!A:A,'Rea - SK'!F:F),DATE(1966,6,6)),IFERROR(_xludf.XLOOKUP(K347,'Rea - SK'!A:A,'Rea - SK'!F:F),DATE(1966,6,6)))</f>
        <v>24264</v>
      </c>
      <c r="G347" s="2" t="s">
        <v>1755</v>
      </c>
      <c r="H347" s="2" t="s">
        <v>1357</v>
      </c>
      <c r="I347" s="19"/>
      <c r="J347" s="19"/>
      <c r="K347" s="19"/>
      <c r="L347" s="18"/>
    </row>
    <row r="348" spans="1:12" ht="18.75" customHeight="1" x14ac:dyDescent="0.2">
      <c r="A348" s="2" t="s">
        <v>5417</v>
      </c>
      <c r="B348" s="2">
        <v>43042</v>
      </c>
      <c r="C348" s="2">
        <v>5906366004735</v>
      </c>
      <c r="D348" s="4" t="s">
        <v>5418</v>
      </c>
      <c r="E348" s="3">
        <f t="array" aca="1" ref="E348" ca="1">IFERROR(_xludf.XLOOKUP(G348,'Rea - SK'!A:A,'Rea - SK'!E:E),0)+IFERROR(_xludf.XLOOKUP(H348,'Rea - SK'!A:A,'Rea - SK'!E:E),0)+IFERROR(_xludf.XLOOKUP(I348,'Rea - SK'!A:A,'Rea - SK'!E:E),0)+IFERROR(_xludf.XLOOKUP(J348,'Rea - SK'!A:A,'Rea - SK'!E:E),0)+IFERROR(_xludf.XLOOKUP(K348,'Rea - SK'!A:A,'Rea - SK'!E:E),0)</f>
        <v>0</v>
      </c>
      <c r="F348" s="11">
        <f t="array" aca="1" ref="F348" ca="1">MAX(IFERROR(_xludf.XLOOKUP(G348,'Rea - SK'!A:A,'Rea - SK'!F:F),DATE(1966,6,6)),IFERROR(_xludf.XLOOKUP(H348,'Rea - SK'!A:A,'Rea - SK'!F:F),DATE(1966,6,6)),IFERROR(_xludf.XLOOKUP(I348,'Rea - SK'!A:A,'Rea - SK'!F:F),DATE(1966,6,6)),IFERROR(_xludf.XLOOKUP(J348,'Rea - SK'!A:A,'Rea - SK'!F:F),DATE(1966,6,6)),IFERROR(_xludf.XLOOKUP(K348,'Rea - SK'!A:A,'Rea - SK'!F:F),DATE(1966,6,6)))</f>
        <v>24264</v>
      </c>
      <c r="G348" s="2" t="s">
        <v>3119</v>
      </c>
      <c r="H348" s="2" t="s">
        <v>2361</v>
      </c>
      <c r="I348" s="19"/>
      <c r="J348" s="19"/>
      <c r="K348" s="19"/>
      <c r="L348" s="18"/>
    </row>
    <row r="349" spans="1:12" ht="18.75" customHeight="1" x14ac:dyDescent="0.2">
      <c r="A349" s="2" t="s">
        <v>5419</v>
      </c>
      <c r="B349" s="2">
        <v>43041</v>
      </c>
      <c r="C349" s="2">
        <v>5906366004674</v>
      </c>
      <c r="D349" s="4" t="s">
        <v>5420</v>
      </c>
      <c r="E349" s="3">
        <f t="array" aca="1" ref="E349" ca="1">IFERROR(_xludf.XLOOKUP(G349,'Rea - SK'!A:A,'Rea - SK'!E:E),0)+IFERROR(_xludf.XLOOKUP(H349,'Rea - SK'!A:A,'Rea - SK'!E:E),0)+IFERROR(_xludf.XLOOKUP(I349,'Rea - SK'!A:A,'Rea - SK'!E:E),0)+IFERROR(_xludf.XLOOKUP(J349,'Rea - SK'!A:A,'Rea - SK'!E:E),0)+IFERROR(_xludf.XLOOKUP(K349,'Rea - SK'!A:A,'Rea - SK'!E:E),0)</f>
        <v>0</v>
      </c>
      <c r="F349" s="11">
        <f t="array" aca="1" ref="F349" ca="1">MAX(IFERROR(_xludf.XLOOKUP(G349,'Rea - SK'!A:A,'Rea - SK'!F:F),DATE(1966,6,6)),IFERROR(_xludf.XLOOKUP(H349,'Rea - SK'!A:A,'Rea - SK'!F:F),DATE(1966,6,6)),IFERROR(_xludf.XLOOKUP(I349,'Rea - SK'!A:A,'Rea - SK'!F:F),DATE(1966,6,6)),IFERROR(_xludf.XLOOKUP(J349,'Rea - SK'!A:A,'Rea - SK'!F:F),DATE(1966,6,6)),IFERROR(_xludf.XLOOKUP(K349,'Rea - SK'!A:A,'Rea - SK'!F:F),DATE(1966,6,6)))</f>
        <v>24264</v>
      </c>
      <c r="G349" s="2" t="s">
        <v>3127</v>
      </c>
      <c r="H349" s="2" t="s">
        <v>2365</v>
      </c>
      <c r="I349" s="19"/>
      <c r="J349" s="19"/>
      <c r="K349" s="19"/>
      <c r="L349" s="18"/>
    </row>
    <row r="350" spans="1:12" ht="18.75" customHeight="1" x14ac:dyDescent="0.2">
      <c r="A350" s="2" t="s">
        <v>5421</v>
      </c>
      <c r="B350" s="2">
        <v>43039</v>
      </c>
      <c r="C350" s="2">
        <v>5906366004728</v>
      </c>
      <c r="D350" s="4" t="s">
        <v>5422</v>
      </c>
      <c r="E350" s="3">
        <f t="array" aca="1" ref="E350" ca="1">IFERROR(_xludf.XLOOKUP(G350,'Rea - SK'!A:A,'Rea - SK'!E:E),0)+IFERROR(_xludf.XLOOKUP(H350,'Rea - SK'!A:A,'Rea - SK'!E:E),0)+IFERROR(_xludf.XLOOKUP(I350,'Rea - SK'!A:A,'Rea - SK'!E:E),0)+IFERROR(_xludf.XLOOKUP(J350,'Rea - SK'!A:A,'Rea - SK'!E:E),0)+IFERROR(_xludf.XLOOKUP(K350,'Rea - SK'!A:A,'Rea - SK'!E:E),0)</f>
        <v>0</v>
      </c>
      <c r="F350" s="11">
        <f t="array" aca="1" ref="F350" ca="1">MAX(IFERROR(_xludf.XLOOKUP(G350,'Rea - SK'!A:A,'Rea - SK'!F:F),DATE(1966,6,6)),IFERROR(_xludf.XLOOKUP(H350,'Rea - SK'!A:A,'Rea - SK'!F:F),DATE(1966,6,6)),IFERROR(_xludf.XLOOKUP(I350,'Rea - SK'!A:A,'Rea - SK'!F:F),DATE(1966,6,6)),IFERROR(_xludf.XLOOKUP(J350,'Rea - SK'!A:A,'Rea - SK'!F:F),DATE(1966,6,6)),IFERROR(_xludf.XLOOKUP(K350,'Rea - SK'!A:A,'Rea - SK'!F:F),DATE(1966,6,6)))</f>
        <v>24264</v>
      </c>
      <c r="G350" s="2" t="s">
        <v>3121</v>
      </c>
      <c r="H350" s="2" t="s">
        <v>2361</v>
      </c>
      <c r="I350" s="19"/>
      <c r="J350" s="19"/>
      <c r="K350" s="19"/>
      <c r="L350" s="18"/>
    </row>
    <row r="351" spans="1:12" ht="18.75" customHeight="1" x14ac:dyDescent="0.2">
      <c r="A351" s="2" t="s">
        <v>5423</v>
      </c>
      <c r="B351" s="2">
        <v>43038</v>
      </c>
      <c r="C351" s="2">
        <v>5906366004711</v>
      </c>
      <c r="D351" s="4" t="s">
        <v>5424</v>
      </c>
      <c r="E351" s="3">
        <f t="array" aca="1" ref="E351" ca="1">IFERROR(_xludf.XLOOKUP(G351,'Rea - SK'!A:A,'Rea - SK'!E:E),0)+IFERROR(_xludf.XLOOKUP(H351,'Rea - SK'!A:A,'Rea - SK'!E:E),0)+IFERROR(_xludf.XLOOKUP(I351,'Rea - SK'!A:A,'Rea - SK'!E:E),0)+IFERROR(_xludf.XLOOKUP(J351,'Rea - SK'!A:A,'Rea - SK'!E:E),0)+IFERROR(_xludf.XLOOKUP(K351,'Rea - SK'!A:A,'Rea - SK'!E:E),0)</f>
        <v>0</v>
      </c>
      <c r="F351" s="11">
        <f t="array" aca="1" ref="F351" ca="1">MAX(IFERROR(_xludf.XLOOKUP(G351,'Rea - SK'!A:A,'Rea - SK'!F:F),DATE(1966,6,6)),IFERROR(_xludf.XLOOKUP(H351,'Rea - SK'!A:A,'Rea - SK'!F:F),DATE(1966,6,6)),IFERROR(_xludf.XLOOKUP(I351,'Rea - SK'!A:A,'Rea - SK'!F:F),DATE(1966,6,6)),IFERROR(_xludf.XLOOKUP(J351,'Rea - SK'!A:A,'Rea - SK'!F:F),DATE(1966,6,6)),IFERROR(_xludf.XLOOKUP(K351,'Rea - SK'!A:A,'Rea - SK'!F:F),DATE(1966,6,6)))</f>
        <v>24264</v>
      </c>
      <c r="G351" s="2" t="s">
        <v>3129</v>
      </c>
      <c r="H351" s="2" t="s">
        <v>2365</v>
      </c>
      <c r="I351" s="19"/>
      <c r="J351" s="19"/>
      <c r="K351" s="19"/>
      <c r="L351" s="18"/>
    </row>
    <row r="352" spans="1:12" ht="18.75" customHeight="1" x14ac:dyDescent="0.2">
      <c r="A352" s="2" t="s">
        <v>5425</v>
      </c>
      <c r="B352" s="2">
        <v>43000</v>
      </c>
      <c r="C352" s="2">
        <v>5906366004308</v>
      </c>
      <c r="D352" s="4" t="s">
        <v>5426</v>
      </c>
      <c r="E352" s="3">
        <f t="array" aca="1" ref="E352" ca="1">IFERROR(_xludf.XLOOKUP(G352,'Rea - SK'!A:A,'Rea - SK'!E:E),0)+IFERROR(_xludf.XLOOKUP(H352,'Rea - SK'!A:A,'Rea - SK'!E:E),0)+IFERROR(_xludf.XLOOKUP(I352,'Rea - SK'!A:A,'Rea - SK'!E:E),0)+IFERROR(_xludf.XLOOKUP(J352,'Rea - SK'!A:A,'Rea - SK'!E:E),0)+IFERROR(_xludf.XLOOKUP(K352,'Rea - SK'!A:A,'Rea - SK'!E:E),0)</f>
        <v>0</v>
      </c>
      <c r="F352" s="11">
        <f t="array" aca="1" ref="F352" ca="1">MAX(IFERROR(_xludf.XLOOKUP(G352,'Rea - SK'!A:A,'Rea - SK'!F:F),DATE(1966,6,6)),IFERROR(_xludf.XLOOKUP(H352,'Rea - SK'!A:A,'Rea - SK'!F:F),DATE(1966,6,6)),IFERROR(_xludf.XLOOKUP(I352,'Rea - SK'!A:A,'Rea - SK'!F:F),DATE(1966,6,6)),IFERROR(_xludf.XLOOKUP(J352,'Rea - SK'!A:A,'Rea - SK'!F:F),DATE(1966,6,6)),IFERROR(_xludf.XLOOKUP(K352,'Rea - SK'!A:A,'Rea - SK'!F:F),DATE(1966,6,6)))</f>
        <v>24264</v>
      </c>
      <c r="G352" s="2" t="s">
        <v>2509</v>
      </c>
      <c r="H352" s="2" t="s">
        <v>3824</v>
      </c>
      <c r="I352" s="19"/>
      <c r="J352" s="19"/>
      <c r="K352" s="19"/>
      <c r="L352" s="18"/>
    </row>
    <row r="353" spans="1:12" ht="18.75" customHeight="1" x14ac:dyDescent="0.2">
      <c r="A353" s="2" t="s">
        <v>5427</v>
      </c>
      <c r="B353" s="2">
        <v>42999</v>
      </c>
      <c r="C353" s="2">
        <v>5906366004339</v>
      </c>
      <c r="D353" s="4" t="s">
        <v>5428</v>
      </c>
      <c r="E353" s="3">
        <f t="array" aca="1" ref="E353" ca="1">IFERROR(_xludf.XLOOKUP(G353,'Rea - SK'!A:A,'Rea - SK'!E:E),0)+IFERROR(_xludf.XLOOKUP(H353,'Rea - SK'!A:A,'Rea - SK'!E:E),0)+IFERROR(_xludf.XLOOKUP(I353,'Rea - SK'!A:A,'Rea - SK'!E:E),0)+IFERROR(_xludf.XLOOKUP(J353,'Rea - SK'!A:A,'Rea - SK'!E:E),0)+IFERROR(_xludf.XLOOKUP(K353,'Rea - SK'!A:A,'Rea - SK'!E:E),0)</f>
        <v>0</v>
      </c>
      <c r="F353" s="11">
        <f t="array" aca="1" ref="F353" ca="1">MAX(IFERROR(_xludf.XLOOKUP(G353,'Rea - SK'!A:A,'Rea - SK'!F:F),DATE(1966,6,6)),IFERROR(_xludf.XLOOKUP(H353,'Rea - SK'!A:A,'Rea - SK'!F:F),DATE(1966,6,6)),IFERROR(_xludf.XLOOKUP(I353,'Rea - SK'!A:A,'Rea - SK'!F:F),DATE(1966,6,6)),IFERROR(_xludf.XLOOKUP(J353,'Rea - SK'!A:A,'Rea - SK'!F:F),DATE(1966,6,6)),IFERROR(_xludf.XLOOKUP(K353,'Rea - SK'!A:A,'Rea - SK'!F:F),DATE(1966,6,6)))</f>
        <v>24264</v>
      </c>
      <c r="G353" s="2" t="s">
        <v>2507</v>
      </c>
      <c r="H353" s="2" t="s">
        <v>3824</v>
      </c>
      <c r="I353" s="19"/>
      <c r="J353" s="19"/>
      <c r="K353" s="19"/>
      <c r="L353" s="18"/>
    </row>
    <row r="354" spans="1:12" ht="18.75" customHeight="1" x14ac:dyDescent="0.2">
      <c r="A354" s="2" t="s">
        <v>5429</v>
      </c>
      <c r="B354" s="2">
        <v>42998</v>
      </c>
      <c r="C354" s="2">
        <v>5906366004346</v>
      </c>
      <c r="D354" s="4" t="s">
        <v>5430</v>
      </c>
      <c r="E354" s="3">
        <f t="array" aca="1" ref="E354" ca="1">IFERROR(_xludf.XLOOKUP(G354,'Rea - SK'!A:A,'Rea - SK'!E:E),0)+IFERROR(_xludf.XLOOKUP(H354,'Rea - SK'!A:A,'Rea - SK'!E:E),0)+IFERROR(_xludf.XLOOKUP(I354,'Rea - SK'!A:A,'Rea - SK'!E:E),0)+IFERROR(_xludf.XLOOKUP(J354,'Rea - SK'!A:A,'Rea - SK'!E:E),0)+IFERROR(_xludf.XLOOKUP(K354,'Rea - SK'!A:A,'Rea - SK'!E:E),0)</f>
        <v>0</v>
      </c>
      <c r="F354" s="11">
        <f t="array" aca="1" ref="F354" ca="1">MAX(IFERROR(_xludf.XLOOKUP(G354,'Rea - SK'!A:A,'Rea - SK'!F:F),DATE(1966,6,6)),IFERROR(_xludf.XLOOKUP(H354,'Rea - SK'!A:A,'Rea - SK'!F:F),DATE(1966,6,6)),IFERROR(_xludf.XLOOKUP(I354,'Rea - SK'!A:A,'Rea - SK'!F:F),DATE(1966,6,6)),IFERROR(_xludf.XLOOKUP(J354,'Rea - SK'!A:A,'Rea - SK'!F:F),DATE(1966,6,6)),IFERROR(_xludf.XLOOKUP(K354,'Rea - SK'!A:A,'Rea - SK'!F:F),DATE(1966,6,6)))</f>
        <v>24264</v>
      </c>
      <c r="G354" s="2" t="s">
        <v>2513</v>
      </c>
      <c r="H354" s="2" t="s">
        <v>3824</v>
      </c>
      <c r="I354" s="19"/>
      <c r="J354" s="19"/>
      <c r="K354" s="19"/>
      <c r="L354" s="18"/>
    </row>
    <row r="355" spans="1:12" ht="18.75" customHeight="1" x14ac:dyDescent="0.2">
      <c r="A355" s="2" t="s">
        <v>5431</v>
      </c>
      <c r="B355" s="2">
        <v>42997</v>
      </c>
      <c r="C355" s="2">
        <v>5906366000102</v>
      </c>
      <c r="D355" s="4" t="s">
        <v>5432</v>
      </c>
      <c r="E355" s="3">
        <f t="array" aca="1" ref="E355" ca="1">IFERROR(_xludf.XLOOKUP(G355,'Rea - SK'!A:A,'Rea - SK'!E:E),0)+IFERROR(_xludf.XLOOKUP(H355,'Rea - SK'!A:A,'Rea - SK'!E:E),0)+IFERROR(_xludf.XLOOKUP(I355,'Rea - SK'!A:A,'Rea - SK'!E:E),0)+IFERROR(_xludf.XLOOKUP(J355,'Rea - SK'!A:A,'Rea - SK'!E:E),0)+IFERROR(_xludf.XLOOKUP(K355,'Rea - SK'!A:A,'Rea - SK'!E:E),0)</f>
        <v>0</v>
      </c>
      <c r="F355" s="11">
        <f t="array" aca="1" ref="F355" ca="1">MAX(IFERROR(_xludf.XLOOKUP(G355,'Rea - SK'!A:A,'Rea - SK'!F:F),DATE(1966,6,6)),IFERROR(_xludf.XLOOKUP(H355,'Rea - SK'!A:A,'Rea - SK'!F:F),DATE(1966,6,6)),IFERROR(_xludf.XLOOKUP(I355,'Rea - SK'!A:A,'Rea - SK'!F:F),DATE(1966,6,6)),IFERROR(_xludf.XLOOKUP(J355,'Rea - SK'!A:A,'Rea - SK'!F:F),DATE(1966,6,6)),IFERROR(_xludf.XLOOKUP(K355,'Rea - SK'!A:A,'Rea - SK'!F:F),DATE(1966,6,6)))</f>
        <v>24264</v>
      </c>
      <c r="G355" s="2" t="s">
        <v>2515</v>
      </c>
      <c r="H355" s="2" t="s">
        <v>3824</v>
      </c>
      <c r="I355" s="19"/>
      <c r="J355" s="19"/>
      <c r="K355" s="19"/>
      <c r="L355" s="18"/>
    </row>
    <row r="356" spans="1:12" ht="18.75" customHeight="1" x14ac:dyDescent="0.2">
      <c r="A356" s="2" t="s">
        <v>5433</v>
      </c>
      <c r="B356" s="2">
        <v>42668</v>
      </c>
      <c r="C356" s="2">
        <v>5902557393510</v>
      </c>
      <c r="D356" s="4" t="s">
        <v>5434</v>
      </c>
      <c r="E356" s="3">
        <f t="array" aca="1" ref="E356" ca="1">IFERROR(_xludf.XLOOKUP(G356,'Rea - SK'!A:A,'Rea - SK'!E:E),0)+IFERROR(_xludf.XLOOKUP(H356,'Rea - SK'!A:A,'Rea - SK'!E:E),0)+IFERROR(_xludf.XLOOKUP(I356,'Rea - SK'!A:A,'Rea - SK'!E:E),0)+IFERROR(_xludf.XLOOKUP(J356,'Rea - SK'!A:A,'Rea - SK'!E:E),0)+IFERROR(_xludf.XLOOKUP(K356,'Rea - SK'!A:A,'Rea - SK'!E:E),0)</f>
        <v>0</v>
      </c>
      <c r="F356" s="11">
        <f t="array" aca="1" ref="F356" ca="1">MAX(IFERROR(_xludf.XLOOKUP(G356,'Rea - SK'!A:A,'Rea - SK'!F:F),DATE(1966,6,6)),IFERROR(_xludf.XLOOKUP(H356,'Rea - SK'!A:A,'Rea - SK'!F:F),DATE(1966,6,6)),IFERROR(_xludf.XLOOKUP(I356,'Rea - SK'!A:A,'Rea - SK'!F:F),DATE(1966,6,6)),IFERROR(_xludf.XLOOKUP(J356,'Rea - SK'!A:A,'Rea - SK'!F:F),DATE(1966,6,6)),IFERROR(_xludf.XLOOKUP(K356,'Rea - SK'!A:A,'Rea - SK'!F:F),DATE(1966,6,6)))</f>
        <v>24264</v>
      </c>
      <c r="G356" s="2" t="s">
        <v>1755</v>
      </c>
      <c r="H356" s="2" t="s">
        <v>1363</v>
      </c>
      <c r="I356" s="19"/>
      <c r="J356" s="19"/>
      <c r="K356" s="19"/>
      <c r="L356" s="18"/>
    </row>
    <row r="357" spans="1:12" ht="18.75" customHeight="1" x14ac:dyDescent="0.2">
      <c r="A357" s="2" t="s">
        <v>5435</v>
      </c>
      <c r="B357" s="2">
        <v>42666</v>
      </c>
      <c r="C357" s="2">
        <v>5902557393541</v>
      </c>
      <c r="D357" s="4" t="s">
        <v>5436</v>
      </c>
      <c r="E357" s="3">
        <f t="array" aca="1" ref="E357" ca="1">IFERROR(_xludf.XLOOKUP(G357,'Rea - SK'!A:A,'Rea - SK'!E:E),0)+IFERROR(_xludf.XLOOKUP(H357,'Rea - SK'!A:A,'Rea - SK'!E:E),0)+IFERROR(_xludf.XLOOKUP(I357,'Rea - SK'!A:A,'Rea - SK'!E:E),0)+IFERROR(_xludf.XLOOKUP(J357,'Rea - SK'!A:A,'Rea - SK'!E:E),0)+IFERROR(_xludf.XLOOKUP(K357,'Rea - SK'!A:A,'Rea - SK'!E:E),0)</f>
        <v>0</v>
      </c>
      <c r="F357" s="11">
        <f t="array" aca="1" ref="F357" ca="1">MAX(IFERROR(_xludf.XLOOKUP(G357,'Rea - SK'!A:A,'Rea - SK'!F:F),DATE(1966,6,6)),IFERROR(_xludf.XLOOKUP(H357,'Rea - SK'!A:A,'Rea - SK'!F:F),DATE(1966,6,6)),IFERROR(_xludf.XLOOKUP(I357,'Rea - SK'!A:A,'Rea - SK'!F:F),DATE(1966,6,6)),IFERROR(_xludf.XLOOKUP(J357,'Rea - SK'!A:A,'Rea - SK'!F:F),DATE(1966,6,6)),IFERROR(_xludf.XLOOKUP(K357,'Rea - SK'!A:A,'Rea - SK'!F:F),DATE(1966,6,6)))</f>
        <v>24264</v>
      </c>
      <c r="G357" s="2" t="s">
        <v>1757</v>
      </c>
      <c r="H357" s="2" t="s">
        <v>1365</v>
      </c>
      <c r="I357" s="19"/>
      <c r="J357" s="19"/>
      <c r="K357" s="19"/>
      <c r="L357" s="18"/>
    </row>
    <row r="358" spans="1:12" ht="18.75" customHeight="1" x14ac:dyDescent="0.2">
      <c r="A358" s="2" t="s">
        <v>5437</v>
      </c>
      <c r="B358" s="2">
        <v>42661</v>
      </c>
      <c r="C358" s="2">
        <v>5902557393503</v>
      </c>
      <c r="D358" s="4" t="s">
        <v>5438</v>
      </c>
      <c r="E358" s="3">
        <f t="array" aca="1" ref="E358" ca="1">IFERROR(_xludf.XLOOKUP(G358,'Rea - SK'!A:A,'Rea - SK'!E:E),0)+IFERROR(_xludf.XLOOKUP(H358,'Rea - SK'!A:A,'Rea - SK'!E:E),0)+IFERROR(_xludf.XLOOKUP(I358,'Rea - SK'!A:A,'Rea - SK'!E:E),0)+IFERROR(_xludf.XLOOKUP(J358,'Rea - SK'!A:A,'Rea - SK'!E:E),0)+IFERROR(_xludf.XLOOKUP(K358,'Rea - SK'!A:A,'Rea - SK'!E:E),0)</f>
        <v>0</v>
      </c>
      <c r="F358" s="11">
        <f t="array" aca="1" ref="F358" ca="1">MAX(IFERROR(_xludf.XLOOKUP(G358,'Rea - SK'!A:A,'Rea - SK'!F:F),DATE(1966,6,6)),IFERROR(_xludf.XLOOKUP(H358,'Rea - SK'!A:A,'Rea - SK'!F:F),DATE(1966,6,6)),IFERROR(_xludf.XLOOKUP(I358,'Rea - SK'!A:A,'Rea - SK'!F:F),DATE(1966,6,6)),IFERROR(_xludf.XLOOKUP(J358,'Rea - SK'!A:A,'Rea - SK'!F:F),DATE(1966,6,6)),IFERROR(_xludf.XLOOKUP(K358,'Rea - SK'!A:A,'Rea - SK'!F:F),DATE(1966,6,6)))</f>
        <v>24264</v>
      </c>
      <c r="G358" s="2" t="s">
        <v>1753</v>
      </c>
      <c r="H358" s="2" t="s">
        <v>1361</v>
      </c>
      <c r="I358" s="19"/>
      <c r="J358" s="19"/>
      <c r="K358" s="19"/>
      <c r="L358" s="18"/>
    </row>
    <row r="359" spans="1:12" ht="18.75" customHeight="1" x14ac:dyDescent="0.2">
      <c r="A359" s="2" t="s">
        <v>5439</v>
      </c>
      <c r="B359" s="2">
        <v>42544</v>
      </c>
      <c r="C359" s="2">
        <v>5902557390663</v>
      </c>
      <c r="D359" s="4" t="s">
        <v>5440</v>
      </c>
      <c r="E359" s="3">
        <f t="array" aca="1" ref="E359" ca="1">IFERROR(_xludf.XLOOKUP(G359,'Rea - SK'!A:A,'Rea - SK'!E:E),0)+IFERROR(_xludf.XLOOKUP(H359,'Rea - SK'!A:A,'Rea - SK'!E:E),0)+IFERROR(_xludf.XLOOKUP(I359,'Rea - SK'!A:A,'Rea - SK'!E:E),0)+IFERROR(_xludf.XLOOKUP(J359,'Rea - SK'!A:A,'Rea - SK'!E:E),0)+IFERROR(_xludf.XLOOKUP(K359,'Rea - SK'!A:A,'Rea - SK'!E:E),0)</f>
        <v>0</v>
      </c>
      <c r="F359" s="11">
        <f t="array" aca="1" ref="F359" ca="1">MAX(IFERROR(_xludf.XLOOKUP(G359,'Rea - SK'!A:A,'Rea - SK'!F:F),DATE(1966,6,6)),IFERROR(_xludf.XLOOKUP(H359,'Rea - SK'!A:A,'Rea - SK'!F:F),DATE(1966,6,6)),IFERROR(_xludf.XLOOKUP(I359,'Rea - SK'!A:A,'Rea - SK'!F:F),DATE(1966,6,6)),IFERROR(_xludf.XLOOKUP(J359,'Rea - SK'!A:A,'Rea - SK'!F:F),DATE(1966,6,6)),IFERROR(_xludf.XLOOKUP(K359,'Rea - SK'!A:A,'Rea - SK'!F:F),DATE(1966,6,6)))</f>
        <v>24264</v>
      </c>
      <c r="G359" s="2" t="s">
        <v>2499</v>
      </c>
      <c r="H359" s="2" t="s">
        <v>3822</v>
      </c>
      <c r="I359" s="19"/>
      <c r="J359" s="19"/>
      <c r="K359" s="19"/>
      <c r="L359" s="18"/>
    </row>
    <row r="360" spans="1:12" ht="18.75" customHeight="1" x14ac:dyDescent="0.2">
      <c r="A360" s="2" t="s">
        <v>5441</v>
      </c>
      <c r="B360" s="2">
        <v>42543</v>
      </c>
      <c r="C360" s="2">
        <v>5902557390649</v>
      </c>
      <c r="D360" s="4" t="s">
        <v>5442</v>
      </c>
      <c r="E360" s="3">
        <f t="array" aca="1" ref="E360" ca="1">IFERROR(_xludf.XLOOKUP(G360,'Rea - SK'!A:A,'Rea - SK'!E:E),0)+IFERROR(_xludf.XLOOKUP(H360,'Rea - SK'!A:A,'Rea - SK'!E:E),0)+IFERROR(_xludf.XLOOKUP(I360,'Rea - SK'!A:A,'Rea - SK'!E:E),0)+IFERROR(_xludf.XLOOKUP(J360,'Rea - SK'!A:A,'Rea - SK'!E:E),0)+IFERROR(_xludf.XLOOKUP(K360,'Rea - SK'!A:A,'Rea - SK'!E:E),0)</f>
        <v>0</v>
      </c>
      <c r="F360" s="11">
        <f t="array" aca="1" ref="F360" ca="1">MAX(IFERROR(_xludf.XLOOKUP(G360,'Rea - SK'!A:A,'Rea - SK'!F:F),DATE(1966,6,6)),IFERROR(_xludf.XLOOKUP(H360,'Rea - SK'!A:A,'Rea - SK'!F:F),DATE(1966,6,6)),IFERROR(_xludf.XLOOKUP(I360,'Rea - SK'!A:A,'Rea - SK'!F:F),DATE(1966,6,6)),IFERROR(_xludf.XLOOKUP(J360,'Rea - SK'!A:A,'Rea - SK'!F:F),DATE(1966,6,6)),IFERROR(_xludf.XLOOKUP(K360,'Rea - SK'!A:A,'Rea - SK'!F:F),DATE(1966,6,6)))</f>
        <v>24264</v>
      </c>
      <c r="G360" s="2" t="s">
        <v>2497</v>
      </c>
      <c r="H360" s="2" t="s">
        <v>3822</v>
      </c>
      <c r="I360" s="19"/>
      <c r="J360" s="19"/>
      <c r="K360" s="19"/>
      <c r="L360" s="18"/>
    </row>
    <row r="361" spans="1:12" ht="18.75" customHeight="1" x14ac:dyDescent="0.2">
      <c r="A361" s="2" t="s">
        <v>5443</v>
      </c>
      <c r="B361" s="2">
        <v>42541</v>
      </c>
      <c r="C361" s="2">
        <v>5902557390601</v>
      </c>
      <c r="D361" s="4" t="s">
        <v>5444</v>
      </c>
      <c r="E361" s="3">
        <f t="array" aca="1" ref="E361" ca="1">IFERROR(_xludf.XLOOKUP(G361,'Rea - SK'!A:A,'Rea - SK'!E:E),0)+IFERROR(_xludf.XLOOKUP(H361,'Rea - SK'!A:A,'Rea - SK'!E:E),0)+IFERROR(_xludf.XLOOKUP(I361,'Rea - SK'!A:A,'Rea - SK'!E:E),0)+IFERROR(_xludf.XLOOKUP(J361,'Rea - SK'!A:A,'Rea - SK'!E:E),0)+IFERROR(_xludf.XLOOKUP(K361,'Rea - SK'!A:A,'Rea - SK'!E:E),0)</f>
        <v>0</v>
      </c>
      <c r="F361" s="11">
        <f t="array" aca="1" ref="F361" ca="1">MAX(IFERROR(_xludf.XLOOKUP(G361,'Rea - SK'!A:A,'Rea - SK'!F:F),DATE(1966,6,6)),IFERROR(_xludf.XLOOKUP(H361,'Rea - SK'!A:A,'Rea - SK'!F:F),DATE(1966,6,6)),IFERROR(_xludf.XLOOKUP(I361,'Rea - SK'!A:A,'Rea - SK'!F:F),DATE(1966,6,6)),IFERROR(_xludf.XLOOKUP(J361,'Rea - SK'!A:A,'Rea - SK'!F:F),DATE(1966,6,6)),IFERROR(_xludf.XLOOKUP(K361,'Rea - SK'!A:A,'Rea - SK'!F:F),DATE(1966,6,6)))</f>
        <v>24264</v>
      </c>
      <c r="G361" s="2" t="s">
        <v>2495</v>
      </c>
      <c r="H361" s="2" t="s">
        <v>3822</v>
      </c>
      <c r="I361" s="19"/>
      <c r="J361" s="19"/>
      <c r="K361" s="19"/>
      <c r="L361" s="18"/>
    </row>
    <row r="362" spans="1:12" ht="18.75" customHeight="1" x14ac:dyDescent="0.2">
      <c r="A362" s="2" t="s">
        <v>5445</v>
      </c>
      <c r="B362" s="2">
        <v>42539</v>
      </c>
      <c r="C362" s="2">
        <v>5902557390618</v>
      </c>
      <c r="D362" s="4" t="s">
        <v>5446</v>
      </c>
      <c r="E362" s="3">
        <f t="array" aca="1" ref="E362" ca="1">IFERROR(_xludf.XLOOKUP(G362,'Rea - SK'!A:A,'Rea - SK'!E:E),0)+IFERROR(_xludf.XLOOKUP(H362,'Rea - SK'!A:A,'Rea - SK'!E:E),0)+IFERROR(_xludf.XLOOKUP(I362,'Rea - SK'!A:A,'Rea - SK'!E:E),0)+IFERROR(_xludf.XLOOKUP(J362,'Rea - SK'!A:A,'Rea - SK'!E:E),0)+IFERROR(_xludf.XLOOKUP(K362,'Rea - SK'!A:A,'Rea - SK'!E:E),0)</f>
        <v>0</v>
      </c>
      <c r="F362" s="11">
        <f t="array" aca="1" ref="F362" ca="1">MAX(IFERROR(_xludf.XLOOKUP(G362,'Rea - SK'!A:A,'Rea - SK'!F:F),DATE(1966,6,6)),IFERROR(_xludf.XLOOKUP(H362,'Rea - SK'!A:A,'Rea - SK'!F:F),DATE(1966,6,6)),IFERROR(_xludf.XLOOKUP(I362,'Rea - SK'!A:A,'Rea - SK'!F:F),DATE(1966,6,6)),IFERROR(_xludf.XLOOKUP(J362,'Rea - SK'!A:A,'Rea - SK'!F:F),DATE(1966,6,6)),IFERROR(_xludf.XLOOKUP(K362,'Rea - SK'!A:A,'Rea - SK'!F:F),DATE(1966,6,6)))</f>
        <v>24264</v>
      </c>
      <c r="G362" s="2" t="s">
        <v>2505</v>
      </c>
      <c r="H362" s="2" t="s">
        <v>3822</v>
      </c>
      <c r="I362" s="19"/>
      <c r="J362" s="19"/>
      <c r="K362" s="19"/>
      <c r="L362" s="18"/>
    </row>
    <row r="363" spans="1:12" ht="18.75" customHeight="1" x14ac:dyDescent="0.2">
      <c r="A363" s="2" t="s">
        <v>5447</v>
      </c>
      <c r="B363" s="2">
        <v>42538</v>
      </c>
      <c r="C363" s="2">
        <v>5902557390632</v>
      </c>
      <c r="D363" s="4" t="s">
        <v>5448</v>
      </c>
      <c r="E363" s="3">
        <f t="array" aca="1" ref="E363" ca="1">IFERROR(_xludf.XLOOKUP(G363,'Rea - SK'!A:A,'Rea - SK'!E:E),0)+IFERROR(_xludf.XLOOKUP(H363,'Rea - SK'!A:A,'Rea - SK'!E:E),0)+IFERROR(_xludf.XLOOKUP(I363,'Rea - SK'!A:A,'Rea - SK'!E:E),0)+IFERROR(_xludf.XLOOKUP(J363,'Rea - SK'!A:A,'Rea - SK'!E:E),0)+IFERROR(_xludf.XLOOKUP(K363,'Rea - SK'!A:A,'Rea - SK'!E:E),0)</f>
        <v>0</v>
      </c>
      <c r="F363" s="11">
        <f t="array" aca="1" ref="F363" ca="1">MAX(IFERROR(_xludf.XLOOKUP(G363,'Rea - SK'!A:A,'Rea - SK'!F:F),DATE(1966,6,6)),IFERROR(_xludf.XLOOKUP(H363,'Rea - SK'!A:A,'Rea - SK'!F:F),DATE(1966,6,6)),IFERROR(_xludf.XLOOKUP(I363,'Rea - SK'!A:A,'Rea - SK'!F:F),DATE(1966,6,6)),IFERROR(_xludf.XLOOKUP(J363,'Rea - SK'!A:A,'Rea - SK'!F:F),DATE(1966,6,6)),IFERROR(_xludf.XLOOKUP(K363,'Rea - SK'!A:A,'Rea - SK'!F:F),DATE(1966,6,6)))</f>
        <v>24264</v>
      </c>
      <c r="G363" s="2" t="s">
        <v>2503</v>
      </c>
      <c r="H363" s="2" t="s">
        <v>3822</v>
      </c>
      <c r="I363" s="19"/>
      <c r="J363" s="19"/>
      <c r="K363" s="19"/>
      <c r="L363" s="18"/>
    </row>
    <row r="364" spans="1:12" ht="18.75" customHeight="1" x14ac:dyDescent="0.2">
      <c r="A364" s="2" t="s">
        <v>5449</v>
      </c>
      <c r="B364" s="2">
        <v>42536</v>
      </c>
      <c r="C364" s="2">
        <v>5902557390670</v>
      </c>
      <c r="D364" s="4" t="s">
        <v>5450</v>
      </c>
      <c r="E364" s="3">
        <f t="array" aca="1" ref="E364" ca="1">IFERROR(_xludf.XLOOKUP(G364,'Rea - SK'!A:A,'Rea - SK'!E:E),0)+IFERROR(_xludf.XLOOKUP(H364,'Rea - SK'!A:A,'Rea - SK'!E:E),0)+IFERROR(_xludf.XLOOKUP(I364,'Rea - SK'!A:A,'Rea - SK'!E:E),0)+IFERROR(_xludf.XLOOKUP(J364,'Rea - SK'!A:A,'Rea - SK'!E:E),0)+IFERROR(_xludf.XLOOKUP(K364,'Rea - SK'!A:A,'Rea - SK'!E:E),0)</f>
        <v>0</v>
      </c>
      <c r="F364" s="11">
        <f t="array" aca="1" ref="F364" ca="1">MAX(IFERROR(_xludf.XLOOKUP(G364,'Rea - SK'!A:A,'Rea - SK'!F:F),DATE(1966,6,6)),IFERROR(_xludf.XLOOKUP(H364,'Rea - SK'!A:A,'Rea - SK'!F:F),DATE(1966,6,6)),IFERROR(_xludf.XLOOKUP(I364,'Rea - SK'!A:A,'Rea - SK'!F:F),DATE(1966,6,6)),IFERROR(_xludf.XLOOKUP(J364,'Rea - SK'!A:A,'Rea - SK'!F:F),DATE(1966,6,6)),IFERROR(_xludf.XLOOKUP(K364,'Rea - SK'!A:A,'Rea - SK'!F:F),DATE(1966,6,6)))</f>
        <v>24264</v>
      </c>
      <c r="G364" s="2" t="s">
        <v>2501</v>
      </c>
      <c r="H364" s="2" t="s">
        <v>3822</v>
      </c>
      <c r="I364" s="19"/>
      <c r="J364" s="19"/>
      <c r="K364" s="19"/>
      <c r="L364" s="18"/>
    </row>
    <row r="365" spans="1:12" ht="18.75" customHeight="1" x14ac:dyDescent="0.2">
      <c r="A365" s="2" t="s">
        <v>5451</v>
      </c>
      <c r="B365" s="2">
        <v>42234</v>
      </c>
      <c r="C365" s="2">
        <v>5902557396542</v>
      </c>
      <c r="D365" s="4" t="s">
        <v>5452</v>
      </c>
      <c r="E365" s="3">
        <f t="array" aca="1" ref="E365" ca="1">IFERROR(_xludf.XLOOKUP(G365,'Rea - SK'!A:A,'Rea - SK'!E:E),0)+IFERROR(_xludf.XLOOKUP(H365,'Rea - SK'!A:A,'Rea - SK'!E:E),0)+IFERROR(_xludf.XLOOKUP(I365,'Rea - SK'!A:A,'Rea - SK'!E:E),0)+IFERROR(_xludf.XLOOKUP(J365,'Rea - SK'!A:A,'Rea - SK'!E:E),0)+IFERROR(_xludf.XLOOKUP(K365,'Rea - SK'!A:A,'Rea - SK'!E:E),0)</f>
        <v>0</v>
      </c>
      <c r="F365" s="11">
        <f t="array" aca="1" ref="F365" ca="1">MAX(IFERROR(_xludf.XLOOKUP(G365,'Rea - SK'!A:A,'Rea - SK'!F:F),DATE(1966,6,6)),IFERROR(_xludf.XLOOKUP(H365,'Rea - SK'!A:A,'Rea - SK'!F:F),DATE(1966,6,6)),IFERROR(_xludf.XLOOKUP(I365,'Rea - SK'!A:A,'Rea - SK'!F:F),DATE(1966,6,6)),IFERROR(_xludf.XLOOKUP(J365,'Rea - SK'!A:A,'Rea - SK'!F:F),DATE(1966,6,6)),IFERROR(_xludf.XLOOKUP(K365,'Rea - SK'!A:A,'Rea - SK'!F:F),DATE(1966,6,6)))</f>
        <v>24264</v>
      </c>
      <c r="G365" s="2" t="s">
        <v>1661</v>
      </c>
      <c r="H365" s="2" t="s">
        <v>1261</v>
      </c>
      <c r="I365" s="19"/>
      <c r="J365" s="19"/>
      <c r="K365" s="19"/>
      <c r="L365" s="18"/>
    </row>
    <row r="366" spans="1:12" ht="18.75" customHeight="1" x14ac:dyDescent="0.2">
      <c r="A366" s="2" t="s">
        <v>5453</v>
      </c>
      <c r="B366" s="2">
        <v>42232</v>
      </c>
      <c r="C366" s="2">
        <v>5902557390571</v>
      </c>
      <c r="D366" s="4" t="s">
        <v>5454</v>
      </c>
      <c r="E366" s="3">
        <f t="array" aca="1" ref="E366" ca="1">IFERROR(_xludf.XLOOKUP(G366,'Rea - SK'!A:A,'Rea - SK'!E:E),0)+IFERROR(_xludf.XLOOKUP(H366,'Rea - SK'!A:A,'Rea - SK'!E:E),0)+IFERROR(_xludf.XLOOKUP(I366,'Rea - SK'!A:A,'Rea - SK'!E:E),0)+IFERROR(_xludf.XLOOKUP(J366,'Rea - SK'!A:A,'Rea - SK'!E:E),0)+IFERROR(_xludf.XLOOKUP(K366,'Rea - SK'!A:A,'Rea - SK'!E:E),0)</f>
        <v>0</v>
      </c>
      <c r="F366" s="11">
        <f t="array" aca="1" ref="F366" ca="1">MAX(IFERROR(_xludf.XLOOKUP(G366,'Rea - SK'!A:A,'Rea - SK'!F:F),DATE(1966,6,6)),IFERROR(_xludf.XLOOKUP(H366,'Rea - SK'!A:A,'Rea - SK'!F:F),DATE(1966,6,6)),IFERROR(_xludf.XLOOKUP(I366,'Rea - SK'!A:A,'Rea - SK'!F:F),DATE(1966,6,6)),IFERROR(_xludf.XLOOKUP(J366,'Rea - SK'!A:A,'Rea - SK'!F:F),DATE(1966,6,6)),IFERROR(_xludf.XLOOKUP(K366,'Rea - SK'!A:A,'Rea - SK'!F:F),DATE(1966,6,6)))</f>
        <v>24264</v>
      </c>
      <c r="G366" s="2" t="s">
        <v>1663</v>
      </c>
      <c r="H366" s="2" t="s">
        <v>1259</v>
      </c>
      <c r="I366" s="19"/>
      <c r="J366" s="19"/>
      <c r="K366" s="19"/>
      <c r="L366" s="18"/>
    </row>
    <row r="367" spans="1:12" ht="18.75" customHeight="1" x14ac:dyDescent="0.2">
      <c r="A367" s="2" t="s">
        <v>5455</v>
      </c>
      <c r="B367" s="2">
        <v>42231</v>
      </c>
      <c r="C367" s="2">
        <v>5902557390564</v>
      </c>
      <c r="D367" s="4" t="s">
        <v>5456</v>
      </c>
      <c r="E367" s="3">
        <f t="array" aca="1" ref="E367" ca="1">IFERROR(_xludf.XLOOKUP(G367,'Rea - SK'!A:A,'Rea - SK'!E:E),0)+IFERROR(_xludf.XLOOKUP(H367,'Rea - SK'!A:A,'Rea - SK'!E:E),0)+IFERROR(_xludf.XLOOKUP(I367,'Rea - SK'!A:A,'Rea - SK'!E:E),0)+IFERROR(_xludf.XLOOKUP(J367,'Rea - SK'!A:A,'Rea - SK'!E:E),0)+IFERROR(_xludf.XLOOKUP(K367,'Rea - SK'!A:A,'Rea - SK'!E:E),0)</f>
        <v>0</v>
      </c>
      <c r="F367" s="11">
        <f t="array" aca="1" ref="F367" ca="1">MAX(IFERROR(_xludf.XLOOKUP(G367,'Rea - SK'!A:A,'Rea - SK'!F:F),DATE(1966,6,6)),IFERROR(_xludf.XLOOKUP(H367,'Rea - SK'!A:A,'Rea - SK'!F:F),DATE(1966,6,6)),IFERROR(_xludf.XLOOKUP(I367,'Rea - SK'!A:A,'Rea - SK'!F:F),DATE(1966,6,6)),IFERROR(_xludf.XLOOKUP(J367,'Rea - SK'!A:A,'Rea - SK'!F:F),DATE(1966,6,6)),IFERROR(_xludf.XLOOKUP(K367,'Rea - SK'!A:A,'Rea - SK'!F:F),DATE(1966,6,6)))</f>
        <v>24264</v>
      </c>
      <c r="G367" s="2" t="s">
        <v>1663</v>
      </c>
      <c r="H367" s="2" t="s">
        <v>1263</v>
      </c>
      <c r="I367" s="19"/>
      <c r="J367" s="19"/>
      <c r="K367" s="19"/>
      <c r="L367" s="18"/>
    </row>
    <row r="368" spans="1:12" ht="18.75" customHeight="1" x14ac:dyDescent="0.2">
      <c r="A368" s="2" t="s">
        <v>5457</v>
      </c>
      <c r="B368" s="2">
        <v>42229</v>
      </c>
      <c r="C368" s="2">
        <v>5902557390595</v>
      </c>
      <c r="D368" s="4" t="s">
        <v>5458</v>
      </c>
      <c r="E368" s="3">
        <f t="array" aca="1" ref="E368" ca="1">IFERROR(_xludf.XLOOKUP(G368,'Rea - SK'!A:A,'Rea - SK'!E:E),0)+IFERROR(_xludf.XLOOKUP(H368,'Rea - SK'!A:A,'Rea - SK'!E:E),0)+IFERROR(_xludf.XLOOKUP(I368,'Rea - SK'!A:A,'Rea - SK'!E:E),0)+IFERROR(_xludf.XLOOKUP(J368,'Rea - SK'!A:A,'Rea - SK'!E:E),0)+IFERROR(_xludf.XLOOKUP(K368,'Rea - SK'!A:A,'Rea - SK'!E:E),0)</f>
        <v>0</v>
      </c>
      <c r="F368" s="11">
        <f t="array" aca="1" ref="F368" ca="1">MAX(IFERROR(_xludf.XLOOKUP(G368,'Rea - SK'!A:A,'Rea - SK'!F:F),DATE(1966,6,6)),IFERROR(_xludf.XLOOKUP(H368,'Rea - SK'!A:A,'Rea - SK'!F:F),DATE(1966,6,6)),IFERROR(_xludf.XLOOKUP(I368,'Rea - SK'!A:A,'Rea - SK'!F:F),DATE(1966,6,6)),IFERROR(_xludf.XLOOKUP(J368,'Rea - SK'!A:A,'Rea - SK'!F:F),DATE(1966,6,6)),IFERROR(_xludf.XLOOKUP(K368,'Rea - SK'!A:A,'Rea - SK'!F:F),DATE(1966,6,6)))</f>
        <v>24264</v>
      </c>
      <c r="G368" s="2" t="s">
        <v>1669</v>
      </c>
      <c r="H368" s="2" t="s">
        <v>1259</v>
      </c>
      <c r="I368" s="19"/>
      <c r="J368" s="19"/>
      <c r="K368" s="19"/>
      <c r="L368" s="18"/>
    </row>
    <row r="369" spans="1:12" ht="18.75" customHeight="1" x14ac:dyDescent="0.2">
      <c r="A369" s="2" t="s">
        <v>5459</v>
      </c>
      <c r="B369" s="2">
        <v>42228</v>
      </c>
      <c r="C369" s="2">
        <v>5902557390588</v>
      </c>
      <c r="D369" s="4" t="s">
        <v>5460</v>
      </c>
      <c r="E369" s="3">
        <f t="array" aca="1" ref="E369" ca="1">IFERROR(_xludf.XLOOKUP(G369,'Rea - SK'!A:A,'Rea - SK'!E:E),0)+IFERROR(_xludf.XLOOKUP(H369,'Rea - SK'!A:A,'Rea - SK'!E:E),0)+IFERROR(_xludf.XLOOKUP(I369,'Rea - SK'!A:A,'Rea - SK'!E:E),0)+IFERROR(_xludf.XLOOKUP(J369,'Rea - SK'!A:A,'Rea - SK'!E:E),0)+IFERROR(_xludf.XLOOKUP(K369,'Rea - SK'!A:A,'Rea - SK'!E:E),0)</f>
        <v>0</v>
      </c>
      <c r="F369" s="11">
        <f t="array" aca="1" ref="F369" ca="1">MAX(IFERROR(_xludf.XLOOKUP(G369,'Rea - SK'!A:A,'Rea - SK'!F:F),DATE(1966,6,6)),IFERROR(_xludf.XLOOKUP(H369,'Rea - SK'!A:A,'Rea - SK'!F:F),DATE(1966,6,6)),IFERROR(_xludf.XLOOKUP(I369,'Rea - SK'!A:A,'Rea - SK'!F:F),DATE(1966,6,6)),IFERROR(_xludf.XLOOKUP(J369,'Rea - SK'!A:A,'Rea - SK'!F:F),DATE(1966,6,6)),IFERROR(_xludf.XLOOKUP(K369,'Rea - SK'!A:A,'Rea - SK'!F:F),DATE(1966,6,6)))</f>
        <v>24264</v>
      </c>
      <c r="G369" s="2" t="s">
        <v>1669</v>
      </c>
      <c r="H369" s="2" t="s">
        <v>1263</v>
      </c>
      <c r="I369" s="19"/>
      <c r="J369" s="19"/>
      <c r="K369" s="19"/>
      <c r="L369" s="18"/>
    </row>
    <row r="370" spans="1:12" ht="18.75" customHeight="1" x14ac:dyDescent="0.2">
      <c r="A370" s="2" t="s">
        <v>5461</v>
      </c>
      <c r="B370" s="2">
        <v>41967</v>
      </c>
      <c r="C370" s="2">
        <v>5902557396122</v>
      </c>
      <c r="D370" s="4" t="s">
        <v>5462</v>
      </c>
      <c r="E370" s="3">
        <f t="array" aca="1" ref="E370" ca="1">IFERROR(_xludf.XLOOKUP(G370,'Rea - SK'!A:A,'Rea - SK'!E:E),0)+IFERROR(_xludf.XLOOKUP(H370,'Rea - SK'!A:A,'Rea - SK'!E:E),0)+IFERROR(_xludf.XLOOKUP(I370,'Rea - SK'!A:A,'Rea - SK'!E:E),0)+IFERROR(_xludf.XLOOKUP(J370,'Rea - SK'!A:A,'Rea - SK'!E:E),0)+IFERROR(_xludf.XLOOKUP(K370,'Rea - SK'!A:A,'Rea - SK'!E:E),0)</f>
        <v>0</v>
      </c>
      <c r="F370" s="11">
        <f t="array" aca="1" ref="F370" ca="1">MAX(IFERROR(_xludf.XLOOKUP(G370,'Rea - SK'!A:A,'Rea - SK'!F:F),DATE(1966,6,6)),IFERROR(_xludf.XLOOKUP(H370,'Rea - SK'!A:A,'Rea - SK'!F:F),DATE(1966,6,6)),IFERROR(_xludf.XLOOKUP(I370,'Rea - SK'!A:A,'Rea - SK'!F:F),DATE(1966,6,6)),IFERROR(_xludf.XLOOKUP(J370,'Rea - SK'!A:A,'Rea - SK'!F:F),DATE(1966,6,6)),IFERROR(_xludf.XLOOKUP(K370,'Rea - SK'!A:A,'Rea - SK'!F:F),DATE(1966,6,6)))</f>
        <v>24264</v>
      </c>
      <c r="G370" s="2" t="s">
        <v>2403</v>
      </c>
      <c r="H370" s="2" t="s">
        <v>2357</v>
      </c>
      <c r="I370" s="19"/>
      <c r="J370" s="19"/>
      <c r="K370" s="19"/>
      <c r="L370" s="18"/>
    </row>
    <row r="371" spans="1:12" ht="18.75" customHeight="1" x14ac:dyDescent="0.2">
      <c r="A371" s="2" t="s">
        <v>5463</v>
      </c>
      <c r="B371" s="2">
        <v>41940</v>
      </c>
      <c r="C371" s="2">
        <v>5906366004698</v>
      </c>
      <c r="D371" s="4" t="s">
        <v>5464</v>
      </c>
      <c r="E371" s="3">
        <f t="array" aca="1" ref="E371" ca="1">IFERROR(_xludf.XLOOKUP(G371,'Rea - SK'!A:A,'Rea - SK'!E:E),0)+IFERROR(_xludf.XLOOKUP(H371,'Rea - SK'!A:A,'Rea - SK'!E:E),0)+IFERROR(_xludf.XLOOKUP(I371,'Rea - SK'!A:A,'Rea - SK'!E:E),0)+IFERROR(_xludf.XLOOKUP(J371,'Rea - SK'!A:A,'Rea - SK'!E:E),0)+IFERROR(_xludf.XLOOKUP(K371,'Rea - SK'!A:A,'Rea - SK'!E:E),0)</f>
        <v>0</v>
      </c>
      <c r="F371" s="11">
        <f t="array" aca="1" ref="F371" ca="1">MAX(IFERROR(_xludf.XLOOKUP(G371,'Rea - SK'!A:A,'Rea - SK'!F:F),DATE(1966,6,6)),IFERROR(_xludf.XLOOKUP(H371,'Rea - SK'!A:A,'Rea - SK'!F:F),DATE(1966,6,6)),IFERROR(_xludf.XLOOKUP(I371,'Rea - SK'!A:A,'Rea - SK'!F:F),DATE(1966,6,6)),IFERROR(_xludf.XLOOKUP(J371,'Rea - SK'!A:A,'Rea - SK'!F:F),DATE(1966,6,6)),IFERROR(_xludf.XLOOKUP(K371,'Rea - SK'!A:A,'Rea - SK'!F:F),DATE(1966,6,6)))</f>
        <v>24264</v>
      </c>
      <c r="G371" s="2" t="s">
        <v>3125</v>
      </c>
      <c r="H371" s="2" t="s">
        <v>2363</v>
      </c>
      <c r="I371" s="19"/>
      <c r="J371" s="19"/>
      <c r="K371" s="19"/>
      <c r="L371" s="18"/>
    </row>
    <row r="372" spans="1:12" ht="18.75" customHeight="1" x14ac:dyDescent="0.2">
      <c r="A372" s="2" t="s">
        <v>5465</v>
      </c>
      <c r="B372" s="2">
        <v>40914</v>
      </c>
      <c r="C372" s="2">
        <v>5906366004353</v>
      </c>
      <c r="D372" s="4" t="s">
        <v>5466</v>
      </c>
      <c r="E372" s="3">
        <f t="array" aca="1" ref="E372" ca="1">IFERROR(_xludf.XLOOKUP(G372,'Rea - SK'!A:A,'Rea - SK'!E:E),0)+IFERROR(_xludf.XLOOKUP(H372,'Rea - SK'!A:A,'Rea - SK'!E:E),0)+IFERROR(_xludf.XLOOKUP(I372,'Rea - SK'!A:A,'Rea - SK'!E:E),0)+IFERROR(_xludf.XLOOKUP(J372,'Rea - SK'!A:A,'Rea - SK'!E:E),0)+IFERROR(_xludf.XLOOKUP(K372,'Rea - SK'!A:A,'Rea - SK'!E:E),0)</f>
        <v>0</v>
      </c>
      <c r="F372" s="11">
        <f t="array" aca="1" ref="F372" ca="1">MAX(IFERROR(_xludf.XLOOKUP(G372,'Rea - SK'!A:A,'Rea - SK'!F:F),DATE(1966,6,6)),IFERROR(_xludf.XLOOKUP(H372,'Rea - SK'!A:A,'Rea - SK'!F:F),DATE(1966,6,6)),IFERROR(_xludf.XLOOKUP(I372,'Rea - SK'!A:A,'Rea - SK'!F:F),DATE(1966,6,6)),IFERROR(_xludf.XLOOKUP(J372,'Rea - SK'!A:A,'Rea - SK'!F:F),DATE(1966,6,6)),IFERROR(_xludf.XLOOKUP(K372,'Rea - SK'!A:A,'Rea - SK'!F:F),DATE(1966,6,6)))</f>
        <v>24264</v>
      </c>
      <c r="G372" s="2" t="s">
        <v>2551</v>
      </c>
      <c r="H372" s="2" t="s">
        <v>3820</v>
      </c>
      <c r="I372" s="19"/>
      <c r="J372" s="19"/>
      <c r="K372" s="19"/>
      <c r="L372" s="18"/>
    </row>
    <row r="373" spans="1:12" ht="18.75" customHeight="1" x14ac:dyDescent="0.2">
      <c r="A373" s="2" t="s">
        <v>5467</v>
      </c>
      <c r="B373" s="2">
        <v>40913</v>
      </c>
      <c r="C373" s="2">
        <v>5906366004360</v>
      </c>
      <c r="D373" s="4" t="s">
        <v>5468</v>
      </c>
      <c r="E373" s="3">
        <f t="array" aca="1" ref="E373" ca="1">IFERROR(_xludf.XLOOKUP(G373,'Rea - SK'!A:A,'Rea - SK'!E:E),0)+IFERROR(_xludf.XLOOKUP(H373,'Rea - SK'!A:A,'Rea - SK'!E:E),0)+IFERROR(_xludf.XLOOKUP(I373,'Rea - SK'!A:A,'Rea - SK'!E:E),0)+IFERROR(_xludf.XLOOKUP(J373,'Rea - SK'!A:A,'Rea - SK'!E:E),0)+IFERROR(_xludf.XLOOKUP(K373,'Rea - SK'!A:A,'Rea - SK'!E:E),0)</f>
        <v>0</v>
      </c>
      <c r="F373" s="11">
        <f t="array" aca="1" ref="F373" ca="1">MAX(IFERROR(_xludf.XLOOKUP(G373,'Rea - SK'!A:A,'Rea - SK'!F:F),DATE(1966,6,6)),IFERROR(_xludf.XLOOKUP(H373,'Rea - SK'!A:A,'Rea - SK'!F:F),DATE(1966,6,6)),IFERROR(_xludf.XLOOKUP(I373,'Rea - SK'!A:A,'Rea - SK'!F:F),DATE(1966,6,6)),IFERROR(_xludf.XLOOKUP(J373,'Rea - SK'!A:A,'Rea - SK'!F:F),DATE(1966,6,6)),IFERROR(_xludf.XLOOKUP(K373,'Rea - SK'!A:A,'Rea - SK'!F:F),DATE(1966,6,6)))</f>
        <v>24264</v>
      </c>
      <c r="G373" s="2" t="s">
        <v>2549</v>
      </c>
      <c r="H373" s="2" t="s">
        <v>3820</v>
      </c>
      <c r="I373" s="19"/>
      <c r="J373" s="19"/>
      <c r="K373" s="19"/>
      <c r="L373" s="18"/>
    </row>
    <row r="374" spans="1:12" ht="18.75" customHeight="1" x14ac:dyDescent="0.2">
      <c r="A374" s="2" t="s">
        <v>5469</v>
      </c>
      <c r="B374" s="2">
        <v>40912</v>
      </c>
      <c r="C374" s="2">
        <v>5906366004377</v>
      </c>
      <c r="D374" s="4" t="s">
        <v>5470</v>
      </c>
      <c r="E374" s="3">
        <f t="array" aca="1" ref="E374" ca="1">IFERROR(_xludf.XLOOKUP(G374,'Rea - SK'!A:A,'Rea - SK'!E:E),0)+IFERROR(_xludf.XLOOKUP(H374,'Rea - SK'!A:A,'Rea - SK'!E:E),0)+IFERROR(_xludf.XLOOKUP(I374,'Rea - SK'!A:A,'Rea - SK'!E:E),0)+IFERROR(_xludf.XLOOKUP(J374,'Rea - SK'!A:A,'Rea - SK'!E:E),0)+IFERROR(_xludf.XLOOKUP(K374,'Rea - SK'!A:A,'Rea - SK'!E:E),0)</f>
        <v>0</v>
      </c>
      <c r="F374" s="11">
        <f t="array" aca="1" ref="F374" ca="1">MAX(IFERROR(_xludf.XLOOKUP(G374,'Rea - SK'!A:A,'Rea - SK'!F:F),DATE(1966,6,6)),IFERROR(_xludf.XLOOKUP(H374,'Rea - SK'!A:A,'Rea - SK'!F:F),DATE(1966,6,6)),IFERROR(_xludf.XLOOKUP(I374,'Rea - SK'!A:A,'Rea - SK'!F:F),DATE(1966,6,6)),IFERROR(_xludf.XLOOKUP(J374,'Rea - SK'!A:A,'Rea - SK'!F:F),DATE(1966,6,6)),IFERROR(_xludf.XLOOKUP(K374,'Rea - SK'!A:A,'Rea - SK'!F:F),DATE(1966,6,6)))</f>
        <v>24264</v>
      </c>
      <c r="G374" s="2" t="s">
        <v>2547</v>
      </c>
      <c r="H374" s="2" t="s">
        <v>3820</v>
      </c>
      <c r="I374" s="19"/>
      <c r="J374" s="19"/>
      <c r="K374" s="19"/>
      <c r="L374" s="18"/>
    </row>
    <row r="375" spans="1:12" ht="18.75" customHeight="1" x14ac:dyDescent="0.2">
      <c r="A375" s="2" t="s">
        <v>5471</v>
      </c>
      <c r="B375" s="2">
        <v>40911</v>
      </c>
      <c r="C375" s="2">
        <v>5906366004384</v>
      </c>
      <c r="D375" s="4" t="s">
        <v>5472</v>
      </c>
      <c r="E375" s="3">
        <f t="array" aca="1" ref="E375" ca="1">IFERROR(_xludf.XLOOKUP(G375,'Rea - SK'!A:A,'Rea - SK'!E:E),0)+IFERROR(_xludf.XLOOKUP(H375,'Rea - SK'!A:A,'Rea - SK'!E:E),0)+IFERROR(_xludf.XLOOKUP(I375,'Rea - SK'!A:A,'Rea - SK'!E:E),0)+IFERROR(_xludf.XLOOKUP(J375,'Rea - SK'!A:A,'Rea - SK'!E:E),0)+IFERROR(_xludf.XLOOKUP(K375,'Rea - SK'!A:A,'Rea - SK'!E:E),0)</f>
        <v>0</v>
      </c>
      <c r="F375" s="11">
        <f t="array" aca="1" ref="F375" ca="1">MAX(IFERROR(_xludf.XLOOKUP(G375,'Rea - SK'!A:A,'Rea - SK'!F:F),DATE(1966,6,6)),IFERROR(_xludf.XLOOKUP(H375,'Rea - SK'!A:A,'Rea - SK'!F:F),DATE(1966,6,6)),IFERROR(_xludf.XLOOKUP(I375,'Rea - SK'!A:A,'Rea - SK'!F:F),DATE(1966,6,6)),IFERROR(_xludf.XLOOKUP(J375,'Rea - SK'!A:A,'Rea - SK'!F:F),DATE(1966,6,6)),IFERROR(_xludf.XLOOKUP(K375,'Rea - SK'!A:A,'Rea - SK'!F:F),DATE(1966,6,6)))</f>
        <v>24264</v>
      </c>
      <c r="G375" s="2" t="s">
        <v>2557</v>
      </c>
      <c r="H375" s="2" t="s">
        <v>3820</v>
      </c>
      <c r="I375" s="19"/>
      <c r="J375" s="19"/>
      <c r="K375" s="19"/>
      <c r="L375" s="18"/>
    </row>
    <row r="376" spans="1:12" ht="18.75" customHeight="1" x14ac:dyDescent="0.2">
      <c r="A376" s="2" t="s">
        <v>5473</v>
      </c>
      <c r="B376" s="2">
        <v>40910</v>
      </c>
      <c r="C376" s="2">
        <v>5906366004391</v>
      </c>
      <c r="D376" s="4" t="s">
        <v>5474</v>
      </c>
      <c r="E376" s="3">
        <f t="array" aca="1" ref="E376" ca="1">IFERROR(_xludf.XLOOKUP(G376,'Rea - SK'!A:A,'Rea - SK'!E:E),0)+IFERROR(_xludf.XLOOKUP(H376,'Rea - SK'!A:A,'Rea - SK'!E:E),0)+IFERROR(_xludf.XLOOKUP(I376,'Rea - SK'!A:A,'Rea - SK'!E:E),0)+IFERROR(_xludf.XLOOKUP(J376,'Rea - SK'!A:A,'Rea - SK'!E:E),0)+IFERROR(_xludf.XLOOKUP(K376,'Rea - SK'!A:A,'Rea - SK'!E:E),0)</f>
        <v>0</v>
      </c>
      <c r="F376" s="11">
        <f t="array" aca="1" ref="F376" ca="1">MAX(IFERROR(_xludf.XLOOKUP(G376,'Rea - SK'!A:A,'Rea - SK'!F:F),DATE(1966,6,6)),IFERROR(_xludf.XLOOKUP(H376,'Rea - SK'!A:A,'Rea - SK'!F:F),DATE(1966,6,6)),IFERROR(_xludf.XLOOKUP(I376,'Rea - SK'!A:A,'Rea - SK'!F:F),DATE(1966,6,6)),IFERROR(_xludf.XLOOKUP(J376,'Rea - SK'!A:A,'Rea - SK'!F:F),DATE(1966,6,6)),IFERROR(_xludf.XLOOKUP(K376,'Rea - SK'!A:A,'Rea - SK'!F:F),DATE(1966,6,6)))</f>
        <v>24264</v>
      </c>
      <c r="G376" s="2" t="s">
        <v>2555</v>
      </c>
      <c r="H376" s="2" t="s">
        <v>3820</v>
      </c>
      <c r="I376" s="19"/>
      <c r="J376" s="19"/>
      <c r="K376" s="19"/>
      <c r="L376" s="18"/>
    </row>
    <row r="377" spans="1:12" ht="18.75" customHeight="1" x14ac:dyDescent="0.2">
      <c r="A377" s="2" t="s">
        <v>5475</v>
      </c>
      <c r="B377" s="2">
        <v>40904</v>
      </c>
      <c r="C377" s="2">
        <v>5906366004407</v>
      </c>
      <c r="D377" s="4" t="s">
        <v>5476</v>
      </c>
      <c r="E377" s="3">
        <f t="array" aca="1" ref="E377" ca="1">IFERROR(_xludf.XLOOKUP(G377,'Rea - SK'!A:A,'Rea - SK'!E:E),0)+IFERROR(_xludf.XLOOKUP(H377,'Rea - SK'!A:A,'Rea - SK'!E:E),0)+IFERROR(_xludf.XLOOKUP(I377,'Rea - SK'!A:A,'Rea - SK'!E:E),0)+IFERROR(_xludf.XLOOKUP(J377,'Rea - SK'!A:A,'Rea - SK'!E:E),0)+IFERROR(_xludf.XLOOKUP(K377,'Rea - SK'!A:A,'Rea - SK'!E:E),0)</f>
        <v>0</v>
      </c>
      <c r="F377" s="11">
        <f t="array" aca="1" ref="F377" ca="1">MAX(IFERROR(_xludf.XLOOKUP(G377,'Rea - SK'!A:A,'Rea - SK'!F:F),DATE(1966,6,6)),IFERROR(_xludf.XLOOKUP(H377,'Rea - SK'!A:A,'Rea - SK'!F:F),DATE(1966,6,6)),IFERROR(_xludf.XLOOKUP(I377,'Rea - SK'!A:A,'Rea - SK'!F:F),DATE(1966,6,6)),IFERROR(_xludf.XLOOKUP(J377,'Rea - SK'!A:A,'Rea - SK'!F:F),DATE(1966,6,6)),IFERROR(_xludf.XLOOKUP(K377,'Rea - SK'!A:A,'Rea - SK'!F:F),DATE(1966,6,6)))</f>
        <v>24264</v>
      </c>
      <c r="G377" s="2" t="s">
        <v>2553</v>
      </c>
      <c r="H377" s="2" t="s">
        <v>3820</v>
      </c>
      <c r="I377" s="19"/>
      <c r="J377" s="19"/>
      <c r="K377" s="19"/>
      <c r="L377" s="18"/>
    </row>
    <row r="378" spans="1:12" ht="18.75" customHeight="1" x14ac:dyDescent="0.2">
      <c r="A378" s="2" t="s">
        <v>5477</v>
      </c>
      <c r="B378" s="2">
        <v>40876</v>
      </c>
      <c r="C378" s="2">
        <v>5906366004414</v>
      </c>
      <c r="D378" s="4" t="s">
        <v>5478</v>
      </c>
      <c r="E378" s="3">
        <f t="array" aca="1" ref="E378" ca="1">IFERROR(_xludf.XLOOKUP(G378,'Rea - SK'!A:A,'Rea - SK'!E:E),0)+IFERROR(_xludf.XLOOKUP(H378,'Rea - SK'!A:A,'Rea - SK'!E:E),0)+IFERROR(_xludf.XLOOKUP(I378,'Rea - SK'!A:A,'Rea - SK'!E:E),0)+IFERROR(_xludf.XLOOKUP(J378,'Rea - SK'!A:A,'Rea - SK'!E:E),0)+IFERROR(_xludf.XLOOKUP(K378,'Rea - SK'!A:A,'Rea - SK'!E:E),0)</f>
        <v>0</v>
      </c>
      <c r="F378" s="11">
        <f t="array" aca="1" ref="F378" ca="1">MAX(IFERROR(_xludf.XLOOKUP(G378,'Rea - SK'!A:A,'Rea - SK'!F:F),DATE(1966,6,6)),IFERROR(_xludf.XLOOKUP(H378,'Rea - SK'!A:A,'Rea - SK'!F:F),DATE(1966,6,6)),IFERROR(_xludf.XLOOKUP(I378,'Rea - SK'!A:A,'Rea - SK'!F:F),DATE(1966,6,6)),IFERROR(_xludf.XLOOKUP(J378,'Rea - SK'!A:A,'Rea - SK'!F:F),DATE(1966,6,6)),IFERROR(_xludf.XLOOKUP(K378,'Rea - SK'!A:A,'Rea - SK'!F:F),DATE(1966,6,6)))</f>
        <v>24264</v>
      </c>
      <c r="G378" s="2" t="s">
        <v>2563</v>
      </c>
      <c r="H378" s="2" t="s">
        <v>3820</v>
      </c>
      <c r="I378" s="19"/>
      <c r="J378" s="19"/>
      <c r="K378" s="19"/>
      <c r="L378" s="18"/>
    </row>
    <row r="379" spans="1:12" ht="18.75" customHeight="1" x14ac:dyDescent="0.2">
      <c r="A379" s="2" t="s">
        <v>5479</v>
      </c>
      <c r="B379" s="2">
        <v>40875</v>
      </c>
      <c r="C379" s="2">
        <v>5906366004421</v>
      </c>
      <c r="D379" s="4" t="s">
        <v>5480</v>
      </c>
      <c r="E379" s="3">
        <f t="array" aca="1" ref="E379" ca="1">IFERROR(_xludf.XLOOKUP(G379,'Rea - SK'!A:A,'Rea - SK'!E:E),0)+IFERROR(_xludf.XLOOKUP(H379,'Rea - SK'!A:A,'Rea - SK'!E:E),0)+IFERROR(_xludf.XLOOKUP(I379,'Rea - SK'!A:A,'Rea - SK'!E:E),0)+IFERROR(_xludf.XLOOKUP(J379,'Rea - SK'!A:A,'Rea - SK'!E:E),0)+IFERROR(_xludf.XLOOKUP(K379,'Rea - SK'!A:A,'Rea - SK'!E:E),0)</f>
        <v>0</v>
      </c>
      <c r="F379" s="11">
        <f t="array" aca="1" ref="F379" ca="1">MAX(IFERROR(_xludf.XLOOKUP(G379,'Rea - SK'!A:A,'Rea - SK'!F:F),DATE(1966,6,6)),IFERROR(_xludf.XLOOKUP(H379,'Rea - SK'!A:A,'Rea - SK'!F:F),DATE(1966,6,6)),IFERROR(_xludf.XLOOKUP(I379,'Rea - SK'!A:A,'Rea - SK'!F:F),DATE(1966,6,6)),IFERROR(_xludf.XLOOKUP(J379,'Rea - SK'!A:A,'Rea - SK'!F:F),DATE(1966,6,6)),IFERROR(_xludf.XLOOKUP(K379,'Rea - SK'!A:A,'Rea - SK'!F:F),DATE(1966,6,6)))</f>
        <v>24264</v>
      </c>
      <c r="G379" s="2" t="s">
        <v>2561</v>
      </c>
      <c r="H379" s="2" t="s">
        <v>3820</v>
      </c>
      <c r="I379" s="19"/>
      <c r="J379" s="19"/>
      <c r="K379" s="19"/>
      <c r="L379" s="18"/>
    </row>
    <row r="380" spans="1:12" ht="18.75" customHeight="1" x14ac:dyDescent="0.2">
      <c r="A380" s="2" t="s">
        <v>5481</v>
      </c>
      <c r="B380" s="2">
        <v>40874</v>
      </c>
      <c r="C380" s="2">
        <v>5906366004438</v>
      </c>
      <c r="D380" s="4" t="s">
        <v>5482</v>
      </c>
      <c r="E380" s="3">
        <f t="array" aca="1" ref="E380" ca="1">IFERROR(_xludf.XLOOKUP(G380,'Rea - SK'!A:A,'Rea - SK'!E:E),0)+IFERROR(_xludf.XLOOKUP(H380,'Rea - SK'!A:A,'Rea - SK'!E:E),0)+IFERROR(_xludf.XLOOKUP(I380,'Rea - SK'!A:A,'Rea - SK'!E:E),0)+IFERROR(_xludf.XLOOKUP(J380,'Rea - SK'!A:A,'Rea - SK'!E:E),0)+IFERROR(_xludf.XLOOKUP(K380,'Rea - SK'!A:A,'Rea - SK'!E:E),0)</f>
        <v>0</v>
      </c>
      <c r="F380" s="11">
        <f t="array" aca="1" ref="F380" ca="1">MAX(IFERROR(_xludf.XLOOKUP(G380,'Rea - SK'!A:A,'Rea - SK'!F:F),DATE(1966,6,6)),IFERROR(_xludf.XLOOKUP(H380,'Rea - SK'!A:A,'Rea - SK'!F:F),DATE(1966,6,6)),IFERROR(_xludf.XLOOKUP(I380,'Rea - SK'!A:A,'Rea - SK'!F:F),DATE(1966,6,6)),IFERROR(_xludf.XLOOKUP(J380,'Rea - SK'!A:A,'Rea - SK'!F:F),DATE(1966,6,6)),IFERROR(_xludf.XLOOKUP(K380,'Rea - SK'!A:A,'Rea - SK'!F:F),DATE(1966,6,6)))</f>
        <v>24264</v>
      </c>
      <c r="G380" s="2" t="s">
        <v>2559</v>
      </c>
      <c r="H380" s="2" t="s">
        <v>3820</v>
      </c>
      <c r="I380" s="19"/>
      <c r="J380" s="19"/>
      <c r="K380" s="19"/>
      <c r="L380" s="18"/>
    </row>
    <row r="381" spans="1:12" ht="18.75" customHeight="1" x14ac:dyDescent="0.2">
      <c r="A381" s="2" t="s">
        <v>5483</v>
      </c>
      <c r="B381" s="2">
        <v>40873</v>
      </c>
      <c r="C381" s="2">
        <v>5906366004445</v>
      </c>
      <c r="D381" s="4" t="s">
        <v>5484</v>
      </c>
      <c r="E381" s="3">
        <f t="array" aca="1" ref="E381" ca="1">IFERROR(_xludf.XLOOKUP(G381,'Rea - SK'!A:A,'Rea - SK'!E:E),0)+IFERROR(_xludf.XLOOKUP(H381,'Rea - SK'!A:A,'Rea - SK'!E:E),0)+IFERROR(_xludf.XLOOKUP(I381,'Rea - SK'!A:A,'Rea - SK'!E:E),0)+IFERROR(_xludf.XLOOKUP(J381,'Rea - SK'!A:A,'Rea - SK'!E:E),0)+IFERROR(_xludf.XLOOKUP(K381,'Rea - SK'!A:A,'Rea - SK'!E:E),0)</f>
        <v>0</v>
      </c>
      <c r="F381" s="11">
        <f t="array" aca="1" ref="F381" ca="1">MAX(IFERROR(_xludf.XLOOKUP(G381,'Rea - SK'!A:A,'Rea - SK'!F:F),DATE(1966,6,6)),IFERROR(_xludf.XLOOKUP(H381,'Rea - SK'!A:A,'Rea - SK'!F:F),DATE(1966,6,6)),IFERROR(_xludf.XLOOKUP(I381,'Rea - SK'!A:A,'Rea - SK'!F:F),DATE(1966,6,6)),IFERROR(_xludf.XLOOKUP(J381,'Rea - SK'!A:A,'Rea - SK'!F:F),DATE(1966,6,6)),IFERROR(_xludf.XLOOKUP(K381,'Rea - SK'!A:A,'Rea - SK'!F:F),DATE(1966,6,6)))</f>
        <v>24264</v>
      </c>
      <c r="G381" s="2" t="s">
        <v>2567</v>
      </c>
      <c r="H381" s="2" t="s">
        <v>3820</v>
      </c>
      <c r="I381" s="19"/>
      <c r="J381" s="19"/>
      <c r="K381" s="19"/>
      <c r="L381" s="18"/>
    </row>
    <row r="382" spans="1:12" ht="18.75" customHeight="1" x14ac:dyDescent="0.2">
      <c r="A382" s="2" t="s">
        <v>5485</v>
      </c>
      <c r="B382" s="2">
        <v>40872</v>
      </c>
      <c r="C382" s="2">
        <v>5906366004452</v>
      </c>
      <c r="D382" s="4" t="s">
        <v>5486</v>
      </c>
      <c r="E382" s="3">
        <f t="array" aca="1" ref="E382" ca="1">IFERROR(_xludf.XLOOKUP(G382,'Rea - SK'!A:A,'Rea - SK'!E:E),0)+IFERROR(_xludf.XLOOKUP(H382,'Rea - SK'!A:A,'Rea - SK'!E:E),0)+IFERROR(_xludf.XLOOKUP(I382,'Rea - SK'!A:A,'Rea - SK'!E:E),0)+IFERROR(_xludf.XLOOKUP(J382,'Rea - SK'!A:A,'Rea - SK'!E:E),0)+IFERROR(_xludf.XLOOKUP(K382,'Rea - SK'!A:A,'Rea - SK'!E:E),0)</f>
        <v>0</v>
      </c>
      <c r="F382" s="11">
        <f t="array" aca="1" ref="F382" ca="1">MAX(IFERROR(_xludf.XLOOKUP(G382,'Rea - SK'!A:A,'Rea - SK'!F:F),DATE(1966,6,6)),IFERROR(_xludf.XLOOKUP(H382,'Rea - SK'!A:A,'Rea - SK'!F:F),DATE(1966,6,6)),IFERROR(_xludf.XLOOKUP(I382,'Rea - SK'!A:A,'Rea - SK'!F:F),DATE(1966,6,6)),IFERROR(_xludf.XLOOKUP(J382,'Rea - SK'!A:A,'Rea - SK'!F:F),DATE(1966,6,6)),IFERROR(_xludf.XLOOKUP(K382,'Rea - SK'!A:A,'Rea - SK'!F:F),DATE(1966,6,6)))</f>
        <v>24264</v>
      </c>
      <c r="G382" s="2" t="s">
        <v>2565</v>
      </c>
      <c r="H382" s="2" t="s">
        <v>3820</v>
      </c>
      <c r="I382" s="19"/>
      <c r="J382" s="19"/>
      <c r="K382" s="19"/>
      <c r="L382" s="18"/>
    </row>
    <row r="383" spans="1:12" ht="18.75" customHeight="1" x14ac:dyDescent="0.2">
      <c r="A383" s="2" t="s">
        <v>5487</v>
      </c>
      <c r="B383" s="2">
        <v>40863</v>
      </c>
      <c r="C383" s="2">
        <v>5902557396849</v>
      </c>
      <c r="D383" s="4" t="s">
        <v>5488</v>
      </c>
      <c r="E383" s="3">
        <f t="array" aca="1" ref="E383" ca="1">IFERROR(_xludf.XLOOKUP(G383,'Rea - SK'!A:A,'Rea - SK'!E:E),0)+IFERROR(_xludf.XLOOKUP(H383,'Rea - SK'!A:A,'Rea - SK'!E:E),0)+IFERROR(_xludf.XLOOKUP(I383,'Rea - SK'!A:A,'Rea - SK'!E:E),0)+IFERROR(_xludf.XLOOKUP(J383,'Rea - SK'!A:A,'Rea - SK'!E:E),0)+IFERROR(_xludf.XLOOKUP(K383,'Rea - SK'!A:A,'Rea - SK'!E:E),0)</f>
        <v>0</v>
      </c>
      <c r="F383" s="11">
        <f t="array" aca="1" ref="F383" ca="1">MAX(IFERROR(_xludf.XLOOKUP(G383,'Rea - SK'!A:A,'Rea - SK'!F:F),DATE(1966,6,6)),IFERROR(_xludf.XLOOKUP(H383,'Rea - SK'!A:A,'Rea - SK'!F:F),DATE(1966,6,6)),IFERROR(_xludf.XLOOKUP(I383,'Rea - SK'!A:A,'Rea - SK'!F:F),DATE(1966,6,6)),IFERROR(_xludf.XLOOKUP(J383,'Rea - SK'!A:A,'Rea - SK'!F:F),DATE(1966,6,6)),IFERROR(_xludf.XLOOKUP(K383,'Rea - SK'!A:A,'Rea - SK'!F:F),DATE(1966,6,6)))</f>
        <v>24264</v>
      </c>
      <c r="G383" s="2" t="s">
        <v>2489</v>
      </c>
      <c r="H383" s="2" t="s">
        <v>3820</v>
      </c>
      <c r="I383" s="19"/>
      <c r="J383" s="19"/>
      <c r="K383" s="19"/>
      <c r="L383" s="18"/>
    </row>
    <row r="384" spans="1:12" ht="18.75" customHeight="1" x14ac:dyDescent="0.2">
      <c r="A384" s="2" t="s">
        <v>5489</v>
      </c>
      <c r="B384" s="2">
        <v>40861</v>
      </c>
      <c r="C384" s="2">
        <v>5902557386543</v>
      </c>
      <c r="D384" s="4" t="s">
        <v>5490</v>
      </c>
      <c r="E384" s="3">
        <f t="array" aca="1" ref="E384" ca="1">IFERROR(_xludf.XLOOKUP(G384,'Rea - SK'!A:A,'Rea - SK'!E:E),0)+IFERROR(_xludf.XLOOKUP(H384,'Rea - SK'!A:A,'Rea - SK'!E:E),0)+IFERROR(_xludf.XLOOKUP(I384,'Rea - SK'!A:A,'Rea - SK'!E:E),0)+IFERROR(_xludf.XLOOKUP(J384,'Rea - SK'!A:A,'Rea - SK'!E:E),0)+IFERROR(_xludf.XLOOKUP(K384,'Rea - SK'!A:A,'Rea - SK'!E:E),0)</f>
        <v>0</v>
      </c>
      <c r="F384" s="11">
        <f t="array" aca="1" ref="F384" ca="1">MAX(IFERROR(_xludf.XLOOKUP(G384,'Rea - SK'!A:A,'Rea - SK'!F:F),DATE(1966,6,6)),IFERROR(_xludf.XLOOKUP(H384,'Rea - SK'!A:A,'Rea - SK'!F:F),DATE(1966,6,6)),IFERROR(_xludf.XLOOKUP(I384,'Rea - SK'!A:A,'Rea - SK'!F:F),DATE(1966,6,6)),IFERROR(_xludf.XLOOKUP(J384,'Rea - SK'!A:A,'Rea - SK'!F:F),DATE(1966,6,6)),IFERROR(_xludf.XLOOKUP(K384,'Rea - SK'!A:A,'Rea - SK'!F:F),DATE(1966,6,6)))</f>
        <v>24264</v>
      </c>
      <c r="G384" s="2" t="s">
        <v>2487</v>
      </c>
      <c r="H384" s="2" t="s">
        <v>3820</v>
      </c>
      <c r="I384" s="19"/>
      <c r="J384" s="19"/>
      <c r="K384" s="19"/>
      <c r="L384" s="18"/>
    </row>
    <row r="385" spans="1:12" ht="18.75" customHeight="1" x14ac:dyDescent="0.2">
      <c r="A385" s="2" t="s">
        <v>5491</v>
      </c>
      <c r="B385" s="2">
        <v>40859</v>
      </c>
      <c r="C385" s="2">
        <v>5902557396832</v>
      </c>
      <c r="D385" s="4" t="s">
        <v>5492</v>
      </c>
      <c r="E385" s="3">
        <f t="array" aca="1" ref="E385" ca="1">IFERROR(_xludf.XLOOKUP(G385,'Rea - SK'!A:A,'Rea - SK'!E:E),0)+IFERROR(_xludf.XLOOKUP(H385,'Rea - SK'!A:A,'Rea - SK'!E:E),0)+IFERROR(_xludf.XLOOKUP(I385,'Rea - SK'!A:A,'Rea - SK'!E:E),0)+IFERROR(_xludf.XLOOKUP(J385,'Rea - SK'!A:A,'Rea - SK'!E:E),0)+IFERROR(_xludf.XLOOKUP(K385,'Rea - SK'!A:A,'Rea - SK'!E:E),0)</f>
        <v>0</v>
      </c>
      <c r="F385" s="11">
        <f t="array" aca="1" ref="F385" ca="1">MAX(IFERROR(_xludf.XLOOKUP(G385,'Rea - SK'!A:A,'Rea - SK'!F:F),DATE(1966,6,6)),IFERROR(_xludf.XLOOKUP(H385,'Rea - SK'!A:A,'Rea - SK'!F:F),DATE(1966,6,6)),IFERROR(_xludf.XLOOKUP(I385,'Rea - SK'!A:A,'Rea - SK'!F:F),DATE(1966,6,6)),IFERROR(_xludf.XLOOKUP(J385,'Rea - SK'!A:A,'Rea - SK'!F:F),DATE(1966,6,6)),IFERROR(_xludf.XLOOKUP(K385,'Rea - SK'!A:A,'Rea - SK'!F:F),DATE(1966,6,6)))</f>
        <v>24264</v>
      </c>
      <c r="G385" s="2" t="s">
        <v>2485</v>
      </c>
      <c r="H385" s="2" t="s">
        <v>3820</v>
      </c>
      <c r="I385" s="19"/>
      <c r="J385" s="19"/>
      <c r="K385" s="19"/>
      <c r="L385" s="18"/>
    </row>
    <row r="386" spans="1:12" ht="18.75" customHeight="1" x14ac:dyDescent="0.2">
      <c r="A386" s="2" t="s">
        <v>5493</v>
      </c>
      <c r="B386" s="2">
        <v>40858</v>
      </c>
      <c r="C386" s="2">
        <v>5902557396818</v>
      </c>
      <c r="D386" s="4" t="s">
        <v>5494</v>
      </c>
      <c r="E386" s="3">
        <f t="array" aca="1" ref="E386" ca="1">IFERROR(_xludf.XLOOKUP(G386,'Rea - SK'!A:A,'Rea - SK'!E:E),0)+IFERROR(_xludf.XLOOKUP(H386,'Rea - SK'!A:A,'Rea - SK'!E:E),0)+IFERROR(_xludf.XLOOKUP(I386,'Rea - SK'!A:A,'Rea - SK'!E:E),0)+IFERROR(_xludf.XLOOKUP(J386,'Rea - SK'!A:A,'Rea - SK'!E:E),0)+IFERROR(_xludf.XLOOKUP(K386,'Rea - SK'!A:A,'Rea - SK'!E:E),0)</f>
        <v>0</v>
      </c>
      <c r="F386" s="11">
        <f t="array" aca="1" ref="F386" ca="1">MAX(IFERROR(_xludf.XLOOKUP(G386,'Rea - SK'!A:A,'Rea - SK'!F:F),DATE(1966,6,6)),IFERROR(_xludf.XLOOKUP(H386,'Rea - SK'!A:A,'Rea - SK'!F:F),DATE(1966,6,6)),IFERROR(_xludf.XLOOKUP(I386,'Rea - SK'!A:A,'Rea - SK'!F:F),DATE(1966,6,6)),IFERROR(_xludf.XLOOKUP(J386,'Rea - SK'!A:A,'Rea - SK'!F:F),DATE(1966,6,6)),IFERROR(_xludf.XLOOKUP(K386,'Rea - SK'!A:A,'Rea - SK'!F:F),DATE(1966,6,6)))</f>
        <v>24264</v>
      </c>
      <c r="G386" s="2" t="s">
        <v>2493</v>
      </c>
      <c r="H386" s="2" t="s">
        <v>3820</v>
      </c>
      <c r="I386" s="19"/>
      <c r="J386" s="19"/>
      <c r="K386" s="19"/>
      <c r="L386" s="18"/>
    </row>
    <row r="387" spans="1:12" ht="18.75" customHeight="1" x14ac:dyDescent="0.2">
      <c r="A387" s="2" t="s">
        <v>5495</v>
      </c>
      <c r="B387" s="2">
        <v>39581</v>
      </c>
      <c r="C387" s="2"/>
      <c r="D387" s="4" t="s">
        <v>5496</v>
      </c>
      <c r="E387" s="3">
        <f t="array" aca="1" ref="E387" ca="1">IFERROR(_xludf.XLOOKUP(G387,'Rea - SK'!A:A,'Rea - SK'!E:E),0)+IFERROR(_xludf.XLOOKUP(H387,'Rea - SK'!A:A,'Rea - SK'!E:E),0)+IFERROR(_xludf.XLOOKUP(I387,'Rea - SK'!A:A,'Rea - SK'!E:E),0)+IFERROR(_xludf.XLOOKUP(J387,'Rea - SK'!A:A,'Rea - SK'!E:E),0)+IFERROR(_xludf.XLOOKUP(K387,'Rea - SK'!A:A,'Rea - SK'!E:E),0)</f>
        <v>0</v>
      </c>
      <c r="F387" s="11">
        <f t="array" aca="1" ref="F387" ca="1">MAX(IFERROR(_xludf.XLOOKUP(G387,'Rea - SK'!A:A,'Rea - SK'!F:F),DATE(1966,6,6)),IFERROR(_xludf.XLOOKUP(H387,'Rea - SK'!A:A,'Rea - SK'!F:F),DATE(1966,6,6)),IFERROR(_xludf.XLOOKUP(I387,'Rea - SK'!A:A,'Rea - SK'!F:F),DATE(1966,6,6)),IFERROR(_xludf.XLOOKUP(J387,'Rea - SK'!A:A,'Rea - SK'!F:F),DATE(1966,6,6)),IFERROR(_xludf.XLOOKUP(K387,'Rea - SK'!A:A,'Rea - SK'!F:F),DATE(1966,6,6)))</f>
        <v>24264</v>
      </c>
      <c r="G387" s="2" t="s">
        <v>1747</v>
      </c>
      <c r="H387" s="2" t="s">
        <v>1361</v>
      </c>
      <c r="I387" s="19"/>
      <c r="J387" s="19"/>
      <c r="K387" s="19"/>
      <c r="L387" s="18"/>
    </row>
    <row r="388" spans="1:12" ht="18.75" customHeight="1" x14ac:dyDescent="0.2">
      <c r="A388" s="2" t="s">
        <v>5497</v>
      </c>
      <c r="B388" s="2">
        <v>39375</v>
      </c>
      <c r="C388" s="2">
        <v>5902557396146</v>
      </c>
      <c r="D388" s="4" t="s">
        <v>5498</v>
      </c>
      <c r="E388" s="3">
        <f t="array" aca="1" ref="E388" ca="1">IFERROR(_xludf.XLOOKUP(G388,'Rea - SK'!A:A,'Rea - SK'!E:E),0)+IFERROR(_xludf.XLOOKUP(H388,'Rea - SK'!A:A,'Rea - SK'!E:E),0)+IFERROR(_xludf.XLOOKUP(I388,'Rea - SK'!A:A,'Rea - SK'!E:E),0)+IFERROR(_xludf.XLOOKUP(J388,'Rea - SK'!A:A,'Rea - SK'!E:E),0)+IFERROR(_xludf.XLOOKUP(K388,'Rea - SK'!A:A,'Rea - SK'!E:E),0)</f>
        <v>0</v>
      </c>
      <c r="F388" s="11">
        <f t="array" aca="1" ref="F388" ca="1">MAX(IFERROR(_xludf.XLOOKUP(G388,'Rea - SK'!A:A,'Rea - SK'!F:F),DATE(1966,6,6)),IFERROR(_xludf.XLOOKUP(H388,'Rea - SK'!A:A,'Rea - SK'!F:F),DATE(1966,6,6)),IFERROR(_xludf.XLOOKUP(I388,'Rea - SK'!A:A,'Rea - SK'!F:F),DATE(1966,6,6)),IFERROR(_xludf.XLOOKUP(J388,'Rea - SK'!A:A,'Rea - SK'!F:F),DATE(1966,6,6)),IFERROR(_xludf.XLOOKUP(K388,'Rea - SK'!A:A,'Rea - SK'!F:F),DATE(1966,6,6)))</f>
        <v>24264</v>
      </c>
      <c r="G388" s="2" t="s">
        <v>2403</v>
      </c>
      <c r="H388" s="2" t="s">
        <v>2349</v>
      </c>
      <c r="I388" s="19"/>
      <c r="J388" s="19"/>
      <c r="K388" s="19"/>
      <c r="L388" s="18"/>
    </row>
    <row r="389" spans="1:12" ht="18.75" customHeight="1" x14ac:dyDescent="0.2">
      <c r="A389" s="2" t="s">
        <v>5499</v>
      </c>
      <c r="B389" s="2">
        <v>38019</v>
      </c>
      <c r="C389" s="2"/>
      <c r="D389" s="4" t="s">
        <v>5500</v>
      </c>
      <c r="E389" s="3">
        <f t="array" aca="1" ref="E389" ca="1">IFERROR(_xludf.XLOOKUP(G389,'Rea - SK'!A:A,'Rea - SK'!E:E),0)+IFERROR(_xludf.XLOOKUP(H389,'Rea - SK'!A:A,'Rea - SK'!E:E),0)+IFERROR(_xludf.XLOOKUP(I389,'Rea - SK'!A:A,'Rea - SK'!E:E),0)+IFERROR(_xludf.XLOOKUP(J389,'Rea - SK'!A:A,'Rea - SK'!E:E),0)+IFERROR(_xludf.XLOOKUP(K389,'Rea - SK'!A:A,'Rea - SK'!E:E),0)</f>
        <v>0</v>
      </c>
      <c r="F389" s="11">
        <f t="array" aca="1" ref="F389" ca="1">MAX(IFERROR(_xludf.XLOOKUP(G389,'Rea - SK'!A:A,'Rea - SK'!F:F),DATE(1966,6,6)),IFERROR(_xludf.XLOOKUP(H389,'Rea - SK'!A:A,'Rea - SK'!F:F),DATE(1966,6,6)),IFERROR(_xludf.XLOOKUP(I389,'Rea - SK'!A:A,'Rea - SK'!F:F),DATE(1966,6,6)),IFERROR(_xludf.XLOOKUP(J389,'Rea - SK'!A:A,'Rea - SK'!F:F),DATE(1966,6,6)),IFERROR(_xludf.XLOOKUP(K389,'Rea - SK'!A:A,'Rea - SK'!F:F),DATE(1966,6,6)))</f>
        <v>24264</v>
      </c>
      <c r="G389" s="2" t="s">
        <v>1751</v>
      </c>
      <c r="H389" s="2" t="s">
        <v>1365</v>
      </c>
      <c r="I389" s="19"/>
      <c r="J389" s="19"/>
      <c r="K389" s="19"/>
      <c r="L389" s="18"/>
    </row>
    <row r="390" spans="1:12" ht="18.75" customHeight="1" x14ac:dyDescent="0.2">
      <c r="A390" s="2" t="s">
        <v>5501</v>
      </c>
      <c r="B390" s="2">
        <v>38013</v>
      </c>
      <c r="C390" s="2"/>
      <c r="D390" s="4" t="s">
        <v>5502</v>
      </c>
      <c r="E390" s="3">
        <f t="array" aca="1" ref="E390" ca="1">IFERROR(_xludf.XLOOKUP(G390,'Rea - SK'!A:A,'Rea - SK'!E:E),0)+IFERROR(_xludf.XLOOKUP(H390,'Rea - SK'!A:A,'Rea - SK'!E:E),0)+IFERROR(_xludf.XLOOKUP(I390,'Rea - SK'!A:A,'Rea - SK'!E:E),0)+IFERROR(_xludf.XLOOKUP(J390,'Rea - SK'!A:A,'Rea - SK'!E:E),0)+IFERROR(_xludf.XLOOKUP(K390,'Rea - SK'!A:A,'Rea - SK'!E:E),0)</f>
        <v>0</v>
      </c>
      <c r="F390" s="11">
        <f t="array" aca="1" ref="F390" ca="1">MAX(IFERROR(_xludf.XLOOKUP(G390,'Rea - SK'!A:A,'Rea - SK'!F:F),DATE(1966,6,6)),IFERROR(_xludf.XLOOKUP(H390,'Rea - SK'!A:A,'Rea - SK'!F:F),DATE(1966,6,6)),IFERROR(_xludf.XLOOKUP(I390,'Rea - SK'!A:A,'Rea - SK'!F:F),DATE(1966,6,6)),IFERROR(_xludf.XLOOKUP(J390,'Rea - SK'!A:A,'Rea - SK'!F:F),DATE(1966,6,6)),IFERROR(_xludf.XLOOKUP(K390,'Rea - SK'!A:A,'Rea - SK'!F:F),DATE(1966,6,6)))</f>
        <v>24264</v>
      </c>
      <c r="G390" s="2" t="s">
        <v>1749</v>
      </c>
      <c r="H390" s="2" t="s">
        <v>1363</v>
      </c>
      <c r="I390" s="19"/>
      <c r="J390" s="19"/>
      <c r="K390" s="19"/>
      <c r="L390" s="18"/>
    </row>
    <row r="391" spans="1:12" ht="18.75" customHeight="1" x14ac:dyDescent="0.2">
      <c r="A391" s="2" t="s">
        <v>5503</v>
      </c>
      <c r="B391" s="2">
        <v>37496</v>
      </c>
      <c r="C391" s="2">
        <v>5906366004681</v>
      </c>
      <c r="D391" s="4" t="s">
        <v>5504</v>
      </c>
      <c r="E391" s="3">
        <f t="array" aca="1" ref="E391" ca="1">IFERROR(_xludf.XLOOKUP(G391,'Rea - SK'!A:A,'Rea - SK'!E:E),0)+IFERROR(_xludf.XLOOKUP(H391,'Rea - SK'!A:A,'Rea - SK'!E:E),0)+IFERROR(_xludf.XLOOKUP(I391,'Rea - SK'!A:A,'Rea - SK'!E:E),0)+IFERROR(_xludf.XLOOKUP(J391,'Rea - SK'!A:A,'Rea - SK'!E:E),0)+IFERROR(_xludf.XLOOKUP(K391,'Rea - SK'!A:A,'Rea - SK'!E:E),0)</f>
        <v>0</v>
      </c>
      <c r="F391" s="11">
        <f t="array" aca="1" ref="F391" ca="1">MAX(IFERROR(_xludf.XLOOKUP(G391,'Rea - SK'!A:A,'Rea - SK'!F:F),DATE(1966,6,6)),IFERROR(_xludf.XLOOKUP(H391,'Rea - SK'!A:A,'Rea - SK'!F:F),DATE(1966,6,6)),IFERROR(_xludf.XLOOKUP(I391,'Rea - SK'!A:A,'Rea - SK'!F:F),DATE(1966,6,6)),IFERROR(_xludf.XLOOKUP(J391,'Rea - SK'!A:A,'Rea - SK'!F:F),DATE(1966,6,6)),IFERROR(_xludf.XLOOKUP(K391,'Rea - SK'!A:A,'Rea - SK'!F:F),DATE(1966,6,6)))</f>
        <v>24264</v>
      </c>
      <c r="G391" s="2" t="s">
        <v>3123</v>
      </c>
      <c r="H391" s="2" t="s">
        <v>2363</v>
      </c>
      <c r="I391" s="19"/>
      <c r="J391" s="19"/>
      <c r="K391" s="19"/>
      <c r="L391" s="18"/>
    </row>
    <row r="392" spans="1:12" ht="18.75" customHeight="1" x14ac:dyDescent="0.2">
      <c r="A392" s="2" t="s">
        <v>5505</v>
      </c>
      <c r="B392" s="2">
        <v>35310</v>
      </c>
      <c r="C392" s="2">
        <v>5902557396115</v>
      </c>
      <c r="D392" s="4" t="s">
        <v>5506</v>
      </c>
      <c r="E392" s="3">
        <f t="array" aca="1" ref="E392" ca="1">IFERROR(_xludf.XLOOKUP(G392,'Rea - SK'!A:A,'Rea - SK'!E:E),0)+IFERROR(_xludf.XLOOKUP(H392,'Rea - SK'!A:A,'Rea - SK'!E:E),0)+IFERROR(_xludf.XLOOKUP(I392,'Rea - SK'!A:A,'Rea - SK'!E:E),0)+IFERROR(_xludf.XLOOKUP(J392,'Rea - SK'!A:A,'Rea - SK'!E:E),0)+IFERROR(_xludf.XLOOKUP(K392,'Rea - SK'!A:A,'Rea - SK'!E:E),0)</f>
        <v>0</v>
      </c>
      <c r="F392" s="11">
        <f t="array" aca="1" ref="F392" ca="1">MAX(IFERROR(_xludf.XLOOKUP(G392,'Rea - SK'!A:A,'Rea - SK'!F:F),DATE(1966,6,6)),IFERROR(_xludf.XLOOKUP(H392,'Rea - SK'!A:A,'Rea - SK'!F:F),DATE(1966,6,6)),IFERROR(_xludf.XLOOKUP(I392,'Rea - SK'!A:A,'Rea - SK'!F:F),DATE(1966,6,6)),IFERROR(_xludf.XLOOKUP(J392,'Rea - SK'!A:A,'Rea - SK'!F:F),DATE(1966,6,6)),IFERROR(_xludf.XLOOKUP(K392,'Rea - SK'!A:A,'Rea - SK'!F:F),DATE(1966,6,6)))</f>
        <v>24264</v>
      </c>
      <c r="G392" s="2" t="s">
        <v>2403</v>
      </c>
      <c r="H392" s="2" t="s">
        <v>2353</v>
      </c>
      <c r="I392" s="19"/>
      <c r="J392" s="19"/>
      <c r="K392" s="19"/>
      <c r="L392" s="18"/>
    </row>
    <row r="393" spans="1:12" ht="18.75" customHeight="1" x14ac:dyDescent="0.2">
      <c r="A393" s="2" t="s">
        <v>5507</v>
      </c>
      <c r="B393" s="2">
        <v>35309</v>
      </c>
      <c r="C393" s="2">
        <v>5902557396160</v>
      </c>
      <c r="D393" s="4" t="s">
        <v>5508</v>
      </c>
      <c r="E393" s="3">
        <f t="array" aca="1" ref="E393" ca="1">IFERROR(_xludf.XLOOKUP(G393,'Rea - SK'!A:A,'Rea - SK'!E:E),0)+IFERROR(_xludf.XLOOKUP(H393,'Rea - SK'!A:A,'Rea - SK'!E:E),0)+IFERROR(_xludf.XLOOKUP(I393,'Rea - SK'!A:A,'Rea - SK'!E:E),0)+IFERROR(_xludf.XLOOKUP(J393,'Rea - SK'!A:A,'Rea - SK'!E:E),0)+IFERROR(_xludf.XLOOKUP(K393,'Rea - SK'!A:A,'Rea - SK'!E:E),0)</f>
        <v>0</v>
      </c>
      <c r="F393" s="11">
        <f t="array" aca="1" ref="F393" ca="1">MAX(IFERROR(_xludf.XLOOKUP(G393,'Rea - SK'!A:A,'Rea - SK'!F:F),DATE(1966,6,6)),IFERROR(_xludf.XLOOKUP(H393,'Rea - SK'!A:A,'Rea - SK'!F:F),DATE(1966,6,6)),IFERROR(_xludf.XLOOKUP(I393,'Rea - SK'!A:A,'Rea - SK'!F:F),DATE(1966,6,6)),IFERROR(_xludf.XLOOKUP(J393,'Rea - SK'!A:A,'Rea - SK'!F:F),DATE(1966,6,6)),IFERROR(_xludf.XLOOKUP(K393,'Rea - SK'!A:A,'Rea - SK'!F:F),DATE(1966,6,6)))</f>
        <v>24264</v>
      </c>
      <c r="G393" s="2" t="s">
        <v>2403</v>
      </c>
      <c r="H393" s="2" t="s">
        <v>2345</v>
      </c>
      <c r="I393" s="19"/>
      <c r="J393" s="19"/>
      <c r="K393" s="19"/>
      <c r="L393" s="18"/>
    </row>
    <row r="394" spans="1:12" ht="18.75" customHeight="1" x14ac:dyDescent="0.2">
      <c r="A394" s="16" t="s">
        <v>5509</v>
      </c>
      <c r="B394" s="2">
        <v>34329</v>
      </c>
      <c r="C394" s="2">
        <v>5906366005718</v>
      </c>
      <c r="D394" s="4" t="s">
        <v>5510</v>
      </c>
      <c r="E394" s="3">
        <f t="array" aca="1" ref="E394" ca="1">IFERROR(_xludf.XLOOKUP(G394,'Rea - SK'!A:A,'Rea - SK'!E:E),0)+IFERROR(_xludf.XLOOKUP(H394,'Rea - SK'!A:A,'Rea - SK'!E:E),0)+IFERROR(_xludf.XLOOKUP(I394,'Rea - SK'!A:A,'Rea - SK'!E:E),0)+IFERROR(_xludf.XLOOKUP(J394,'Rea - SK'!A:A,'Rea - SK'!E:E),0)+IFERROR(_xludf.XLOOKUP(K394,'Rea - SK'!A:A,'Rea - SK'!E:E),0)</f>
        <v>0</v>
      </c>
      <c r="F394" s="11">
        <f t="array" aca="1" ref="F394" ca="1">MAX(IFERROR(_xludf.XLOOKUP(G394,'Rea - SK'!A:A,'Rea - SK'!F:F),DATE(1966,6,6)),IFERROR(_xludf.XLOOKUP(H394,'Rea - SK'!A:A,'Rea - SK'!F:F),DATE(1966,6,6)),IFERROR(_xludf.XLOOKUP(I394,'Rea - SK'!A:A,'Rea - SK'!F:F),DATE(1966,6,6)),IFERROR(_xludf.XLOOKUP(J394,'Rea - SK'!A:A,'Rea - SK'!F:F),DATE(1966,6,6)),IFERROR(_xludf.XLOOKUP(K394,'Rea - SK'!A:A,'Rea - SK'!F:F),DATE(1966,6,6)))</f>
        <v>24264</v>
      </c>
      <c r="G394" s="2" t="s">
        <v>5511</v>
      </c>
      <c r="H394" s="2" t="s">
        <v>2617</v>
      </c>
      <c r="I394" s="19"/>
      <c r="J394" s="19"/>
      <c r="K394" s="19"/>
      <c r="L394" s="18"/>
    </row>
    <row r="395" spans="1:12" ht="18.75" customHeight="1" x14ac:dyDescent="0.2">
      <c r="A395" s="2" t="s">
        <v>5512</v>
      </c>
      <c r="B395" s="2">
        <v>34320</v>
      </c>
      <c r="C395" s="2">
        <v>5902557390465</v>
      </c>
      <c r="D395" s="4" t="s">
        <v>5513</v>
      </c>
      <c r="E395" s="3">
        <f t="array" aca="1" ref="E395" ca="1">IFERROR(_xludf.XLOOKUP(G395,'Rea - SK'!A:A,'Rea - SK'!E:E),0)+IFERROR(_xludf.XLOOKUP(H395,'Rea - SK'!A:A,'Rea - SK'!E:E),0)+IFERROR(_xludf.XLOOKUP(I395,'Rea - SK'!A:A,'Rea - SK'!E:E),0)+IFERROR(_xludf.XLOOKUP(J395,'Rea - SK'!A:A,'Rea - SK'!E:E),0)+IFERROR(_xludf.XLOOKUP(K395,'Rea - SK'!A:A,'Rea - SK'!E:E),0)</f>
        <v>0</v>
      </c>
      <c r="F395" s="11">
        <f t="array" aca="1" ref="F395" ca="1">MAX(IFERROR(_xludf.XLOOKUP(G395,'Rea - SK'!A:A,'Rea - SK'!F:F),DATE(1966,6,6)),IFERROR(_xludf.XLOOKUP(H395,'Rea - SK'!A:A,'Rea - SK'!F:F),DATE(1966,6,6)),IFERROR(_xludf.XLOOKUP(I395,'Rea - SK'!A:A,'Rea - SK'!F:F),DATE(1966,6,6)),IFERROR(_xludf.XLOOKUP(J395,'Rea - SK'!A:A,'Rea - SK'!F:F),DATE(1966,6,6)),IFERROR(_xludf.XLOOKUP(K395,'Rea - SK'!A:A,'Rea - SK'!F:F),DATE(1966,6,6)))</f>
        <v>24264</v>
      </c>
      <c r="G395" s="3" t="s">
        <v>1565</v>
      </c>
      <c r="H395" s="2" t="s">
        <v>2617</v>
      </c>
      <c r="I395" s="19"/>
      <c r="J395" s="19"/>
      <c r="K395" s="19"/>
      <c r="L395" s="18"/>
    </row>
    <row r="396" spans="1:12" ht="18.75" customHeight="1" x14ac:dyDescent="0.2">
      <c r="A396" s="2" t="s">
        <v>5514</v>
      </c>
      <c r="B396" s="2">
        <v>34319</v>
      </c>
      <c r="C396" s="2">
        <v>5902557390458</v>
      </c>
      <c r="D396" s="4" t="s">
        <v>5515</v>
      </c>
      <c r="E396" s="3">
        <f t="array" aca="1" ref="E396" ca="1">IFERROR(_xludf.XLOOKUP(G396,'Rea - SK'!A:A,'Rea - SK'!E:E),0)+IFERROR(_xludf.XLOOKUP(H396,'Rea - SK'!A:A,'Rea - SK'!E:E),0)+IFERROR(_xludf.XLOOKUP(I396,'Rea - SK'!A:A,'Rea - SK'!E:E),0)+IFERROR(_xludf.XLOOKUP(J396,'Rea - SK'!A:A,'Rea - SK'!E:E),0)+IFERROR(_xludf.XLOOKUP(K396,'Rea - SK'!A:A,'Rea - SK'!E:E),0)</f>
        <v>0</v>
      </c>
      <c r="F396" s="11">
        <f t="array" aca="1" ref="F396" ca="1">MAX(IFERROR(_xludf.XLOOKUP(G396,'Rea - SK'!A:A,'Rea - SK'!F:F),DATE(1966,6,6)),IFERROR(_xludf.XLOOKUP(H396,'Rea - SK'!A:A,'Rea - SK'!F:F),DATE(1966,6,6)),IFERROR(_xludf.XLOOKUP(I396,'Rea - SK'!A:A,'Rea - SK'!F:F),DATE(1966,6,6)),IFERROR(_xludf.XLOOKUP(J396,'Rea - SK'!A:A,'Rea - SK'!F:F),DATE(1966,6,6)),IFERROR(_xludf.XLOOKUP(K396,'Rea - SK'!A:A,'Rea - SK'!F:F),DATE(1966,6,6)))</f>
        <v>24264</v>
      </c>
      <c r="G396" s="3" t="s">
        <v>1565</v>
      </c>
      <c r="H396" s="2" t="s">
        <v>2621</v>
      </c>
      <c r="I396" s="19"/>
      <c r="J396" s="19"/>
      <c r="K396" s="19"/>
      <c r="L396" s="18"/>
    </row>
    <row r="397" spans="1:12" ht="18.75" customHeight="1" x14ac:dyDescent="0.2">
      <c r="A397" s="2" t="s">
        <v>5516</v>
      </c>
      <c r="B397" s="2">
        <v>34318</v>
      </c>
      <c r="C397" s="2">
        <v>5902557390441</v>
      </c>
      <c r="D397" s="4" t="s">
        <v>5517</v>
      </c>
      <c r="E397" s="3">
        <f t="array" aca="1" ref="E397" ca="1">IFERROR(_xludf.XLOOKUP(G397,'Rea - SK'!A:A,'Rea - SK'!E:E),0)+IFERROR(_xludf.XLOOKUP(H397,'Rea - SK'!A:A,'Rea - SK'!E:E),0)+IFERROR(_xludf.XLOOKUP(I397,'Rea - SK'!A:A,'Rea - SK'!E:E),0)+IFERROR(_xludf.XLOOKUP(J397,'Rea - SK'!A:A,'Rea - SK'!E:E),0)+IFERROR(_xludf.XLOOKUP(K397,'Rea - SK'!A:A,'Rea - SK'!E:E),0)</f>
        <v>0</v>
      </c>
      <c r="F397" s="11">
        <f t="array" aca="1" ref="F397" ca="1">MAX(IFERROR(_xludf.XLOOKUP(G397,'Rea - SK'!A:A,'Rea - SK'!F:F),DATE(1966,6,6)),IFERROR(_xludf.XLOOKUP(H397,'Rea - SK'!A:A,'Rea - SK'!F:F),DATE(1966,6,6)),IFERROR(_xludf.XLOOKUP(I397,'Rea - SK'!A:A,'Rea - SK'!F:F),DATE(1966,6,6)),IFERROR(_xludf.XLOOKUP(J397,'Rea - SK'!A:A,'Rea - SK'!F:F),DATE(1966,6,6)),IFERROR(_xludf.XLOOKUP(K397,'Rea - SK'!A:A,'Rea - SK'!F:F),DATE(1966,6,6)))</f>
        <v>24264</v>
      </c>
      <c r="G397" s="3" t="s">
        <v>1565</v>
      </c>
      <c r="H397" s="2" t="s">
        <v>2619</v>
      </c>
      <c r="I397" s="19"/>
      <c r="J397" s="19"/>
      <c r="K397" s="19"/>
      <c r="L397" s="18"/>
    </row>
    <row r="398" spans="1:12" ht="18.75" customHeight="1" x14ac:dyDescent="0.2">
      <c r="A398" s="2" t="s">
        <v>5518</v>
      </c>
      <c r="B398" s="2">
        <v>34314</v>
      </c>
      <c r="C398" s="2">
        <v>5902557390434</v>
      </c>
      <c r="D398" s="4" t="s">
        <v>5519</v>
      </c>
      <c r="E398" s="3">
        <f t="array" aca="1" ref="E398" ca="1">IFERROR(_xludf.XLOOKUP(G398,'Rea - SK'!A:A,'Rea - SK'!E:E),0)+IFERROR(_xludf.XLOOKUP(H398,'Rea - SK'!A:A,'Rea - SK'!E:E),0)+IFERROR(_xludf.XLOOKUP(I398,'Rea - SK'!A:A,'Rea - SK'!E:E),0)+IFERROR(_xludf.XLOOKUP(J398,'Rea - SK'!A:A,'Rea - SK'!E:E),0)+IFERROR(_xludf.XLOOKUP(K398,'Rea - SK'!A:A,'Rea - SK'!E:E),0)</f>
        <v>0</v>
      </c>
      <c r="F398" s="11">
        <f t="array" aca="1" ref="F398" ca="1">MAX(IFERROR(_xludf.XLOOKUP(G398,'Rea - SK'!A:A,'Rea - SK'!F:F),DATE(1966,6,6)),IFERROR(_xludf.XLOOKUP(H398,'Rea - SK'!A:A,'Rea - SK'!F:F),DATE(1966,6,6)),IFERROR(_xludf.XLOOKUP(I398,'Rea - SK'!A:A,'Rea - SK'!F:F),DATE(1966,6,6)),IFERROR(_xludf.XLOOKUP(J398,'Rea - SK'!A:A,'Rea - SK'!F:F),DATE(1966,6,6)),IFERROR(_xludf.XLOOKUP(K398,'Rea - SK'!A:A,'Rea - SK'!F:F),DATE(1966,6,6)))</f>
        <v>24264</v>
      </c>
      <c r="G398" s="3" t="s">
        <v>1563</v>
      </c>
      <c r="H398" s="2" t="s">
        <v>2617</v>
      </c>
      <c r="I398" s="19"/>
      <c r="J398" s="19"/>
      <c r="K398" s="19"/>
      <c r="L398" s="18"/>
    </row>
    <row r="399" spans="1:12" ht="18.75" customHeight="1" x14ac:dyDescent="0.2">
      <c r="A399" s="2" t="s">
        <v>5520</v>
      </c>
      <c r="B399" s="2">
        <v>34313</v>
      </c>
      <c r="C399" s="2">
        <v>5902557390427</v>
      </c>
      <c r="D399" s="4" t="s">
        <v>5521</v>
      </c>
      <c r="E399" s="3">
        <f t="array" aca="1" ref="E399" ca="1">IFERROR(_xludf.XLOOKUP(G399,'Rea - SK'!A:A,'Rea - SK'!E:E),0)+IFERROR(_xludf.XLOOKUP(H399,'Rea - SK'!A:A,'Rea - SK'!E:E),0)+IFERROR(_xludf.XLOOKUP(I399,'Rea - SK'!A:A,'Rea - SK'!E:E),0)+IFERROR(_xludf.XLOOKUP(J399,'Rea - SK'!A:A,'Rea - SK'!E:E),0)+IFERROR(_xludf.XLOOKUP(K399,'Rea - SK'!A:A,'Rea - SK'!E:E),0)</f>
        <v>0</v>
      </c>
      <c r="F399" s="11">
        <f t="array" aca="1" ref="F399" ca="1">MAX(IFERROR(_xludf.XLOOKUP(G399,'Rea - SK'!A:A,'Rea - SK'!F:F),DATE(1966,6,6)),IFERROR(_xludf.XLOOKUP(H399,'Rea - SK'!A:A,'Rea - SK'!F:F),DATE(1966,6,6)),IFERROR(_xludf.XLOOKUP(I399,'Rea - SK'!A:A,'Rea - SK'!F:F),DATE(1966,6,6)),IFERROR(_xludf.XLOOKUP(J399,'Rea - SK'!A:A,'Rea - SK'!F:F),DATE(1966,6,6)),IFERROR(_xludf.XLOOKUP(K399,'Rea - SK'!A:A,'Rea - SK'!F:F),DATE(1966,6,6)))</f>
        <v>24264</v>
      </c>
      <c r="G399" s="3" t="s">
        <v>1563</v>
      </c>
      <c r="H399" s="2" t="s">
        <v>2621</v>
      </c>
      <c r="I399" s="19"/>
      <c r="J399" s="19"/>
      <c r="K399" s="19"/>
      <c r="L399" s="18"/>
    </row>
    <row r="400" spans="1:12" ht="18.75" customHeight="1" x14ac:dyDescent="0.2">
      <c r="A400" s="2" t="s">
        <v>5522</v>
      </c>
      <c r="B400" s="2">
        <v>34312</v>
      </c>
      <c r="C400" s="2">
        <v>5902557390410</v>
      </c>
      <c r="D400" s="4" t="s">
        <v>5523</v>
      </c>
      <c r="E400" s="3">
        <f t="array" aca="1" ref="E400" ca="1">IFERROR(_xludf.XLOOKUP(G400,'Rea - SK'!A:A,'Rea - SK'!E:E),0)+IFERROR(_xludf.XLOOKUP(H400,'Rea - SK'!A:A,'Rea - SK'!E:E),0)+IFERROR(_xludf.XLOOKUP(I400,'Rea - SK'!A:A,'Rea - SK'!E:E),0)+IFERROR(_xludf.XLOOKUP(J400,'Rea - SK'!A:A,'Rea - SK'!E:E),0)+IFERROR(_xludf.XLOOKUP(K400,'Rea - SK'!A:A,'Rea - SK'!E:E),0)</f>
        <v>0</v>
      </c>
      <c r="F400" s="11">
        <f t="array" aca="1" ref="F400" ca="1">MAX(IFERROR(_xludf.XLOOKUP(G400,'Rea - SK'!A:A,'Rea - SK'!F:F),DATE(1966,6,6)),IFERROR(_xludf.XLOOKUP(H400,'Rea - SK'!A:A,'Rea - SK'!F:F),DATE(1966,6,6)),IFERROR(_xludf.XLOOKUP(I400,'Rea - SK'!A:A,'Rea - SK'!F:F),DATE(1966,6,6)),IFERROR(_xludf.XLOOKUP(J400,'Rea - SK'!A:A,'Rea - SK'!F:F),DATE(1966,6,6)),IFERROR(_xludf.XLOOKUP(K400,'Rea - SK'!A:A,'Rea - SK'!F:F),DATE(1966,6,6)))</f>
        <v>24264</v>
      </c>
      <c r="G400" s="3" t="s">
        <v>1563</v>
      </c>
      <c r="H400" s="2" t="s">
        <v>2619</v>
      </c>
      <c r="I400" s="19"/>
      <c r="J400" s="19"/>
      <c r="K400" s="19"/>
      <c r="L400" s="18"/>
    </row>
    <row r="401" spans="1:12" ht="18.75" customHeight="1" x14ac:dyDescent="0.2">
      <c r="A401" s="2" t="s">
        <v>5524</v>
      </c>
      <c r="B401" s="2">
        <v>34311</v>
      </c>
      <c r="C401" s="2">
        <v>5902557390403</v>
      </c>
      <c r="D401" s="4" t="s">
        <v>5525</v>
      </c>
      <c r="E401" s="3">
        <f t="array" aca="1" ref="E401" ca="1">IFERROR(_xludf.XLOOKUP(G401,'Rea - SK'!A:A,'Rea - SK'!E:E),0)+IFERROR(_xludf.XLOOKUP(H401,'Rea - SK'!A:A,'Rea - SK'!E:E),0)+IFERROR(_xludf.XLOOKUP(I401,'Rea - SK'!A:A,'Rea - SK'!E:E),0)+IFERROR(_xludf.XLOOKUP(J401,'Rea - SK'!A:A,'Rea - SK'!E:E),0)+IFERROR(_xludf.XLOOKUP(K401,'Rea - SK'!A:A,'Rea - SK'!E:E),0)</f>
        <v>0</v>
      </c>
      <c r="F401" s="11">
        <f t="array" aca="1" ref="F401" ca="1">MAX(IFERROR(_xludf.XLOOKUP(G401,'Rea - SK'!A:A,'Rea - SK'!F:F),DATE(1966,6,6)),IFERROR(_xludf.XLOOKUP(H401,'Rea - SK'!A:A,'Rea - SK'!F:F),DATE(1966,6,6)),IFERROR(_xludf.XLOOKUP(I401,'Rea - SK'!A:A,'Rea - SK'!F:F),DATE(1966,6,6)),IFERROR(_xludf.XLOOKUP(J401,'Rea - SK'!A:A,'Rea - SK'!F:F),DATE(1966,6,6)),IFERROR(_xludf.XLOOKUP(K401,'Rea - SK'!A:A,'Rea - SK'!F:F),DATE(1966,6,6)))</f>
        <v>24264</v>
      </c>
      <c r="G401" s="3" t="s">
        <v>1571</v>
      </c>
      <c r="H401" s="2" t="s">
        <v>2617</v>
      </c>
      <c r="I401" s="19"/>
      <c r="J401" s="19"/>
      <c r="K401" s="19"/>
      <c r="L401" s="18"/>
    </row>
    <row r="402" spans="1:12" ht="18.75" customHeight="1" x14ac:dyDescent="0.2">
      <c r="A402" s="2" t="s">
        <v>5526</v>
      </c>
      <c r="B402" s="2">
        <v>34310</v>
      </c>
      <c r="C402" s="2">
        <v>5902557390397</v>
      </c>
      <c r="D402" s="4" t="s">
        <v>5527</v>
      </c>
      <c r="E402" s="3">
        <f t="array" aca="1" ref="E402" ca="1">IFERROR(_xludf.XLOOKUP(G402,'Rea - SK'!A:A,'Rea - SK'!E:E),0)+IFERROR(_xludf.XLOOKUP(H402,'Rea - SK'!A:A,'Rea - SK'!E:E),0)+IFERROR(_xludf.XLOOKUP(I402,'Rea - SK'!A:A,'Rea - SK'!E:E),0)+IFERROR(_xludf.XLOOKUP(J402,'Rea - SK'!A:A,'Rea - SK'!E:E),0)+IFERROR(_xludf.XLOOKUP(K402,'Rea - SK'!A:A,'Rea - SK'!E:E),0)</f>
        <v>0</v>
      </c>
      <c r="F402" s="11">
        <f t="array" aca="1" ref="F402" ca="1">MAX(IFERROR(_xludf.XLOOKUP(G402,'Rea - SK'!A:A,'Rea - SK'!F:F),DATE(1966,6,6)),IFERROR(_xludf.XLOOKUP(H402,'Rea - SK'!A:A,'Rea - SK'!F:F),DATE(1966,6,6)),IFERROR(_xludf.XLOOKUP(I402,'Rea - SK'!A:A,'Rea - SK'!F:F),DATE(1966,6,6)),IFERROR(_xludf.XLOOKUP(J402,'Rea - SK'!A:A,'Rea - SK'!F:F),DATE(1966,6,6)),IFERROR(_xludf.XLOOKUP(K402,'Rea - SK'!A:A,'Rea - SK'!F:F),DATE(1966,6,6)))</f>
        <v>24264</v>
      </c>
      <c r="G402" s="3" t="s">
        <v>1571</v>
      </c>
      <c r="H402" s="2" t="s">
        <v>2621</v>
      </c>
      <c r="I402" s="19"/>
      <c r="J402" s="19"/>
      <c r="K402" s="19"/>
      <c r="L402" s="18"/>
    </row>
    <row r="403" spans="1:12" ht="18.75" customHeight="1" x14ac:dyDescent="0.2">
      <c r="A403" s="2" t="s">
        <v>5528</v>
      </c>
      <c r="B403" s="2">
        <v>34309</v>
      </c>
      <c r="C403" s="2">
        <v>5902557390380</v>
      </c>
      <c r="D403" s="4" t="s">
        <v>5529</v>
      </c>
      <c r="E403" s="3">
        <f t="array" aca="1" ref="E403" ca="1">IFERROR(_xludf.XLOOKUP(G403,'Rea - SK'!A:A,'Rea - SK'!E:E),0)+IFERROR(_xludf.XLOOKUP(H403,'Rea - SK'!A:A,'Rea - SK'!E:E),0)+IFERROR(_xludf.XLOOKUP(I403,'Rea - SK'!A:A,'Rea - SK'!E:E),0)+IFERROR(_xludf.XLOOKUP(J403,'Rea - SK'!A:A,'Rea - SK'!E:E),0)+IFERROR(_xludf.XLOOKUP(K403,'Rea - SK'!A:A,'Rea - SK'!E:E),0)</f>
        <v>0</v>
      </c>
      <c r="F403" s="11">
        <f t="array" aca="1" ref="F403" ca="1">MAX(IFERROR(_xludf.XLOOKUP(G403,'Rea - SK'!A:A,'Rea - SK'!F:F),DATE(1966,6,6)),IFERROR(_xludf.XLOOKUP(H403,'Rea - SK'!A:A,'Rea - SK'!F:F),DATE(1966,6,6)),IFERROR(_xludf.XLOOKUP(I403,'Rea - SK'!A:A,'Rea - SK'!F:F),DATE(1966,6,6)),IFERROR(_xludf.XLOOKUP(J403,'Rea - SK'!A:A,'Rea - SK'!F:F),DATE(1966,6,6)),IFERROR(_xludf.XLOOKUP(K403,'Rea - SK'!A:A,'Rea - SK'!F:F),DATE(1966,6,6)))</f>
        <v>24264</v>
      </c>
      <c r="G403" s="3" t="s">
        <v>1571</v>
      </c>
      <c r="H403" s="2" t="s">
        <v>2619</v>
      </c>
      <c r="I403" s="19"/>
      <c r="J403" s="19"/>
      <c r="K403" s="19"/>
      <c r="L403" s="18"/>
    </row>
    <row r="404" spans="1:12" ht="18.75" customHeight="1" x14ac:dyDescent="0.2">
      <c r="A404" s="2" t="s">
        <v>5530</v>
      </c>
      <c r="B404" s="2">
        <v>34308</v>
      </c>
      <c r="C404" s="2">
        <v>5902557390373</v>
      </c>
      <c r="D404" s="4" t="s">
        <v>5531</v>
      </c>
      <c r="E404" s="3">
        <f t="array" aca="1" ref="E404" ca="1">IFERROR(_xludf.XLOOKUP(G404,'Rea - SK'!A:A,'Rea - SK'!E:E),0)+IFERROR(_xludf.XLOOKUP(H404,'Rea - SK'!A:A,'Rea - SK'!E:E),0)+IFERROR(_xludf.XLOOKUP(I404,'Rea - SK'!A:A,'Rea - SK'!E:E),0)+IFERROR(_xludf.XLOOKUP(J404,'Rea - SK'!A:A,'Rea - SK'!E:E),0)+IFERROR(_xludf.XLOOKUP(K404,'Rea - SK'!A:A,'Rea - SK'!E:E),0)</f>
        <v>0</v>
      </c>
      <c r="F404" s="11">
        <f t="array" aca="1" ref="F404" ca="1">MAX(IFERROR(_xludf.XLOOKUP(G404,'Rea - SK'!A:A,'Rea - SK'!F:F),DATE(1966,6,6)),IFERROR(_xludf.XLOOKUP(H404,'Rea - SK'!A:A,'Rea - SK'!F:F),DATE(1966,6,6)),IFERROR(_xludf.XLOOKUP(I404,'Rea - SK'!A:A,'Rea - SK'!F:F),DATE(1966,6,6)),IFERROR(_xludf.XLOOKUP(J404,'Rea - SK'!A:A,'Rea - SK'!F:F),DATE(1966,6,6)),IFERROR(_xludf.XLOOKUP(K404,'Rea - SK'!A:A,'Rea - SK'!F:F),DATE(1966,6,6)))</f>
        <v>24264</v>
      </c>
      <c r="G404" s="3" t="s">
        <v>1569</v>
      </c>
      <c r="H404" s="2" t="s">
        <v>2617</v>
      </c>
      <c r="I404" s="19"/>
      <c r="J404" s="19"/>
      <c r="K404" s="19"/>
      <c r="L404" s="18"/>
    </row>
    <row r="405" spans="1:12" ht="18.75" customHeight="1" x14ac:dyDescent="0.2">
      <c r="A405" s="2" t="s">
        <v>5532</v>
      </c>
      <c r="B405" s="2">
        <v>34307</v>
      </c>
      <c r="C405" s="2">
        <v>5902557390366</v>
      </c>
      <c r="D405" s="4" t="s">
        <v>5533</v>
      </c>
      <c r="E405" s="3">
        <f t="array" aca="1" ref="E405" ca="1">IFERROR(_xludf.XLOOKUP(G405,'Rea - SK'!A:A,'Rea - SK'!E:E),0)+IFERROR(_xludf.XLOOKUP(H405,'Rea - SK'!A:A,'Rea - SK'!E:E),0)+IFERROR(_xludf.XLOOKUP(I405,'Rea - SK'!A:A,'Rea - SK'!E:E),0)+IFERROR(_xludf.XLOOKUP(J405,'Rea - SK'!A:A,'Rea - SK'!E:E),0)+IFERROR(_xludf.XLOOKUP(K405,'Rea - SK'!A:A,'Rea - SK'!E:E),0)</f>
        <v>0</v>
      </c>
      <c r="F405" s="11">
        <f t="array" aca="1" ref="F405" ca="1">MAX(IFERROR(_xludf.XLOOKUP(G405,'Rea - SK'!A:A,'Rea - SK'!F:F),DATE(1966,6,6)),IFERROR(_xludf.XLOOKUP(H405,'Rea - SK'!A:A,'Rea - SK'!F:F),DATE(1966,6,6)),IFERROR(_xludf.XLOOKUP(I405,'Rea - SK'!A:A,'Rea - SK'!F:F),DATE(1966,6,6)),IFERROR(_xludf.XLOOKUP(J405,'Rea - SK'!A:A,'Rea - SK'!F:F),DATE(1966,6,6)),IFERROR(_xludf.XLOOKUP(K405,'Rea - SK'!A:A,'Rea - SK'!F:F),DATE(1966,6,6)))</f>
        <v>24264</v>
      </c>
      <c r="G405" s="3" t="s">
        <v>1569</v>
      </c>
      <c r="H405" s="2" t="s">
        <v>2621</v>
      </c>
      <c r="I405" s="19"/>
      <c r="J405" s="19"/>
      <c r="K405" s="19"/>
      <c r="L405" s="18"/>
    </row>
    <row r="406" spans="1:12" ht="18.75" customHeight="1" x14ac:dyDescent="0.2">
      <c r="A406" s="2" t="s">
        <v>5534</v>
      </c>
      <c r="B406" s="2">
        <v>34306</v>
      </c>
      <c r="C406" s="2">
        <v>5902557390359</v>
      </c>
      <c r="D406" s="4" t="s">
        <v>5535</v>
      </c>
      <c r="E406" s="3">
        <f t="array" aca="1" ref="E406" ca="1">IFERROR(_xludf.XLOOKUP(G406,'Rea - SK'!A:A,'Rea - SK'!E:E),0)+IFERROR(_xludf.XLOOKUP(H406,'Rea - SK'!A:A,'Rea - SK'!E:E),0)+IFERROR(_xludf.XLOOKUP(I406,'Rea - SK'!A:A,'Rea - SK'!E:E),0)+IFERROR(_xludf.XLOOKUP(J406,'Rea - SK'!A:A,'Rea - SK'!E:E),0)+IFERROR(_xludf.XLOOKUP(K406,'Rea - SK'!A:A,'Rea - SK'!E:E),0)</f>
        <v>0</v>
      </c>
      <c r="F406" s="11">
        <f t="array" aca="1" ref="F406" ca="1">MAX(IFERROR(_xludf.XLOOKUP(G406,'Rea - SK'!A:A,'Rea - SK'!F:F),DATE(1966,6,6)),IFERROR(_xludf.XLOOKUP(H406,'Rea - SK'!A:A,'Rea - SK'!F:F),DATE(1966,6,6)),IFERROR(_xludf.XLOOKUP(I406,'Rea - SK'!A:A,'Rea - SK'!F:F),DATE(1966,6,6)),IFERROR(_xludf.XLOOKUP(J406,'Rea - SK'!A:A,'Rea - SK'!F:F),DATE(1966,6,6)),IFERROR(_xludf.XLOOKUP(K406,'Rea - SK'!A:A,'Rea - SK'!F:F),DATE(1966,6,6)))</f>
        <v>24264</v>
      </c>
      <c r="G406" s="3" t="s">
        <v>1569</v>
      </c>
      <c r="H406" s="2" t="s">
        <v>2619</v>
      </c>
      <c r="I406" s="19"/>
      <c r="J406" s="19"/>
      <c r="K406" s="19"/>
      <c r="L406" s="18"/>
    </row>
    <row r="407" spans="1:12" ht="18.75" customHeight="1" x14ac:dyDescent="0.2">
      <c r="A407" s="2" t="s">
        <v>5536</v>
      </c>
      <c r="B407" s="2">
        <v>34305</v>
      </c>
      <c r="C407" s="2">
        <v>5902557390342</v>
      </c>
      <c r="D407" s="4" t="s">
        <v>5537</v>
      </c>
      <c r="E407" s="3">
        <f t="array" aca="1" ref="E407" ca="1">IFERROR(_xludf.XLOOKUP(G407,'Rea - SK'!A:A,'Rea - SK'!E:E),0)+IFERROR(_xludf.XLOOKUP(H407,'Rea - SK'!A:A,'Rea - SK'!E:E),0)+IFERROR(_xludf.XLOOKUP(I407,'Rea - SK'!A:A,'Rea - SK'!E:E),0)+IFERROR(_xludf.XLOOKUP(J407,'Rea - SK'!A:A,'Rea - SK'!E:E),0)+IFERROR(_xludf.XLOOKUP(K407,'Rea - SK'!A:A,'Rea - SK'!E:E),0)</f>
        <v>0</v>
      </c>
      <c r="F407" s="11">
        <f t="array" aca="1" ref="F407" ca="1">MAX(IFERROR(_xludf.XLOOKUP(G407,'Rea - SK'!A:A,'Rea - SK'!F:F),DATE(1966,6,6)),IFERROR(_xludf.XLOOKUP(H407,'Rea - SK'!A:A,'Rea - SK'!F:F),DATE(1966,6,6)),IFERROR(_xludf.XLOOKUP(I407,'Rea - SK'!A:A,'Rea - SK'!F:F),DATE(1966,6,6)),IFERROR(_xludf.XLOOKUP(J407,'Rea - SK'!A:A,'Rea - SK'!F:F),DATE(1966,6,6)),IFERROR(_xludf.XLOOKUP(K407,'Rea - SK'!A:A,'Rea - SK'!F:F),DATE(1966,6,6)))</f>
        <v>24264</v>
      </c>
      <c r="G407" s="3" t="s">
        <v>1567</v>
      </c>
      <c r="H407" s="2" t="s">
        <v>2617</v>
      </c>
      <c r="I407" s="19"/>
      <c r="J407" s="19"/>
      <c r="K407" s="19"/>
      <c r="L407" s="18"/>
    </row>
    <row r="408" spans="1:12" ht="18.75" customHeight="1" x14ac:dyDescent="0.2">
      <c r="A408" s="2" t="s">
        <v>5538</v>
      </c>
      <c r="B408" s="2">
        <v>34304</v>
      </c>
      <c r="C408" s="2">
        <v>5902557390335</v>
      </c>
      <c r="D408" s="4" t="s">
        <v>5539</v>
      </c>
      <c r="E408" s="3">
        <f t="array" aca="1" ref="E408" ca="1">IFERROR(_xludf.XLOOKUP(G408,'Rea - SK'!A:A,'Rea - SK'!E:E),0)+IFERROR(_xludf.XLOOKUP(H408,'Rea - SK'!A:A,'Rea - SK'!E:E),0)+IFERROR(_xludf.XLOOKUP(I408,'Rea - SK'!A:A,'Rea - SK'!E:E),0)+IFERROR(_xludf.XLOOKUP(J408,'Rea - SK'!A:A,'Rea - SK'!E:E),0)+IFERROR(_xludf.XLOOKUP(K408,'Rea - SK'!A:A,'Rea - SK'!E:E),0)</f>
        <v>0</v>
      </c>
      <c r="F408" s="11">
        <f t="array" aca="1" ref="F408" ca="1">MAX(IFERROR(_xludf.XLOOKUP(G408,'Rea - SK'!A:A,'Rea - SK'!F:F),DATE(1966,6,6)),IFERROR(_xludf.XLOOKUP(H408,'Rea - SK'!A:A,'Rea - SK'!F:F),DATE(1966,6,6)),IFERROR(_xludf.XLOOKUP(I408,'Rea - SK'!A:A,'Rea - SK'!F:F),DATE(1966,6,6)),IFERROR(_xludf.XLOOKUP(J408,'Rea - SK'!A:A,'Rea - SK'!F:F),DATE(1966,6,6)),IFERROR(_xludf.XLOOKUP(K408,'Rea - SK'!A:A,'Rea - SK'!F:F),DATE(1966,6,6)))</f>
        <v>24264</v>
      </c>
      <c r="G408" s="3" t="s">
        <v>1567</v>
      </c>
      <c r="H408" s="2" t="s">
        <v>2621</v>
      </c>
      <c r="I408" s="19"/>
      <c r="J408" s="19"/>
      <c r="K408" s="19"/>
      <c r="L408" s="18"/>
    </row>
    <row r="409" spans="1:12" ht="18.75" customHeight="1" x14ac:dyDescent="0.2">
      <c r="A409" s="2" t="s">
        <v>5540</v>
      </c>
      <c r="B409" s="2">
        <v>34303</v>
      </c>
      <c r="C409" s="2">
        <v>5902557390328</v>
      </c>
      <c r="D409" s="4" t="s">
        <v>5541</v>
      </c>
      <c r="E409" s="3">
        <f t="array" aca="1" ref="E409" ca="1">IFERROR(_xludf.XLOOKUP(G409,'Rea - SK'!A:A,'Rea - SK'!E:E),0)+IFERROR(_xludf.XLOOKUP(H409,'Rea - SK'!A:A,'Rea - SK'!E:E),0)+IFERROR(_xludf.XLOOKUP(I409,'Rea - SK'!A:A,'Rea - SK'!E:E),0)+IFERROR(_xludf.XLOOKUP(J409,'Rea - SK'!A:A,'Rea - SK'!E:E),0)+IFERROR(_xludf.XLOOKUP(K409,'Rea - SK'!A:A,'Rea - SK'!E:E),0)</f>
        <v>0</v>
      </c>
      <c r="F409" s="11">
        <f t="array" aca="1" ref="F409" ca="1">MAX(IFERROR(_xludf.XLOOKUP(G409,'Rea - SK'!A:A,'Rea - SK'!F:F),DATE(1966,6,6)),IFERROR(_xludf.XLOOKUP(H409,'Rea - SK'!A:A,'Rea - SK'!F:F),DATE(1966,6,6)),IFERROR(_xludf.XLOOKUP(I409,'Rea - SK'!A:A,'Rea - SK'!F:F),DATE(1966,6,6)),IFERROR(_xludf.XLOOKUP(J409,'Rea - SK'!A:A,'Rea - SK'!F:F),DATE(1966,6,6)),IFERROR(_xludf.XLOOKUP(K409,'Rea - SK'!A:A,'Rea - SK'!F:F),DATE(1966,6,6)))</f>
        <v>24264</v>
      </c>
      <c r="G409" s="3" t="s">
        <v>1567</v>
      </c>
      <c r="H409" s="2" t="s">
        <v>2619</v>
      </c>
      <c r="I409" s="19"/>
      <c r="J409" s="19"/>
      <c r="K409" s="19"/>
      <c r="L409" s="18"/>
    </row>
    <row r="410" spans="1:12" ht="18.75" customHeight="1" x14ac:dyDescent="0.2">
      <c r="A410" s="2" t="s">
        <v>5542</v>
      </c>
      <c r="B410" s="2">
        <v>33874</v>
      </c>
      <c r="C410" s="2">
        <v>5902557393824</v>
      </c>
      <c r="D410" s="4" t="s">
        <v>5543</v>
      </c>
      <c r="E410" s="3">
        <f t="array" aca="1" ref="E410" ca="1">IFERROR(_xludf.XLOOKUP(G410,'Rea - SK'!A:A,'Rea - SK'!E:E),0)+IFERROR(_xludf.XLOOKUP(H410,'Rea - SK'!A:A,'Rea - SK'!E:E),0)+IFERROR(_xludf.XLOOKUP(I410,'Rea - SK'!A:A,'Rea - SK'!E:E),0)+IFERROR(_xludf.XLOOKUP(J410,'Rea - SK'!A:A,'Rea - SK'!E:E),0)+IFERROR(_xludf.XLOOKUP(K410,'Rea - SK'!A:A,'Rea - SK'!E:E),0)</f>
        <v>0</v>
      </c>
      <c r="F410" s="11">
        <f t="array" aca="1" ref="F410" ca="1">MAX(IFERROR(_xludf.XLOOKUP(G410,'Rea - SK'!A:A,'Rea - SK'!F:F),DATE(1966,6,6)),IFERROR(_xludf.XLOOKUP(H410,'Rea - SK'!A:A,'Rea - SK'!F:F),DATE(1966,6,6)),IFERROR(_xludf.XLOOKUP(I410,'Rea - SK'!A:A,'Rea - SK'!F:F),DATE(1966,6,6)),IFERROR(_xludf.XLOOKUP(J410,'Rea - SK'!A:A,'Rea - SK'!F:F),DATE(1966,6,6)),IFERROR(_xludf.XLOOKUP(K410,'Rea - SK'!A:A,'Rea - SK'!F:F),DATE(1966,6,6)))</f>
        <v>24264</v>
      </c>
      <c r="G410" s="3" t="s">
        <v>1503</v>
      </c>
      <c r="H410" s="2" t="s">
        <v>2617</v>
      </c>
      <c r="I410" s="2" t="s">
        <v>2617</v>
      </c>
      <c r="J410" s="2" t="s">
        <v>2369</v>
      </c>
      <c r="K410" s="2" t="s">
        <v>2369</v>
      </c>
      <c r="L410" s="18"/>
    </row>
    <row r="411" spans="1:12" ht="18.75" customHeight="1" x14ac:dyDescent="0.2">
      <c r="A411" s="2" t="s">
        <v>5544</v>
      </c>
      <c r="B411" s="2">
        <v>33873</v>
      </c>
      <c r="C411" s="2">
        <v>5902557393817</v>
      </c>
      <c r="D411" s="4" t="s">
        <v>5545</v>
      </c>
      <c r="E411" s="3">
        <f t="array" aca="1" ref="E411" ca="1">IFERROR(_xludf.XLOOKUP(G411,'Rea - SK'!A:A,'Rea - SK'!E:E),0)+IFERROR(_xludf.XLOOKUP(H411,'Rea - SK'!A:A,'Rea - SK'!E:E),0)+IFERROR(_xludf.XLOOKUP(I411,'Rea - SK'!A:A,'Rea - SK'!E:E),0)+IFERROR(_xludf.XLOOKUP(J411,'Rea - SK'!A:A,'Rea - SK'!E:E),0)+IFERROR(_xludf.XLOOKUP(K411,'Rea - SK'!A:A,'Rea - SK'!E:E),0)</f>
        <v>0</v>
      </c>
      <c r="F411" s="11">
        <f t="array" aca="1" ref="F411" ca="1">MAX(IFERROR(_xludf.XLOOKUP(G411,'Rea - SK'!A:A,'Rea - SK'!F:F),DATE(1966,6,6)),IFERROR(_xludf.XLOOKUP(H411,'Rea - SK'!A:A,'Rea - SK'!F:F),DATE(1966,6,6)),IFERROR(_xludf.XLOOKUP(I411,'Rea - SK'!A:A,'Rea - SK'!F:F),DATE(1966,6,6)),IFERROR(_xludf.XLOOKUP(J411,'Rea - SK'!A:A,'Rea - SK'!F:F),DATE(1966,6,6)),IFERROR(_xludf.XLOOKUP(K411,'Rea - SK'!A:A,'Rea - SK'!F:F),DATE(1966,6,6)))</f>
        <v>24264</v>
      </c>
      <c r="G411" s="3" t="s">
        <v>1503</v>
      </c>
      <c r="H411" s="2" t="s">
        <v>2621</v>
      </c>
      <c r="I411" s="2" t="s">
        <v>2621</v>
      </c>
      <c r="J411" s="2" t="s">
        <v>2369</v>
      </c>
      <c r="K411" s="2" t="s">
        <v>2369</v>
      </c>
      <c r="L411" s="18"/>
    </row>
    <row r="412" spans="1:12" ht="18.75" customHeight="1" x14ac:dyDescent="0.2">
      <c r="A412" s="2" t="s">
        <v>5546</v>
      </c>
      <c r="B412" s="2">
        <v>33872</v>
      </c>
      <c r="C412" s="2">
        <v>5902557393800</v>
      </c>
      <c r="D412" s="4" t="s">
        <v>5547</v>
      </c>
      <c r="E412" s="3">
        <f t="array" aca="1" ref="E412" ca="1">IFERROR(_xludf.XLOOKUP(G412,'Rea - SK'!A:A,'Rea - SK'!E:E),0)+IFERROR(_xludf.XLOOKUP(H412,'Rea - SK'!A:A,'Rea - SK'!E:E),0)+IFERROR(_xludf.XLOOKUP(I412,'Rea - SK'!A:A,'Rea - SK'!E:E),0)+IFERROR(_xludf.XLOOKUP(J412,'Rea - SK'!A:A,'Rea - SK'!E:E),0)+IFERROR(_xludf.XLOOKUP(K412,'Rea - SK'!A:A,'Rea - SK'!E:E),0)</f>
        <v>0</v>
      </c>
      <c r="F412" s="11">
        <f t="array" aca="1" ref="F412" ca="1">MAX(IFERROR(_xludf.XLOOKUP(G412,'Rea - SK'!A:A,'Rea - SK'!F:F),DATE(1966,6,6)),IFERROR(_xludf.XLOOKUP(H412,'Rea - SK'!A:A,'Rea - SK'!F:F),DATE(1966,6,6)),IFERROR(_xludf.XLOOKUP(I412,'Rea - SK'!A:A,'Rea - SK'!F:F),DATE(1966,6,6)),IFERROR(_xludf.XLOOKUP(J412,'Rea - SK'!A:A,'Rea - SK'!F:F),DATE(1966,6,6)),IFERROR(_xludf.XLOOKUP(K412,'Rea - SK'!A:A,'Rea - SK'!F:F),DATE(1966,6,6)))</f>
        <v>24264</v>
      </c>
      <c r="G412" s="3" t="s">
        <v>1503</v>
      </c>
      <c r="H412" s="2" t="s">
        <v>2619</v>
      </c>
      <c r="I412" s="2" t="s">
        <v>2619</v>
      </c>
      <c r="J412" s="2" t="s">
        <v>2369</v>
      </c>
      <c r="K412" s="2" t="s">
        <v>2369</v>
      </c>
      <c r="L412" s="18"/>
    </row>
    <row r="413" spans="1:12" ht="18.75" customHeight="1" x14ac:dyDescent="0.2">
      <c r="A413" s="2" t="s">
        <v>5548</v>
      </c>
      <c r="B413" s="2">
        <v>33871</v>
      </c>
      <c r="C413" s="2">
        <v>5902557393794</v>
      </c>
      <c r="D413" s="4" t="s">
        <v>5549</v>
      </c>
      <c r="E413" s="3">
        <f t="array" aca="1" ref="E413" ca="1">IFERROR(_xludf.XLOOKUP(G413,'Rea - SK'!A:A,'Rea - SK'!E:E),0)+IFERROR(_xludf.XLOOKUP(H413,'Rea - SK'!A:A,'Rea - SK'!E:E),0)+IFERROR(_xludf.XLOOKUP(I413,'Rea - SK'!A:A,'Rea - SK'!E:E),0)+IFERROR(_xludf.XLOOKUP(J413,'Rea - SK'!A:A,'Rea - SK'!E:E),0)+IFERROR(_xludf.XLOOKUP(K413,'Rea - SK'!A:A,'Rea - SK'!E:E),0)</f>
        <v>0</v>
      </c>
      <c r="F413" s="11">
        <f t="array" aca="1" ref="F413" ca="1">MAX(IFERROR(_xludf.XLOOKUP(G413,'Rea - SK'!A:A,'Rea - SK'!F:F),DATE(1966,6,6)),IFERROR(_xludf.XLOOKUP(H413,'Rea - SK'!A:A,'Rea - SK'!F:F),DATE(1966,6,6)),IFERROR(_xludf.XLOOKUP(I413,'Rea - SK'!A:A,'Rea - SK'!F:F),DATE(1966,6,6)),IFERROR(_xludf.XLOOKUP(J413,'Rea - SK'!A:A,'Rea - SK'!F:F),DATE(1966,6,6)),IFERROR(_xludf.XLOOKUP(K413,'Rea - SK'!A:A,'Rea - SK'!F:F),DATE(1966,6,6)))</f>
        <v>24264</v>
      </c>
      <c r="G413" s="3" t="s">
        <v>1507</v>
      </c>
      <c r="H413" s="2" t="s">
        <v>2617</v>
      </c>
      <c r="I413" s="2" t="s">
        <v>2617</v>
      </c>
      <c r="J413" s="2" t="s">
        <v>2369</v>
      </c>
      <c r="K413" s="2" t="s">
        <v>2369</v>
      </c>
      <c r="L413" s="18"/>
    </row>
    <row r="414" spans="1:12" ht="18.75" customHeight="1" x14ac:dyDescent="0.2">
      <c r="A414" s="2" t="s">
        <v>5550</v>
      </c>
      <c r="B414" s="2">
        <v>33870</v>
      </c>
      <c r="C414" s="2">
        <v>5902557393787</v>
      </c>
      <c r="D414" s="4" t="s">
        <v>5551</v>
      </c>
      <c r="E414" s="3">
        <f t="array" aca="1" ref="E414" ca="1">IFERROR(_xludf.XLOOKUP(G414,'Rea - SK'!A:A,'Rea - SK'!E:E),0)+IFERROR(_xludf.XLOOKUP(H414,'Rea - SK'!A:A,'Rea - SK'!E:E),0)+IFERROR(_xludf.XLOOKUP(I414,'Rea - SK'!A:A,'Rea - SK'!E:E),0)+IFERROR(_xludf.XLOOKUP(J414,'Rea - SK'!A:A,'Rea - SK'!E:E),0)+IFERROR(_xludf.XLOOKUP(K414,'Rea - SK'!A:A,'Rea - SK'!E:E),0)</f>
        <v>0</v>
      </c>
      <c r="F414" s="11">
        <f t="array" aca="1" ref="F414" ca="1">MAX(IFERROR(_xludf.XLOOKUP(G414,'Rea - SK'!A:A,'Rea - SK'!F:F),DATE(1966,6,6)),IFERROR(_xludf.XLOOKUP(H414,'Rea - SK'!A:A,'Rea - SK'!F:F),DATE(1966,6,6)),IFERROR(_xludf.XLOOKUP(I414,'Rea - SK'!A:A,'Rea - SK'!F:F),DATE(1966,6,6)),IFERROR(_xludf.XLOOKUP(J414,'Rea - SK'!A:A,'Rea - SK'!F:F),DATE(1966,6,6)),IFERROR(_xludf.XLOOKUP(K414,'Rea - SK'!A:A,'Rea - SK'!F:F),DATE(1966,6,6)))</f>
        <v>24264</v>
      </c>
      <c r="G414" s="3" t="s">
        <v>1507</v>
      </c>
      <c r="H414" s="2" t="s">
        <v>2621</v>
      </c>
      <c r="I414" s="2" t="s">
        <v>2621</v>
      </c>
      <c r="J414" s="2" t="s">
        <v>2369</v>
      </c>
      <c r="K414" s="2" t="s">
        <v>2369</v>
      </c>
      <c r="L414" s="18"/>
    </row>
    <row r="415" spans="1:12" ht="18.75" customHeight="1" x14ac:dyDescent="0.2">
      <c r="A415" s="2" t="s">
        <v>5552</v>
      </c>
      <c r="B415" s="2">
        <v>33869</v>
      </c>
      <c r="C415" s="2">
        <v>5902557393770</v>
      </c>
      <c r="D415" s="4" t="s">
        <v>5553</v>
      </c>
      <c r="E415" s="3">
        <f t="array" aca="1" ref="E415" ca="1">IFERROR(_xludf.XLOOKUP(G415,'Rea - SK'!A:A,'Rea - SK'!E:E),0)+IFERROR(_xludf.XLOOKUP(H415,'Rea - SK'!A:A,'Rea - SK'!E:E),0)+IFERROR(_xludf.XLOOKUP(I415,'Rea - SK'!A:A,'Rea - SK'!E:E),0)+IFERROR(_xludf.XLOOKUP(J415,'Rea - SK'!A:A,'Rea - SK'!E:E),0)+IFERROR(_xludf.XLOOKUP(K415,'Rea - SK'!A:A,'Rea - SK'!E:E),0)</f>
        <v>0</v>
      </c>
      <c r="F415" s="11">
        <f t="array" aca="1" ref="F415" ca="1">MAX(IFERROR(_xludf.XLOOKUP(G415,'Rea - SK'!A:A,'Rea - SK'!F:F),DATE(1966,6,6)),IFERROR(_xludf.XLOOKUP(H415,'Rea - SK'!A:A,'Rea - SK'!F:F),DATE(1966,6,6)),IFERROR(_xludf.XLOOKUP(I415,'Rea - SK'!A:A,'Rea - SK'!F:F),DATE(1966,6,6)),IFERROR(_xludf.XLOOKUP(J415,'Rea - SK'!A:A,'Rea - SK'!F:F),DATE(1966,6,6)),IFERROR(_xludf.XLOOKUP(K415,'Rea - SK'!A:A,'Rea - SK'!F:F),DATE(1966,6,6)))</f>
        <v>24264</v>
      </c>
      <c r="G415" s="3" t="s">
        <v>1507</v>
      </c>
      <c r="H415" s="2" t="s">
        <v>2619</v>
      </c>
      <c r="I415" s="2" t="s">
        <v>2619</v>
      </c>
      <c r="J415" s="2" t="s">
        <v>2369</v>
      </c>
      <c r="K415" s="2" t="s">
        <v>2369</v>
      </c>
      <c r="L415" s="18"/>
    </row>
    <row r="416" spans="1:12" ht="18.75" customHeight="1" x14ac:dyDescent="0.2">
      <c r="A416" s="2" t="s">
        <v>5554</v>
      </c>
      <c r="B416" s="2">
        <v>33868</v>
      </c>
      <c r="C416" s="2">
        <v>5902557393763</v>
      </c>
      <c r="D416" s="4" t="s">
        <v>5555</v>
      </c>
      <c r="E416" s="3">
        <f t="array" aca="1" ref="E416" ca="1">IFERROR(_xludf.XLOOKUP(G416,'Rea - SK'!A:A,'Rea - SK'!E:E),0)+IFERROR(_xludf.XLOOKUP(H416,'Rea - SK'!A:A,'Rea - SK'!E:E),0)+IFERROR(_xludf.XLOOKUP(I416,'Rea - SK'!A:A,'Rea - SK'!E:E),0)+IFERROR(_xludf.XLOOKUP(J416,'Rea - SK'!A:A,'Rea - SK'!E:E),0)+IFERROR(_xludf.XLOOKUP(K416,'Rea - SK'!A:A,'Rea - SK'!E:E),0)</f>
        <v>0</v>
      </c>
      <c r="F416" s="11">
        <f t="array" aca="1" ref="F416" ca="1">MAX(IFERROR(_xludf.XLOOKUP(G416,'Rea - SK'!A:A,'Rea - SK'!F:F),DATE(1966,6,6)),IFERROR(_xludf.XLOOKUP(H416,'Rea - SK'!A:A,'Rea - SK'!F:F),DATE(1966,6,6)),IFERROR(_xludf.XLOOKUP(I416,'Rea - SK'!A:A,'Rea - SK'!F:F),DATE(1966,6,6)),IFERROR(_xludf.XLOOKUP(J416,'Rea - SK'!A:A,'Rea - SK'!F:F),DATE(1966,6,6)),IFERROR(_xludf.XLOOKUP(K416,'Rea - SK'!A:A,'Rea - SK'!F:F),DATE(1966,6,6)))</f>
        <v>24264</v>
      </c>
      <c r="G416" s="3" t="s">
        <v>1505</v>
      </c>
      <c r="H416" s="2" t="s">
        <v>2617</v>
      </c>
      <c r="I416" s="2" t="s">
        <v>2617</v>
      </c>
      <c r="J416" s="2" t="s">
        <v>2369</v>
      </c>
      <c r="K416" s="2" t="s">
        <v>2369</v>
      </c>
      <c r="L416" s="18"/>
    </row>
    <row r="417" spans="1:12" ht="18.75" customHeight="1" x14ac:dyDescent="0.2">
      <c r="A417" s="2" t="s">
        <v>5556</v>
      </c>
      <c r="B417" s="2">
        <v>33867</v>
      </c>
      <c r="C417" s="2">
        <v>5902557393756</v>
      </c>
      <c r="D417" s="4" t="s">
        <v>5557</v>
      </c>
      <c r="E417" s="3">
        <f t="array" aca="1" ref="E417" ca="1">IFERROR(_xludf.XLOOKUP(G417,'Rea - SK'!A:A,'Rea - SK'!E:E),0)+IFERROR(_xludf.XLOOKUP(H417,'Rea - SK'!A:A,'Rea - SK'!E:E),0)+IFERROR(_xludf.XLOOKUP(I417,'Rea - SK'!A:A,'Rea - SK'!E:E),0)+IFERROR(_xludf.XLOOKUP(J417,'Rea - SK'!A:A,'Rea - SK'!E:E),0)+IFERROR(_xludf.XLOOKUP(K417,'Rea - SK'!A:A,'Rea - SK'!E:E),0)</f>
        <v>0</v>
      </c>
      <c r="F417" s="11">
        <f t="array" aca="1" ref="F417" ca="1">MAX(IFERROR(_xludf.XLOOKUP(G417,'Rea - SK'!A:A,'Rea - SK'!F:F),DATE(1966,6,6)),IFERROR(_xludf.XLOOKUP(H417,'Rea - SK'!A:A,'Rea - SK'!F:F),DATE(1966,6,6)),IFERROR(_xludf.XLOOKUP(I417,'Rea - SK'!A:A,'Rea - SK'!F:F),DATE(1966,6,6)),IFERROR(_xludf.XLOOKUP(J417,'Rea - SK'!A:A,'Rea - SK'!F:F),DATE(1966,6,6)),IFERROR(_xludf.XLOOKUP(K417,'Rea - SK'!A:A,'Rea - SK'!F:F),DATE(1966,6,6)))</f>
        <v>24264</v>
      </c>
      <c r="G417" s="3" t="s">
        <v>1505</v>
      </c>
      <c r="H417" s="2" t="s">
        <v>2621</v>
      </c>
      <c r="I417" s="2" t="s">
        <v>2621</v>
      </c>
      <c r="J417" s="2" t="s">
        <v>2369</v>
      </c>
      <c r="K417" s="2" t="s">
        <v>2369</v>
      </c>
      <c r="L417" s="18"/>
    </row>
    <row r="418" spans="1:12" ht="18.75" customHeight="1" x14ac:dyDescent="0.2">
      <c r="A418" s="2" t="s">
        <v>5558</v>
      </c>
      <c r="B418" s="2">
        <v>33866</v>
      </c>
      <c r="C418" s="2">
        <v>5902557393749</v>
      </c>
      <c r="D418" s="4" t="s">
        <v>5559</v>
      </c>
      <c r="E418" s="3">
        <f t="array" aca="1" ref="E418" ca="1">IFERROR(_xludf.XLOOKUP(G418,'Rea - SK'!A:A,'Rea - SK'!E:E),0)+IFERROR(_xludf.XLOOKUP(H418,'Rea - SK'!A:A,'Rea - SK'!E:E),0)+IFERROR(_xludf.XLOOKUP(I418,'Rea - SK'!A:A,'Rea - SK'!E:E),0)+IFERROR(_xludf.XLOOKUP(J418,'Rea - SK'!A:A,'Rea - SK'!E:E),0)+IFERROR(_xludf.XLOOKUP(K418,'Rea - SK'!A:A,'Rea - SK'!E:E),0)</f>
        <v>0</v>
      </c>
      <c r="F418" s="11">
        <f t="array" aca="1" ref="F418" ca="1">MAX(IFERROR(_xludf.XLOOKUP(G418,'Rea - SK'!A:A,'Rea - SK'!F:F),DATE(1966,6,6)),IFERROR(_xludf.XLOOKUP(H418,'Rea - SK'!A:A,'Rea - SK'!F:F),DATE(1966,6,6)),IFERROR(_xludf.XLOOKUP(I418,'Rea - SK'!A:A,'Rea - SK'!F:F),DATE(1966,6,6)),IFERROR(_xludf.XLOOKUP(J418,'Rea - SK'!A:A,'Rea - SK'!F:F),DATE(1966,6,6)),IFERROR(_xludf.XLOOKUP(K418,'Rea - SK'!A:A,'Rea - SK'!F:F),DATE(1966,6,6)))</f>
        <v>24264</v>
      </c>
      <c r="G418" s="3" t="s">
        <v>1505</v>
      </c>
      <c r="H418" s="2" t="s">
        <v>2619</v>
      </c>
      <c r="I418" s="2" t="s">
        <v>2619</v>
      </c>
      <c r="J418" s="2" t="s">
        <v>2369</v>
      </c>
      <c r="K418" s="2" t="s">
        <v>2369</v>
      </c>
      <c r="L418" s="18"/>
    </row>
    <row r="419" spans="1:12" ht="18.75" customHeight="1" x14ac:dyDescent="0.2">
      <c r="A419" s="2" t="s">
        <v>5560</v>
      </c>
      <c r="B419" s="2">
        <v>33859</v>
      </c>
      <c r="C419" s="2">
        <v>5902557390311</v>
      </c>
      <c r="D419" s="4" t="s">
        <v>5561</v>
      </c>
      <c r="E419" s="3">
        <f t="array" aca="1" ref="E419" ca="1">IFERROR(_xludf.XLOOKUP(G419,'Rea - SK'!A:A,'Rea - SK'!E:E),0)+IFERROR(_xludf.XLOOKUP(H419,'Rea - SK'!A:A,'Rea - SK'!E:E),0)+IFERROR(_xludf.XLOOKUP(I419,'Rea - SK'!A:A,'Rea - SK'!E:E),0)+IFERROR(_xludf.XLOOKUP(J419,'Rea - SK'!A:A,'Rea - SK'!E:E),0)+IFERROR(_xludf.XLOOKUP(K419,'Rea - SK'!A:A,'Rea - SK'!E:E),0)</f>
        <v>0</v>
      </c>
      <c r="F419" s="11">
        <f t="array" aca="1" ref="F419" ca="1">MAX(IFERROR(_xludf.XLOOKUP(G419,'Rea - SK'!A:A,'Rea - SK'!F:F),DATE(1966,6,6)),IFERROR(_xludf.XLOOKUP(H419,'Rea - SK'!A:A,'Rea - SK'!F:F),DATE(1966,6,6)),IFERROR(_xludf.XLOOKUP(I419,'Rea - SK'!A:A,'Rea - SK'!F:F),DATE(1966,6,6)),IFERROR(_xludf.XLOOKUP(J419,'Rea - SK'!A:A,'Rea - SK'!F:F),DATE(1966,6,6)),IFERROR(_xludf.XLOOKUP(K419,'Rea - SK'!A:A,'Rea - SK'!F:F),DATE(1966,6,6)))</f>
        <v>24264</v>
      </c>
      <c r="G419" s="3" t="s">
        <v>1503</v>
      </c>
      <c r="H419" s="2" t="s">
        <v>2617</v>
      </c>
      <c r="I419" s="19"/>
      <c r="J419" s="19"/>
      <c r="K419" s="19"/>
      <c r="L419" s="18"/>
    </row>
    <row r="420" spans="1:12" ht="18.75" customHeight="1" x14ac:dyDescent="0.2">
      <c r="A420" s="2" t="s">
        <v>5562</v>
      </c>
      <c r="B420" s="2">
        <v>33858</v>
      </c>
      <c r="C420" s="2">
        <v>5902557390304</v>
      </c>
      <c r="D420" s="4" t="s">
        <v>5563</v>
      </c>
      <c r="E420" s="3">
        <f t="array" aca="1" ref="E420" ca="1">IFERROR(_xludf.XLOOKUP(G420,'Rea - SK'!A:A,'Rea - SK'!E:E),0)+IFERROR(_xludf.XLOOKUP(H420,'Rea - SK'!A:A,'Rea - SK'!E:E),0)+IFERROR(_xludf.XLOOKUP(I420,'Rea - SK'!A:A,'Rea - SK'!E:E),0)+IFERROR(_xludf.XLOOKUP(J420,'Rea - SK'!A:A,'Rea - SK'!E:E),0)+IFERROR(_xludf.XLOOKUP(K420,'Rea - SK'!A:A,'Rea - SK'!E:E),0)</f>
        <v>0</v>
      </c>
      <c r="F420" s="11">
        <f t="array" aca="1" ref="F420" ca="1">MAX(IFERROR(_xludf.XLOOKUP(G420,'Rea - SK'!A:A,'Rea - SK'!F:F),DATE(1966,6,6)),IFERROR(_xludf.XLOOKUP(H420,'Rea - SK'!A:A,'Rea - SK'!F:F),DATE(1966,6,6)),IFERROR(_xludf.XLOOKUP(I420,'Rea - SK'!A:A,'Rea - SK'!F:F),DATE(1966,6,6)),IFERROR(_xludf.XLOOKUP(J420,'Rea - SK'!A:A,'Rea - SK'!F:F),DATE(1966,6,6)),IFERROR(_xludf.XLOOKUP(K420,'Rea - SK'!A:A,'Rea - SK'!F:F),DATE(1966,6,6)))</f>
        <v>24264</v>
      </c>
      <c r="G420" s="3" t="s">
        <v>1503</v>
      </c>
      <c r="H420" s="2" t="s">
        <v>2621</v>
      </c>
      <c r="I420" s="19"/>
      <c r="J420" s="19"/>
      <c r="K420" s="19"/>
      <c r="L420" s="18"/>
    </row>
    <row r="421" spans="1:12" ht="18.75" customHeight="1" x14ac:dyDescent="0.2">
      <c r="A421" s="2" t="s">
        <v>5564</v>
      </c>
      <c r="B421" s="2">
        <v>33857</v>
      </c>
      <c r="C421" s="2">
        <v>5902557390298</v>
      </c>
      <c r="D421" s="4" t="s">
        <v>5565</v>
      </c>
      <c r="E421" s="3">
        <f t="array" aca="1" ref="E421" ca="1">IFERROR(_xludf.XLOOKUP(G421,'Rea - SK'!A:A,'Rea - SK'!E:E),0)+IFERROR(_xludf.XLOOKUP(H421,'Rea - SK'!A:A,'Rea - SK'!E:E),0)+IFERROR(_xludf.XLOOKUP(I421,'Rea - SK'!A:A,'Rea - SK'!E:E),0)+IFERROR(_xludf.XLOOKUP(J421,'Rea - SK'!A:A,'Rea - SK'!E:E),0)+IFERROR(_xludf.XLOOKUP(K421,'Rea - SK'!A:A,'Rea - SK'!E:E),0)</f>
        <v>0</v>
      </c>
      <c r="F421" s="11">
        <f t="array" aca="1" ref="F421" ca="1">MAX(IFERROR(_xludf.XLOOKUP(G421,'Rea - SK'!A:A,'Rea - SK'!F:F),DATE(1966,6,6)),IFERROR(_xludf.XLOOKUP(H421,'Rea - SK'!A:A,'Rea - SK'!F:F),DATE(1966,6,6)),IFERROR(_xludf.XLOOKUP(I421,'Rea - SK'!A:A,'Rea - SK'!F:F),DATE(1966,6,6)),IFERROR(_xludf.XLOOKUP(J421,'Rea - SK'!A:A,'Rea - SK'!F:F),DATE(1966,6,6)),IFERROR(_xludf.XLOOKUP(K421,'Rea - SK'!A:A,'Rea - SK'!F:F),DATE(1966,6,6)))</f>
        <v>24264</v>
      </c>
      <c r="G421" s="3" t="s">
        <v>1503</v>
      </c>
      <c r="H421" s="2" t="s">
        <v>2619</v>
      </c>
      <c r="I421" s="19"/>
      <c r="J421" s="19"/>
      <c r="K421" s="19"/>
      <c r="L421" s="18"/>
    </row>
    <row r="422" spans="1:12" ht="18.75" customHeight="1" x14ac:dyDescent="0.2">
      <c r="A422" s="2" t="s">
        <v>5566</v>
      </c>
      <c r="B422" s="2">
        <v>33856</v>
      </c>
      <c r="C422" s="2">
        <v>5902557390281</v>
      </c>
      <c r="D422" s="4" t="s">
        <v>5567</v>
      </c>
      <c r="E422" s="3">
        <f t="array" aca="1" ref="E422" ca="1">IFERROR(_xludf.XLOOKUP(G422,'Rea - SK'!A:A,'Rea - SK'!E:E),0)+IFERROR(_xludf.XLOOKUP(H422,'Rea - SK'!A:A,'Rea - SK'!E:E),0)+IFERROR(_xludf.XLOOKUP(I422,'Rea - SK'!A:A,'Rea - SK'!E:E),0)+IFERROR(_xludf.XLOOKUP(J422,'Rea - SK'!A:A,'Rea - SK'!E:E),0)+IFERROR(_xludf.XLOOKUP(K422,'Rea - SK'!A:A,'Rea - SK'!E:E),0)</f>
        <v>0</v>
      </c>
      <c r="F422" s="11">
        <f t="array" aca="1" ref="F422" ca="1">MAX(IFERROR(_xludf.XLOOKUP(G422,'Rea - SK'!A:A,'Rea - SK'!F:F),DATE(1966,6,6)),IFERROR(_xludf.XLOOKUP(H422,'Rea - SK'!A:A,'Rea - SK'!F:F),DATE(1966,6,6)),IFERROR(_xludf.XLOOKUP(I422,'Rea - SK'!A:A,'Rea - SK'!F:F),DATE(1966,6,6)),IFERROR(_xludf.XLOOKUP(J422,'Rea - SK'!A:A,'Rea - SK'!F:F),DATE(1966,6,6)),IFERROR(_xludf.XLOOKUP(K422,'Rea - SK'!A:A,'Rea - SK'!F:F),DATE(1966,6,6)))</f>
        <v>24264</v>
      </c>
      <c r="G422" s="3" t="s">
        <v>1507</v>
      </c>
      <c r="H422" s="2" t="s">
        <v>2617</v>
      </c>
      <c r="I422" s="19"/>
      <c r="J422" s="19"/>
      <c r="K422" s="19"/>
      <c r="L422" s="18"/>
    </row>
    <row r="423" spans="1:12" ht="18.75" customHeight="1" x14ac:dyDescent="0.2">
      <c r="A423" s="2" t="s">
        <v>5568</v>
      </c>
      <c r="B423" s="2">
        <v>33855</v>
      </c>
      <c r="C423" s="2">
        <v>5902557390274</v>
      </c>
      <c r="D423" s="4" t="s">
        <v>5569</v>
      </c>
      <c r="E423" s="3">
        <f t="array" aca="1" ref="E423" ca="1">IFERROR(_xludf.XLOOKUP(G423,'Rea - SK'!A:A,'Rea - SK'!E:E),0)+IFERROR(_xludf.XLOOKUP(H423,'Rea - SK'!A:A,'Rea - SK'!E:E),0)+IFERROR(_xludf.XLOOKUP(I423,'Rea - SK'!A:A,'Rea - SK'!E:E),0)+IFERROR(_xludf.XLOOKUP(J423,'Rea - SK'!A:A,'Rea - SK'!E:E),0)+IFERROR(_xludf.XLOOKUP(K423,'Rea - SK'!A:A,'Rea - SK'!E:E),0)</f>
        <v>0</v>
      </c>
      <c r="F423" s="11">
        <f t="array" aca="1" ref="F423" ca="1">MAX(IFERROR(_xludf.XLOOKUP(G423,'Rea - SK'!A:A,'Rea - SK'!F:F),DATE(1966,6,6)),IFERROR(_xludf.XLOOKUP(H423,'Rea - SK'!A:A,'Rea - SK'!F:F),DATE(1966,6,6)),IFERROR(_xludf.XLOOKUP(I423,'Rea - SK'!A:A,'Rea - SK'!F:F),DATE(1966,6,6)),IFERROR(_xludf.XLOOKUP(J423,'Rea - SK'!A:A,'Rea - SK'!F:F),DATE(1966,6,6)),IFERROR(_xludf.XLOOKUP(K423,'Rea - SK'!A:A,'Rea - SK'!F:F),DATE(1966,6,6)))</f>
        <v>24264</v>
      </c>
      <c r="G423" s="3" t="s">
        <v>1507</v>
      </c>
      <c r="H423" s="2" t="s">
        <v>2621</v>
      </c>
      <c r="I423" s="19"/>
      <c r="J423" s="19"/>
      <c r="K423" s="19"/>
      <c r="L423" s="18"/>
    </row>
    <row r="424" spans="1:12" ht="18.75" customHeight="1" x14ac:dyDescent="0.2">
      <c r="A424" s="2" t="s">
        <v>5570</v>
      </c>
      <c r="B424" s="2">
        <v>33854</v>
      </c>
      <c r="C424" s="2">
        <v>5902557390267</v>
      </c>
      <c r="D424" s="4" t="s">
        <v>5571</v>
      </c>
      <c r="E424" s="3">
        <f t="array" aca="1" ref="E424" ca="1">IFERROR(_xludf.XLOOKUP(G424,'Rea - SK'!A:A,'Rea - SK'!E:E),0)+IFERROR(_xludf.XLOOKUP(H424,'Rea - SK'!A:A,'Rea - SK'!E:E),0)+IFERROR(_xludf.XLOOKUP(I424,'Rea - SK'!A:A,'Rea - SK'!E:E),0)+IFERROR(_xludf.XLOOKUP(J424,'Rea - SK'!A:A,'Rea - SK'!E:E),0)+IFERROR(_xludf.XLOOKUP(K424,'Rea - SK'!A:A,'Rea - SK'!E:E),0)</f>
        <v>0</v>
      </c>
      <c r="F424" s="11">
        <f t="array" aca="1" ref="F424" ca="1">MAX(IFERROR(_xludf.XLOOKUP(G424,'Rea - SK'!A:A,'Rea - SK'!F:F),DATE(1966,6,6)),IFERROR(_xludf.XLOOKUP(H424,'Rea - SK'!A:A,'Rea - SK'!F:F),DATE(1966,6,6)),IFERROR(_xludf.XLOOKUP(I424,'Rea - SK'!A:A,'Rea - SK'!F:F),DATE(1966,6,6)),IFERROR(_xludf.XLOOKUP(J424,'Rea - SK'!A:A,'Rea - SK'!F:F),DATE(1966,6,6)),IFERROR(_xludf.XLOOKUP(K424,'Rea - SK'!A:A,'Rea - SK'!F:F),DATE(1966,6,6)))</f>
        <v>24264</v>
      </c>
      <c r="G424" s="3" t="s">
        <v>1507</v>
      </c>
      <c r="H424" s="2" t="s">
        <v>2619</v>
      </c>
      <c r="I424" s="19"/>
      <c r="J424" s="19"/>
      <c r="K424" s="19"/>
      <c r="L424" s="18"/>
    </row>
    <row r="425" spans="1:12" ht="18.75" customHeight="1" x14ac:dyDescent="0.2">
      <c r="A425" s="2" t="s">
        <v>5572</v>
      </c>
      <c r="B425" s="2">
        <v>33853</v>
      </c>
      <c r="C425" s="2">
        <v>5902557390250</v>
      </c>
      <c r="D425" s="4" t="s">
        <v>5573</v>
      </c>
      <c r="E425" s="3">
        <f t="array" aca="1" ref="E425" ca="1">IFERROR(_xludf.XLOOKUP(G425,'Rea - SK'!A:A,'Rea - SK'!E:E),0)+IFERROR(_xludf.XLOOKUP(H425,'Rea - SK'!A:A,'Rea - SK'!E:E),0)+IFERROR(_xludf.XLOOKUP(I425,'Rea - SK'!A:A,'Rea - SK'!E:E),0)+IFERROR(_xludf.XLOOKUP(J425,'Rea - SK'!A:A,'Rea - SK'!E:E),0)+IFERROR(_xludf.XLOOKUP(K425,'Rea - SK'!A:A,'Rea - SK'!E:E),0)</f>
        <v>0</v>
      </c>
      <c r="F425" s="11">
        <f t="array" aca="1" ref="F425" ca="1">MAX(IFERROR(_xludf.XLOOKUP(G425,'Rea - SK'!A:A,'Rea - SK'!F:F),DATE(1966,6,6)),IFERROR(_xludf.XLOOKUP(H425,'Rea - SK'!A:A,'Rea - SK'!F:F),DATE(1966,6,6)),IFERROR(_xludf.XLOOKUP(I425,'Rea - SK'!A:A,'Rea - SK'!F:F),DATE(1966,6,6)),IFERROR(_xludf.XLOOKUP(J425,'Rea - SK'!A:A,'Rea - SK'!F:F),DATE(1966,6,6)),IFERROR(_xludf.XLOOKUP(K425,'Rea - SK'!A:A,'Rea - SK'!F:F),DATE(1966,6,6)))</f>
        <v>24264</v>
      </c>
      <c r="G425" s="3" t="s">
        <v>1505</v>
      </c>
      <c r="H425" s="2" t="s">
        <v>2617</v>
      </c>
      <c r="I425" s="19"/>
      <c r="J425" s="19"/>
      <c r="K425" s="19"/>
      <c r="L425" s="18"/>
    </row>
    <row r="426" spans="1:12" ht="18.75" customHeight="1" x14ac:dyDescent="0.2">
      <c r="A426" s="2" t="s">
        <v>5574</v>
      </c>
      <c r="B426" s="2">
        <v>33852</v>
      </c>
      <c r="C426" s="2">
        <v>5902557390243</v>
      </c>
      <c r="D426" s="4" t="s">
        <v>5575</v>
      </c>
      <c r="E426" s="3">
        <f t="array" aca="1" ref="E426" ca="1">IFERROR(_xludf.XLOOKUP(G426,'Rea - SK'!A:A,'Rea - SK'!E:E),0)+IFERROR(_xludf.XLOOKUP(H426,'Rea - SK'!A:A,'Rea - SK'!E:E),0)+IFERROR(_xludf.XLOOKUP(I426,'Rea - SK'!A:A,'Rea - SK'!E:E),0)+IFERROR(_xludf.XLOOKUP(J426,'Rea - SK'!A:A,'Rea - SK'!E:E),0)+IFERROR(_xludf.XLOOKUP(K426,'Rea - SK'!A:A,'Rea - SK'!E:E),0)</f>
        <v>0</v>
      </c>
      <c r="F426" s="11">
        <f t="array" aca="1" ref="F426" ca="1">MAX(IFERROR(_xludf.XLOOKUP(G426,'Rea - SK'!A:A,'Rea - SK'!F:F),DATE(1966,6,6)),IFERROR(_xludf.XLOOKUP(H426,'Rea - SK'!A:A,'Rea - SK'!F:F),DATE(1966,6,6)),IFERROR(_xludf.XLOOKUP(I426,'Rea - SK'!A:A,'Rea - SK'!F:F),DATE(1966,6,6)),IFERROR(_xludf.XLOOKUP(J426,'Rea - SK'!A:A,'Rea - SK'!F:F),DATE(1966,6,6)),IFERROR(_xludf.XLOOKUP(K426,'Rea - SK'!A:A,'Rea - SK'!F:F),DATE(1966,6,6)))</f>
        <v>24264</v>
      </c>
      <c r="G426" s="3" t="s">
        <v>1505</v>
      </c>
      <c r="H426" s="2" t="s">
        <v>2621</v>
      </c>
      <c r="I426" s="19"/>
      <c r="J426" s="19"/>
      <c r="K426" s="19"/>
      <c r="L426" s="18"/>
    </row>
    <row r="427" spans="1:12" ht="18.75" customHeight="1" x14ac:dyDescent="0.2">
      <c r="A427" s="2" t="s">
        <v>5576</v>
      </c>
      <c r="B427" s="2">
        <v>33851</v>
      </c>
      <c r="C427" s="2">
        <v>5902557390236</v>
      </c>
      <c r="D427" s="4" t="s">
        <v>5577</v>
      </c>
      <c r="E427" s="3">
        <f t="array" aca="1" ref="E427" ca="1">IFERROR(_xludf.XLOOKUP(G427,'Rea - SK'!A:A,'Rea - SK'!E:E),0)+IFERROR(_xludf.XLOOKUP(H427,'Rea - SK'!A:A,'Rea - SK'!E:E),0)+IFERROR(_xludf.XLOOKUP(I427,'Rea - SK'!A:A,'Rea - SK'!E:E),0)+IFERROR(_xludf.XLOOKUP(J427,'Rea - SK'!A:A,'Rea - SK'!E:E),0)+IFERROR(_xludf.XLOOKUP(K427,'Rea - SK'!A:A,'Rea - SK'!E:E),0)</f>
        <v>0</v>
      </c>
      <c r="F427" s="11">
        <f t="array" aca="1" ref="F427" ca="1">MAX(IFERROR(_xludf.XLOOKUP(G427,'Rea - SK'!A:A,'Rea - SK'!F:F),DATE(1966,6,6)),IFERROR(_xludf.XLOOKUP(H427,'Rea - SK'!A:A,'Rea - SK'!F:F),DATE(1966,6,6)),IFERROR(_xludf.XLOOKUP(I427,'Rea - SK'!A:A,'Rea - SK'!F:F),DATE(1966,6,6)),IFERROR(_xludf.XLOOKUP(J427,'Rea - SK'!A:A,'Rea - SK'!F:F),DATE(1966,6,6)),IFERROR(_xludf.XLOOKUP(K427,'Rea - SK'!A:A,'Rea - SK'!F:F),DATE(1966,6,6)))</f>
        <v>24264</v>
      </c>
      <c r="G427" s="3" t="s">
        <v>1505</v>
      </c>
      <c r="H427" s="2" t="s">
        <v>2619</v>
      </c>
      <c r="I427" s="19"/>
      <c r="J427" s="19"/>
      <c r="K427" s="19"/>
      <c r="L427" s="18"/>
    </row>
    <row r="428" spans="1:12" ht="18.75" customHeight="1" x14ac:dyDescent="0.2">
      <c r="A428" s="2" t="s">
        <v>5578</v>
      </c>
      <c r="B428" s="2">
        <v>33753</v>
      </c>
      <c r="C428" s="2">
        <v>5902557394036</v>
      </c>
      <c r="D428" s="4" t="s">
        <v>5579</v>
      </c>
      <c r="E428" s="3">
        <f t="array" aca="1" ref="E428" ca="1">IFERROR(_xludf.XLOOKUP(G428,'Rea - SK'!A:A,'Rea - SK'!E:E),0)+IFERROR(_xludf.XLOOKUP(H428,'Rea - SK'!A:A,'Rea - SK'!E:E),0)+IFERROR(_xludf.XLOOKUP(I428,'Rea - SK'!A:A,'Rea - SK'!E:E),0)+IFERROR(_xludf.XLOOKUP(J428,'Rea - SK'!A:A,'Rea - SK'!E:E),0)+IFERROR(_xludf.XLOOKUP(K428,'Rea - SK'!A:A,'Rea - SK'!E:E),0)</f>
        <v>0</v>
      </c>
      <c r="F428" s="11">
        <f t="array" aca="1" ref="F428" ca="1">MAX(IFERROR(_xludf.XLOOKUP(G428,'Rea - SK'!A:A,'Rea - SK'!F:F),DATE(1966,6,6)),IFERROR(_xludf.XLOOKUP(H428,'Rea - SK'!A:A,'Rea - SK'!F:F),DATE(1966,6,6)),IFERROR(_xludf.XLOOKUP(I428,'Rea - SK'!A:A,'Rea - SK'!F:F),DATE(1966,6,6)),IFERROR(_xludf.XLOOKUP(J428,'Rea - SK'!A:A,'Rea - SK'!F:F),DATE(1966,6,6)),IFERROR(_xludf.XLOOKUP(K428,'Rea - SK'!A:A,'Rea - SK'!F:F),DATE(1966,6,6)))</f>
        <v>24264</v>
      </c>
      <c r="G428" s="3" t="s">
        <v>1527</v>
      </c>
      <c r="H428" s="2" t="s">
        <v>2617</v>
      </c>
      <c r="I428" s="2" t="s">
        <v>2617</v>
      </c>
      <c r="J428" s="2" t="s">
        <v>2369</v>
      </c>
      <c r="K428" s="2" t="s">
        <v>2369</v>
      </c>
      <c r="L428" s="18"/>
    </row>
    <row r="429" spans="1:12" ht="18.75" customHeight="1" x14ac:dyDescent="0.2">
      <c r="A429" s="2" t="s">
        <v>5580</v>
      </c>
      <c r="B429" s="2">
        <v>33752</v>
      </c>
      <c r="C429" s="2">
        <v>5902557393831</v>
      </c>
      <c r="D429" s="4" t="s">
        <v>5581</v>
      </c>
      <c r="E429" s="3">
        <f t="array" aca="1" ref="E429" ca="1">IFERROR(_xludf.XLOOKUP(G429,'Rea - SK'!A:A,'Rea - SK'!E:E),0)+IFERROR(_xludf.XLOOKUP(H429,'Rea - SK'!A:A,'Rea - SK'!E:E),0)+IFERROR(_xludf.XLOOKUP(I429,'Rea - SK'!A:A,'Rea - SK'!E:E),0)+IFERROR(_xludf.XLOOKUP(J429,'Rea - SK'!A:A,'Rea - SK'!E:E),0)+IFERROR(_xludf.XLOOKUP(K429,'Rea - SK'!A:A,'Rea - SK'!E:E),0)</f>
        <v>0</v>
      </c>
      <c r="F429" s="11">
        <f t="array" aca="1" ref="F429" ca="1">MAX(IFERROR(_xludf.XLOOKUP(G429,'Rea - SK'!A:A,'Rea - SK'!F:F),DATE(1966,6,6)),IFERROR(_xludf.XLOOKUP(H429,'Rea - SK'!A:A,'Rea - SK'!F:F),DATE(1966,6,6)),IFERROR(_xludf.XLOOKUP(I429,'Rea - SK'!A:A,'Rea - SK'!F:F),DATE(1966,6,6)),IFERROR(_xludf.XLOOKUP(J429,'Rea - SK'!A:A,'Rea - SK'!F:F),DATE(1966,6,6)),IFERROR(_xludf.XLOOKUP(K429,'Rea - SK'!A:A,'Rea - SK'!F:F),DATE(1966,6,6)))</f>
        <v>24264</v>
      </c>
      <c r="G429" s="3" t="s">
        <v>1515</v>
      </c>
      <c r="H429" s="2" t="s">
        <v>2619</v>
      </c>
      <c r="I429" s="2" t="s">
        <v>2619</v>
      </c>
      <c r="J429" s="2" t="s">
        <v>2369</v>
      </c>
      <c r="K429" s="2" t="s">
        <v>2369</v>
      </c>
      <c r="L429" s="18"/>
    </row>
    <row r="430" spans="1:12" ht="18.75" customHeight="1" x14ac:dyDescent="0.2">
      <c r="A430" s="2" t="s">
        <v>5582</v>
      </c>
      <c r="B430" s="2">
        <v>33751</v>
      </c>
      <c r="C430" s="2">
        <v>5902557394029</v>
      </c>
      <c r="D430" s="4" t="s">
        <v>5583</v>
      </c>
      <c r="E430" s="3">
        <f t="array" aca="1" ref="E430" ca="1">IFERROR(_xludf.XLOOKUP(G430,'Rea - SK'!A:A,'Rea - SK'!E:E),0)+IFERROR(_xludf.XLOOKUP(H430,'Rea - SK'!A:A,'Rea - SK'!E:E),0)+IFERROR(_xludf.XLOOKUP(I430,'Rea - SK'!A:A,'Rea - SK'!E:E),0)+IFERROR(_xludf.XLOOKUP(J430,'Rea - SK'!A:A,'Rea - SK'!E:E),0)+IFERROR(_xludf.XLOOKUP(K430,'Rea - SK'!A:A,'Rea - SK'!E:E),0)</f>
        <v>0</v>
      </c>
      <c r="F430" s="11">
        <f t="array" aca="1" ref="F430" ca="1">MAX(IFERROR(_xludf.XLOOKUP(G430,'Rea - SK'!A:A,'Rea - SK'!F:F),DATE(1966,6,6)),IFERROR(_xludf.XLOOKUP(H430,'Rea - SK'!A:A,'Rea - SK'!F:F),DATE(1966,6,6)),IFERROR(_xludf.XLOOKUP(I430,'Rea - SK'!A:A,'Rea - SK'!F:F),DATE(1966,6,6)),IFERROR(_xludf.XLOOKUP(J430,'Rea - SK'!A:A,'Rea - SK'!F:F),DATE(1966,6,6)),IFERROR(_xludf.XLOOKUP(K430,'Rea - SK'!A:A,'Rea - SK'!F:F),DATE(1966,6,6)))</f>
        <v>24264</v>
      </c>
      <c r="G430" s="3" t="s">
        <v>1527</v>
      </c>
      <c r="H430" s="2" t="s">
        <v>2621</v>
      </c>
      <c r="I430" s="2" t="s">
        <v>2621</v>
      </c>
      <c r="J430" s="2" t="s">
        <v>2369</v>
      </c>
      <c r="K430" s="2" t="s">
        <v>2369</v>
      </c>
      <c r="L430" s="18"/>
    </row>
    <row r="431" spans="1:12" ht="18.75" customHeight="1" x14ac:dyDescent="0.2">
      <c r="A431" s="2" t="s">
        <v>5584</v>
      </c>
      <c r="B431" s="2">
        <v>33750</v>
      </c>
      <c r="C431" s="2">
        <v>5902557394012</v>
      </c>
      <c r="D431" s="4" t="s">
        <v>5585</v>
      </c>
      <c r="E431" s="3">
        <f t="array" aca="1" ref="E431" ca="1">IFERROR(_xludf.XLOOKUP(G431,'Rea - SK'!A:A,'Rea - SK'!E:E),0)+IFERROR(_xludf.XLOOKUP(H431,'Rea - SK'!A:A,'Rea - SK'!E:E),0)+IFERROR(_xludf.XLOOKUP(I431,'Rea - SK'!A:A,'Rea - SK'!E:E),0)+IFERROR(_xludf.XLOOKUP(J431,'Rea - SK'!A:A,'Rea - SK'!E:E),0)+IFERROR(_xludf.XLOOKUP(K431,'Rea - SK'!A:A,'Rea - SK'!E:E),0)</f>
        <v>0</v>
      </c>
      <c r="F431" s="11">
        <f t="array" aca="1" ref="F431" ca="1">MAX(IFERROR(_xludf.XLOOKUP(G431,'Rea - SK'!A:A,'Rea - SK'!F:F),DATE(1966,6,6)),IFERROR(_xludf.XLOOKUP(H431,'Rea - SK'!A:A,'Rea - SK'!F:F),DATE(1966,6,6)),IFERROR(_xludf.XLOOKUP(I431,'Rea - SK'!A:A,'Rea - SK'!F:F),DATE(1966,6,6)),IFERROR(_xludf.XLOOKUP(J431,'Rea - SK'!A:A,'Rea - SK'!F:F),DATE(1966,6,6)),IFERROR(_xludf.XLOOKUP(K431,'Rea - SK'!A:A,'Rea - SK'!F:F),DATE(1966,6,6)))</f>
        <v>24264</v>
      </c>
      <c r="G431" s="3" t="s">
        <v>1527</v>
      </c>
      <c r="H431" s="2" t="s">
        <v>2619</v>
      </c>
      <c r="I431" s="2" t="s">
        <v>2619</v>
      </c>
      <c r="J431" s="2" t="s">
        <v>2369</v>
      </c>
      <c r="K431" s="2" t="s">
        <v>2369</v>
      </c>
      <c r="L431" s="18"/>
    </row>
    <row r="432" spans="1:12" ht="18.75" customHeight="1" x14ac:dyDescent="0.2">
      <c r="A432" s="2" t="s">
        <v>5586</v>
      </c>
      <c r="B432" s="2">
        <v>33749</v>
      </c>
      <c r="C432" s="2">
        <v>5902557394005</v>
      </c>
      <c r="D432" s="4" t="s">
        <v>5587</v>
      </c>
      <c r="E432" s="3">
        <f t="array" aca="1" ref="E432" ca="1">IFERROR(_xludf.XLOOKUP(G432,'Rea - SK'!A:A,'Rea - SK'!E:E),0)+IFERROR(_xludf.XLOOKUP(H432,'Rea - SK'!A:A,'Rea - SK'!E:E),0)+IFERROR(_xludf.XLOOKUP(I432,'Rea - SK'!A:A,'Rea - SK'!E:E),0)+IFERROR(_xludf.XLOOKUP(J432,'Rea - SK'!A:A,'Rea - SK'!E:E),0)+IFERROR(_xludf.XLOOKUP(K432,'Rea - SK'!A:A,'Rea - SK'!E:E),0)</f>
        <v>0</v>
      </c>
      <c r="F432" s="11">
        <f t="array" aca="1" ref="F432" ca="1">MAX(IFERROR(_xludf.XLOOKUP(G432,'Rea - SK'!A:A,'Rea - SK'!F:F),DATE(1966,6,6)),IFERROR(_xludf.XLOOKUP(H432,'Rea - SK'!A:A,'Rea - SK'!F:F),DATE(1966,6,6)),IFERROR(_xludf.XLOOKUP(I432,'Rea - SK'!A:A,'Rea - SK'!F:F),DATE(1966,6,6)),IFERROR(_xludf.XLOOKUP(J432,'Rea - SK'!A:A,'Rea - SK'!F:F),DATE(1966,6,6)),IFERROR(_xludf.XLOOKUP(K432,'Rea - SK'!A:A,'Rea - SK'!F:F),DATE(1966,6,6)))</f>
        <v>24264</v>
      </c>
      <c r="G432" s="3" t="s">
        <v>1525</v>
      </c>
      <c r="H432" s="2" t="s">
        <v>2617</v>
      </c>
      <c r="I432" s="2" t="s">
        <v>2617</v>
      </c>
      <c r="J432" s="2" t="s">
        <v>2369</v>
      </c>
      <c r="K432" s="2" t="s">
        <v>2369</v>
      </c>
      <c r="L432" s="18"/>
    </row>
    <row r="433" spans="1:12" ht="18.75" customHeight="1" x14ac:dyDescent="0.2">
      <c r="A433" s="2" t="s">
        <v>5588</v>
      </c>
      <c r="B433" s="2">
        <v>33748</v>
      </c>
      <c r="C433" s="2">
        <v>5902557393992</v>
      </c>
      <c r="D433" s="4" t="s">
        <v>5589</v>
      </c>
      <c r="E433" s="3">
        <f t="array" aca="1" ref="E433" ca="1">IFERROR(_xludf.XLOOKUP(G433,'Rea - SK'!A:A,'Rea - SK'!E:E),0)+IFERROR(_xludf.XLOOKUP(H433,'Rea - SK'!A:A,'Rea - SK'!E:E),0)+IFERROR(_xludf.XLOOKUP(I433,'Rea - SK'!A:A,'Rea - SK'!E:E),0)+IFERROR(_xludf.XLOOKUP(J433,'Rea - SK'!A:A,'Rea - SK'!E:E),0)+IFERROR(_xludf.XLOOKUP(K433,'Rea - SK'!A:A,'Rea - SK'!E:E),0)</f>
        <v>0</v>
      </c>
      <c r="F433" s="11">
        <f t="array" aca="1" ref="F433" ca="1">MAX(IFERROR(_xludf.XLOOKUP(G433,'Rea - SK'!A:A,'Rea - SK'!F:F),DATE(1966,6,6)),IFERROR(_xludf.XLOOKUP(H433,'Rea - SK'!A:A,'Rea - SK'!F:F),DATE(1966,6,6)),IFERROR(_xludf.XLOOKUP(I433,'Rea - SK'!A:A,'Rea - SK'!F:F),DATE(1966,6,6)),IFERROR(_xludf.XLOOKUP(J433,'Rea - SK'!A:A,'Rea - SK'!F:F),DATE(1966,6,6)),IFERROR(_xludf.XLOOKUP(K433,'Rea - SK'!A:A,'Rea - SK'!F:F),DATE(1966,6,6)))</f>
        <v>24264</v>
      </c>
      <c r="G433" s="3" t="s">
        <v>1525</v>
      </c>
      <c r="H433" s="2" t="s">
        <v>2621</v>
      </c>
      <c r="I433" s="2" t="s">
        <v>2621</v>
      </c>
      <c r="J433" s="2" t="s">
        <v>2369</v>
      </c>
      <c r="K433" s="2" t="s">
        <v>2369</v>
      </c>
      <c r="L433" s="18"/>
    </row>
    <row r="434" spans="1:12" ht="18.75" customHeight="1" x14ac:dyDescent="0.2">
      <c r="A434" s="2" t="s">
        <v>5590</v>
      </c>
      <c r="B434" s="2">
        <v>33747</v>
      </c>
      <c r="C434" s="2">
        <v>5902557393985</v>
      </c>
      <c r="D434" s="4" t="s">
        <v>5591</v>
      </c>
      <c r="E434" s="3">
        <f t="array" aca="1" ref="E434" ca="1">IFERROR(_xludf.XLOOKUP(G434,'Rea - SK'!A:A,'Rea - SK'!E:E),0)+IFERROR(_xludf.XLOOKUP(H434,'Rea - SK'!A:A,'Rea - SK'!E:E),0)+IFERROR(_xludf.XLOOKUP(I434,'Rea - SK'!A:A,'Rea - SK'!E:E),0)+IFERROR(_xludf.XLOOKUP(J434,'Rea - SK'!A:A,'Rea - SK'!E:E),0)+IFERROR(_xludf.XLOOKUP(K434,'Rea - SK'!A:A,'Rea - SK'!E:E),0)</f>
        <v>0</v>
      </c>
      <c r="F434" s="11">
        <f t="array" aca="1" ref="F434" ca="1">MAX(IFERROR(_xludf.XLOOKUP(G434,'Rea - SK'!A:A,'Rea - SK'!F:F),DATE(1966,6,6)),IFERROR(_xludf.XLOOKUP(H434,'Rea - SK'!A:A,'Rea - SK'!F:F),DATE(1966,6,6)),IFERROR(_xludf.XLOOKUP(I434,'Rea - SK'!A:A,'Rea - SK'!F:F),DATE(1966,6,6)),IFERROR(_xludf.XLOOKUP(J434,'Rea - SK'!A:A,'Rea - SK'!F:F),DATE(1966,6,6)),IFERROR(_xludf.XLOOKUP(K434,'Rea - SK'!A:A,'Rea - SK'!F:F),DATE(1966,6,6)))</f>
        <v>24264</v>
      </c>
      <c r="G434" s="3" t="s">
        <v>1525</v>
      </c>
      <c r="H434" s="2" t="s">
        <v>2619</v>
      </c>
      <c r="I434" s="2" t="s">
        <v>2619</v>
      </c>
      <c r="J434" s="2" t="s">
        <v>2369</v>
      </c>
      <c r="K434" s="2" t="s">
        <v>2369</v>
      </c>
      <c r="L434" s="18"/>
    </row>
    <row r="435" spans="1:12" ht="18.75" customHeight="1" x14ac:dyDescent="0.2">
      <c r="A435" s="2" t="s">
        <v>5592</v>
      </c>
      <c r="B435" s="2">
        <v>33746</v>
      </c>
      <c r="C435" s="2">
        <v>5902557393978</v>
      </c>
      <c r="D435" s="4" t="s">
        <v>5593</v>
      </c>
      <c r="E435" s="3">
        <f t="array" aca="1" ref="E435" ca="1">IFERROR(_xludf.XLOOKUP(G435,'Rea - SK'!A:A,'Rea - SK'!E:E),0)+IFERROR(_xludf.XLOOKUP(H435,'Rea - SK'!A:A,'Rea - SK'!E:E),0)+IFERROR(_xludf.XLOOKUP(I435,'Rea - SK'!A:A,'Rea - SK'!E:E),0)+IFERROR(_xludf.XLOOKUP(J435,'Rea - SK'!A:A,'Rea - SK'!E:E),0)+IFERROR(_xludf.XLOOKUP(K435,'Rea - SK'!A:A,'Rea - SK'!E:E),0)</f>
        <v>0</v>
      </c>
      <c r="F435" s="11">
        <f t="array" aca="1" ref="F435" ca="1">MAX(IFERROR(_xludf.XLOOKUP(G435,'Rea - SK'!A:A,'Rea - SK'!F:F),DATE(1966,6,6)),IFERROR(_xludf.XLOOKUP(H435,'Rea - SK'!A:A,'Rea - SK'!F:F),DATE(1966,6,6)),IFERROR(_xludf.XLOOKUP(I435,'Rea - SK'!A:A,'Rea - SK'!F:F),DATE(1966,6,6)),IFERROR(_xludf.XLOOKUP(J435,'Rea - SK'!A:A,'Rea - SK'!F:F),DATE(1966,6,6)),IFERROR(_xludf.XLOOKUP(K435,'Rea - SK'!A:A,'Rea - SK'!F:F),DATE(1966,6,6)))</f>
        <v>24264</v>
      </c>
      <c r="G435" s="3" t="s">
        <v>1523</v>
      </c>
      <c r="H435" s="2" t="s">
        <v>2617</v>
      </c>
      <c r="I435" s="2" t="s">
        <v>2617</v>
      </c>
      <c r="J435" s="2" t="s">
        <v>2369</v>
      </c>
      <c r="K435" s="2" t="s">
        <v>2369</v>
      </c>
      <c r="L435" s="18"/>
    </row>
    <row r="436" spans="1:12" ht="18.75" customHeight="1" x14ac:dyDescent="0.2">
      <c r="A436" s="2" t="s">
        <v>5594</v>
      </c>
      <c r="B436" s="2">
        <v>33745</v>
      </c>
      <c r="C436" s="2">
        <v>5902557393961</v>
      </c>
      <c r="D436" s="4" t="s">
        <v>5595</v>
      </c>
      <c r="E436" s="3">
        <f t="array" aca="1" ref="E436" ca="1">IFERROR(_xludf.XLOOKUP(G436,'Rea - SK'!A:A,'Rea - SK'!E:E),0)+IFERROR(_xludf.XLOOKUP(H436,'Rea - SK'!A:A,'Rea - SK'!E:E),0)+IFERROR(_xludf.XLOOKUP(I436,'Rea - SK'!A:A,'Rea - SK'!E:E),0)+IFERROR(_xludf.XLOOKUP(J436,'Rea - SK'!A:A,'Rea - SK'!E:E),0)+IFERROR(_xludf.XLOOKUP(K436,'Rea - SK'!A:A,'Rea - SK'!E:E),0)</f>
        <v>0</v>
      </c>
      <c r="F436" s="11">
        <f t="array" aca="1" ref="F436" ca="1">MAX(IFERROR(_xludf.XLOOKUP(G436,'Rea - SK'!A:A,'Rea - SK'!F:F),DATE(1966,6,6)),IFERROR(_xludf.XLOOKUP(H436,'Rea - SK'!A:A,'Rea - SK'!F:F),DATE(1966,6,6)),IFERROR(_xludf.XLOOKUP(I436,'Rea - SK'!A:A,'Rea - SK'!F:F),DATE(1966,6,6)),IFERROR(_xludf.XLOOKUP(J436,'Rea - SK'!A:A,'Rea - SK'!F:F),DATE(1966,6,6)),IFERROR(_xludf.XLOOKUP(K436,'Rea - SK'!A:A,'Rea - SK'!F:F),DATE(1966,6,6)))</f>
        <v>24264</v>
      </c>
      <c r="G436" s="3" t="s">
        <v>1523</v>
      </c>
      <c r="H436" s="2" t="s">
        <v>2621</v>
      </c>
      <c r="I436" s="2" t="s">
        <v>2621</v>
      </c>
      <c r="J436" s="2" t="s">
        <v>2369</v>
      </c>
      <c r="K436" s="2" t="s">
        <v>2369</v>
      </c>
      <c r="L436" s="18"/>
    </row>
    <row r="437" spans="1:12" ht="18.75" customHeight="1" x14ac:dyDescent="0.2">
      <c r="A437" s="2" t="s">
        <v>5596</v>
      </c>
      <c r="B437" s="2">
        <v>33744</v>
      </c>
      <c r="C437" s="2">
        <v>5902557393954</v>
      </c>
      <c r="D437" s="4" t="s">
        <v>5597</v>
      </c>
      <c r="E437" s="3">
        <f t="array" aca="1" ref="E437" ca="1">IFERROR(_xludf.XLOOKUP(G437,'Rea - SK'!A:A,'Rea - SK'!E:E),0)+IFERROR(_xludf.XLOOKUP(H437,'Rea - SK'!A:A,'Rea - SK'!E:E),0)+IFERROR(_xludf.XLOOKUP(I437,'Rea - SK'!A:A,'Rea - SK'!E:E),0)+IFERROR(_xludf.XLOOKUP(J437,'Rea - SK'!A:A,'Rea - SK'!E:E),0)+IFERROR(_xludf.XLOOKUP(K437,'Rea - SK'!A:A,'Rea - SK'!E:E),0)</f>
        <v>0</v>
      </c>
      <c r="F437" s="11">
        <f t="array" aca="1" ref="F437" ca="1">MAX(IFERROR(_xludf.XLOOKUP(G437,'Rea - SK'!A:A,'Rea - SK'!F:F),DATE(1966,6,6)),IFERROR(_xludf.XLOOKUP(H437,'Rea - SK'!A:A,'Rea - SK'!F:F),DATE(1966,6,6)),IFERROR(_xludf.XLOOKUP(I437,'Rea - SK'!A:A,'Rea - SK'!F:F),DATE(1966,6,6)),IFERROR(_xludf.XLOOKUP(J437,'Rea - SK'!A:A,'Rea - SK'!F:F),DATE(1966,6,6)),IFERROR(_xludf.XLOOKUP(K437,'Rea - SK'!A:A,'Rea - SK'!F:F),DATE(1966,6,6)))</f>
        <v>24264</v>
      </c>
      <c r="G437" s="3" t="s">
        <v>1523</v>
      </c>
      <c r="H437" s="2" t="s">
        <v>2619</v>
      </c>
      <c r="I437" s="2" t="s">
        <v>2619</v>
      </c>
      <c r="J437" s="2" t="s">
        <v>2369</v>
      </c>
      <c r="K437" s="2" t="s">
        <v>2369</v>
      </c>
      <c r="L437" s="18"/>
    </row>
    <row r="438" spans="1:12" ht="18.75" customHeight="1" x14ac:dyDescent="0.2">
      <c r="A438" s="2" t="s">
        <v>5598</v>
      </c>
      <c r="B438" s="2">
        <v>33743</v>
      </c>
      <c r="C438" s="2">
        <v>5902557393947</v>
      </c>
      <c r="D438" s="4" t="s">
        <v>5599</v>
      </c>
      <c r="E438" s="3">
        <f t="array" aca="1" ref="E438" ca="1">IFERROR(_xludf.XLOOKUP(G438,'Rea - SK'!A:A,'Rea - SK'!E:E),0)+IFERROR(_xludf.XLOOKUP(H438,'Rea - SK'!A:A,'Rea - SK'!E:E),0)+IFERROR(_xludf.XLOOKUP(I438,'Rea - SK'!A:A,'Rea - SK'!E:E),0)+IFERROR(_xludf.XLOOKUP(J438,'Rea - SK'!A:A,'Rea - SK'!E:E),0)+IFERROR(_xludf.XLOOKUP(K438,'Rea - SK'!A:A,'Rea - SK'!E:E),0)</f>
        <v>0</v>
      </c>
      <c r="F438" s="11">
        <f t="array" aca="1" ref="F438" ca="1">MAX(IFERROR(_xludf.XLOOKUP(G438,'Rea - SK'!A:A,'Rea - SK'!F:F),DATE(1966,6,6)),IFERROR(_xludf.XLOOKUP(H438,'Rea - SK'!A:A,'Rea - SK'!F:F),DATE(1966,6,6)),IFERROR(_xludf.XLOOKUP(I438,'Rea - SK'!A:A,'Rea - SK'!F:F),DATE(1966,6,6)),IFERROR(_xludf.XLOOKUP(J438,'Rea - SK'!A:A,'Rea - SK'!F:F),DATE(1966,6,6)),IFERROR(_xludf.XLOOKUP(K438,'Rea - SK'!A:A,'Rea - SK'!F:F),DATE(1966,6,6)))</f>
        <v>24264</v>
      </c>
      <c r="G438" s="3" t="s">
        <v>1521</v>
      </c>
      <c r="H438" s="2" t="s">
        <v>2617</v>
      </c>
      <c r="I438" s="2" t="s">
        <v>2617</v>
      </c>
      <c r="J438" s="2" t="s">
        <v>2369</v>
      </c>
      <c r="K438" s="2" t="s">
        <v>2369</v>
      </c>
      <c r="L438" s="18"/>
    </row>
    <row r="439" spans="1:12" ht="18.75" customHeight="1" x14ac:dyDescent="0.2">
      <c r="A439" s="2" t="s">
        <v>5600</v>
      </c>
      <c r="B439" s="2">
        <v>33742</v>
      </c>
      <c r="C439" s="2">
        <v>5902557393930</v>
      </c>
      <c r="D439" s="4" t="s">
        <v>5601</v>
      </c>
      <c r="E439" s="3">
        <f t="array" aca="1" ref="E439" ca="1">IFERROR(_xludf.XLOOKUP(G439,'Rea - SK'!A:A,'Rea - SK'!E:E),0)+IFERROR(_xludf.XLOOKUP(H439,'Rea - SK'!A:A,'Rea - SK'!E:E),0)+IFERROR(_xludf.XLOOKUP(I439,'Rea - SK'!A:A,'Rea - SK'!E:E),0)+IFERROR(_xludf.XLOOKUP(J439,'Rea - SK'!A:A,'Rea - SK'!E:E),0)+IFERROR(_xludf.XLOOKUP(K439,'Rea - SK'!A:A,'Rea - SK'!E:E),0)</f>
        <v>0</v>
      </c>
      <c r="F439" s="11">
        <f t="array" aca="1" ref="F439" ca="1">MAX(IFERROR(_xludf.XLOOKUP(G439,'Rea - SK'!A:A,'Rea - SK'!F:F),DATE(1966,6,6)),IFERROR(_xludf.XLOOKUP(H439,'Rea - SK'!A:A,'Rea - SK'!F:F),DATE(1966,6,6)),IFERROR(_xludf.XLOOKUP(I439,'Rea - SK'!A:A,'Rea - SK'!F:F),DATE(1966,6,6)),IFERROR(_xludf.XLOOKUP(J439,'Rea - SK'!A:A,'Rea - SK'!F:F),DATE(1966,6,6)),IFERROR(_xludf.XLOOKUP(K439,'Rea - SK'!A:A,'Rea - SK'!F:F),DATE(1966,6,6)))</f>
        <v>24264</v>
      </c>
      <c r="G439" s="3" t="s">
        <v>1521</v>
      </c>
      <c r="H439" s="2" t="s">
        <v>2621</v>
      </c>
      <c r="I439" s="2" t="s">
        <v>2621</v>
      </c>
      <c r="J439" s="2" t="s">
        <v>2369</v>
      </c>
      <c r="K439" s="2" t="s">
        <v>2369</v>
      </c>
      <c r="L439" s="18"/>
    </row>
    <row r="440" spans="1:12" ht="18.75" customHeight="1" x14ac:dyDescent="0.2">
      <c r="A440" s="2" t="s">
        <v>5602</v>
      </c>
      <c r="B440" s="2">
        <v>33741</v>
      </c>
      <c r="C440" s="2">
        <v>5902557393923</v>
      </c>
      <c r="D440" s="4" t="s">
        <v>5603</v>
      </c>
      <c r="E440" s="3">
        <f t="array" aca="1" ref="E440" ca="1">IFERROR(_xludf.XLOOKUP(G440,'Rea - SK'!A:A,'Rea - SK'!E:E),0)+IFERROR(_xludf.XLOOKUP(H440,'Rea - SK'!A:A,'Rea - SK'!E:E),0)+IFERROR(_xludf.XLOOKUP(I440,'Rea - SK'!A:A,'Rea - SK'!E:E),0)+IFERROR(_xludf.XLOOKUP(J440,'Rea - SK'!A:A,'Rea - SK'!E:E),0)+IFERROR(_xludf.XLOOKUP(K440,'Rea - SK'!A:A,'Rea - SK'!E:E),0)</f>
        <v>0</v>
      </c>
      <c r="F440" s="11">
        <f t="array" aca="1" ref="F440" ca="1">MAX(IFERROR(_xludf.XLOOKUP(G440,'Rea - SK'!A:A,'Rea - SK'!F:F),DATE(1966,6,6)),IFERROR(_xludf.XLOOKUP(H440,'Rea - SK'!A:A,'Rea - SK'!F:F),DATE(1966,6,6)),IFERROR(_xludf.XLOOKUP(I440,'Rea - SK'!A:A,'Rea - SK'!F:F),DATE(1966,6,6)),IFERROR(_xludf.XLOOKUP(J440,'Rea - SK'!A:A,'Rea - SK'!F:F),DATE(1966,6,6)),IFERROR(_xludf.XLOOKUP(K440,'Rea - SK'!A:A,'Rea - SK'!F:F),DATE(1966,6,6)))</f>
        <v>24264</v>
      </c>
      <c r="G440" s="3" t="s">
        <v>1521</v>
      </c>
      <c r="H440" s="2" t="s">
        <v>2619</v>
      </c>
      <c r="I440" s="2" t="s">
        <v>2619</v>
      </c>
      <c r="J440" s="2" t="s">
        <v>2369</v>
      </c>
      <c r="K440" s="2" t="s">
        <v>2369</v>
      </c>
      <c r="L440" s="18"/>
    </row>
    <row r="441" spans="1:12" ht="18.75" customHeight="1" x14ac:dyDescent="0.2">
      <c r="A441" s="2" t="s">
        <v>5604</v>
      </c>
      <c r="B441" s="2">
        <v>33740</v>
      </c>
      <c r="C441" s="2">
        <v>5902557393916</v>
      </c>
      <c r="D441" s="4" t="s">
        <v>5605</v>
      </c>
      <c r="E441" s="3">
        <f t="array" aca="1" ref="E441" ca="1">IFERROR(_xludf.XLOOKUP(G441,'Rea - SK'!A:A,'Rea - SK'!E:E),0)+IFERROR(_xludf.XLOOKUP(H441,'Rea - SK'!A:A,'Rea - SK'!E:E),0)+IFERROR(_xludf.XLOOKUP(I441,'Rea - SK'!A:A,'Rea - SK'!E:E),0)+IFERROR(_xludf.XLOOKUP(J441,'Rea - SK'!A:A,'Rea - SK'!E:E),0)+IFERROR(_xludf.XLOOKUP(K441,'Rea - SK'!A:A,'Rea - SK'!E:E),0)</f>
        <v>0</v>
      </c>
      <c r="F441" s="11">
        <f t="array" aca="1" ref="F441" ca="1">MAX(IFERROR(_xludf.XLOOKUP(G441,'Rea - SK'!A:A,'Rea - SK'!F:F),DATE(1966,6,6)),IFERROR(_xludf.XLOOKUP(H441,'Rea - SK'!A:A,'Rea - SK'!F:F),DATE(1966,6,6)),IFERROR(_xludf.XLOOKUP(I441,'Rea - SK'!A:A,'Rea - SK'!F:F),DATE(1966,6,6)),IFERROR(_xludf.XLOOKUP(J441,'Rea - SK'!A:A,'Rea - SK'!F:F),DATE(1966,6,6)),IFERROR(_xludf.XLOOKUP(K441,'Rea - SK'!A:A,'Rea - SK'!F:F),DATE(1966,6,6)))</f>
        <v>24264</v>
      </c>
      <c r="G441" s="3" t="s">
        <v>1519</v>
      </c>
      <c r="H441" s="2" t="s">
        <v>2617</v>
      </c>
      <c r="I441" s="2" t="s">
        <v>2617</v>
      </c>
      <c r="J441" s="2" t="s">
        <v>2369</v>
      </c>
      <c r="K441" s="2" t="s">
        <v>2369</v>
      </c>
      <c r="L441" s="18"/>
    </row>
    <row r="442" spans="1:12" ht="18.75" customHeight="1" x14ac:dyDescent="0.2">
      <c r="A442" s="2" t="s">
        <v>5606</v>
      </c>
      <c r="B442" s="2">
        <v>33739</v>
      </c>
      <c r="C442" s="2">
        <v>5902557393909</v>
      </c>
      <c r="D442" s="4" t="s">
        <v>5607</v>
      </c>
      <c r="E442" s="3">
        <f t="array" aca="1" ref="E442" ca="1">IFERROR(_xludf.XLOOKUP(G442,'Rea - SK'!A:A,'Rea - SK'!E:E),0)+IFERROR(_xludf.XLOOKUP(H442,'Rea - SK'!A:A,'Rea - SK'!E:E),0)+IFERROR(_xludf.XLOOKUP(I442,'Rea - SK'!A:A,'Rea - SK'!E:E),0)+IFERROR(_xludf.XLOOKUP(J442,'Rea - SK'!A:A,'Rea - SK'!E:E),0)+IFERROR(_xludf.XLOOKUP(K442,'Rea - SK'!A:A,'Rea - SK'!E:E),0)</f>
        <v>0</v>
      </c>
      <c r="F442" s="11">
        <f t="array" aca="1" ref="F442" ca="1">MAX(IFERROR(_xludf.XLOOKUP(G442,'Rea - SK'!A:A,'Rea - SK'!F:F),DATE(1966,6,6)),IFERROR(_xludf.XLOOKUP(H442,'Rea - SK'!A:A,'Rea - SK'!F:F),DATE(1966,6,6)),IFERROR(_xludf.XLOOKUP(I442,'Rea - SK'!A:A,'Rea - SK'!F:F),DATE(1966,6,6)),IFERROR(_xludf.XLOOKUP(J442,'Rea - SK'!A:A,'Rea - SK'!F:F),DATE(1966,6,6)),IFERROR(_xludf.XLOOKUP(K442,'Rea - SK'!A:A,'Rea - SK'!F:F),DATE(1966,6,6)))</f>
        <v>24264</v>
      </c>
      <c r="G442" s="3" t="s">
        <v>1519</v>
      </c>
      <c r="H442" s="2" t="s">
        <v>2621</v>
      </c>
      <c r="I442" s="2" t="s">
        <v>2621</v>
      </c>
      <c r="J442" s="2" t="s">
        <v>2369</v>
      </c>
      <c r="K442" s="2" t="s">
        <v>2369</v>
      </c>
      <c r="L442" s="18"/>
    </row>
    <row r="443" spans="1:12" ht="18.75" customHeight="1" x14ac:dyDescent="0.2">
      <c r="A443" s="2" t="s">
        <v>5608</v>
      </c>
      <c r="B443" s="2">
        <v>33738</v>
      </c>
      <c r="C443" s="2">
        <v>5902557393893</v>
      </c>
      <c r="D443" s="4" t="s">
        <v>5609</v>
      </c>
      <c r="E443" s="3">
        <f t="array" aca="1" ref="E443" ca="1">IFERROR(_xludf.XLOOKUP(G443,'Rea - SK'!A:A,'Rea - SK'!E:E),0)+IFERROR(_xludf.XLOOKUP(H443,'Rea - SK'!A:A,'Rea - SK'!E:E),0)+IFERROR(_xludf.XLOOKUP(I443,'Rea - SK'!A:A,'Rea - SK'!E:E),0)+IFERROR(_xludf.XLOOKUP(J443,'Rea - SK'!A:A,'Rea - SK'!E:E),0)+IFERROR(_xludf.XLOOKUP(K443,'Rea - SK'!A:A,'Rea - SK'!E:E),0)</f>
        <v>0</v>
      </c>
      <c r="F443" s="11">
        <f t="array" aca="1" ref="F443" ca="1">MAX(IFERROR(_xludf.XLOOKUP(G443,'Rea - SK'!A:A,'Rea - SK'!F:F),DATE(1966,6,6)),IFERROR(_xludf.XLOOKUP(H443,'Rea - SK'!A:A,'Rea - SK'!F:F),DATE(1966,6,6)),IFERROR(_xludf.XLOOKUP(I443,'Rea - SK'!A:A,'Rea - SK'!F:F),DATE(1966,6,6)),IFERROR(_xludf.XLOOKUP(J443,'Rea - SK'!A:A,'Rea - SK'!F:F),DATE(1966,6,6)),IFERROR(_xludf.XLOOKUP(K443,'Rea - SK'!A:A,'Rea - SK'!F:F),DATE(1966,6,6)))</f>
        <v>24264</v>
      </c>
      <c r="G443" s="3" t="s">
        <v>1519</v>
      </c>
      <c r="H443" s="2" t="s">
        <v>2619</v>
      </c>
      <c r="I443" s="2" t="s">
        <v>2619</v>
      </c>
      <c r="J443" s="2" t="s">
        <v>2369</v>
      </c>
      <c r="K443" s="2" t="s">
        <v>2369</v>
      </c>
      <c r="L443" s="18"/>
    </row>
    <row r="444" spans="1:12" ht="18.75" customHeight="1" x14ac:dyDescent="0.2">
      <c r="A444" s="2" t="s">
        <v>5610</v>
      </c>
      <c r="B444" s="2">
        <v>33737</v>
      </c>
      <c r="C444" s="2">
        <v>5902557393886</v>
      </c>
      <c r="D444" s="4" t="s">
        <v>5611</v>
      </c>
      <c r="E444" s="3">
        <f t="array" aca="1" ref="E444" ca="1">IFERROR(_xludf.XLOOKUP(G444,'Rea - SK'!A:A,'Rea - SK'!E:E),0)+IFERROR(_xludf.XLOOKUP(H444,'Rea - SK'!A:A,'Rea - SK'!E:E),0)+IFERROR(_xludf.XLOOKUP(I444,'Rea - SK'!A:A,'Rea - SK'!E:E),0)+IFERROR(_xludf.XLOOKUP(J444,'Rea - SK'!A:A,'Rea - SK'!E:E),0)+IFERROR(_xludf.XLOOKUP(K444,'Rea - SK'!A:A,'Rea - SK'!E:E),0)</f>
        <v>0</v>
      </c>
      <c r="F444" s="11">
        <f t="array" aca="1" ref="F444" ca="1">MAX(IFERROR(_xludf.XLOOKUP(G444,'Rea - SK'!A:A,'Rea - SK'!F:F),DATE(1966,6,6)),IFERROR(_xludf.XLOOKUP(H444,'Rea - SK'!A:A,'Rea - SK'!F:F),DATE(1966,6,6)),IFERROR(_xludf.XLOOKUP(I444,'Rea - SK'!A:A,'Rea - SK'!F:F),DATE(1966,6,6)),IFERROR(_xludf.XLOOKUP(J444,'Rea - SK'!A:A,'Rea - SK'!F:F),DATE(1966,6,6)),IFERROR(_xludf.XLOOKUP(K444,'Rea - SK'!A:A,'Rea - SK'!F:F),DATE(1966,6,6)))</f>
        <v>24264</v>
      </c>
      <c r="G444" s="3" t="s">
        <v>1517</v>
      </c>
      <c r="H444" s="2" t="s">
        <v>2617</v>
      </c>
      <c r="I444" s="2" t="s">
        <v>2617</v>
      </c>
      <c r="J444" s="2" t="s">
        <v>2369</v>
      </c>
      <c r="K444" s="2" t="s">
        <v>2369</v>
      </c>
      <c r="L444" s="18"/>
    </row>
    <row r="445" spans="1:12" ht="18.75" customHeight="1" x14ac:dyDescent="0.2">
      <c r="A445" s="2" t="s">
        <v>5612</v>
      </c>
      <c r="B445" s="2">
        <v>33736</v>
      </c>
      <c r="C445" s="2">
        <v>5902557393879</v>
      </c>
      <c r="D445" s="4" t="s">
        <v>5613</v>
      </c>
      <c r="E445" s="3">
        <f t="array" aca="1" ref="E445" ca="1">IFERROR(_xludf.XLOOKUP(G445,'Rea - SK'!A:A,'Rea - SK'!E:E),0)+IFERROR(_xludf.XLOOKUP(H445,'Rea - SK'!A:A,'Rea - SK'!E:E),0)+IFERROR(_xludf.XLOOKUP(I445,'Rea - SK'!A:A,'Rea - SK'!E:E),0)+IFERROR(_xludf.XLOOKUP(J445,'Rea - SK'!A:A,'Rea - SK'!E:E),0)+IFERROR(_xludf.XLOOKUP(K445,'Rea - SK'!A:A,'Rea - SK'!E:E),0)</f>
        <v>0</v>
      </c>
      <c r="F445" s="11">
        <f t="array" aca="1" ref="F445" ca="1">MAX(IFERROR(_xludf.XLOOKUP(G445,'Rea - SK'!A:A,'Rea - SK'!F:F),DATE(1966,6,6)),IFERROR(_xludf.XLOOKUP(H445,'Rea - SK'!A:A,'Rea - SK'!F:F),DATE(1966,6,6)),IFERROR(_xludf.XLOOKUP(I445,'Rea - SK'!A:A,'Rea - SK'!F:F),DATE(1966,6,6)),IFERROR(_xludf.XLOOKUP(J445,'Rea - SK'!A:A,'Rea - SK'!F:F),DATE(1966,6,6)),IFERROR(_xludf.XLOOKUP(K445,'Rea - SK'!A:A,'Rea - SK'!F:F),DATE(1966,6,6)))</f>
        <v>24264</v>
      </c>
      <c r="G445" s="3" t="s">
        <v>1517</v>
      </c>
      <c r="H445" s="2" t="s">
        <v>2621</v>
      </c>
      <c r="I445" s="2" t="s">
        <v>2621</v>
      </c>
      <c r="J445" s="2" t="s">
        <v>2369</v>
      </c>
      <c r="K445" s="2" t="s">
        <v>2369</v>
      </c>
      <c r="L445" s="18"/>
    </row>
    <row r="446" spans="1:12" ht="18.75" customHeight="1" x14ac:dyDescent="0.2">
      <c r="A446" s="2" t="s">
        <v>5614</v>
      </c>
      <c r="B446" s="2">
        <v>33735</v>
      </c>
      <c r="C446" s="2">
        <v>5902557393862</v>
      </c>
      <c r="D446" s="4" t="s">
        <v>5615</v>
      </c>
      <c r="E446" s="3">
        <f t="array" aca="1" ref="E446" ca="1">IFERROR(_xludf.XLOOKUP(G446,'Rea - SK'!A:A,'Rea - SK'!E:E),0)+IFERROR(_xludf.XLOOKUP(H446,'Rea - SK'!A:A,'Rea - SK'!E:E),0)+IFERROR(_xludf.XLOOKUP(I446,'Rea - SK'!A:A,'Rea - SK'!E:E),0)+IFERROR(_xludf.XLOOKUP(J446,'Rea - SK'!A:A,'Rea - SK'!E:E),0)+IFERROR(_xludf.XLOOKUP(K446,'Rea - SK'!A:A,'Rea - SK'!E:E),0)</f>
        <v>0</v>
      </c>
      <c r="F446" s="11">
        <f t="array" aca="1" ref="F446" ca="1">MAX(IFERROR(_xludf.XLOOKUP(G446,'Rea - SK'!A:A,'Rea - SK'!F:F),DATE(1966,6,6)),IFERROR(_xludf.XLOOKUP(H446,'Rea - SK'!A:A,'Rea - SK'!F:F),DATE(1966,6,6)),IFERROR(_xludf.XLOOKUP(I446,'Rea - SK'!A:A,'Rea - SK'!F:F),DATE(1966,6,6)),IFERROR(_xludf.XLOOKUP(J446,'Rea - SK'!A:A,'Rea - SK'!F:F),DATE(1966,6,6)),IFERROR(_xludf.XLOOKUP(K446,'Rea - SK'!A:A,'Rea - SK'!F:F),DATE(1966,6,6)))</f>
        <v>24264</v>
      </c>
      <c r="G446" s="3" t="s">
        <v>1517</v>
      </c>
      <c r="H446" s="2" t="s">
        <v>2619</v>
      </c>
      <c r="I446" s="2" t="s">
        <v>2619</v>
      </c>
      <c r="J446" s="2" t="s">
        <v>2369</v>
      </c>
      <c r="K446" s="2" t="s">
        <v>2369</v>
      </c>
      <c r="L446" s="18"/>
    </row>
    <row r="447" spans="1:12" ht="18.75" customHeight="1" x14ac:dyDescent="0.2">
      <c r="A447" s="2" t="s">
        <v>5616</v>
      </c>
      <c r="B447" s="2">
        <v>33734</v>
      </c>
      <c r="C447" s="2">
        <v>5902557393855</v>
      </c>
      <c r="D447" s="4" t="s">
        <v>5617</v>
      </c>
      <c r="E447" s="3">
        <f t="array" aca="1" ref="E447" ca="1">IFERROR(_xludf.XLOOKUP(G447,'Rea - SK'!A:A,'Rea - SK'!E:E),0)+IFERROR(_xludf.XLOOKUP(H447,'Rea - SK'!A:A,'Rea - SK'!E:E),0)+IFERROR(_xludf.XLOOKUP(I447,'Rea - SK'!A:A,'Rea - SK'!E:E),0)+IFERROR(_xludf.XLOOKUP(J447,'Rea - SK'!A:A,'Rea - SK'!E:E),0)+IFERROR(_xludf.XLOOKUP(K447,'Rea - SK'!A:A,'Rea - SK'!E:E),0)</f>
        <v>0</v>
      </c>
      <c r="F447" s="11">
        <f t="array" aca="1" ref="F447" ca="1">MAX(IFERROR(_xludf.XLOOKUP(G447,'Rea - SK'!A:A,'Rea - SK'!F:F),DATE(1966,6,6)),IFERROR(_xludf.XLOOKUP(H447,'Rea - SK'!A:A,'Rea - SK'!F:F),DATE(1966,6,6)),IFERROR(_xludf.XLOOKUP(I447,'Rea - SK'!A:A,'Rea - SK'!F:F),DATE(1966,6,6)),IFERROR(_xludf.XLOOKUP(J447,'Rea - SK'!A:A,'Rea - SK'!F:F),DATE(1966,6,6)),IFERROR(_xludf.XLOOKUP(K447,'Rea - SK'!A:A,'Rea - SK'!F:F),DATE(1966,6,6)))</f>
        <v>24264</v>
      </c>
      <c r="G447" s="3" t="s">
        <v>1515</v>
      </c>
      <c r="H447" s="2" t="s">
        <v>2617</v>
      </c>
      <c r="I447" s="2" t="s">
        <v>2617</v>
      </c>
      <c r="J447" s="2" t="s">
        <v>2369</v>
      </c>
      <c r="K447" s="2" t="s">
        <v>2369</v>
      </c>
      <c r="L447" s="18"/>
    </row>
    <row r="448" spans="1:12" ht="18.75" customHeight="1" x14ac:dyDescent="0.2">
      <c r="A448" s="2" t="s">
        <v>5618</v>
      </c>
      <c r="B448" s="2">
        <v>33733</v>
      </c>
      <c r="C448" s="2">
        <v>5902557393848</v>
      </c>
      <c r="D448" s="4" t="s">
        <v>5619</v>
      </c>
      <c r="E448" s="3">
        <f t="array" aca="1" ref="E448" ca="1">IFERROR(_xludf.XLOOKUP(G448,'Rea - SK'!A:A,'Rea - SK'!E:E),0)+IFERROR(_xludf.XLOOKUP(H448,'Rea - SK'!A:A,'Rea - SK'!E:E),0)+IFERROR(_xludf.XLOOKUP(I448,'Rea - SK'!A:A,'Rea - SK'!E:E),0)+IFERROR(_xludf.XLOOKUP(J448,'Rea - SK'!A:A,'Rea - SK'!E:E),0)+IFERROR(_xludf.XLOOKUP(K448,'Rea - SK'!A:A,'Rea - SK'!E:E),0)</f>
        <v>0</v>
      </c>
      <c r="F448" s="11">
        <f t="array" aca="1" ref="F448" ca="1">MAX(IFERROR(_xludf.XLOOKUP(G448,'Rea - SK'!A:A,'Rea - SK'!F:F),DATE(1966,6,6)),IFERROR(_xludf.XLOOKUP(H448,'Rea - SK'!A:A,'Rea - SK'!F:F),DATE(1966,6,6)),IFERROR(_xludf.XLOOKUP(I448,'Rea - SK'!A:A,'Rea - SK'!F:F),DATE(1966,6,6)),IFERROR(_xludf.XLOOKUP(J448,'Rea - SK'!A:A,'Rea - SK'!F:F),DATE(1966,6,6)),IFERROR(_xludf.XLOOKUP(K448,'Rea - SK'!A:A,'Rea - SK'!F:F),DATE(1966,6,6)))</f>
        <v>24264</v>
      </c>
      <c r="G448" s="3" t="s">
        <v>1515</v>
      </c>
      <c r="H448" s="2" t="s">
        <v>2621</v>
      </c>
      <c r="I448" s="2" t="s">
        <v>2621</v>
      </c>
      <c r="J448" s="2" t="s">
        <v>2369</v>
      </c>
      <c r="K448" s="2" t="s">
        <v>2369</v>
      </c>
      <c r="L448" s="18"/>
    </row>
    <row r="449" spans="1:12" ht="18.75" customHeight="1" x14ac:dyDescent="0.2">
      <c r="A449" s="2" t="s">
        <v>5620</v>
      </c>
      <c r="B449" s="2">
        <v>33730</v>
      </c>
      <c r="C449" s="2">
        <v>5902557390199</v>
      </c>
      <c r="D449" s="4" t="s">
        <v>5621</v>
      </c>
      <c r="E449" s="3">
        <f t="array" aca="1" ref="E449" ca="1">IFERROR(_xludf.XLOOKUP(G449,'Rea - SK'!A:A,'Rea - SK'!E:E),0)+IFERROR(_xludf.XLOOKUP(H449,'Rea - SK'!A:A,'Rea - SK'!E:E),0)+IFERROR(_xludf.XLOOKUP(I449,'Rea - SK'!A:A,'Rea - SK'!E:E),0)+IFERROR(_xludf.XLOOKUP(J449,'Rea - SK'!A:A,'Rea - SK'!E:E),0)+IFERROR(_xludf.XLOOKUP(K449,'Rea - SK'!A:A,'Rea - SK'!E:E),0)</f>
        <v>0</v>
      </c>
      <c r="F449" s="11">
        <f t="array" aca="1" ref="F449" ca="1">MAX(IFERROR(_xludf.XLOOKUP(G449,'Rea - SK'!A:A,'Rea - SK'!F:F),DATE(1966,6,6)),IFERROR(_xludf.XLOOKUP(H449,'Rea - SK'!A:A,'Rea - SK'!F:F),DATE(1966,6,6)),IFERROR(_xludf.XLOOKUP(I449,'Rea - SK'!A:A,'Rea - SK'!F:F),DATE(1966,6,6)),IFERROR(_xludf.XLOOKUP(J449,'Rea - SK'!A:A,'Rea - SK'!F:F),DATE(1966,6,6)),IFERROR(_xludf.XLOOKUP(K449,'Rea - SK'!A:A,'Rea - SK'!F:F),DATE(1966,6,6)))</f>
        <v>24264</v>
      </c>
      <c r="G449" s="3" t="s">
        <v>1527</v>
      </c>
      <c r="H449" s="2" t="s">
        <v>2617</v>
      </c>
      <c r="I449" s="19"/>
      <c r="J449" s="19"/>
      <c r="K449" s="19"/>
      <c r="L449" s="18"/>
    </row>
    <row r="450" spans="1:12" ht="18.75" customHeight="1" x14ac:dyDescent="0.2">
      <c r="A450" s="2" t="s">
        <v>5622</v>
      </c>
      <c r="B450" s="2">
        <v>33729</v>
      </c>
      <c r="C450" s="2">
        <v>5902557389810</v>
      </c>
      <c r="D450" s="4" t="s">
        <v>5623</v>
      </c>
      <c r="E450" s="3">
        <f t="array" aca="1" ref="E450" ca="1">IFERROR(_xludf.XLOOKUP(G450,'Rea - SK'!A:A,'Rea - SK'!E:E),0)+IFERROR(_xludf.XLOOKUP(H450,'Rea - SK'!A:A,'Rea - SK'!E:E),0)+IFERROR(_xludf.XLOOKUP(I450,'Rea - SK'!A:A,'Rea - SK'!E:E),0)+IFERROR(_xludf.XLOOKUP(J450,'Rea - SK'!A:A,'Rea - SK'!E:E),0)+IFERROR(_xludf.XLOOKUP(K450,'Rea - SK'!A:A,'Rea - SK'!E:E),0)</f>
        <v>0</v>
      </c>
      <c r="F450" s="11">
        <f t="array" aca="1" ref="F450" ca="1">MAX(IFERROR(_xludf.XLOOKUP(G450,'Rea - SK'!A:A,'Rea - SK'!F:F),DATE(1966,6,6)),IFERROR(_xludf.XLOOKUP(H450,'Rea - SK'!A:A,'Rea - SK'!F:F),DATE(1966,6,6)),IFERROR(_xludf.XLOOKUP(I450,'Rea - SK'!A:A,'Rea - SK'!F:F),DATE(1966,6,6)),IFERROR(_xludf.XLOOKUP(J450,'Rea - SK'!A:A,'Rea - SK'!F:F),DATE(1966,6,6)),IFERROR(_xludf.XLOOKUP(K450,'Rea - SK'!A:A,'Rea - SK'!F:F),DATE(1966,6,6)))</f>
        <v>24264</v>
      </c>
      <c r="G450" s="3" t="s">
        <v>1515</v>
      </c>
      <c r="H450" s="2" t="s">
        <v>2619</v>
      </c>
      <c r="I450" s="19"/>
      <c r="J450" s="19"/>
      <c r="K450" s="19"/>
      <c r="L450" s="18"/>
    </row>
    <row r="451" spans="1:12" ht="18.75" customHeight="1" x14ac:dyDescent="0.2">
      <c r="A451" s="2" t="s">
        <v>5624</v>
      </c>
      <c r="B451" s="2">
        <v>33728</v>
      </c>
      <c r="C451" s="2">
        <v>5902557390182</v>
      </c>
      <c r="D451" s="4" t="s">
        <v>5625</v>
      </c>
      <c r="E451" s="3">
        <f t="array" aca="1" ref="E451" ca="1">IFERROR(_xludf.XLOOKUP(G451,'Rea - SK'!A:A,'Rea - SK'!E:E),0)+IFERROR(_xludf.XLOOKUP(H451,'Rea - SK'!A:A,'Rea - SK'!E:E),0)+IFERROR(_xludf.XLOOKUP(I451,'Rea - SK'!A:A,'Rea - SK'!E:E),0)+IFERROR(_xludf.XLOOKUP(J451,'Rea - SK'!A:A,'Rea - SK'!E:E),0)+IFERROR(_xludf.XLOOKUP(K451,'Rea - SK'!A:A,'Rea - SK'!E:E),0)</f>
        <v>0</v>
      </c>
      <c r="F451" s="11">
        <f t="array" aca="1" ref="F451" ca="1">MAX(IFERROR(_xludf.XLOOKUP(G451,'Rea - SK'!A:A,'Rea - SK'!F:F),DATE(1966,6,6)),IFERROR(_xludf.XLOOKUP(H451,'Rea - SK'!A:A,'Rea - SK'!F:F),DATE(1966,6,6)),IFERROR(_xludf.XLOOKUP(I451,'Rea - SK'!A:A,'Rea - SK'!F:F),DATE(1966,6,6)),IFERROR(_xludf.XLOOKUP(J451,'Rea - SK'!A:A,'Rea - SK'!F:F),DATE(1966,6,6)),IFERROR(_xludf.XLOOKUP(K451,'Rea - SK'!A:A,'Rea - SK'!F:F),DATE(1966,6,6)))</f>
        <v>24264</v>
      </c>
      <c r="G451" s="3" t="s">
        <v>1527</v>
      </c>
      <c r="H451" s="2" t="s">
        <v>2621</v>
      </c>
      <c r="I451" s="19"/>
      <c r="J451" s="19"/>
      <c r="K451" s="19"/>
      <c r="L451" s="18"/>
    </row>
    <row r="452" spans="1:12" ht="18.75" customHeight="1" x14ac:dyDescent="0.2">
      <c r="A452" s="2" t="s">
        <v>5626</v>
      </c>
      <c r="B452" s="2">
        <v>33727</v>
      </c>
      <c r="C452" s="2">
        <v>5902557390175</v>
      </c>
      <c r="D452" s="4" t="s">
        <v>5627</v>
      </c>
      <c r="E452" s="3">
        <f t="array" aca="1" ref="E452" ca="1">IFERROR(_xludf.XLOOKUP(G452,'Rea - SK'!A:A,'Rea - SK'!E:E),0)+IFERROR(_xludf.XLOOKUP(H452,'Rea - SK'!A:A,'Rea - SK'!E:E),0)+IFERROR(_xludf.XLOOKUP(I452,'Rea - SK'!A:A,'Rea - SK'!E:E),0)+IFERROR(_xludf.XLOOKUP(J452,'Rea - SK'!A:A,'Rea - SK'!E:E),0)+IFERROR(_xludf.XLOOKUP(K452,'Rea - SK'!A:A,'Rea - SK'!E:E),0)</f>
        <v>0</v>
      </c>
      <c r="F452" s="11">
        <f t="array" aca="1" ref="F452" ca="1">MAX(IFERROR(_xludf.XLOOKUP(G452,'Rea - SK'!A:A,'Rea - SK'!F:F),DATE(1966,6,6)),IFERROR(_xludf.XLOOKUP(H452,'Rea - SK'!A:A,'Rea - SK'!F:F),DATE(1966,6,6)),IFERROR(_xludf.XLOOKUP(I452,'Rea - SK'!A:A,'Rea - SK'!F:F),DATE(1966,6,6)),IFERROR(_xludf.XLOOKUP(J452,'Rea - SK'!A:A,'Rea - SK'!F:F),DATE(1966,6,6)),IFERROR(_xludf.XLOOKUP(K452,'Rea - SK'!A:A,'Rea - SK'!F:F),DATE(1966,6,6)))</f>
        <v>24264</v>
      </c>
      <c r="G452" s="3" t="s">
        <v>1527</v>
      </c>
      <c r="H452" s="2" t="s">
        <v>2619</v>
      </c>
      <c r="I452" s="19"/>
      <c r="J452" s="19"/>
      <c r="K452" s="19"/>
      <c r="L452" s="18"/>
    </row>
    <row r="453" spans="1:12" ht="18.75" customHeight="1" x14ac:dyDescent="0.2">
      <c r="A453" s="2" t="s">
        <v>5628</v>
      </c>
      <c r="B453" s="2">
        <v>33726</v>
      </c>
      <c r="C453" s="2">
        <v>5902557390168</v>
      </c>
      <c r="D453" s="4" t="s">
        <v>5629</v>
      </c>
      <c r="E453" s="3">
        <f t="array" aca="1" ref="E453" ca="1">IFERROR(_xludf.XLOOKUP(G453,'Rea - SK'!A:A,'Rea - SK'!E:E),0)+IFERROR(_xludf.XLOOKUP(H453,'Rea - SK'!A:A,'Rea - SK'!E:E),0)+IFERROR(_xludf.XLOOKUP(I453,'Rea - SK'!A:A,'Rea - SK'!E:E),0)+IFERROR(_xludf.XLOOKUP(J453,'Rea - SK'!A:A,'Rea - SK'!E:E),0)+IFERROR(_xludf.XLOOKUP(K453,'Rea - SK'!A:A,'Rea - SK'!E:E),0)</f>
        <v>0</v>
      </c>
      <c r="F453" s="11">
        <f t="array" aca="1" ref="F453" ca="1">MAX(IFERROR(_xludf.XLOOKUP(G453,'Rea - SK'!A:A,'Rea - SK'!F:F),DATE(1966,6,6)),IFERROR(_xludf.XLOOKUP(H453,'Rea - SK'!A:A,'Rea - SK'!F:F),DATE(1966,6,6)),IFERROR(_xludf.XLOOKUP(I453,'Rea - SK'!A:A,'Rea - SK'!F:F),DATE(1966,6,6)),IFERROR(_xludf.XLOOKUP(J453,'Rea - SK'!A:A,'Rea - SK'!F:F),DATE(1966,6,6)),IFERROR(_xludf.XLOOKUP(K453,'Rea - SK'!A:A,'Rea - SK'!F:F),DATE(1966,6,6)))</f>
        <v>24264</v>
      </c>
      <c r="G453" s="3" t="s">
        <v>1525</v>
      </c>
      <c r="H453" s="2" t="s">
        <v>2617</v>
      </c>
      <c r="I453" s="19"/>
      <c r="J453" s="19"/>
      <c r="K453" s="19"/>
      <c r="L453" s="18"/>
    </row>
    <row r="454" spans="1:12" ht="18.75" customHeight="1" x14ac:dyDescent="0.2">
      <c r="A454" s="2" t="s">
        <v>5630</v>
      </c>
      <c r="B454" s="2">
        <v>33725</v>
      </c>
      <c r="C454" s="2">
        <v>5902557390151</v>
      </c>
      <c r="D454" s="4" t="s">
        <v>5631</v>
      </c>
      <c r="E454" s="3">
        <f t="array" aca="1" ref="E454" ca="1">IFERROR(_xludf.XLOOKUP(G454,'Rea - SK'!A:A,'Rea - SK'!E:E),0)+IFERROR(_xludf.XLOOKUP(H454,'Rea - SK'!A:A,'Rea - SK'!E:E),0)+IFERROR(_xludf.XLOOKUP(I454,'Rea - SK'!A:A,'Rea - SK'!E:E),0)+IFERROR(_xludf.XLOOKUP(J454,'Rea - SK'!A:A,'Rea - SK'!E:E),0)+IFERROR(_xludf.XLOOKUP(K454,'Rea - SK'!A:A,'Rea - SK'!E:E),0)</f>
        <v>0</v>
      </c>
      <c r="F454" s="11">
        <f t="array" aca="1" ref="F454" ca="1">MAX(IFERROR(_xludf.XLOOKUP(G454,'Rea - SK'!A:A,'Rea - SK'!F:F),DATE(1966,6,6)),IFERROR(_xludf.XLOOKUP(H454,'Rea - SK'!A:A,'Rea - SK'!F:F),DATE(1966,6,6)),IFERROR(_xludf.XLOOKUP(I454,'Rea - SK'!A:A,'Rea - SK'!F:F),DATE(1966,6,6)),IFERROR(_xludf.XLOOKUP(J454,'Rea - SK'!A:A,'Rea - SK'!F:F),DATE(1966,6,6)),IFERROR(_xludf.XLOOKUP(K454,'Rea - SK'!A:A,'Rea - SK'!F:F),DATE(1966,6,6)))</f>
        <v>24264</v>
      </c>
      <c r="G454" s="3" t="s">
        <v>1525</v>
      </c>
      <c r="H454" s="2" t="s">
        <v>2621</v>
      </c>
      <c r="I454" s="19"/>
      <c r="J454" s="19"/>
      <c r="K454" s="19"/>
      <c r="L454" s="18"/>
    </row>
    <row r="455" spans="1:12" ht="18.75" customHeight="1" x14ac:dyDescent="0.2">
      <c r="A455" s="2" t="s">
        <v>5632</v>
      </c>
      <c r="B455" s="2">
        <v>33724</v>
      </c>
      <c r="C455" s="2">
        <v>5902557390144</v>
      </c>
      <c r="D455" s="4" t="s">
        <v>5633</v>
      </c>
      <c r="E455" s="3">
        <f t="array" aca="1" ref="E455" ca="1">IFERROR(_xludf.XLOOKUP(G455,'Rea - SK'!A:A,'Rea - SK'!E:E),0)+IFERROR(_xludf.XLOOKUP(H455,'Rea - SK'!A:A,'Rea - SK'!E:E),0)+IFERROR(_xludf.XLOOKUP(I455,'Rea - SK'!A:A,'Rea - SK'!E:E),0)+IFERROR(_xludf.XLOOKUP(J455,'Rea - SK'!A:A,'Rea - SK'!E:E),0)+IFERROR(_xludf.XLOOKUP(K455,'Rea - SK'!A:A,'Rea - SK'!E:E),0)</f>
        <v>0</v>
      </c>
      <c r="F455" s="11">
        <f t="array" aca="1" ref="F455" ca="1">MAX(IFERROR(_xludf.XLOOKUP(G455,'Rea - SK'!A:A,'Rea - SK'!F:F),DATE(1966,6,6)),IFERROR(_xludf.XLOOKUP(H455,'Rea - SK'!A:A,'Rea - SK'!F:F),DATE(1966,6,6)),IFERROR(_xludf.XLOOKUP(I455,'Rea - SK'!A:A,'Rea - SK'!F:F),DATE(1966,6,6)),IFERROR(_xludf.XLOOKUP(J455,'Rea - SK'!A:A,'Rea - SK'!F:F),DATE(1966,6,6)),IFERROR(_xludf.XLOOKUP(K455,'Rea - SK'!A:A,'Rea - SK'!F:F),DATE(1966,6,6)))</f>
        <v>24264</v>
      </c>
      <c r="G455" s="3" t="s">
        <v>1525</v>
      </c>
      <c r="H455" s="2" t="s">
        <v>2619</v>
      </c>
      <c r="I455" s="19"/>
      <c r="J455" s="19"/>
      <c r="K455" s="19"/>
      <c r="L455" s="18"/>
    </row>
    <row r="456" spans="1:12" ht="18.75" customHeight="1" x14ac:dyDescent="0.2">
      <c r="A456" s="2" t="s">
        <v>5634</v>
      </c>
      <c r="B456" s="2">
        <v>33723</v>
      </c>
      <c r="C456" s="2">
        <v>5902557390137</v>
      </c>
      <c r="D456" s="4" t="s">
        <v>5635</v>
      </c>
      <c r="E456" s="3">
        <f t="array" aca="1" ref="E456" ca="1">IFERROR(_xludf.XLOOKUP(G456,'Rea - SK'!A:A,'Rea - SK'!E:E),0)+IFERROR(_xludf.XLOOKUP(H456,'Rea - SK'!A:A,'Rea - SK'!E:E),0)+IFERROR(_xludf.XLOOKUP(I456,'Rea - SK'!A:A,'Rea - SK'!E:E),0)+IFERROR(_xludf.XLOOKUP(J456,'Rea - SK'!A:A,'Rea - SK'!E:E),0)+IFERROR(_xludf.XLOOKUP(K456,'Rea - SK'!A:A,'Rea - SK'!E:E),0)</f>
        <v>0</v>
      </c>
      <c r="F456" s="11">
        <f t="array" aca="1" ref="F456" ca="1">MAX(IFERROR(_xludf.XLOOKUP(G456,'Rea - SK'!A:A,'Rea - SK'!F:F),DATE(1966,6,6)),IFERROR(_xludf.XLOOKUP(H456,'Rea - SK'!A:A,'Rea - SK'!F:F),DATE(1966,6,6)),IFERROR(_xludf.XLOOKUP(I456,'Rea - SK'!A:A,'Rea - SK'!F:F),DATE(1966,6,6)),IFERROR(_xludf.XLOOKUP(J456,'Rea - SK'!A:A,'Rea - SK'!F:F),DATE(1966,6,6)),IFERROR(_xludf.XLOOKUP(K456,'Rea - SK'!A:A,'Rea - SK'!F:F),DATE(1966,6,6)))</f>
        <v>24264</v>
      </c>
      <c r="G456" s="3" t="s">
        <v>1523</v>
      </c>
      <c r="H456" s="2" t="s">
        <v>2617</v>
      </c>
      <c r="I456" s="19"/>
      <c r="J456" s="19"/>
      <c r="K456" s="19"/>
      <c r="L456" s="18"/>
    </row>
    <row r="457" spans="1:12" ht="18.75" customHeight="1" x14ac:dyDescent="0.2">
      <c r="A457" s="2" t="s">
        <v>5636</v>
      </c>
      <c r="B457" s="2">
        <v>33722</v>
      </c>
      <c r="C457" s="2">
        <v>5902557390120</v>
      </c>
      <c r="D457" s="4" t="s">
        <v>5637</v>
      </c>
      <c r="E457" s="3">
        <f t="array" aca="1" ref="E457" ca="1">IFERROR(_xludf.XLOOKUP(G457,'Rea - SK'!A:A,'Rea - SK'!E:E),0)+IFERROR(_xludf.XLOOKUP(H457,'Rea - SK'!A:A,'Rea - SK'!E:E),0)+IFERROR(_xludf.XLOOKUP(I457,'Rea - SK'!A:A,'Rea - SK'!E:E),0)+IFERROR(_xludf.XLOOKUP(J457,'Rea - SK'!A:A,'Rea - SK'!E:E),0)+IFERROR(_xludf.XLOOKUP(K457,'Rea - SK'!A:A,'Rea - SK'!E:E),0)</f>
        <v>0</v>
      </c>
      <c r="F457" s="11">
        <f t="array" aca="1" ref="F457" ca="1">MAX(IFERROR(_xludf.XLOOKUP(G457,'Rea - SK'!A:A,'Rea - SK'!F:F),DATE(1966,6,6)),IFERROR(_xludf.XLOOKUP(H457,'Rea - SK'!A:A,'Rea - SK'!F:F),DATE(1966,6,6)),IFERROR(_xludf.XLOOKUP(I457,'Rea - SK'!A:A,'Rea - SK'!F:F),DATE(1966,6,6)),IFERROR(_xludf.XLOOKUP(J457,'Rea - SK'!A:A,'Rea - SK'!F:F),DATE(1966,6,6)),IFERROR(_xludf.XLOOKUP(K457,'Rea - SK'!A:A,'Rea - SK'!F:F),DATE(1966,6,6)))</f>
        <v>24264</v>
      </c>
      <c r="G457" s="3" t="s">
        <v>1523</v>
      </c>
      <c r="H457" s="2" t="s">
        <v>2621</v>
      </c>
      <c r="I457" s="19"/>
      <c r="J457" s="19"/>
      <c r="K457" s="19"/>
      <c r="L457" s="18"/>
    </row>
    <row r="458" spans="1:12" ht="18.75" customHeight="1" x14ac:dyDescent="0.2">
      <c r="A458" s="2" t="s">
        <v>5638</v>
      </c>
      <c r="B458" s="2">
        <v>33721</v>
      </c>
      <c r="C458" s="2">
        <v>5902557390113</v>
      </c>
      <c r="D458" s="4" t="s">
        <v>5639</v>
      </c>
      <c r="E458" s="3">
        <f t="array" aca="1" ref="E458" ca="1">IFERROR(_xludf.XLOOKUP(G458,'Rea - SK'!A:A,'Rea - SK'!E:E),0)+IFERROR(_xludf.XLOOKUP(H458,'Rea - SK'!A:A,'Rea - SK'!E:E),0)+IFERROR(_xludf.XLOOKUP(I458,'Rea - SK'!A:A,'Rea - SK'!E:E),0)+IFERROR(_xludf.XLOOKUP(J458,'Rea - SK'!A:A,'Rea - SK'!E:E),0)+IFERROR(_xludf.XLOOKUP(K458,'Rea - SK'!A:A,'Rea - SK'!E:E),0)</f>
        <v>0</v>
      </c>
      <c r="F458" s="11">
        <f t="array" aca="1" ref="F458" ca="1">MAX(IFERROR(_xludf.XLOOKUP(G458,'Rea - SK'!A:A,'Rea - SK'!F:F),DATE(1966,6,6)),IFERROR(_xludf.XLOOKUP(H458,'Rea - SK'!A:A,'Rea - SK'!F:F),DATE(1966,6,6)),IFERROR(_xludf.XLOOKUP(I458,'Rea - SK'!A:A,'Rea - SK'!F:F),DATE(1966,6,6)),IFERROR(_xludf.XLOOKUP(J458,'Rea - SK'!A:A,'Rea - SK'!F:F),DATE(1966,6,6)),IFERROR(_xludf.XLOOKUP(K458,'Rea - SK'!A:A,'Rea - SK'!F:F),DATE(1966,6,6)))</f>
        <v>24264</v>
      </c>
      <c r="G458" s="3" t="s">
        <v>1523</v>
      </c>
      <c r="H458" s="2" t="s">
        <v>2619</v>
      </c>
      <c r="I458" s="19"/>
      <c r="J458" s="19"/>
      <c r="K458" s="19"/>
      <c r="L458" s="18"/>
    </row>
    <row r="459" spans="1:12" ht="18.75" customHeight="1" x14ac:dyDescent="0.2">
      <c r="A459" s="2" t="s">
        <v>5640</v>
      </c>
      <c r="B459" s="2">
        <v>33720</v>
      </c>
      <c r="C459" s="2">
        <v>5902557387311</v>
      </c>
      <c r="D459" s="4" t="s">
        <v>5641</v>
      </c>
      <c r="E459" s="3">
        <f t="array" aca="1" ref="E459" ca="1">IFERROR(_xludf.XLOOKUP(G459,'Rea - SK'!A:A,'Rea - SK'!E:E),0)+IFERROR(_xludf.XLOOKUP(H459,'Rea - SK'!A:A,'Rea - SK'!E:E),0)+IFERROR(_xludf.XLOOKUP(I459,'Rea - SK'!A:A,'Rea - SK'!E:E),0)+IFERROR(_xludf.XLOOKUP(J459,'Rea - SK'!A:A,'Rea - SK'!E:E),0)+IFERROR(_xludf.XLOOKUP(K459,'Rea - SK'!A:A,'Rea - SK'!E:E),0)</f>
        <v>0</v>
      </c>
      <c r="F459" s="11">
        <f t="array" aca="1" ref="F459" ca="1">MAX(IFERROR(_xludf.XLOOKUP(G459,'Rea - SK'!A:A,'Rea - SK'!F:F),DATE(1966,6,6)),IFERROR(_xludf.XLOOKUP(H459,'Rea - SK'!A:A,'Rea - SK'!F:F),DATE(1966,6,6)),IFERROR(_xludf.XLOOKUP(I459,'Rea - SK'!A:A,'Rea - SK'!F:F),DATE(1966,6,6)),IFERROR(_xludf.XLOOKUP(J459,'Rea - SK'!A:A,'Rea - SK'!F:F),DATE(1966,6,6)),IFERROR(_xludf.XLOOKUP(K459,'Rea - SK'!A:A,'Rea - SK'!F:F),DATE(1966,6,6)))</f>
        <v>24264</v>
      </c>
      <c r="G459" s="3" t="s">
        <v>1521</v>
      </c>
      <c r="H459" s="2" t="s">
        <v>2617</v>
      </c>
      <c r="I459" s="19"/>
      <c r="J459" s="19"/>
      <c r="K459" s="19"/>
      <c r="L459" s="18"/>
    </row>
    <row r="460" spans="1:12" ht="18.75" customHeight="1" x14ac:dyDescent="0.2">
      <c r="A460" s="2" t="s">
        <v>5642</v>
      </c>
      <c r="B460" s="2">
        <v>33719</v>
      </c>
      <c r="C460" s="2">
        <v>5902557387304</v>
      </c>
      <c r="D460" s="4" t="s">
        <v>5643</v>
      </c>
      <c r="E460" s="3">
        <f t="array" aca="1" ref="E460" ca="1">IFERROR(_xludf.XLOOKUP(G460,'Rea - SK'!A:A,'Rea - SK'!E:E),0)+IFERROR(_xludf.XLOOKUP(H460,'Rea - SK'!A:A,'Rea - SK'!E:E),0)+IFERROR(_xludf.XLOOKUP(I460,'Rea - SK'!A:A,'Rea - SK'!E:E),0)+IFERROR(_xludf.XLOOKUP(J460,'Rea - SK'!A:A,'Rea - SK'!E:E),0)+IFERROR(_xludf.XLOOKUP(K460,'Rea - SK'!A:A,'Rea - SK'!E:E),0)</f>
        <v>0</v>
      </c>
      <c r="F460" s="11">
        <f t="array" aca="1" ref="F460" ca="1">MAX(IFERROR(_xludf.XLOOKUP(G460,'Rea - SK'!A:A,'Rea - SK'!F:F),DATE(1966,6,6)),IFERROR(_xludf.XLOOKUP(H460,'Rea - SK'!A:A,'Rea - SK'!F:F),DATE(1966,6,6)),IFERROR(_xludf.XLOOKUP(I460,'Rea - SK'!A:A,'Rea - SK'!F:F),DATE(1966,6,6)),IFERROR(_xludf.XLOOKUP(J460,'Rea - SK'!A:A,'Rea - SK'!F:F),DATE(1966,6,6)),IFERROR(_xludf.XLOOKUP(K460,'Rea - SK'!A:A,'Rea - SK'!F:F),DATE(1966,6,6)))</f>
        <v>24264</v>
      </c>
      <c r="G460" s="3" t="s">
        <v>1521</v>
      </c>
      <c r="H460" s="2" t="s">
        <v>2621</v>
      </c>
      <c r="I460" s="19"/>
      <c r="J460" s="19"/>
      <c r="K460" s="19"/>
      <c r="L460" s="18"/>
    </row>
    <row r="461" spans="1:12" ht="18.75" customHeight="1" x14ac:dyDescent="0.2">
      <c r="A461" s="2" t="s">
        <v>5644</v>
      </c>
      <c r="B461" s="2">
        <v>33718</v>
      </c>
      <c r="C461" s="2">
        <v>5902557387298</v>
      </c>
      <c r="D461" s="4" t="s">
        <v>5645</v>
      </c>
      <c r="E461" s="3">
        <f t="array" aca="1" ref="E461" ca="1">IFERROR(_xludf.XLOOKUP(G461,'Rea - SK'!A:A,'Rea - SK'!E:E),0)+IFERROR(_xludf.XLOOKUP(H461,'Rea - SK'!A:A,'Rea - SK'!E:E),0)+IFERROR(_xludf.XLOOKUP(I461,'Rea - SK'!A:A,'Rea - SK'!E:E),0)+IFERROR(_xludf.XLOOKUP(J461,'Rea - SK'!A:A,'Rea - SK'!E:E),0)+IFERROR(_xludf.XLOOKUP(K461,'Rea - SK'!A:A,'Rea - SK'!E:E),0)</f>
        <v>0</v>
      </c>
      <c r="F461" s="11">
        <f t="array" aca="1" ref="F461" ca="1">MAX(IFERROR(_xludf.XLOOKUP(G461,'Rea - SK'!A:A,'Rea - SK'!F:F),DATE(1966,6,6)),IFERROR(_xludf.XLOOKUP(H461,'Rea - SK'!A:A,'Rea - SK'!F:F),DATE(1966,6,6)),IFERROR(_xludf.XLOOKUP(I461,'Rea - SK'!A:A,'Rea - SK'!F:F),DATE(1966,6,6)),IFERROR(_xludf.XLOOKUP(J461,'Rea - SK'!A:A,'Rea - SK'!F:F),DATE(1966,6,6)),IFERROR(_xludf.XLOOKUP(K461,'Rea - SK'!A:A,'Rea - SK'!F:F),DATE(1966,6,6)))</f>
        <v>24264</v>
      </c>
      <c r="G461" s="3" t="s">
        <v>1521</v>
      </c>
      <c r="H461" s="2" t="s">
        <v>2619</v>
      </c>
      <c r="I461" s="19"/>
      <c r="J461" s="19"/>
      <c r="K461" s="19"/>
      <c r="L461" s="18"/>
    </row>
    <row r="462" spans="1:12" ht="18.75" customHeight="1" x14ac:dyDescent="0.2">
      <c r="A462" s="2" t="s">
        <v>5646</v>
      </c>
      <c r="B462" s="2">
        <v>33717</v>
      </c>
      <c r="C462" s="2">
        <v>5902557390083</v>
      </c>
      <c r="D462" s="4" t="s">
        <v>5647</v>
      </c>
      <c r="E462" s="3">
        <f t="array" aca="1" ref="E462" ca="1">IFERROR(_xludf.XLOOKUP(G462,'Rea - SK'!A:A,'Rea - SK'!E:E),0)+IFERROR(_xludf.XLOOKUP(H462,'Rea - SK'!A:A,'Rea - SK'!E:E),0)+IFERROR(_xludf.XLOOKUP(I462,'Rea - SK'!A:A,'Rea - SK'!E:E),0)+IFERROR(_xludf.XLOOKUP(J462,'Rea - SK'!A:A,'Rea - SK'!E:E),0)+IFERROR(_xludf.XLOOKUP(K462,'Rea - SK'!A:A,'Rea - SK'!E:E),0)</f>
        <v>0</v>
      </c>
      <c r="F462" s="11">
        <f t="array" aca="1" ref="F462" ca="1">MAX(IFERROR(_xludf.XLOOKUP(G462,'Rea - SK'!A:A,'Rea - SK'!F:F),DATE(1966,6,6)),IFERROR(_xludf.XLOOKUP(H462,'Rea - SK'!A:A,'Rea - SK'!F:F),DATE(1966,6,6)),IFERROR(_xludf.XLOOKUP(I462,'Rea - SK'!A:A,'Rea - SK'!F:F),DATE(1966,6,6)),IFERROR(_xludf.XLOOKUP(J462,'Rea - SK'!A:A,'Rea - SK'!F:F),DATE(1966,6,6)),IFERROR(_xludf.XLOOKUP(K462,'Rea - SK'!A:A,'Rea - SK'!F:F),DATE(1966,6,6)))</f>
        <v>24264</v>
      </c>
      <c r="G462" s="3" t="s">
        <v>1519</v>
      </c>
      <c r="H462" s="2" t="s">
        <v>2617</v>
      </c>
      <c r="I462" s="19"/>
      <c r="J462" s="19"/>
      <c r="K462" s="19"/>
      <c r="L462" s="18"/>
    </row>
    <row r="463" spans="1:12" ht="18.75" customHeight="1" x14ac:dyDescent="0.2">
      <c r="A463" s="2" t="s">
        <v>5648</v>
      </c>
      <c r="B463" s="2">
        <v>33716</v>
      </c>
      <c r="C463" s="2">
        <v>5902557390076</v>
      </c>
      <c r="D463" s="4" t="s">
        <v>5649</v>
      </c>
      <c r="E463" s="3">
        <f t="array" aca="1" ref="E463" ca="1">IFERROR(_xludf.XLOOKUP(G463,'Rea - SK'!A:A,'Rea - SK'!E:E),0)+IFERROR(_xludf.XLOOKUP(H463,'Rea - SK'!A:A,'Rea - SK'!E:E),0)+IFERROR(_xludf.XLOOKUP(I463,'Rea - SK'!A:A,'Rea - SK'!E:E),0)+IFERROR(_xludf.XLOOKUP(J463,'Rea - SK'!A:A,'Rea - SK'!E:E),0)+IFERROR(_xludf.XLOOKUP(K463,'Rea - SK'!A:A,'Rea - SK'!E:E),0)</f>
        <v>0</v>
      </c>
      <c r="F463" s="11">
        <f t="array" aca="1" ref="F463" ca="1">MAX(IFERROR(_xludf.XLOOKUP(G463,'Rea - SK'!A:A,'Rea - SK'!F:F),DATE(1966,6,6)),IFERROR(_xludf.XLOOKUP(H463,'Rea - SK'!A:A,'Rea - SK'!F:F),DATE(1966,6,6)),IFERROR(_xludf.XLOOKUP(I463,'Rea - SK'!A:A,'Rea - SK'!F:F),DATE(1966,6,6)),IFERROR(_xludf.XLOOKUP(J463,'Rea - SK'!A:A,'Rea - SK'!F:F),DATE(1966,6,6)),IFERROR(_xludf.XLOOKUP(K463,'Rea - SK'!A:A,'Rea - SK'!F:F),DATE(1966,6,6)))</f>
        <v>24264</v>
      </c>
      <c r="G463" s="3" t="s">
        <v>1519</v>
      </c>
      <c r="H463" s="2" t="s">
        <v>2621</v>
      </c>
      <c r="I463" s="19"/>
      <c r="J463" s="19"/>
      <c r="K463" s="19"/>
      <c r="L463" s="18"/>
    </row>
    <row r="464" spans="1:12" ht="18.75" customHeight="1" x14ac:dyDescent="0.2">
      <c r="A464" s="2" t="s">
        <v>5650</v>
      </c>
      <c r="B464" s="2">
        <v>33715</v>
      </c>
      <c r="C464" s="2">
        <v>5902557390069</v>
      </c>
      <c r="D464" s="4" t="s">
        <v>5651</v>
      </c>
      <c r="E464" s="3">
        <f t="array" aca="1" ref="E464" ca="1">IFERROR(_xludf.XLOOKUP(G464,'Rea - SK'!A:A,'Rea - SK'!E:E),0)+IFERROR(_xludf.XLOOKUP(H464,'Rea - SK'!A:A,'Rea - SK'!E:E),0)+IFERROR(_xludf.XLOOKUP(I464,'Rea - SK'!A:A,'Rea - SK'!E:E),0)+IFERROR(_xludf.XLOOKUP(J464,'Rea - SK'!A:A,'Rea - SK'!E:E),0)+IFERROR(_xludf.XLOOKUP(K464,'Rea - SK'!A:A,'Rea - SK'!E:E),0)</f>
        <v>0</v>
      </c>
      <c r="F464" s="11">
        <f t="array" aca="1" ref="F464" ca="1">MAX(IFERROR(_xludf.XLOOKUP(G464,'Rea - SK'!A:A,'Rea - SK'!F:F),DATE(1966,6,6)),IFERROR(_xludf.XLOOKUP(H464,'Rea - SK'!A:A,'Rea - SK'!F:F),DATE(1966,6,6)),IFERROR(_xludf.XLOOKUP(I464,'Rea - SK'!A:A,'Rea - SK'!F:F),DATE(1966,6,6)),IFERROR(_xludf.XLOOKUP(J464,'Rea - SK'!A:A,'Rea - SK'!F:F),DATE(1966,6,6)),IFERROR(_xludf.XLOOKUP(K464,'Rea - SK'!A:A,'Rea - SK'!F:F),DATE(1966,6,6)))</f>
        <v>24264</v>
      </c>
      <c r="G464" s="3" t="s">
        <v>1519</v>
      </c>
      <c r="H464" s="2" t="s">
        <v>2619</v>
      </c>
      <c r="I464" s="19"/>
      <c r="J464" s="19"/>
      <c r="K464" s="19"/>
      <c r="L464" s="18"/>
    </row>
    <row r="465" spans="1:12" ht="18.75" customHeight="1" x14ac:dyDescent="0.2">
      <c r="A465" s="2" t="s">
        <v>5652</v>
      </c>
      <c r="B465" s="2">
        <v>33714</v>
      </c>
      <c r="C465" s="2">
        <v>5902557390052</v>
      </c>
      <c r="D465" s="4" t="s">
        <v>5653</v>
      </c>
      <c r="E465" s="3">
        <f t="array" aca="1" ref="E465" ca="1">IFERROR(_xludf.XLOOKUP(G465,'Rea - SK'!A:A,'Rea - SK'!E:E),0)+IFERROR(_xludf.XLOOKUP(H465,'Rea - SK'!A:A,'Rea - SK'!E:E),0)+IFERROR(_xludf.XLOOKUP(I465,'Rea - SK'!A:A,'Rea - SK'!E:E),0)+IFERROR(_xludf.XLOOKUP(J465,'Rea - SK'!A:A,'Rea - SK'!E:E),0)+IFERROR(_xludf.XLOOKUP(K465,'Rea - SK'!A:A,'Rea - SK'!E:E),0)</f>
        <v>0</v>
      </c>
      <c r="F465" s="11">
        <f t="array" aca="1" ref="F465" ca="1">MAX(IFERROR(_xludf.XLOOKUP(G465,'Rea - SK'!A:A,'Rea - SK'!F:F),DATE(1966,6,6)),IFERROR(_xludf.XLOOKUP(H465,'Rea - SK'!A:A,'Rea - SK'!F:F),DATE(1966,6,6)),IFERROR(_xludf.XLOOKUP(I465,'Rea - SK'!A:A,'Rea - SK'!F:F),DATE(1966,6,6)),IFERROR(_xludf.XLOOKUP(J465,'Rea - SK'!A:A,'Rea - SK'!F:F),DATE(1966,6,6)),IFERROR(_xludf.XLOOKUP(K465,'Rea - SK'!A:A,'Rea - SK'!F:F),DATE(1966,6,6)))</f>
        <v>24264</v>
      </c>
      <c r="G465" s="3" t="s">
        <v>1517</v>
      </c>
      <c r="H465" s="2" t="s">
        <v>2617</v>
      </c>
      <c r="I465" s="19"/>
      <c r="J465" s="19"/>
      <c r="K465" s="19"/>
      <c r="L465" s="18"/>
    </row>
    <row r="466" spans="1:12" ht="18.75" customHeight="1" x14ac:dyDescent="0.2">
      <c r="A466" s="2" t="s">
        <v>5654</v>
      </c>
      <c r="B466" s="2">
        <v>33713</v>
      </c>
      <c r="C466" s="2">
        <v>5902557390045</v>
      </c>
      <c r="D466" s="4" t="s">
        <v>5655</v>
      </c>
      <c r="E466" s="3">
        <f t="array" aca="1" ref="E466" ca="1">IFERROR(_xludf.XLOOKUP(G466,'Rea - SK'!A:A,'Rea - SK'!E:E),0)+IFERROR(_xludf.XLOOKUP(H466,'Rea - SK'!A:A,'Rea - SK'!E:E),0)+IFERROR(_xludf.XLOOKUP(I466,'Rea - SK'!A:A,'Rea - SK'!E:E),0)+IFERROR(_xludf.XLOOKUP(J466,'Rea - SK'!A:A,'Rea - SK'!E:E),0)+IFERROR(_xludf.XLOOKUP(K466,'Rea - SK'!A:A,'Rea - SK'!E:E),0)</f>
        <v>0</v>
      </c>
      <c r="F466" s="11">
        <f t="array" aca="1" ref="F466" ca="1">MAX(IFERROR(_xludf.XLOOKUP(G466,'Rea - SK'!A:A,'Rea - SK'!F:F),DATE(1966,6,6)),IFERROR(_xludf.XLOOKUP(H466,'Rea - SK'!A:A,'Rea - SK'!F:F),DATE(1966,6,6)),IFERROR(_xludf.XLOOKUP(I466,'Rea - SK'!A:A,'Rea - SK'!F:F),DATE(1966,6,6)),IFERROR(_xludf.XLOOKUP(J466,'Rea - SK'!A:A,'Rea - SK'!F:F),DATE(1966,6,6)),IFERROR(_xludf.XLOOKUP(K466,'Rea - SK'!A:A,'Rea - SK'!F:F),DATE(1966,6,6)))</f>
        <v>24264</v>
      </c>
      <c r="G466" s="3" t="s">
        <v>1517</v>
      </c>
      <c r="H466" s="2" t="s">
        <v>2621</v>
      </c>
      <c r="I466" s="19"/>
      <c r="J466" s="19"/>
      <c r="K466" s="19"/>
      <c r="L466" s="18"/>
    </row>
    <row r="467" spans="1:12" ht="18.75" customHeight="1" x14ac:dyDescent="0.2">
      <c r="A467" s="2" t="s">
        <v>5656</v>
      </c>
      <c r="B467" s="2">
        <v>33712</v>
      </c>
      <c r="C467" s="2">
        <v>5902557390038</v>
      </c>
      <c r="D467" s="4" t="s">
        <v>5657</v>
      </c>
      <c r="E467" s="3">
        <f t="array" aca="1" ref="E467" ca="1">IFERROR(_xludf.XLOOKUP(G467,'Rea - SK'!A:A,'Rea - SK'!E:E),0)+IFERROR(_xludf.XLOOKUP(H467,'Rea - SK'!A:A,'Rea - SK'!E:E),0)+IFERROR(_xludf.XLOOKUP(I467,'Rea - SK'!A:A,'Rea - SK'!E:E),0)+IFERROR(_xludf.XLOOKUP(J467,'Rea - SK'!A:A,'Rea - SK'!E:E),0)+IFERROR(_xludf.XLOOKUP(K467,'Rea - SK'!A:A,'Rea - SK'!E:E),0)</f>
        <v>0</v>
      </c>
      <c r="F467" s="11">
        <f t="array" aca="1" ref="F467" ca="1">MAX(IFERROR(_xludf.XLOOKUP(G467,'Rea - SK'!A:A,'Rea - SK'!F:F),DATE(1966,6,6)),IFERROR(_xludf.XLOOKUP(H467,'Rea - SK'!A:A,'Rea - SK'!F:F),DATE(1966,6,6)),IFERROR(_xludf.XLOOKUP(I467,'Rea - SK'!A:A,'Rea - SK'!F:F),DATE(1966,6,6)),IFERROR(_xludf.XLOOKUP(J467,'Rea - SK'!A:A,'Rea - SK'!F:F),DATE(1966,6,6)),IFERROR(_xludf.XLOOKUP(K467,'Rea - SK'!A:A,'Rea - SK'!F:F),DATE(1966,6,6)))</f>
        <v>24264</v>
      </c>
      <c r="G467" s="3" t="s">
        <v>1517</v>
      </c>
      <c r="H467" s="2" t="s">
        <v>2619</v>
      </c>
      <c r="I467" s="19"/>
      <c r="J467" s="19"/>
      <c r="K467" s="19"/>
      <c r="L467" s="18"/>
    </row>
    <row r="468" spans="1:12" ht="18.75" customHeight="1" x14ac:dyDescent="0.2">
      <c r="A468" s="2" t="s">
        <v>5658</v>
      </c>
      <c r="B468" s="2">
        <v>33711</v>
      </c>
      <c r="C468" s="2">
        <v>5902557389834</v>
      </c>
      <c r="D468" s="4" t="s">
        <v>5659</v>
      </c>
      <c r="E468" s="3">
        <f t="array" aca="1" ref="E468" ca="1">IFERROR(_xludf.XLOOKUP(G468,'Rea - SK'!A:A,'Rea - SK'!E:E),0)+IFERROR(_xludf.XLOOKUP(H468,'Rea - SK'!A:A,'Rea - SK'!E:E),0)+IFERROR(_xludf.XLOOKUP(I468,'Rea - SK'!A:A,'Rea - SK'!E:E),0)+IFERROR(_xludf.XLOOKUP(J468,'Rea - SK'!A:A,'Rea - SK'!E:E),0)+IFERROR(_xludf.XLOOKUP(K468,'Rea - SK'!A:A,'Rea - SK'!E:E),0)</f>
        <v>0</v>
      </c>
      <c r="F468" s="11">
        <f t="array" aca="1" ref="F468" ca="1">MAX(IFERROR(_xludf.XLOOKUP(G468,'Rea - SK'!A:A,'Rea - SK'!F:F),DATE(1966,6,6)),IFERROR(_xludf.XLOOKUP(H468,'Rea - SK'!A:A,'Rea - SK'!F:F),DATE(1966,6,6)),IFERROR(_xludf.XLOOKUP(I468,'Rea - SK'!A:A,'Rea - SK'!F:F),DATE(1966,6,6)),IFERROR(_xludf.XLOOKUP(J468,'Rea - SK'!A:A,'Rea - SK'!F:F),DATE(1966,6,6)),IFERROR(_xludf.XLOOKUP(K468,'Rea - SK'!A:A,'Rea - SK'!F:F),DATE(1966,6,6)))</f>
        <v>24264</v>
      </c>
      <c r="G468" s="3" t="s">
        <v>1515</v>
      </c>
      <c r="H468" s="2" t="s">
        <v>2617</v>
      </c>
      <c r="I468" s="19"/>
      <c r="J468" s="19"/>
      <c r="K468" s="19"/>
      <c r="L468" s="18"/>
    </row>
    <row r="469" spans="1:12" ht="18.75" customHeight="1" x14ac:dyDescent="0.2">
      <c r="A469" s="2" t="s">
        <v>5660</v>
      </c>
      <c r="B469" s="2">
        <v>33710</v>
      </c>
      <c r="C469" s="2">
        <v>5902557389827</v>
      </c>
      <c r="D469" s="4" t="s">
        <v>5661</v>
      </c>
      <c r="E469" s="3">
        <f t="array" aca="1" ref="E469" ca="1">IFERROR(_xludf.XLOOKUP(G469,'Rea - SK'!A:A,'Rea - SK'!E:E),0)+IFERROR(_xludf.XLOOKUP(H469,'Rea - SK'!A:A,'Rea - SK'!E:E),0)+IFERROR(_xludf.XLOOKUP(I469,'Rea - SK'!A:A,'Rea - SK'!E:E),0)+IFERROR(_xludf.XLOOKUP(J469,'Rea - SK'!A:A,'Rea - SK'!E:E),0)+IFERROR(_xludf.XLOOKUP(K469,'Rea - SK'!A:A,'Rea - SK'!E:E),0)</f>
        <v>0</v>
      </c>
      <c r="F469" s="11">
        <f t="array" aca="1" ref="F469" ca="1">MAX(IFERROR(_xludf.XLOOKUP(G469,'Rea - SK'!A:A,'Rea - SK'!F:F),DATE(1966,6,6)),IFERROR(_xludf.XLOOKUP(H469,'Rea - SK'!A:A,'Rea - SK'!F:F),DATE(1966,6,6)),IFERROR(_xludf.XLOOKUP(I469,'Rea - SK'!A:A,'Rea - SK'!F:F),DATE(1966,6,6)),IFERROR(_xludf.XLOOKUP(J469,'Rea - SK'!A:A,'Rea - SK'!F:F),DATE(1966,6,6)),IFERROR(_xludf.XLOOKUP(K469,'Rea - SK'!A:A,'Rea - SK'!F:F),DATE(1966,6,6)))</f>
        <v>24264</v>
      </c>
      <c r="G469" s="3" t="s">
        <v>1515</v>
      </c>
      <c r="H469" s="2" t="s">
        <v>2621</v>
      </c>
      <c r="I469" s="19"/>
      <c r="J469" s="19"/>
      <c r="K469" s="19"/>
      <c r="L469" s="18"/>
    </row>
    <row r="470" spans="1:12" ht="18.75" customHeight="1" x14ac:dyDescent="0.2">
      <c r="A470" s="2" t="s">
        <v>5662</v>
      </c>
      <c r="B470" s="2">
        <v>30761</v>
      </c>
      <c r="C470" s="2"/>
      <c r="D470" s="4" t="s">
        <v>5663</v>
      </c>
      <c r="E470" s="3">
        <f t="array" aca="1" ref="E470" ca="1">IFERROR(_xludf.XLOOKUP(G470,'Rea - SK'!A:A,'Rea - SK'!E:E),0)+IFERROR(_xludf.XLOOKUP(H470,'Rea - SK'!A:A,'Rea - SK'!E:E),0)+IFERROR(_xludf.XLOOKUP(I470,'Rea - SK'!A:A,'Rea - SK'!E:E),0)+IFERROR(_xludf.XLOOKUP(J470,'Rea - SK'!A:A,'Rea - SK'!E:E),0)+IFERROR(_xludf.XLOOKUP(K470,'Rea - SK'!A:A,'Rea - SK'!E:E),0)</f>
        <v>0</v>
      </c>
      <c r="F470" s="11">
        <f t="array" aca="1" ref="F470" ca="1">MAX(IFERROR(_xludf.XLOOKUP(G470,'Rea - SK'!A:A,'Rea - SK'!F:F),DATE(1966,6,6)),IFERROR(_xludf.XLOOKUP(H470,'Rea - SK'!A:A,'Rea - SK'!F:F),DATE(1966,6,6)),IFERROR(_xludf.XLOOKUP(I470,'Rea - SK'!A:A,'Rea - SK'!F:F),DATE(1966,6,6)),IFERROR(_xludf.XLOOKUP(J470,'Rea - SK'!A:A,'Rea - SK'!F:F),DATE(1966,6,6)),IFERROR(_xludf.XLOOKUP(K470,'Rea - SK'!A:A,'Rea - SK'!F:F),DATE(1966,6,6)))</f>
        <v>24264</v>
      </c>
      <c r="G470" s="3" t="s">
        <v>2451</v>
      </c>
      <c r="H470" s="2" t="s">
        <v>1501</v>
      </c>
      <c r="I470" s="19"/>
      <c r="J470" s="19"/>
      <c r="K470" s="19"/>
      <c r="L470" s="18"/>
    </row>
    <row r="471" spans="1:12" ht="18.75" customHeight="1" x14ac:dyDescent="0.2">
      <c r="A471" s="2" t="s">
        <v>5664</v>
      </c>
      <c r="B471" s="2">
        <v>30760</v>
      </c>
      <c r="C471" s="2"/>
      <c r="D471" s="4" t="s">
        <v>5665</v>
      </c>
      <c r="E471" s="3">
        <f t="array" aca="1" ref="E471" ca="1">IFERROR(_xludf.XLOOKUP(G471,'Rea - SK'!A:A,'Rea - SK'!E:E),0)+IFERROR(_xludf.XLOOKUP(H471,'Rea - SK'!A:A,'Rea - SK'!E:E),0)+IFERROR(_xludf.XLOOKUP(I471,'Rea - SK'!A:A,'Rea - SK'!E:E),0)+IFERROR(_xludf.XLOOKUP(J471,'Rea - SK'!A:A,'Rea - SK'!E:E),0)+IFERROR(_xludf.XLOOKUP(K471,'Rea - SK'!A:A,'Rea - SK'!E:E),0)</f>
        <v>0</v>
      </c>
      <c r="F471" s="11">
        <f t="array" aca="1" ref="F471" ca="1">MAX(IFERROR(_xludf.XLOOKUP(G471,'Rea - SK'!A:A,'Rea - SK'!F:F),DATE(1966,6,6)),IFERROR(_xludf.XLOOKUP(H471,'Rea - SK'!A:A,'Rea - SK'!F:F),DATE(1966,6,6)),IFERROR(_xludf.XLOOKUP(I471,'Rea - SK'!A:A,'Rea - SK'!F:F),DATE(1966,6,6)),IFERROR(_xludf.XLOOKUP(J471,'Rea - SK'!A:A,'Rea - SK'!F:F),DATE(1966,6,6)),IFERROR(_xludf.XLOOKUP(K471,'Rea - SK'!A:A,'Rea - SK'!F:F),DATE(1966,6,6)))</f>
        <v>24264</v>
      </c>
      <c r="G471" s="3" t="s">
        <v>2451</v>
      </c>
      <c r="H471" s="2" t="s">
        <v>1499</v>
      </c>
      <c r="I471" s="19"/>
      <c r="J471" s="19"/>
      <c r="K471" s="19"/>
      <c r="L471" s="18"/>
    </row>
    <row r="472" spans="1:12" ht="18.75" customHeight="1" x14ac:dyDescent="0.2">
      <c r="A472" s="16" t="s">
        <v>5666</v>
      </c>
      <c r="B472" s="2">
        <v>26727</v>
      </c>
      <c r="C472" s="2"/>
      <c r="D472" s="4" t="s">
        <v>5667</v>
      </c>
      <c r="E472" s="3">
        <f t="array" aca="1" ref="E472" ca="1">IFERROR(_xludf.XLOOKUP(G472,'Rea - SK'!A:A,'Rea - SK'!E:E),0)+IFERROR(_xludf.XLOOKUP(H472,'Rea - SK'!A:A,'Rea - SK'!E:E),0)+IFERROR(_xludf.XLOOKUP(I472,'Rea - SK'!A:A,'Rea - SK'!E:E),0)+IFERROR(_xludf.XLOOKUP(J472,'Rea - SK'!A:A,'Rea - SK'!E:E),0)+IFERROR(_xludf.XLOOKUP(K472,'Rea - SK'!A:A,'Rea - SK'!E:E),0)</f>
        <v>0</v>
      </c>
      <c r="F472" s="11">
        <f t="array" aca="1" ref="F472" ca="1">MAX(IFERROR(_xludf.XLOOKUP(G472,'Rea - SK'!A:A,'Rea - SK'!F:F),DATE(1966,6,6)),IFERROR(_xludf.XLOOKUP(H472,'Rea - SK'!A:A,'Rea - SK'!F:F),DATE(1966,6,6)),IFERROR(_xludf.XLOOKUP(I472,'Rea - SK'!A:A,'Rea - SK'!F:F),DATE(1966,6,6)),IFERROR(_xludf.XLOOKUP(J472,'Rea - SK'!A:A,'Rea - SK'!F:F),DATE(1966,6,6)),IFERROR(_xludf.XLOOKUP(K472,'Rea - SK'!A:A,'Rea - SK'!F:F),DATE(1966,6,6)))</f>
        <v>24264</v>
      </c>
      <c r="G472" s="2" t="s">
        <v>3724</v>
      </c>
      <c r="H472" s="2" t="s">
        <v>1189</v>
      </c>
      <c r="I472" s="2"/>
      <c r="J472" s="2"/>
      <c r="K472" s="2"/>
      <c r="L472" s="18"/>
    </row>
    <row r="473" spans="1:12" ht="18.75" customHeight="1" x14ac:dyDescent="0.2">
      <c r="A473" s="2" t="s">
        <v>5668</v>
      </c>
      <c r="B473" s="2">
        <v>26707</v>
      </c>
      <c r="C473" s="2"/>
      <c r="D473" s="4" t="s">
        <v>5669</v>
      </c>
      <c r="E473" s="3">
        <f t="array" aca="1" ref="E473" ca="1">IFERROR(_xludf.XLOOKUP(G473,'Rea - SK'!A:A,'Rea - SK'!E:E),0)+IFERROR(_xludf.XLOOKUP(H473,'Rea - SK'!A:A,'Rea - SK'!E:E),0)+IFERROR(_xludf.XLOOKUP(I473,'Rea - SK'!A:A,'Rea - SK'!E:E),0)+IFERROR(_xludf.XLOOKUP(J473,'Rea - SK'!A:A,'Rea - SK'!E:E),0)+IFERROR(_xludf.XLOOKUP(K473,'Rea - SK'!A:A,'Rea - SK'!E:E),0)</f>
        <v>0</v>
      </c>
      <c r="F473" s="11">
        <f t="array" aca="1" ref="F473" ca="1">MAX(IFERROR(_xludf.XLOOKUP(G473,'Rea - SK'!A:A,'Rea - SK'!F:F),DATE(1966,6,6)),IFERROR(_xludf.XLOOKUP(H473,'Rea - SK'!A:A,'Rea - SK'!F:F),DATE(1966,6,6)),IFERROR(_xludf.XLOOKUP(I473,'Rea - SK'!A:A,'Rea - SK'!F:F),DATE(1966,6,6)),IFERROR(_xludf.XLOOKUP(J473,'Rea - SK'!A:A,'Rea - SK'!F:F),DATE(1966,6,6)),IFERROR(_xludf.XLOOKUP(K473,'Rea - SK'!A:A,'Rea - SK'!F:F),DATE(1966,6,6)))</f>
        <v>24264</v>
      </c>
      <c r="G473" s="3" t="s">
        <v>2451</v>
      </c>
      <c r="H473" s="2" t="s">
        <v>1497</v>
      </c>
      <c r="I473" s="19"/>
      <c r="J473" s="19"/>
      <c r="K473" s="19"/>
      <c r="L473" s="18"/>
    </row>
    <row r="474" spans="1:12" ht="18.75" customHeight="1" x14ac:dyDescent="0.2">
      <c r="A474" s="2" t="s">
        <v>5670</v>
      </c>
      <c r="B474" s="2">
        <v>26706</v>
      </c>
      <c r="C474" s="2"/>
      <c r="D474" s="4" t="s">
        <v>5671</v>
      </c>
      <c r="E474" s="3">
        <f t="array" aca="1" ref="E474" ca="1">IFERROR(_xludf.XLOOKUP(G474,'Rea - SK'!A:A,'Rea - SK'!E:E),0)+IFERROR(_xludf.XLOOKUP(H474,'Rea - SK'!A:A,'Rea - SK'!E:E),0)+IFERROR(_xludf.XLOOKUP(I474,'Rea - SK'!A:A,'Rea - SK'!E:E),0)+IFERROR(_xludf.XLOOKUP(J474,'Rea - SK'!A:A,'Rea - SK'!E:E),0)+IFERROR(_xludf.XLOOKUP(K474,'Rea - SK'!A:A,'Rea - SK'!E:E),0)</f>
        <v>0</v>
      </c>
      <c r="F474" s="11">
        <f t="array" aca="1" ref="F474" ca="1">MAX(IFERROR(_xludf.XLOOKUP(G474,'Rea - SK'!A:A,'Rea - SK'!F:F),DATE(1966,6,6)),IFERROR(_xludf.XLOOKUP(H474,'Rea - SK'!A:A,'Rea - SK'!F:F),DATE(1966,6,6)),IFERROR(_xludf.XLOOKUP(I474,'Rea - SK'!A:A,'Rea - SK'!F:F),DATE(1966,6,6)),IFERROR(_xludf.XLOOKUP(J474,'Rea - SK'!A:A,'Rea - SK'!F:F),DATE(1966,6,6)),IFERROR(_xludf.XLOOKUP(K474,'Rea - SK'!A:A,'Rea - SK'!F:F),DATE(1966,6,6)))</f>
        <v>24264</v>
      </c>
      <c r="G474" s="3" t="s">
        <v>2451</v>
      </c>
      <c r="H474" s="2" t="s">
        <v>1495</v>
      </c>
      <c r="I474" s="19"/>
      <c r="J474" s="19"/>
      <c r="K474" s="19"/>
      <c r="L474" s="18"/>
    </row>
    <row r="475" spans="1:12" ht="18.75" customHeight="1" x14ac:dyDescent="0.2">
      <c r="A475" s="2" t="s">
        <v>5672</v>
      </c>
      <c r="B475" s="2">
        <v>26703</v>
      </c>
      <c r="C475" s="2"/>
      <c r="D475" s="4" t="s">
        <v>5673</v>
      </c>
      <c r="E475" s="3">
        <f t="array" aca="1" ref="E475" ca="1">IFERROR(_xludf.XLOOKUP(G475,'Rea - SK'!A:A,'Rea - SK'!E:E),0)+IFERROR(_xludf.XLOOKUP(H475,'Rea - SK'!A:A,'Rea - SK'!E:E),0)+IFERROR(_xludf.XLOOKUP(I475,'Rea - SK'!A:A,'Rea - SK'!E:E),0)+IFERROR(_xludf.XLOOKUP(J475,'Rea - SK'!A:A,'Rea - SK'!E:E),0)+IFERROR(_xludf.XLOOKUP(K475,'Rea - SK'!A:A,'Rea - SK'!E:E),0)</f>
        <v>0</v>
      </c>
      <c r="F475" s="11">
        <f t="array" aca="1" ref="F475" ca="1">MAX(IFERROR(_xludf.XLOOKUP(G475,'Rea - SK'!A:A,'Rea - SK'!F:F),DATE(1966,6,6)),IFERROR(_xludf.XLOOKUP(H475,'Rea - SK'!A:A,'Rea - SK'!F:F),DATE(1966,6,6)),IFERROR(_xludf.XLOOKUP(I475,'Rea - SK'!A:A,'Rea - SK'!F:F),DATE(1966,6,6)),IFERROR(_xludf.XLOOKUP(J475,'Rea - SK'!A:A,'Rea - SK'!F:F),DATE(1966,6,6)),IFERROR(_xludf.XLOOKUP(K475,'Rea - SK'!A:A,'Rea - SK'!F:F),DATE(1966,6,6)))</f>
        <v>24264</v>
      </c>
      <c r="G475" s="3" t="s">
        <v>2451</v>
      </c>
      <c r="H475" s="2" t="s">
        <v>1493</v>
      </c>
      <c r="I475" s="19"/>
      <c r="J475" s="19"/>
      <c r="K475" s="19"/>
      <c r="L475" s="18"/>
    </row>
    <row r="476" spans="1:12" ht="18.75" customHeight="1" x14ac:dyDescent="0.2">
      <c r="A476" s="2" t="s">
        <v>5674</v>
      </c>
      <c r="B476" s="2">
        <v>26702</v>
      </c>
      <c r="C476" s="2"/>
      <c r="D476" s="4" t="s">
        <v>5675</v>
      </c>
      <c r="E476" s="3">
        <f t="array" aca="1" ref="E476" ca="1">IFERROR(_xludf.XLOOKUP(G476,'Rea - SK'!A:A,'Rea - SK'!E:E),0)+IFERROR(_xludf.XLOOKUP(H476,'Rea - SK'!A:A,'Rea - SK'!E:E),0)+IFERROR(_xludf.XLOOKUP(I476,'Rea - SK'!A:A,'Rea - SK'!E:E),0)+IFERROR(_xludf.XLOOKUP(J476,'Rea - SK'!A:A,'Rea - SK'!E:E),0)+IFERROR(_xludf.XLOOKUP(K476,'Rea - SK'!A:A,'Rea - SK'!E:E),0)</f>
        <v>0</v>
      </c>
      <c r="F476" s="11">
        <f t="array" aca="1" ref="F476" ca="1">MAX(IFERROR(_xludf.XLOOKUP(G476,'Rea - SK'!A:A,'Rea - SK'!F:F),DATE(1966,6,6)),IFERROR(_xludf.XLOOKUP(H476,'Rea - SK'!A:A,'Rea - SK'!F:F),DATE(1966,6,6)),IFERROR(_xludf.XLOOKUP(I476,'Rea - SK'!A:A,'Rea - SK'!F:F),DATE(1966,6,6)),IFERROR(_xludf.XLOOKUP(J476,'Rea - SK'!A:A,'Rea - SK'!F:F),DATE(1966,6,6)),IFERROR(_xludf.XLOOKUP(K476,'Rea - SK'!A:A,'Rea - SK'!F:F),DATE(1966,6,6)))</f>
        <v>24264</v>
      </c>
      <c r="G476" s="3" t="s">
        <v>2451</v>
      </c>
      <c r="H476" s="2" t="s">
        <v>1491</v>
      </c>
      <c r="I476" s="19"/>
      <c r="J476" s="19"/>
      <c r="K476" s="19"/>
      <c r="L476" s="18"/>
    </row>
    <row r="477" spans="1:12" ht="18.75" customHeight="1" x14ac:dyDescent="0.2">
      <c r="A477" s="2" t="s">
        <v>5676</v>
      </c>
      <c r="B477" s="2">
        <v>26699</v>
      </c>
      <c r="C477" s="2"/>
      <c r="D477" s="4" t="s">
        <v>5677</v>
      </c>
      <c r="E477" s="3">
        <f t="array" aca="1" ref="E477" ca="1">IFERROR(_xludf.XLOOKUP(G477,'Rea - SK'!A:A,'Rea - SK'!E:E),0)+IFERROR(_xludf.XLOOKUP(H477,'Rea - SK'!A:A,'Rea - SK'!E:E),0)+IFERROR(_xludf.XLOOKUP(I477,'Rea - SK'!A:A,'Rea - SK'!E:E),0)+IFERROR(_xludf.XLOOKUP(J477,'Rea - SK'!A:A,'Rea - SK'!E:E),0)+IFERROR(_xludf.XLOOKUP(K477,'Rea - SK'!A:A,'Rea - SK'!E:E),0)</f>
        <v>0</v>
      </c>
      <c r="F477" s="11">
        <f t="array" aca="1" ref="F477" ca="1">MAX(IFERROR(_xludf.XLOOKUP(G477,'Rea - SK'!A:A,'Rea - SK'!F:F),DATE(1966,6,6)),IFERROR(_xludf.XLOOKUP(H477,'Rea - SK'!A:A,'Rea - SK'!F:F),DATE(1966,6,6)),IFERROR(_xludf.XLOOKUP(I477,'Rea - SK'!A:A,'Rea - SK'!F:F),DATE(1966,6,6)),IFERROR(_xludf.XLOOKUP(J477,'Rea - SK'!A:A,'Rea - SK'!F:F),DATE(1966,6,6)),IFERROR(_xludf.XLOOKUP(K477,'Rea - SK'!A:A,'Rea - SK'!F:F),DATE(1966,6,6)))</f>
        <v>24264</v>
      </c>
      <c r="G477" s="3" t="s">
        <v>2451</v>
      </c>
      <c r="H477" s="2" t="s">
        <v>1489</v>
      </c>
      <c r="I477" s="19"/>
      <c r="J477" s="19"/>
      <c r="K477" s="19"/>
      <c r="L477" s="18"/>
    </row>
    <row r="478" spans="1:12" ht="18.75" customHeight="1" x14ac:dyDescent="0.2">
      <c r="A478" s="2" t="s">
        <v>5678</v>
      </c>
      <c r="B478" s="2">
        <v>26698</v>
      </c>
      <c r="C478" s="2"/>
      <c r="D478" s="4" t="s">
        <v>5679</v>
      </c>
      <c r="E478" s="3">
        <f t="array" aca="1" ref="E478" ca="1">IFERROR(_xludf.XLOOKUP(G478,'Rea - SK'!A:A,'Rea - SK'!E:E),0)+IFERROR(_xludf.XLOOKUP(H478,'Rea - SK'!A:A,'Rea - SK'!E:E),0)+IFERROR(_xludf.XLOOKUP(I478,'Rea - SK'!A:A,'Rea - SK'!E:E),0)+IFERROR(_xludf.XLOOKUP(J478,'Rea - SK'!A:A,'Rea - SK'!E:E),0)+IFERROR(_xludf.XLOOKUP(K478,'Rea - SK'!A:A,'Rea - SK'!E:E),0)</f>
        <v>0</v>
      </c>
      <c r="F478" s="11">
        <f t="array" aca="1" ref="F478" ca="1">MAX(IFERROR(_xludf.XLOOKUP(G478,'Rea - SK'!A:A,'Rea - SK'!F:F),DATE(1966,6,6)),IFERROR(_xludf.XLOOKUP(H478,'Rea - SK'!A:A,'Rea - SK'!F:F),DATE(1966,6,6)),IFERROR(_xludf.XLOOKUP(I478,'Rea - SK'!A:A,'Rea - SK'!F:F),DATE(1966,6,6)),IFERROR(_xludf.XLOOKUP(J478,'Rea - SK'!A:A,'Rea - SK'!F:F),DATE(1966,6,6)),IFERROR(_xludf.XLOOKUP(K478,'Rea - SK'!A:A,'Rea - SK'!F:F),DATE(1966,6,6)))</f>
        <v>24264</v>
      </c>
      <c r="G478" s="3" t="s">
        <v>2451</v>
      </c>
      <c r="H478" s="2" t="s">
        <v>1487</v>
      </c>
      <c r="I478" s="19"/>
      <c r="J478" s="19"/>
      <c r="K478" s="19"/>
      <c r="L478" s="18"/>
    </row>
    <row r="479" spans="1:12" ht="18.75" customHeight="1" x14ac:dyDescent="0.2">
      <c r="A479" s="2" t="s">
        <v>5680</v>
      </c>
      <c r="B479" s="2">
        <v>26691</v>
      </c>
      <c r="C479" s="2"/>
      <c r="D479" s="4" t="s">
        <v>5681</v>
      </c>
      <c r="E479" s="3">
        <f t="array" aca="1" ref="E479" ca="1">IFERROR(_xludf.XLOOKUP(G479,'Rea - SK'!A:A,'Rea - SK'!E:E),0)+IFERROR(_xludf.XLOOKUP(H479,'Rea - SK'!A:A,'Rea - SK'!E:E),0)+IFERROR(_xludf.XLOOKUP(I479,'Rea - SK'!A:A,'Rea - SK'!E:E),0)+IFERROR(_xludf.XLOOKUP(J479,'Rea - SK'!A:A,'Rea - SK'!E:E),0)+IFERROR(_xludf.XLOOKUP(K479,'Rea - SK'!A:A,'Rea - SK'!E:E),0)</f>
        <v>0</v>
      </c>
      <c r="F479" s="11">
        <f t="array" aca="1" ref="F479" ca="1">MAX(IFERROR(_xludf.XLOOKUP(G479,'Rea - SK'!A:A,'Rea - SK'!F:F),DATE(1966,6,6)),IFERROR(_xludf.XLOOKUP(H479,'Rea - SK'!A:A,'Rea - SK'!F:F),DATE(1966,6,6)),IFERROR(_xludf.XLOOKUP(I479,'Rea - SK'!A:A,'Rea - SK'!F:F),DATE(1966,6,6)),IFERROR(_xludf.XLOOKUP(J479,'Rea - SK'!A:A,'Rea - SK'!F:F),DATE(1966,6,6)),IFERROR(_xludf.XLOOKUP(K479,'Rea - SK'!A:A,'Rea - SK'!F:F),DATE(1966,6,6)))</f>
        <v>24264</v>
      </c>
      <c r="G479" s="3" t="s">
        <v>2451</v>
      </c>
      <c r="H479" s="2" t="s">
        <v>1485</v>
      </c>
      <c r="I479" s="19"/>
      <c r="J479" s="19"/>
      <c r="K479" s="19"/>
      <c r="L479" s="18"/>
    </row>
    <row r="480" spans="1:12" ht="18.75" customHeight="1" x14ac:dyDescent="0.2">
      <c r="A480" s="2" t="s">
        <v>5682</v>
      </c>
      <c r="B480" s="2">
        <v>26690</v>
      </c>
      <c r="C480" s="2"/>
      <c r="D480" s="4" t="s">
        <v>5683</v>
      </c>
      <c r="E480" s="3">
        <f t="array" aca="1" ref="E480" ca="1">IFERROR(_xludf.XLOOKUP(G480,'Rea - SK'!A:A,'Rea - SK'!E:E),0)+IFERROR(_xludf.XLOOKUP(H480,'Rea - SK'!A:A,'Rea - SK'!E:E),0)+IFERROR(_xludf.XLOOKUP(I480,'Rea - SK'!A:A,'Rea - SK'!E:E),0)+IFERROR(_xludf.XLOOKUP(J480,'Rea - SK'!A:A,'Rea - SK'!E:E),0)+IFERROR(_xludf.XLOOKUP(K480,'Rea - SK'!A:A,'Rea - SK'!E:E),0)</f>
        <v>0</v>
      </c>
      <c r="F480" s="11">
        <f t="array" aca="1" ref="F480" ca="1">MAX(IFERROR(_xludf.XLOOKUP(G480,'Rea - SK'!A:A,'Rea - SK'!F:F),DATE(1966,6,6)),IFERROR(_xludf.XLOOKUP(H480,'Rea - SK'!A:A,'Rea - SK'!F:F),DATE(1966,6,6)),IFERROR(_xludf.XLOOKUP(I480,'Rea - SK'!A:A,'Rea - SK'!F:F),DATE(1966,6,6)),IFERROR(_xludf.XLOOKUP(J480,'Rea - SK'!A:A,'Rea - SK'!F:F),DATE(1966,6,6)),IFERROR(_xludf.XLOOKUP(K480,'Rea - SK'!A:A,'Rea - SK'!F:F),DATE(1966,6,6)))</f>
        <v>24264</v>
      </c>
      <c r="G480" s="3" t="s">
        <v>2451</v>
      </c>
      <c r="H480" s="2" t="s">
        <v>1483</v>
      </c>
      <c r="I480" s="19"/>
      <c r="J480" s="19"/>
      <c r="K480" s="19"/>
      <c r="L480" s="18"/>
    </row>
    <row r="481" spans="1:12" ht="18.75" customHeight="1" x14ac:dyDescent="0.2">
      <c r="A481" s="2" t="s">
        <v>5684</v>
      </c>
      <c r="B481" s="2">
        <v>26688</v>
      </c>
      <c r="C481" s="2"/>
      <c r="D481" s="4" t="s">
        <v>5685</v>
      </c>
      <c r="E481" s="3">
        <f t="array" aca="1" ref="E481" ca="1">IFERROR(_xludf.XLOOKUP(G481,'Rea - SK'!A:A,'Rea - SK'!E:E),0)+IFERROR(_xludf.XLOOKUP(H481,'Rea - SK'!A:A,'Rea - SK'!E:E),0)+IFERROR(_xludf.XLOOKUP(I481,'Rea - SK'!A:A,'Rea - SK'!E:E),0)+IFERROR(_xludf.XLOOKUP(J481,'Rea - SK'!A:A,'Rea - SK'!E:E),0)+IFERROR(_xludf.XLOOKUP(K481,'Rea - SK'!A:A,'Rea - SK'!E:E),0)</f>
        <v>0</v>
      </c>
      <c r="F481" s="11">
        <f t="array" aca="1" ref="F481" ca="1">MAX(IFERROR(_xludf.XLOOKUP(G481,'Rea - SK'!A:A,'Rea - SK'!F:F),DATE(1966,6,6)),IFERROR(_xludf.XLOOKUP(H481,'Rea - SK'!A:A,'Rea - SK'!F:F),DATE(1966,6,6)),IFERROR(_xludf.XLOOKUP(I481,'Rea - SK'!A:A,'Rea - SK'!F:F),DATE(1966,6,6)),IFERROR(_xludf.XLOOKUP(J481,'Rea - SK'!A:A,'Rea - SK'!F:F),DATE(1966,6,6)),IFERROR(_xludf.XLOOKUP(K481,'Rea - SK'!A:A,'Rea - SK'!F:F),DATE(1966,6,6)))</f>
        <v>24264</v>
      </c>
      <c r="G481" s="3" t="s">
        <v>2455</v>
      </c>
      <c r="H481" s="2" t="s">
        <v>1501</v>
      </c>
      <c r="I481" s="19"/>
      <c r="J481" s="19"/>
      <c r="K481" s="19"/>
      <c r="L481" s="18"/>
    </row>
    <row r="482" spans="1:12" ht="18.75" customHeight="1" x14ac:dyDescent="0.2">
      <c r="A482" s="2" t="s">
        <v>5686</v>
      </c>
      <c r="B482" s="2">
        <v>26687</v>
      </c>
      <c r="C482" s="2"/>
      <c r="D482" s="4" t="s">
        <v>5687</v>
      </c>
      <c r="E482" s="3">
        <f t="array" aca="1" ref="E482" ca="1">IFERROR(_xludf.XLOOKUP(G482,'Rea - SK'!A:A,'Rea - SK'!E:E),0)+IFERROR(_xludf.XLOOKUP(H482,'Rea - SK'!A:A,'Rea - SK'!E:E),0)+IFERROR(_xludf.XLOOKUP(I482,'Rea - SK'!A:A,'Rea - SK'!E:E),0)+IFERROR(_xludf.XLOOKUP(J482,'Rea - SK'!A:A,'Rea - SK'!E:E),0)+IFERROR(_xludf.XLOOKUP(K482,'Rea - SK'!A:A,'Rea - SK'!E:E),0)</f>
        <v>0</v>
      </c>
      <c r="F482" s="11">
        <f t="array" aca="1" ref="F482" ca="1">MAX(IFERROR(_xludf.XLOOKUP(G482,'Rea - SK'!A:A,'Rea - SK'!F:F),DATE(1966,6,6)),IFERROR(_xludf.XLOOKUP(H482,'Rea - SK'!A:A,'Rea - SK'!F:F),DATE(1966,6,6)),IFERROR(_xludf.XLOOKUP(I482,'Rea - SK'!A:A,'Rea - SK'!F:F),DATE(1966,6,6)),IFERROR(_xludf.XLOOKUP(J482,'Rea - SK'!A:A,'Rea - SK'!F:F),DATE(1966,6,6)),IFERROR(_xludf.XLOOKUP(K482,'Rea - SK'!A:A,'Rea - SK'!F:F),DATE(1966,6,6)))</f>
        <v>24264</v>
      </c>
      <c r="G482" s="3" t="s">
        <v>2455</v>
      </c>
      <c r="H482" s="2" t="s">
        <v>1499</v>
      </c>
      <c r="I482" s="19"/>
      <c r="J482" s="19"/>
      <c r="K482" s="19"/>
      <c r="L482" s="18"/>
    </row>
    <row r="483" spans="1:12" ht="18.75" customHeight="1" x14ac:dyDescent="0.2">
      <c r="A483" s="2" t="s">
        <v>5688</v>
      </c>
      <c r="B483" s="2">
        <v>25201</v>
      </c>
      <c r="C483" s="2"/>
      <c r="D483" s="4" t="s">
        <v>5689</v>
      </c>
      <c r="E483" s="3">
        <f t="array" aca="1" ref="E483" ca="1">IFERROR(_xludf.XLOOKUP(G483,'Rea - SK'!A:A,'Rea - SK'!E:E),0)+IFERROR(_xludf.XLOOKUP(H483,'Rea - SK'!A:A,'Rea - SK'!E:E),0)+IFERROR(_xludf.XLOOKUP(I483,'Rea - SK'!A:A,'Rea - SK'!E:E),0)+IFERROR(_xludf.XLOOKUP(J483,'Rea - SK'!A:A,'Rea - SK'!E:E),0)+IFERROR(_xludf.XLOOKUP(K483,'Rea - SK'!A:A,'Rea - SK'!E:E),0)</f>
        <v>0</v>
      </c>
      <c r="F483" s="11">
        <f t="array" aca="1" ref="F483" ca="1">MAX(IFERROR(_xludf.XLOOKUP(G483,'Rea - SK'!A:A,'Rea - SK'!F:F),DATE(1966,6,6)),IFERROR(_xludf.XLOOKUP(H483,'Rea - SK'!A:A,'Rea - SK'!F:F),DATE(1966,6,6)),IFERROR(_xludf.XLOOKUP(I483,'Rea - SK'!A:A,'Rea - SK'!F:F),DATE(1966,6,6)),IFERROR(_xludf.XLOOKUP(J483,'Rea - SK'!A:A,'Rea - SK'!F:F),DATE(1966,6,6)),IFERROR(_xludf.XLOOKUP(K483,'Rea - SK'!A:A,'Rea - SK'!F:F),DATE(1966,6,6)))</f>
        <v>24264</v>
      </c>
      <c r="G483" s="3" t="s">
        <v>2455</v>
      </c>
      <c r="H483" s="2" t="s">
        <v>1497</v>
      </c>
      <c r="I483" s="19"/>
      <c r="J483" s="19"/>
      <c r="K483" s="19"/>
      <c r="L483" s="18"/>
    </row>
    <row r="484" spans="1:12" ht="18.75" customHeight="1" x14ac:dyDescent="0.2">
      <c r="A484" s="2" t="s">
        <v>5690</v>
      </c>
      <c r="B484" s="2">
        <v>25200</v>
      </c>
      <c r="C484" s="2"/>
      <c r="D484" s="4" t="s">
        <v>5691</v>
      </c>
      <c r="E484" s="3">
        <f t="array" aca="1" ref="E484" ca="1">IFERROR(_xludf.XLOOKUP(G484,'Rea - SK'!A:A,'Rea - SK'!E:E),0)+IFERROR(_xludf.XLOOKUP(H484,'Rea - SK'!A:A,'Rea - SK'!E:E),0)+IFERROR(_xludf.XLOOKUP(I484,'Rea - SK'!A:A,'Rea - SK'!E:E),0)+IFERROR(_xludf.XLOOKUP(J484,'Rea - SK'!A:A,'Rea - SK'!E:E),0)+IFERROR(_xludf.XLOOKUP(K484,'Rea - SK'!A:A,'Rea - SK'!E:E),0)</f>
        <v>0</v>
      </c>
      <c r="F484" s="11">
        <f t="array" aca="1" ref="F484" ca="1">MAX(IFERROR(_xludf.XLOOKUP(G484,'Rea - SK'!A:A,'Rea - SK'!F:F),DATE(1966,6,6)),IFERROR(_xludf.XLOOKUP(H484,'Rea - SK'!A:A,'Rea - SK'!F:F),DATE(1966,6,6)),IFERROR(_xludf.XLOOKUP(I484,'Rea - SK'!A:A,'Rea - SK'!F:F),DATE(1966,6,6)),IFERROR(_xludf.XLOOKUP(J484,'Rea - SK'!A:A,'Rea - SK'!F:F),DATE(1966,6,6)),IFERROR(_xludf.XLOOKUP(K484,'Rea - SK'!A:A,'Rea - SK'!F:F),DATE(1966,6,6)))</f>
        <v>24264</v>
      </c>
      <c r="G484" s="3" t="s">
        <v>2455</v>
      </c>
      <c r="H484" s="2" t="s">
        <v>1495</v>
      </c>
      <c r="I484" s="19"/>
      <c r="J484" s="19"/>
      <c r="K484" s="19"/>
      <c r="L484" s="18"/>
    </row>
    <row r="485" spans="1:12" ht="18.75" customHeight="1" x14ac:dyDescent="0.2">
      <c r="A485" s="2" t="s">
        <v>5692</v>
      </c>
      <c r="B485" s="2">
        <v>25197</v>
      </c>
      <c r="C485" s="2"/>
      <c r="D485" s="4" t="s">
        <v>5693</v>
      </c>
      <c r="E485" s="3">
        <f t="array" aca="1" ref="E485" ca="1">IFERROR(_xludf.XLOOKUP(G485,'Rea - SK'!A:A,'Rea - SK'!E:E),0)+IFERROR(_xludf.XLOOKUP(H485,'Rea - SK'!A:A,'Rea - SK'!E:E),0)+IFERROR(_xludf.XLOOKUP(I485,'Rea - SK'!A:A,'Rea - SK'!E:E),0)+IFERROR(_xludf.XLOOKUP(J485,'Rea - SK'!A:A,'Rea - SK'!E:E),0)+IFERROR(_xludf.XLOOKUP(K485,'Rea - SK'!A:A,'Rea - SK'!E:E),0)</f>
        <v>0</v>
      </c>
      <c r="F485" s="11">
        <f t="array" aca="1" ref="F485" ca="1">MAX(IFERROR(_xludf.XLOOKUP(G485,'Rea - SK'!A:A,'Rea - SK'!F:F),DATE(1966,6,6)),IFERROR(_xludf.XLOOKUP(H485,'Rea - SK'!A:A,'Rea - SK'!F:F),DATE(1966,6,6)),IFERROR(_xludf.XLOOKUP(I485,'Rea - SK'!A:A,'Rea - SK'!F:F),DATE(1966,6,6)),IFERROR(_xludf.XLOOKUP(J485,'Rea - SK'!A:A,'Rea - SK'!F:F),DATE(1966,6,6)),IFERROR(_xludf.XLOOKUP(K485,'Rea - SK'!A:A,'Rea - SK'!F:F),DATE(1966,6,6)))</f>
        <v>24264</v>
      </c>
      <c r="G485" s="3" t="s">
        <v>2455</v>
      </c>
      <c r="H485" s="2" t="s">
        <v>1493</v>
      </c>
      <c r="I485" s="19"/>
      <c r="J485" s="19"/>
      <c r="K485" s="19"/>
      <c r="L485" s="18"/>
    </row>
    <row r="486" spans="1:12" ht="18.75" customHeight="1" x14ac:dyDescent="0.2">
      <c r="A486" s="2" t="s">
        <v>5694</v>
      </c>
      <c r="B486" s="2">
        <v>25196</v>
      </c>
      <c r="C486" s="2"/>
      <c r="D486" s="4" t="s">
        <v>5695</v>
      </c>
      <c r="E486" s="3">
        <f t="array" aca="1" ref="E486" ca="1">IFERROR(_xludf.XLOOKUP(G486,'Rea - SK'!A:A,'Rea - SK'!E:E),0)+IFERROR(_xludf.XLOOKUP(H486,'Rea - SK'!A:A,'Rea - SK'!E:E),0)+IFERROR(_xludf.XLOOKUP(I486,'Rea - SK'!A:A,'Rea - SK'!E:E),0)+IFERROR(_xludf.XLOOKUP(J486,'Rea - SK'!A:A,'Rea - SK'!E:E),0)+IFERROR(_xludf.XLOOKUP(K486,'Rea - SK'!A:A,'Rea - SK'!E:E),0)</f>
        <v>0</v>
      </c>
      <c r="F486" s="11">
        <f t="array" aca="1" ref="F486" ca="1">MAX(IFERROR(_xludf.XLOOKUP(G486,'Rea - SK'!A:A,'Rea - SK'!F:F),DATE(1966,6,6)),IFERROR(_xludf.XLOOKUP(H486,'Rea - SK'!A:A,'Rea - SK'!F:F),DATE(1966,6,6)),IFERROR(_xludf.XLOOKUP(I486,'Rea - SK'!A:A,'Rea - SK'!F:F),DATE(1966,6,6)),IFERROR(_xludf.XLOOKUP(J486,'Rea - SK'!A:A,'Rea - SK'!F:F),DATE(1966,6,6)),IFERROR(_xludf.XLOOKUP(K486,'Rea - SK'!A:A,'Rea - SK'!F:F),DATE(1966,6,6)))</f>
        <v>24264</v>
      </c>
      <c r="G486" s="3" t="s">
        <v>2455</v>
      </c>
      <c r="H486" s="2" t="s">
        <v>1491</v>
      </c>
      <c r="I486" s="19"/>
      <c r="J486" s="19"/>
      <c r="K486" s="19"/>
      <c r="L486" s="18"/>
    </row>
    <row r="487" spans="1:12" ht="18.75" customHeight="1" x14ac:dyDescent="0.2">
      <c r="A487" s="2" t="s">
        <v>5696</v>
      </c>
      <c r="B487" s="2">
        <v>25193</v>
      </c>
      <c r="C487" s="2"/>
      <c r="D487" s="4" t="s">
        <v>5697</v>
      </c>
      <c r="E487" s="3">
        <f t="array" aca="1" ref="E487" ca="1">IFERROR(_xludf.XLOOKUP(G487,'Rea - SK'!A:A,'Rea - SK'!E:E),0)+IFERROR(_xludf.XLOOKUP(H487,'Rea - SK'!A:A,'Rea - SK'!E:E),0)+IFERROR(_xludf.XLOOKUP(I487,'Rea - SK'!A:A,'Rea - SK'!E:E),0)+IFERROR(_xludf.XLOOKUP(J487,'Rea - SK'!A:A,'Rea - SK'!E:E),0)+IFERROR(_xludf.XLOOKUP(K487,'Rea - SK'!A:A,'Rea - SK'!E:E),0)</f>
        <v>0</v>
      </c>
      <c r="F487" s="11">
        <f t="array" aca="1" ref="F487" ca="1">MAX(IFERROR(_xludf.XLOOKUP(G487,'Rea - SK'!A:A,'Rea - SK'!F:F),DATE(1966,6,6)),IFERROR(_xludf.XLOOKUP(H487,'Rea - SK'!A:A,'Rea - SK'!F:F),DATE(1966,6,6)),IFERROR(_xludf.XLOOKUP(I487,'Rea - SK'!A:A,'Rea - SK'!F:F),DATE(1966,6,6)),IFERROR(_xludf.XLOOKUP(J487,'Rea - SK'!A:A,'Rea - SK'!F:F),DATE(1966,6,6)),IFERROR(_xludf.XLOOKUP(K487,'Rea - SK'!A:A,'Rea - SK'!F:F),DATE(1966,6,6)))</f>
        <v>24264</v>
      </c>
      <c r="G487" s="3" t="s">
        <v>2455</v>
      </c>
      <c r="H487" s="2" t="s">
        <v>1489</v>
      </c>
      <c r="I487" s="19"/>
      <c r="J487" s="19"/>
      <c r="K487" s="19"/>
      <c r="L487" s="18"/>
    </row>
    <row r="488" spans="1:12" ht="18.75" customHeight="1" x14ac:dyDescent="0.2">
      <c r="A488" s="2" t="s">
        <v>5698</v>
      </c>
      <c r="B488" s="2">
        <v>25192</v>
      </c>
      <c r="C488" s="2"/>
      <c r="D488" s="4" t="s">
        <v>5699</v>
      </c>
      <c r="E488" s="3">
        <f t="array" aca="1" ref="E488" ca="1">IFERROR(_xludf.XLOOKUP(G488,'Rea - SK'!A:A,'Rea - SK'!E:E),0)+IFERROR(_xludf.XLOOKUP(H488,'Rea - SK'!A:A,'Rea - SK'!E:E),0)+IFERROR(_xludf.XLOOKUP(I488,'Rea - SK'!A:A,'Rea - SK'!E:E),0)+IFERROR(_xludf.XLOOKUP(J488,'Rea - SK'!A:A,'Rea - SK'!E:E),0)+IFERROR(_xludf.XLOOKUP(K488,'Rea - SK'!A:A,'Rea - SK'!E:E),0)</f>
        <v>0</v>
      </c>
      <c r="F488" s="11">
        <f t="array" aca="1" ref="F488" ca="1">MAX(IFERROR(_xludf.XLOOKUP(G488,'Rea - SK'!A:A,'Rea - SK'!F:F),DATE(1966,6,6)),IFERROR(_xludf.XLOOKUP(H488,'Rea - SK'!A:A,'Rea - SK'!F:F),DATE(1966,6,6)),IFERROR(_xludf.XLOOKUP(I488,'Rea - SK'!A:A,'Rea - SK'!F:F),DATE(1966,6,6)),IFERROR(_xludf.XLOOKUP(J488,'Rea - SK'!A:A,'Rea - SK'!F:F),DATE(1966,6,6)),IFERROR(_xludf.XLOOKUP(K488,'Rea - SK'!A:A,'Rea - SK'!F:F),DATE(1966,6,6)))</f>
        <v>24264</v>
      </c>
      <c r="G488" s="3" t="s">
        <v>2455</v>
      </c>
      <c r="H488" s="2" t="s">
        <v>1487</v>
      </c>
      <c r="I488" s="19"/>
      <c r="J488" s="19"/>
      <c r="K488" s="19"/>
      <c r="L488" s="18"/>
    </row>
    <row r="489" spans="1:12" ht="18.75" customHeight="1" x14ac:dyDescent="0.2">
      <c r="A489" s="2" t="s">
        <v>5700</v>
      </c>
      <c r="B489" s="2">
        <v>25185</v>
      </c>
      <c r="C489" s="2"/>
      <c r="D489" s="4" t="s">
        <v>5701</v>
      </c>
      <c r="E489" s="3">
        <f t="array" aca="1" ref="E489" ca="1">IFERROR(_xludf.XLOOKUP(G489,'Rea - SK'!A:A,'Rea - SK'!E:E),0)+IFERROR(_xludf.XLOOKUP(H489,'Rea - SK'!A:A,'Rea - SK'!E:E),0)+IFERROR(_xludf.XLOOKUP(I489,'Rea - SK'!A:A,'Rea - SK'!E:E),0)+IFERROR(_xludf.XLOOKUP(J489,'Rea - SK'!A:A,'Rea - SK'!E:E),0)+IFERROR(_xludf.XLOOKUP(K489,'Rea - SK'!A:A,'Rea - SK'!E:E),0)</f>
        <v>0</v>
      </c>
      <c r="F489" s="11">
        <f t="array" aca="1" ref="F489" ca="1">MAX(IFERROR(_xludf.XLOOKUP(G489,'Rea - SK'!A:A,'Rea - SK'!F:F),DATE(1966,6,6)),IFERROR(_xludf.XLOOKUP(H489,'Rea - SK'!A:A,'Rea - SK'!F:F),DATE(1966,6,6)),IFERROR(_xludf.XLOOKUP(I489,'Rea - SK'!A:A,'Rea - SK'!F:F),DATE(1966,6,6)),IFERROR(_xludf.XLOOKUP(J489,'Rea - SK'!A:A,'Rea - SK'!F:F),DATE(1966,6,6)),IFERROR(_xludf.XLOOKUP(K489,'Rea - SK'!A:A,'Rea - SK'!F:F),DATE(1966,6,6)))</f>
        <v>24264</v>
      </c>
      <c r="G489" s="3" t="s">
        <v>2455</v>
      </c>
      <c r="H489" s="2" t="s">
        <v>1485</v>
      </c>
      <c r="I489" s="19"/>
      <c r="J489" s="19"/>
      <c r="K489" s="19"/>
      <c r="L489" s="18"/>
    </row>
    <row r="490" spans="1:12" ht="18.75" customHeight="1" x14ac:dyDescent="0.2">
      <c r="A490" s="2" t="s">
        <v>5702</v>
      </c>
      <c r="B490" s="2">
        <v>25184</v>
      </c>
      <c r="C490" s="2"/>
      <c r="D490" s="4" t="s">
        <v>5703</v>
      </c>
      <c r="E490" s="3">
        <f t="array" aca="1" ref="E490" ca="1">IFERROR(_xludf.XLOOKUP(G490,'Rea - SK'!A:A,'Rea - SK'!E:E),0)+IFERROR(_xludf.XLOOKUP(H490,'Rea - SK'!A:A,'Rea - SK'!E:E),0)+IFERROR(_xludf.XLOOKUP(I490,'Rea - SK'!A:A,'Rea - SK'!E:E),0)+IFERROR(_xludf.XLOOKUP(J490,'Rea - SK'!A:A,'Rea - SK'!E:E),0)+IFERROR(_xludf.XLOOKUP(K490,'Rea - SK'!A:A,'Rea - SK'!E:E),0)</f>
        <v>0</v>
      </c>
      <c r="F490" s="11">
        <f t="array" aca="1" ref="F490" ca="1">MAX(IFERROR(_xludf.XLOOKUP(G490,'Rea - SK'!A:A,'Rea - SK'!F:F),DATE(1966,6,6)),IFERROR(_xludf.XLOOKUP(H490,'Rea - SK'!A:A,'Rea - SK'!F:F),DATE(1966,6,6)),IFERROR(_xludf.XLOOKUP(I490,'Rea - SK'!A:A,'Rea - SK'!F:F),DATE(1966,6,6)),IFERROR(_xludf.XLOOKUP(J490,'Rea - SK'!A:A,'Rea - SK'!F:F),DATE(1966,6,6)),IFERROR(_xludf.XLOOKUP(K490,'Rea - SK'!A:A,'Rea - SK'!F:F),DATE(1966,6,6)))</f>
        <v>24264</v>
      </c>
      <c r="G490" s="3" t="s">
        <v>2455</v>
      </c>
      <c r="H490" s="2" t="s">
        <v>1483</v>
      </c>
      <c r="I490" s="19"/>
      <c r="J490" s="19"/>
      <c r="K490" s="19"/>
      <c r="L490" s="18"/>
    </row>
    <row r="491" spans="1:12" ht="18.75" customHeight="1" x14ac:dyDescent="0.2">
      <c r="A491" s="2" t="s">
        <v>5704</v>
      </c>
      <c r="B491" s="2">
        <v>25181</v>
      </c>
      <c r="C491" s="2">
        <v>5902557395859</v>
      </c>
      <c r="D491" s="4" t="s">
        <v>5705</v>
      </c>
      <c r="E491" s="3">
        <f t="array" aca="1" ref="E491" ca="1">IFERROR(_xludf.XLOOKUP(G491,'Rea - SK'!A:A,'Rea - SK'!E:E),0)+IFERROR(_xludf.XLOOKUP(H491,'Rea - SK'!A:A,'Rea - SK'!E:E),0)+IFERROR(_xludf.XLOOKUP(I491,'Rea - SK'!A:A,'Rea - SK'!E:E),0)+IFERROR(_xludf.XLOOKUP(J491,'Rea - SK'!A:A,'Rea - SK'!E:E),0)+IFERROR(_xludf.XLOOKUP(K491,'Rea - SK'!A:A,'Rea - SK'!E:E),0)</f>
        <v>0</v>
      </c>
      <c r="F491" s="11">
        <f t="array" aca="1" ref="F491" ca="1">MAX(IFERROR(_xludf.XLOOKUP(G491,'Rea - SK'!A:A,'Rea - SK'!F:F),DATE(1966,6,6)),IFERROR(_xludf.XLOOKUP(H491,'Rea - SK'!A:A,'Rea - SK'!F:F),DATE(1966,6,6)),IFERROR(_xludf.XLOOKUP(I491,'Rea - SK'!A:A,'Rea - SK'!F:F),DATE(1966,6,6)),IFERROR(_xludf.XLOOKUP(J491,'Rea - SK'!A:A,'Rea - SK'!F:F),DATE(1966,6,6)),IFERROR(_xludf.XLOOKUP(K491,'Rea - SK'!A:A,'Rea - SK'!F:F),DATE(1966,6,6)))</f>
        <v>24264</v>
      </c>
      <c r="G491" s="3" t="s">
        <v>2453</v>
      </c>
      <c r="H491" s="2" t="s">
        <v>1501</v>
      </c>
      <c r="I491" s="19"/>
      <c r="J491" s="19"/>
      <c r="K491" s="19"/>
      <c r="L491" s="18"/>
    </row>
    <row r="492" spans="1:12" ht="18.75" customHeight="1" x14ac:dyDescent="0.2">
      <c r="A492" s="2" t="s">
        <v>5706</v>
      </c>
      <c r="B492" s="2">
        <v>25180</v>
      </c>
      <c r="C492" s="2">
        <v>5902557395866</v>
      </c>
      <c r="D492" s="4" t="s">
        <v>5707</v>
      </c>
      <c r="E492" s="3">
        <f t="array" aca="1" ref="E492" ca="1">IFERROR(_xludf.XLOOKUP(G492,'Rea - SK'!A:A,'Rea - SK'!E:E),0)+IFERROR(_xludf.XLOOKUP(H492,'Rea - SK'!A:A,'Rea - SK'!E:E),0)+IFERROR(_xludf.XLOOKUP(I492,'Rea - SK'!A:A,'Rea - SK'!E:E),0)+IFERROR(_xludf.XLOOKUP(J492,'Rea - SK'!A:A,'Rea - SK'!E:E),0)+IFERROR(_xludf.XLOOKUP(K492,'Rea - SK'!A:A,'Rea - SK'!E:E),0)</f>
        <v>0</v>
      </c>
      <c r="F492" s="11">
        <f t="array" aca="1" ref="F492" ca="1">MAX(IFERROR(_xludf.XLOOKUP(G492,'Rea - SK'!A:A,'Rea - SK'!F:F),DATE(1966,6,6)),IFERROR(_xludf.XLOOKUP(H492,'Rea - SK'!A:A,'Rea - SK'!F:F),DATE(1966,6,6)),IFERROR(_xludf.XLOOKUP(I492,'Rea - SK'!A:A,'Rea - SK'!F:F),DATE(1966,6,6)),IFERROR(_xludf.XLOOKUP(J492,'Rea - SK'!A:A,'Rea - SK'!F:F),DATE(1966,6,6)),IFERROR(_xludf.XLOOKUP(K492,'Rea - SK'!A:A,'Rea - SK'!F:F),DATE(1966,6,6)))</f>
        <v>24264</v>
      </c>
      <c r="G492" s="3" t="s">
        <v>2453</v>
      </c>
      <c r="H492" s="2" t="s">
        <v>1499</v>
      </c>
      <c r="I492" s="19"/>
      <c r="J492" s="19"/>
      <c r="K492" s="19"/>
      <c r="L492" s="18"/>
    </row>
    <row r="493" spans="1:12" ht="18.75" customHeight="1" x14ac:dyDescent="0.2">
      <c r="A493" s="2" t="s">
        <v>5708</v>
      </c>
      <c r="B493" s="2">
        <v>25177</v>
      </c>
      <c r="C493" s="2">
        <v>5902557395842</v>
      </c>
      <c r="D493" s="4" t="s">
        <v>5709</v>
      </c>
      <c r="E493" s="3">
        <f t="array" aca="1" ref="E493" ca="1">IFERROR(_xludf.XLOOKUP(G493,'Rea - SK'!A:A,'Rea - SK'!E:E),0)+IFERROR(_xludf.XLOOKUP(H493,'Rea - SK'!A:A,'Rea - SK'!E:E),0)+IFERROR(_xludf.XLOOKUP(I493,'Rea - SK'!A:A,'Rea - SK'!E:E),0)+IFERROR(_xludf.XLOOKUP(J493,'Rea - SK'!A:A,'Rea - SK'!E:E),0)+IFERROR(_xludf.XLOOKUP(K493,'Rea - SK'!A:A,'Rea - SK'!E:E),0)</f>
        <v>0</v>
      </c>
      <c r="F493" s="11">
        <f t="array" aca="1" ref="F493" ca="1">MAX(IFERROR(_xludf.XLOOKUP(G493,'Rea - SK'!A:A,'Rea - SK'!F:F),DATE(1966,6,6)),IFERROR(_xludf.XLOOKUP(H493,'Rea - SK'!A:A,'Rea - SK'!F:F),DATE(1966,6,6)),IFERROR(_xludf.XLOOKUP(I493,'Rea - SK'!A:A,'Rea - SK'!F:F),DATE(1966,6,6)),IFERROR(_xludf.XLOOKUP(J493,'Rea - SK'!A:A,'Rea - SK'!F:F),DATE(1966,6,6)),IFERROR(_xludf.XLOOKUP(K493,'Rea - SK'!A:A,'Rea - SK'!F:F),DATE(1966,6,6)))</f>
        <v>24264</v>
      </c>
      <c r="G493" s="3" t="s">
        <v>2453</v>
      </c>
      <c r="H493" s="2" t="s">
        <v>1497</v>
      </c>
      <c r="I493" s="19"/>
      <c r="J493" s="19"/>
      <c r="K493" s="19"/>
      <c r="L493" s="18"/>
    </row>
    <row r="494" spans="1:12" ht="18.75" customHeight="1" x14ac:dyDescent="0.2">
      <c r="A494" s="2" t="s">
        <v>5710</v>
      </c>
      <c r="B494" s="2">
        <v>25176</v>
      </c>
      <c r="C494" s="2">
        <v>5902557395835</v>
      </c>
      <c r="D494" s="4" t="s">
        <v>5711</v>
      </c>
      <c r="E494" s="3">
        <f t="array" aca="1" ref="E494" ca="1">IFERROR(_xludf.XLOOKUP(G494,'Rea - SK'!A:A,'Rea - SK'!E:E),0)+IFERROR(_xludf.XLOOKUP(H494,'Rea - SK'!A:A,'Rea - SK'!E:E),0)+IFERROR(_xludf.XLOOKUP(I494,'Rea - SK'!A:A,'Rea - SK'!E:E),0)+IFERROR(_xludf.XLOOKUP(J494,'Rea - SK'!A:A,'Rea - SK'!E:E),0)+IFERROR(_xludf.XLOOKUP(K494,'Rea - SK'!A:A,'Rea - SK'!E:E),0)</f>
        <v>0</v>
      </c>
      <c r="F494" s="11">
        <f t="array" aca="1" ref="F494" ca="1">MAX(IFERROR(_xludf.XLOOKUP(G494,'Rea - SK'!A:A,'Rea - SK'!F:F),DATE(1966,6,6)),IFERROR(_xludf.XLOOKUP(H494,'Rea - SK'!A:A,'Rea - SK'!F:F),DATE(1966,6,6)),IFERROR(_xludf.XLOOKUP(I494,'Rea - SK'!A:A,'Rea - SK'!F:F),DATE(1966,6,6)),IFERROR(_xludf.XLOOKUP(J494,'Rea - SK'!A:A,'Rea - SK'!F:F),DATE(1966,6,6)),IFERROR(_xludf.XLOOKUP(K494,'Rea - SK'!A:A,'Rea - SK'!F:F),DATE(1966,6,6)))</f>
        <v>24264</v>
      </c>
      <c r="G494" s="3" t="s">
        <v>2453</v>
      </c>
      <c r="H494" s="2" t="s">
        <v>1495</v>
      </c>
      <c r="I494" s="19"/>
      <c r="J494" s="19"/>
      <c r="K494" s="19"/>
      <c r="L494" s="18"/>
    </row>
    <row r="495" spans="1:12" ht="18.75" customHeight="1" x14ac:dyDescent="0.2">
      <c r="A495" s="2" t="s">
        <v>5712</v>
      </c>
      <c r="B495" s="2">
        <v>25173</v>
      </c>
      <c r="C495" s="2">
        <v>5902557395828</v>
      </c>
      <c r="D495" s="4" t="s">
        <v>5713</v>
      </c>
      <c r="E495" s="3">
        <f t="array" aca="1" ref="E495" ca="1">IFERROR(_xludf.XLOOKUP(G495,'Rea - SK'!A:A,'Rea - SK'!E:E),0)+IFERROR(_xludf.XLOOKUP(H495,'Rea - SK'!A:A,'Rea - SK'!E:E),0)+IFERROR(_xludf.XLOOKUP(I495,'Rea - SK'!A:A,'Rea - SK'!E:E),0)+IFERROR(_xludf.XLOOKUP(J495,'Rea - SK'!A:A,'Rea - SK'!E:E),0)+IFERROR(_xludf.XLOOKUP(K495,'Rea - SK'!A:A,'Rea - SK'!E:E),0)</f>
        <v>0</v>
      </c>
      <c r="F495" s="11">
        <f t="array" aca="1" ref="F495" ca="1">MAX(IFERROR(_xludf.XLOOKUP(G495,'Rea - SK'!A:A,'Rea - SK'!F:F),DATE(1966,6,6)),IFERROR(_xludf.XLOOKUP(H495,'Rea - SK'!A:A,'Rea - SK'!F:F),DATE(1966,6,6)),IFERROR(_xludf.XLOOKUP(I495,'Rea - SK'!A:A,'Rea - SK'!F:F),DATE(1966,6,6)),IFERROR(_xludf.XLOOKUP(J495,'Rea - SK'!A:A,'Rea - SK'!F:F),DATE(1966,6,6)),IFERROR(_xludf.XLOOKUP(K495,'Rea - SK'!A:A,'Rea - SK'!F:F),DATE(1966,6,6)))</f>
        <v>24264</v>
      </c>
      <c r="G495" s="3" t="s">
        <v>2453</v>
      </c>
      <c r="H495" s="2" t="s">
        <v>1493</v>
      </c>
      <c r="I495" s="19"/>
      <c r="J495" s="19"/>
      <c r="K495" s="19"/>
      <c r="L495" s="18"/>
    </row>
    <row r="496" spans="1:12" ht="18.75" customHeight="1" x14ac:dyDescent="0.2">
      <c r="A496" s="2" t="s">
        <v>5714</v>
      </c>
      <c r="B496" s="2">
        <v>25172</v>
      </c>
      <c r="C496" s="2">
        <v>5902557395811</v>
      </c>
      <c r="D496" s="4" t="s">
        <v>5715</v>
      </c>
      <c r="E496" s="3">
        <f t="array" aca="1" ref="E496" ca="1">IFERROR(_xludf.XLOOKUP(G496,'Rea - SK'!A:A,'Rea - SK'!E:E),0)+IFERROR(_xludf.XLOOKUP(H496,'Rea - SK'!A:A,'Rea - SK'!E:E),0)+IFERROR(_xludf.XLOOKUP(I496,'Rea - SK'!A:A,'Rea - SK'!E:E),0)+IFERROR(_xludf.XLOOKUP(J496,'Rea - SK'!A:A,'Rea - SK'!E:E),0)+IFERROR(_xludf.XLOOKUP(K496,'Rea - SK'!A:A,'Rea - SK'!E:E),0)</f>
        <v>0</v>
      </c>
      <c r="F496" s="11">
        <f t="array" aca="1" ref="F496" ca="1">MAX(IFERROR(_xludf.XLOOKUP(G496,'Rea - SK'!A:A,'Rea - SK'!F:F),DATE(1966,6,6)),IFERROR(_xludf.XLOOKUP(H496,'Rea - SK'!A:A,'Rea - SK'!F:F),DATE(1966,6,6)),IFERROR(_xludf.XLOOKUP(I496,'Rea - SK'!A:A,'Rea - SK'!F:F),DATE(1966,6,6)),IFERROR(_xludf.XLOOKUP(J496,'Rea - SK'!A:A,'Rea - SK'!F:F),DATE(1966,6,6)),IFERROR(_xludf.XLOOKUP(K496,'Rea - SK'!A:A,'Rea - SK'!F:F),DATE(1966,6,6)))</f>
        <v>24264</v>
      </c>
      <c r="G496" s="3" t="s">
        <v>2453</v>
      </c>
      <c r="H496" s="2" t="s">
        <v>1491</v>
      </c>
      <c r="I496" s="19"/>
      <c r="J496" s="19"/>
      <c r="K496" s="19"/>
      <c r="L496" s="18"/>
    </row>
    <row r="497" spans="1:12" ht="18.75" customHeight="1" x14ac:dyDescent="0.2">
      <c r="A497" s="2" t="s">
        <v>5716</v>
      </c>
      <c r="B497" s="2">
        <v>25169</v>
      </c>
      <c r="C497" s="2"/>
      <c r="D497" s="4" t="s">
        <v>5717</v>
      </c>
      <c r="E497" s="3">
        <f t="array" aca="1" ref="E497" ca="1">IFERROR(_xludf.XLOOKUP(G497,'Rea - SK'!A:A,'Rea - SK'!E:E),0)+IFERROR(_xludf.XLOOKUP(H497,'Rea - SK'!A:A,'Rea - SK'!E:E),0)+IFERROR(_xludf.XLOOKUP(I497,'Rea - SK'!A:A,'Rea - SK'!E:E),0)+IFERROR(_xludf.XLOOKUP(J497,'Rea - SK'!A:A,'Rea - SK'!E:E),0)+IFERROR(_xludf.XLOOKUP(K497,'Rea - SK'!A:A,'Rea - SK'!E:E),0)</f>
        <v>0</v>
      </c>
      <c r="F497" s="11">
        <f t="array" aca="1" ref="F497" ca="1">MAX(IFERROR(_xludf.XLOOKUP(G497,'Rea - SK'!A:A,'Rea - SK'!F:F),DATE(1966,6,6)),IFERROR(_xludf.XLOOKUP(H497,'Rea - SK'!A:A,'Rea - SK'!F:F),DATE(1966,6,6)),IFERROR(_xludf.XLOOKUP(I497,'Rea - SK'!A:A,'Rea - SK'!F:F),DATE(1966,6,6)),IFERROR(_xludf.XLOOKUP(J497,'Rea - SK'!A:A,'Rea - SK'!F:F),DATE(1966,6,6)),IFERROR(_xludf.XLOOKUP(K497,'Rea - SK'!A:A,'Rea - SK'!F:F),DATE(1966,6,6)))</f>
        <v>24264</v>
      </c>
      <c r="G497" s="3" t="s">
        <v>2453</v>
      </c>
      <c r="H497" s="2" t="s">
        <v>1489</v>
      </c>
      <c r="I497" s="19"/>
      <c r="J497" s="19"/>
      <c r="K497" s="19"/>
      <c r="L497" s="18"/>
    </row>
    <row r="498" spans="1:12" ht="18.75" customHeight="1" x14ac:dyDescent="0.2">
      <c r="A498" s="2" t="s">
        <v>5718</v>
      </c>
      <c r="B498" s="2">
        <v>25168</v>
      </c>
      <c r="C498" s="2"/>
      <c r="D498" s="4" t="s">
        <v>5719</v>
      </c>
      <c r="E498" s="3">
        <f t="array" aca="1" ref="E498" ca="1">IFERROR(_xludf.XLOOKUP(G498,'Rea - SK'!A:A,'Rea - SK'!E:E),0)+IFERROR(_xludf.XLOOKUP(H498,'Rea - SK'!A:A,'Rea - SK'!E:E),0)+IFERROR(_xludf.XLOOKUP(I498,'Rea - SK'!A:A,'Rea - SK'!E:E),0)+IFERROR(_xludf.XLOOKUP(J498,'Rea - SK'!A:A,'Rea - SK'!E:E),0)+IFERROR(_xludf.XLOOKUP(K498,'Rea - SK'!A:A,'Rea - SK'!E:E),0)</f>
        <v>0</v>
      </c>
      <c r="F498" s="11">
        <f t="array" aca="1" ref="F498" ca="1">MAX(IFERROR(_xludf.XLOOKUP(G498,'Rea - SK'!A:A,'Rea - SK'!F:F),DATE(1966,6,6)),IFERROR(_xludf.XLOOKUP(H498,'Rea - SK'!A:A,'Rea - SK'!F:F),DATE(1966,6,6)),IFERROR(_xludf.XLOOKUP(I498,'Rea - SK'!A:A,'Rea - SK'!F:F),DATE(1966,6,6)),IFERROR(_xludf.XLOOKUP(J498,'Rea - SK'!A:A,'Rea - SK'!F:F),DATE(1966,6,6)),IFERROR(_xludf.XLOOKUP(K498,'Rea - SK'!A:A,'Rea - SK'!F:F),DATE(1966,6,6)))</f>
        <v>24264</v>
      </c>
      <c r="G498" s="3" t="s">
        <v>2453</v>
      </c>
      <c r="H498" s="2" t="s">
        <v>1487</v>
      </c>
      <c r="I498" s="19"/>
      <c r="J498" s="19"/>
      <c r="K498" s="19"/>
      <c r="L498" s="18"/>
    </row>
    <row r="499" spans="1:12" ht="18.75" customHeight="1" x14ac:dyDescent="0.2">
      <c r="A499" s="2" t="s">
        <v>5720</v>
      </c>
      <c r="B499" s="2">
        <v>25161</v>
      </c>
      <c r="C499" s="2"/>
      <c r="D499" s="4" t="s">
        <v>5721</v>
      </c>
      <c r="E499" s="3">
        <f t="array" aca="1" ref="E499" ca="1">IFERROR(_xludf.XLOOKUP(G499,'Rea - SK'!A:A,'Rea - SK'!E:E),0)+IFERROR(_xludf.XLOOKUP(H499,'Rea - SK'!A:A,'Rea - SK'!E:E),0)+IFERROR(_xludf.XLOOKUP(I499,'Rea - SK'!A:A,'Rea - SK'!E:E),0)+IFERROR(_xludf.XLOOKUP(J499,'Rea - SK'!A:A,'Rea - SK'!E:E),0)+IFERROR(_xludf.XLOOKUP(K499,'Rea - SK'!A:A,'Rea - SK'!E:E),0)</f>
        <v>0</v>
      </c>
      <c r="F499" s="11">
        <f t="array" aca="1" ref="F499" ca="1">MAX(IFERROR(_xludf.XLOOKUP(G499,'Rea - SK'!A:A,'Rea - SK'!F:F),DATE(1966,6,6)),IFERROR(_xludf.XLOOKUP(H499,'Rea - SK'!A:A,'Rea - SK'!F:F),DATE(1966,6,6)),IFERROR(_xludf.XLOOKUP(I499,'Rea - SK'!A:A,'Rea - SK'!F:F),DATE(1966,6,6)),IFERROR(_xludf.XLOOKUP(J499,'Rea - SK'!A:A,'Rea - SK'!F:F),DATE(1966,6,6)),IFERROR(_xludf.XLOOKUP(K499,'Rea - SK'!A:A,'Rea - SK'!F:F),DATE(1966,6,6)))</f>
        <v>24264</v>
      </c>
      <c r="G499" s="3" t="s">
        <v>2453</v>
      </c>
      <c r="H499" s="2" t="s">
        <v>1485</v>
      </c>
      <c r="I499" s="19"/>
      <c r="J499" s="19"/>
      <c r="K499" s="19"/>
      <c r="L499" s="18"/>
    </row>
    <row r="500" spans="1:12" ht="18.75" customHeight="1" x14ac:dyDescent="0.2">
      <c r="A500" s="2" t="s">
        <v>5722</v>
      </c>
      <c r="B500" s="2">
        <v>25160</v>
      </c>
      <c r="C500" s="2"/>
      <c r="D500" s="4" t="s">
        <v>5723</v>
      </c>
      <c r="E500" s="3">
        <f t="array" aca="1" ref="E500" ca="1">IFERROR(_xludf.XLOOKUP(G500,'Rea - SK'!A:A,'Rea - SK'!E:E),0)+IFERROR(_xludf.XLOOKUP(H500,'Rea - SK'!A:A,'Rea - SK'!E:E),0)+IFERROR(_xludf.XLOOKUP(I500,'Rea - SK'!A:A,'Rea - SK'!E:E),0)+IFERROR(_xludf.XLOOKUP(J500,'Rea - SK'!A:A,'Rea - SK'!E:E),0)+IFERROR(_xludf.XLOOKUP(K500,'Rea - SK'!A:A,'Rea - SK'!E:E),0)</f>
        <v>0</v>
      </c>
      <c r="F500" s="11">
        <f t="array" aca="1" ref="F500" ca="1">MAX(IFERROR(_xludf.XLOOKUP(G500,'Rea - SK'!A:A,'Rea - SK'!F:F),DATE(1966,6,6)),IFERROR(_xludf.XLOOKUP(H500,'Rea - SK'!A:A,'Rea - SK'!F:F),DATE(1966,6,6)),IFERROR(_xludf.XLOOKUP(I500,'Rea - SK'!A:A,'Rea - SK'!F:F),DATE(1966,6,6)),IFERROR(_xludf.XLOOKUP(J500,'Rea - SK'!A:A,'Rea - SK'!F:F),DATE(1966,6,6)),IFERROR(_xludf.XLOOKUP(K500,'Rea - SK'!A:A,'Rea - SK'!F:F),DATE(1966,6,6)))</f>
        <v>24264</v>
      </c>
      <c r="G500" s="3" t="s">
        <v>2453</v>
      </c>
      <c r="H500" s="2" t="s">
        <v>1483</v>
      </c>
      <c r="I500" s="19"/>
      <c r="J500" s="19"/>
      <c r="K500" s="19"/>
      <c r="L500" s="18"/>
    </row>
    <row r="501" spans="1:12" ht="18.75" customHeight="1" x14ac:dyDescent="0.2">
      <c r="A501" s="2" t="s">
        <v>5724</v>
      </c>
      <c r="B501" s="2">
        <v>24502</v>
      </c>
      <c r="C501" s="2">
        <v>5902557399123</v>
      </c>
      <c r="D501" s="4" t="s">
        <v>5725</v>
      </c>
      <c r="E501" s="3">
        <f t="array" aca="1" ref="E501" ca="1">IFERROR(_xludf.XLOOKUP(G501,'Rea - SK'!A:A,'Rea - SK'!E:E),0)+IFERROR(_xludf.XLOOKUP(H501,'Rea - SK'!A:A,'Rea - SK'!E:E),0)+IFERROR(_xludf.XLOOKUP(I501,'Rea - SK'!A:A,'Rea - SK'!E:E),0)+IFERROR(_xludf.XLOOKUP(J501,'Rea - SK'!A:A,'Rea - SK'!E:E),0)+IFERROR(_xludf.XLOOKUP(K501,'Rea - SK'!A:A,'Rea - SK'!E:E),0)</f>
        <v>0</v>
      </c>
      <c r="F501" s="11">
        <f t="array" aca="1" ref="F501" ca="1">MAX(IFERROR(_xludf.XLOOKUP(G501,'Rea - SK'!A:A,'Rea - SK'!F:F),DATE(1966,6,6)),IFERROR(_xludf.XLOOKUP(H501,'Rea - SK'!A:A,'Rea - SK'!F:F),DATE(1966,6,6)),IFERROR(_xludf.XLOOKUP(I501,'Rea - SK'!A:A,'Rea - SK'!F:F),DATE(1966,6,6)),IFERROR(_xludf.XLOOKUP(J501,'Rea - SK'!A:A,'Rea - SK'!F:F),DATE(1966,6,6)),IFERROR(_xludf.XLOOKUP(K501,'Rea - SK'!A:A,'Rea - SK'!F:F),DATE(1966,6,6)))</f>
        <v>24264</v>
      </c>
      <c r="G501" s="3" t="s">
        <v>1899</v>
      </c>
      <c r="H501" s="2" t="s">
        <v>1899</v>
      </c>
      <c r="I501" s="19"/>
      <c r="J501" s="19"/>
      <c r="K501" s="19"/>
      <c r="L501" s="18"/>
    </row>
    <row r="502" spans="1:12" ht="18.75" customHeight="1" x14ac:dyDescent="0.2">
      <c r="A502" s="2" t="s">
        <v>5726</v>
      </c>
      <c r="B502" s="2">
        <v>24493</v>
      </c>
      <c r="C502" s="2">
        <v>5902557399116</v>
      </c>
      <c r="D502" s="4" t="s">
        <v>5727</v>
      </c>
      <c r="E502" s="3">
        <f t="array" aca="1" ref="E502" ca="1">IFERROR(_xludf.XLOOKUP(G502,'Rea - SK'!A:A,'Rea - SK'!E:E),0)+IFERROR(_xludf.XLOOKUP(H502,'Rea - SK'!A:A,'Rea - SK'!E:E),0)+IFERROR(_xludf.XLOOKUP(I502,'Rea - SK'!A:A,'Rea - SK'!E:E),0)+IFERROR(_xludf.XLOOKUP(J502,'Rea - SK'!A:A,'Rea - SK'!E:E),0)+IFERROR(_xludf.XLOOKUP(K502,'Rea - SK'!A:A,'Rea - SK'!E:E),0)</f>
        <v>0</v>
      </c>
      <c r="F502" s="11">
        <f t="array" aca="1" ref="F502" ca="1">MAX(IFERROR(_xludf.XLOOKUP(G502,'Rea - SK'!A:A,'Rea - SK'!F:F),DATE(1966,6,6)),IFERROR(_xludf.XLOOKUP(H502,'Rea - SK'!A:A,'Rea - SK'!F:F),DATE(1966,6,6)),IFERROR(_xludf.XLOOKUP(I502,'Rea - SK'!A:A,'Rea - SK'!F:F),DATE(1966,6,6)),IFERROR(_xludf.XLOOKUP(J502,'Rea - SK'!A:A,'Rea - SK'!F:F),DATE(1966,6,6)),IFERROR(_xludf.XLOOKUP(K502,'Rea - SK'!A:A,'Rea - SK'!F:F),DATE(1966,6,6)))</f>
        <v>24264</v>
      </c>
      <c r="G502" s="3" t="s">
        <v>1897</v>
      </c>
      <c r="H502" s="2" t="s">
        <v>1899</v>
      </c>
      <c r="I502" s="19"/>
      <c r="J502" s="19"/>
      <c r="K502" s="19"/>
      <c r="L502" s="18"/>
    </row>
    <row r="503" spans="1:12" ht="18.75" customHeight="1" x14ac:dyDescent="0.2">
      <c r="A503" s="2" t="s">
        <v>5728</v>
      </c>
      <c r="B503" s="2">
        <v>24492</v>
      </c>
      <c r="C503" s="2">
        <v>5902557399109</v>
      </c>
      <c r="D503" s="4" t="s">
        <v>5729</v>
      </c>
      <c r="E503" s="3">
        <f t="array" aca="1" ref="E503" ca="1">IFERROR(_xludf.XLOOKUP(G503,'Rea - SK'!A:A,'Rea - SK'!E:E),0)+IFERROR(_xludf.XLOOKUP(H503,'Rea - SK'!A:A,'Rea - SK'!E:E),0)+IFERROR(_xludf.XLOOKUP(I503,'Rea - SK'!A:A,'Rea - SK'!E:E),0)+IFERROR(_xludf.XLOOKUP(J503,'Rea - SK'!A:A,'Rea - SK'!E:E),0)+IFERROR(_xludf.XLOOKUP(K503,'Rea - SK'!A:A,'Rea - SK'!E:E),0)</f>
        <v>0</v>
      </c>
      <c r="F503" s="11">
        <f t="array" aca="1" ref="F503" ca="1">MAX(IFERROR(_xludf.XLOOKUP(G503,'Rea - SK'!A:A,'Rea - SK'!F:F),DATE(1966,6,6)),IFERROR(_xludf.XLOOKUP(H503,'Rea - SK'!A:A,'Rea - SK'!F:F),DATE(1966,6,6)),IFERROR(_xludf.XLOOKUP(I503,'Rea - SK'!A:A,'Rea - SK'!F:F),DATE(1966,6,6)),IFERROR(_xludf.XLOOKUP(J503,'Rea - SK'!A:A,'Rea - SK'!F:F),DATE(1966,6,6)),IFERROR(_xludf.XLOOKUP(K503,'Rea - SK'!A:A,'Rea - SK'!F:F),DATE(1966,6,6)))</f>
        <v>24264</v>
      </c>
      <c r="G503" s="3" t="s">
        <v>1897</v>
      </c>
      <c r="H503" s="2" t="s">
        <v>1897</v>
      </c>
      <c r="I503" s="19"/>
      <c r="J503" s="19"/>
      <c r="K503" s="19"/>
      <c r="L503" s="18"/>
    </row>
    <row r="504" spans="1:12" ht="18.75" customHeight="1" x14ac:dyDescent="0.2">
      <c r="A504" s="2" t="s">
        <v>5730</v>
      </c>
      <c r="B504" s="2">
        <v>24491</v>
      </c>
      <c r="C504" s="2">
        <v>5902557399093</v>
      </c>
      <c r="D504" s="4" t="s">
        <v>5731</v>
      </c>
      <c r="E504" s="3">
        <f t="array" aca="1" ref="E504" ca="1">IFERROR(_xludf.XLOOKUP(G504,'Rea - SK'!A:A,'Rea - SK'!E:E),0)+IFERROR(_xludf.XLOOKUP(H504,'Rea - SK'!A:A,'Rea - SK'!E:E),0)+IFERROR(_xludf.XLOOKUP(I504,'Rea - SK'!A:A,'Rea - SK'!E:E),0)+IFERROR(_xludf.XLOOKUP(J504,'Rea - SK'!A:A,'Rea - SK'!E:E),0)+IFERROR(_xludf.XLOOKUP(K504,'Rea - SK'!A:A,'Rea - SK'!E:E),0)</f>
        <v>0</v>
      </c>
      <c r="F504" s="11">
        <f t="array" aca="1" ref="F504" ca="1">MAX(IFERROR(_xludf.XLOOKUP(G504,'Rea - SK'!A:A,'Rea - SK'!F:F),DATE(1966,6,6)),IFERROR(_xludf.XLOOKUP(H504,'Rea - SK'!A:A,'Rea - SK'!F:F),DATE(1966,6,6)),IFERROR(_xludf.XLOOKUP(I504,'Rea - SK'!A:A,'Rea - SK'!F:F),DATE(1966,6,6)),IFERROR(_xludf.XLOOKUP(J504,'Rea - SK'!A:A,'Rea - SK'!F:F),DATE(1966,6,6)),IFERROR(_xludf.XLOOKUP(K504,'Rea - SK'!A:A,'Rea - SK'!F:F),DATE(1966,6,6)))</f>
        <v>24264</v>
      </c>
      <c r="G504" s="3" t="s">
        <v>1895</v>
      </c>
      <c r="H504" s="2" t="s">
        <v>1899</v>
      </c>
      <c r="I504" s="19"/>
      <c r="J504" s="19"/>
      <c r="K504" s="19"/>
      <c r="L504" s="18"/>
    </row>
    <row r="505" spans="1:12" ht="18.75" customHeight="1" x14ac:dyDescent="0.2">
      <c r="A505" s="2" t="s">
        <v>5732</v>
      </c>
      <c r="B505" s="2">
        <v>24490</v>
      </c>
      <c r="C505" s="2">
        <v>5902557399086</v>
      </c>
      <c r="D505" s="4" t="s">
        <v>5733</v>
      </c>
      <c r="E505" s="3">
        <f t="array" aca="1" ref="E505" ca="1">IFERROR(_xludf.XLOOKUP(G505,'Rea - SK'!A:A,'Rea - SK'!E:E),0)+IFERROR(_xludf.XLOOKUP(H505,'Rea - SK'!A:A,'Rea - SK'!E:E),0)+IFERROR(_xludf.XLOOKUP(I505,'Rea - SK'!A:A,'Rea - SK'!E:E),0)+IFERROR(_xludf.XLOOKUP(J505,'Rea - SK'!A:A,'Rea - SK'!E:E),0)+IFERROR(_xludf.XLOOKUP(K505,'Rea - SK'!A:A,'Rea - SK'!E:E),0)</f>
        <v>0</v>
      </c>
      <c r="F505" s="11">
        <f t="array" aca="1" ref="F505" ca="1">MAX(IFERROR(_xludf.XLOOKUP(G505,'Rea - SK'!A:A,'Rea - SK'!F:F),DATE(1966,6,6)),IFERROR(_xludf.XLOOKUP(H505,'Rea - SK'!A:A,'Rea - SK'!F:F),DATE(1966,6,6)),IFERROR(_xludf.XLOOKUP(I505,'Rea - SK'!A:A,'Rea - SK'!F:F),DATE(1966,6,6)),IFERROR(_xludf.XLOOKUP(J505,'Rea - SK'!A:A,'Rea - SK'!F:F),DATE(1966,6,6)),IFERROR(_xludf.XLOOKUP(K505,'Rea - SK'!A:A,'Rea - SK'!F:F),DATE(1966,6,6)))</f>
        <v>24264</v>
      </c>
      <c r="G505" s="3" t="s">
        <v>1895</v>
      </c>
      <c r="H505" s="2" t="s">
        <v>1897</v>
      </c>
      <c r="I505" s="19"/>
      <c r="J505" s="19"/>
      <c r="K505" s="19"/>
      <c r="L505" s="18"/>
    </row>
    <row r="506" spans="1:12" ht="18.75" customHeight="1" x14ac:dyDescent="0.2">
      <c r="A506" s="2" t="s">
        <v>5734</v>
      </c>
      <c r="B506" s="2">
        <v>24489</v>
      </c>
      <c r="C506" s="2">
        <v>5902557399079</v>
      </c>
      <c r="D506" s="4" t="s">
        <v>5735</v>
      </c>
      <c r="E506" s="3">
        <f t="array" aca="1" ref="E506" ca="1">IFERROR(_xludf.XLOOKUP(G506,'Rea - SK'!A:A,'Rea - SK'!E:E),0)+IFERROR(_xludf.XLOOKUP(H506,'Rea - SK'!A:A,'Rea - SK'!E:E),0)+IFERROR(_xludf.XLOOKUP(I506,'Rea - SK'!A:A,'Rea - SK'!E:E),0)+IFERROR(_xludf.XLOOKUP(J506,'Rea - SK'!A:A,'Rea - SK'!E:E),0)+IFERROR(_xludf.XLOOKUP(K506,'Rea - SK'!A:A,'Rea - SK'!E:E),0)</f>
        <v>0</v>
      </c>
      <c r="F506" s="11">
        <f t="array" aca="1" ref="F506" ca="1">MAX(IFERROR(_xludf.XLOOKUP(G506,'Rea - SK'!A:A,'Rea - SK'!F:F),DATE(1966,6,6)),IFERROR(_xludf.XLOOKUP(H506,'Rea - SK'!A:A,'Rea - SK'!F:F),DATE(1966,6,6)),IFERROR(_xludf.XLOOKUP(I506,'Rea - SK'!A:A,'Rea - SK'!F:F),DATE(1966,6,6)),IFERROR(_xludf.XLOOKUP(J506,'Rea - SK'!A:A,'Rea - SK'!F:F),DATE(1966,6,6)),IFERROR(_xludf.XLOOKUP(K506,'Rea - SK'!A:A,'Rea - SK'!F:F),DATE(1966,6,6)))</f>
        <v>24264</v>
      </c>
      <c r="G506" s="3" t="s">
        <v>1895</v>
      </c>
      <c r="H506" s="2" t="s">
        <v>1895</v>
      </c>
      <c r="I506" s="19"/>
      <c r="J506" s="19"/>
      <c r="K506" s="19"/>
      <c r="L506" s="18"/>
    </row>
    <row r="507" spans="1:12" ht="18.75" customHeight="1" x14ac:dyDescent="0.2">
      <c r="A507" s="2" t="s">
        <v>5736</v>
      </c>
      <c r="B507" s="2">
        <v>24488</v>
      </c>
      <c r="C507" s="2">
        <v>5902557399062</v>
      </c>
      <c r="D507" s="4" t="s">
        <v>5737</v>
      </c>
      <c r="E507" s="3">
        <f t="array" aca="1" ref="E507" ca="1">IFERROR(_xludf.XLOOKUP(G507,'Rea - SK'!A:A,'Rea - SK'!E:E),0)+IFERROR(_xludf.XLOOKUP(H507,'Rea - SK'!A:A,'Rea - SK'!E:E),0)+IFERROR(_xludf.XLOOKUP(I507,'Rea - SK'!A:A,'Rea - SK'!E:E),0)+IFERROR(_xludf.XLOOKUP(J507,'Rea - SK'!A:A,'Rea - SK'!E:E),0)+IFERROR(_xludf.XLOOKUP(K507,'Rea - SK'!A:A,'Rea - SK'!E:E),0)</f>
        <v>0</v>
      </c>
      <c r="F507" s="11">
        <f t="array" aca="1" ref="F507" ca="1">MAX(IFERROR(_xludf.XLOOKUP(G507,'Rea - SK'!A:A,'Rea - SK'!F:F),DATE(1966,6,6)),IFERROR(_xludf.XLOOKUP(H507,'Rea - SK'!A:A,'Rea - SK'!F:F),DATE(1966,6,6)),IFERROR(_xludf.XLOOKUP(I507,'Rea - SK'!A:A,'Rea - SK'!F:F),DATE(1966,6,6)),IFERROR(_xludf.XLOOKUP(J507,'Rea - SK'!A:A,'Rea - SK'!F:F),DATE(1966,6,6)),IFERROR(_xludf.XLOOKUP(K507,'Rea - SK'!A:A,'Rea - SK'!F:F),DATE(1966,6,6)))</f>
        <v>24264</v>
      </c>
      <c r="G507" s="3" t="s">
        <v>1905</v>
      </c>
      <c r="H507" s="2" t="s">
        <v>1899</v>
      </c>
      <c r="I507" s="19"/>
      <c r="J507" s="19"/>
      <c r="K507" s="19"/>
      <c r="L507" s="18"/>
    </row>
    <row r="508" spans="1:12" ht="18.75" customHeight="1" x14ac:dyDescent="0.2">
      <c r="A508" s="2" t="s">
        <v>5738</v>
      </c>
      <c r="B508" s="2">
        <v>24487</v>
      </c>
      <c r="C508" s="2">
        <v>5902557399055</v>
      </c>
      <c r="D508" s="4" t="s">
        <v>5739</v>
      </c>
      <c r="E508" s="3">
        <f t="array" aca="1" ref="E508" ca="1">IFERROR(_xludf.XLOOKUP(G508,'Rea - SK'!A:A,'Rea - SK'!E:E),0)+IFERROR(_xludf.XLOOKUP(H508,'Rea - SK'!A:A,'Rea - SK'!E:E),0)+IFERROR(_xludf.XLOOKUP(I508,'Rea - SK'!A:A,'Rea - SK'!E:E),0)+IFERROR(_xludf.XLOOKUP(J508,'Rea - SK'!A:A,'Rea - SK'!E:E),0)+IFERROR(_xludf.XLOOKUP(K508,'Rea - SK'!A:A,'Rea - SK'!E:E),0)</f>
        <v>0</v>
      </c>
      <c r="F508" s="11">
        <f t="array" aca="1" ref="F508" ca="1">MAX(IFERROR(_xludf.XLOOKUP(G508,'Rea - SK'!A:A,'Rea - SK'!F:F),DATE(1966,6,6)),IFERROR(_xludf.XLOOKUP(H508,'Rea - SK'!A:A,'Rea - SK'!F:F),DATE(1966,6,6)),IFERROR(_xludf.XLOOKUP(I508,'Rea - SK'!A:A,'Rea - SK'!F:F),DATE(1966,6,6)),IFERROR(_xludf.XLOOKUP(J508,'Rea - SK'!A:A,'Rea - SK'!F:F),DATE(1966,6,6)),IFERROR(_xludf.XLOOKUP(K508,'Rea - SK'!A:A,'Rea - SK'!F:F),DATE(1966,6,6)))</f>
        <v>24264</v>
      </c>
      <c r="G508" s="3" t="s">
        <v>1905</v>
      </c>
      <c r="H508" s="2" t="s">
        <v>1897</v>
      </c>
      <c r="I508" s="19"/>
      <c r="J508" s="19"/>
      <c r="K508" s="19"/>
      <c r="L508" s="18"/>
    </row>
    <row r="509" spans="1:12" ht="18.75" customHeight="1" x14ac:dyDescent="0.2">
      <c r="A509" s="2" t="s">
        <v>5740</v>
      </c>
      <c r="B509" s="2">
        <v>24486</v>
      </c>
      <c r="C509" s="2">
        <v>5902557399048</v>
      </c>
      <c r="D509" s="4" t="s">
        <v>5741</v>
      </c>
      <c r="E509" s="3">
        <f t="array" aca="1" ref="E509" ca="1">IFERROR(_xludf.XLOOKUP(G509,'Rea - SK'!A:A,'Rea - SK'!E:E),0)+IFERROR(_xludf.XLOOKUP(H509,'Rea - SK'!A:A,'Rea - SK'!E:E),0)+IFERROR(_xludf.XLOOKUP(I509,'Rea - SK'!A:A,'Rea - SK'!E:E),0)+IFERROR(_xludf.XLOOKUP(J509,'Rea - SK'!A:A,'Rea - SK'!E:E),0)+IFERROR(_xludf.XLOOKUP(K509,'Rea - SK'!A:A,'Rea - SK'!E:E),0)</f>
        <v>0</v>
      </c>
      <c r="F509" s="11">
        <f t="array" aca="1" ref="F509" ca="1">MAX(IFERROR(_xludf.XLOOKUP(G509,'Rea - SK'!A:A,'Rea - SK'!F:F),DATE(1966,6,6)),IFERROR(_xludf.XLOOKUP(H509,'Rea - SK'!A:A,'Rea - SK'!F:F),DATE(1966,6,6)),IFERROR(_xludf.XLOOKUP(I509,'Rea - SK'!A:A,'Rea - SK'!F:F),DATE(1966,6,6)),IFERROR(_xludf.XLOOKUP(J509,'Rea - SK'!A:A,'Rea - SK'!F:F),DATE(1966,6,6)),IFERROR(_xludf.XLOOKUP(K509,'Rea - SK'!A:A,'Rea - SK'!F:F),DATE(1966,6,6)))</f>
        <v>24264</v>
      </c>
      <c r="G509" s="3" t="s">
        <v>1905</v>
      </c>
      <c r="H509" s="2" t="s">
        <v>1895</v>
      </c>
      <c r="I509" s="19"/>
      <c r="J509" s="19"/>
      <c r="K509" s="19"/>
      <c r="L509" s="18"/>
    </row>
    <row r="510" spans="1:12" ht="18.75" customHeight="1" x14ac:dyDescent="0.2">
      <c r="A510" s="2" t="s">
        <v>5742</v>
      </c>
      <c r="B510" s="2">
        <v>24484</v>
      </c>
      <c r="C510" s="2">
        <v>5902557398942</v>
      </c>
      <c r="D510" s="4" t="s">
        <v>5743</v>
      </c>
      <c r="E510" s="3">
        <f t="array" aca="1" ref="E510" ca="1">IFERROR(_xludf.XLOOKUP(G510,'Rea - SK'!A:A,'Rea - SK'!E:E),0)+IFERROR(_xludf.XLOOKUP(H510,'Rea - SK'!A:A,'Rea - SK'!E:E),0)+IFERROR(_xludf.XLOOKUP(I510,'Rea - SK'!A:A,'Rea - SK'!E:E),0)+IFERROR(_xludf.XLOOKUP(J510,'Rea - SK'!A:A,'Rea - SK'!E:E),0)+IFERROR(_xludf.XLOOKUP(K510,'Rea - SK'!A:A,'Rea - SK'!E:E),0)</f>
        <v>0</v>
      </c>
      <c r="F510" s="11">
        <f t="array" aca="1" ref="F510" ca="1">MAX(IFERROR(_xludf.XLOOKUP(G510,'Rea - SK'!A:A,'Rea - SK'!F:F),DATE(1966,6,6)),IFERROR(_xludf.XLOOKUP(H510,'Rea - SK'!A:A,'Rea - SK'!F:F),DATE(1966,6,6)),IFERROR(_xludf.XLOOKUP(I510,'Rea - SK'!A:A,'Rea - SK'!F:F),DATE(1966,6,6)),IFERROR(_xludf.XLOOKUP(J510,'Rea - SK'!A:A,'Rea - SK'!F:F),DATE(1966,6,6)),IFERROR(_xludf.XLOOKUP(K510,'Rea - SK'!A:A,'Rea - SK'!F:F),DATE(1966,6,6)))</f>
        <v>24264</v>
      </c>
      <c r="G510" s="3" t="s">
        <v>1901</v>
      </c>
      <c r="H510" s="2" t="s">
        <v>1901</v>
      </c>
      <c r="I510" s="19"/>
      <c r="J510" s="19"/>
      <c r="K510" s="19"/>
      <c r="L510" s="18"/>
    </row>
    <row r="511" spans="1:12" ht="18.75" customHeight="1" x14ac:dyDescent="0.2">
      <c r="A511" s="2" t="s">
        <v>5744</v>
      </c>
      <c r="B511" s="2">
        <v>24483</v>
      </c>
      <c r="C511" s="2">
        <v>5902557399031</v>
      </c>
      <c r="D511" s="4" t="s">
        <v>5745</v>
      </c>
      <c r="E511" s="3">
        <f t="array" aca="1" ref="E511" ca="1">IFERROR(_xludf.XLOOKUP(G511,'Rea - SK'!A:A,'Rea - SK'!E:E),0)+IFERROR(_xludf.XLOOKUP(H511,'Rea - SK'!A:A,'Rea - SK'!E:E),0)+IFERROR(_xludf.XLOOKUP(I511,'Rea - SK'!A:A,'Rea - SK'!E:E),0)+IFERROR(_xludf.XLOOKUP(J511,'Rea - SK'!A:A,'Rea - SK'!E:E),0)+IFERROR(_xludf.XLOOKUP(K511,'Rea - SK'!A:A,'Rea - SK'!E:E),0)</f>
        <v>0</v>
      </c>
      <c r="F511" s="11">
        <f t="array" aca="1" ref="F511" ca="1">MAX(IFERROR(_xludf.XLOOKUP(G511,'Rea - SK'!A:A,'Rea - SK'!F:F),DATE(1966,6,6)),IFERROR(_xludf.XLOOKUP(H511,'Rea - SK'!A:A,'Rea - SK'!F:F),DATE(1966,6,6)),IFERROR(_xludf.XLOOKUP(I511,'Rea - SK'!A:A,'Rea - SK'!F:F),DATE(1966,6,6)),IFERROR(_xludf.XLOOKUP(J511,'Rea - SK'!A:A,'Rea - SK'!F:F),DATE(1966,6,6)),IFERROR(_xludf.XLOOKUP(K511,'Rea - SK'!A:A,'Rea - SK'!F:F),DATE(1966,6,6)))</f>
        <v>24264</v>
      </c>
      <c r="G511" s="3" t="s">
        <v>1903</v>
      </c>
      <c r="H511" s="2" t="s">
        <v>1899</v>
      </c>
      <c r="I511" s="19"/>
      <c r="J511" s="19"/>
      <c r="K511" s="19"/>
      <c r="L511" s="18"/>
    </row>
    <row r="512" spans="1:12" ht="18.75" customHeight="1" x14ac:dyDescent="0.2">
      <c r="A512" s="2" t="s">
        <v>5746</v>
      </c>
      <c r="B512" s="2">
        <v>24482</v>
      </c>
      <c r="C512" s="2">
        <v>5902557399024</v>
      </c>
      <c r="D512" s="4" t="s">
        <v>5747</v>
      </c>
      <c r="E512" s="3">
        <f t="array" aca="1" ref="E512" ca="1">IFERROR(_xludf.XLOOKUP(G512,'Rea - SK'!A:A,'Rea - SK'!E:E),0)+IFERROR(_xludf.XLOOKUP(H512,'Rea - SK'!A:A,'Rea - SK'!E:E),0)+IFERROR(_xludf.XLOOKUP(I512,'Rea - SK'!A:A,'Rea - SK'!E:E),0)+IFERROR(_xludf.XLOOKUP(J512,'Rea - SK'!A:A,'Rea - SK'!E:E),0)+IFERROR(_xludf.XLOOKUP(K512,'Rea - SK'!A:A,'Rea - SK'!E:E),0)</f>
        <v>0</v>
      </c>
      <c r="F512" s="11">
        <f t="array" aca="1" ref="F512" ca="1">MAX(IFERROR(_xludf.XLOOKUP(G512,'Rea - SK'!A:A,'Rea - SK'!F:F),DATE(1966,6,6)),IFERROR(_xludf.XLOOKUP(H512,'Rea - SK'!A:A,'Rea - SK'!F:F),DATE(1966,6,6)),IFERROR(_xludf.XLOOKUP(I512,'Rea - SK'!A:A,'Rea - SK'!F:F),DATE(1966,6,6)),IFERROR(_xludf.XLOOKUP(J512,'Rea - SK'!A:A,'Rea - SK'!F:F),DATE(1966,6,6)),IFERROR(_xludf.XLOOKUP(K512,'Rea - SK'!A:A,'Rea - SK'!F:F),DATE(1966,6,6)))</f>
        <v>24264</v>
      </c>
      <c r="G512" s="3" t="s">
        <v>1903</v>
      </c>
      <c r="H512" s="2" t="s">
        <v>1897</v>
      </c>
      <c r="I512" s="19"/>
      <c r="J512" s="19"/>
      <c r="K512" s="19"/>
      <c r="L512" s="18"/>
    </row>
    <row r="513" spans="1:12" ht="18.75" customHeight="1" x14ac:dyDescent="0.2">
      <c r="A513" s="2" t="s">
        <v>5748</v>
      </c>
      <c r="B513" s="2">
        <v>24481</v>
      </c>
      <c r="C513" s="2">
        <v>5902557399017</v>
      </c>
      <c r="D513" s="4" t="s">
        <v>5749</v>
      </c>
      <c r="E513" s="3">
        <f t="array" aca="1" ref="E513" ca="1">IFERROR(_xludf.XLOOKUP(G513,'Rea - SK'!A:A,'Rea - SK'!E:E),0)+IFERROR(_xludf.XLOOKUP(H513,'Rea - SK'!A:A,'Rea - SK'!E:E),0)+IFERROR(_xludf.XLOOKUP(I513,'Rea - SK'!A:A,'Rea - SK'!E:E),0)+IFERROR(_xludf.XLOOKUP(J513,'Rea - SK'!A:A,'Rea - SK'!E:E),0)+IFERROR(_xludf.XLOOKUP(K513,'Rea - SK'!A:A,'Rea - SK'!E:E),0)</f>
        <v>0</v>
      </c>
      <c r="F513" s="11">
        <f t="array" aca="1" ref="F513" ca="1">MAX(IFERROR(_xludf.XLOOKUP(G513,'Rea - SK'!A:A,'Rea - SK'!F:F),DATE(1966,6,6)),IFERROR(_xludf.XLOOKUP(H513,'Rea - SK'!A:A,'Rea - SK'!F:F),DATE(1966,6,6)),IFERROR(_xludf.XLOOKUP(I513,'Rea - SK'!A:A,'Rea - SK'!F:F),DATE(1966,6,6)),IFERROR(_xludf.XLOOKUP(J513,'Rea - SK'!A:A,'Rea - SK'!F:F),DATE(1966,6,6)),IFERROR(_xludf.XLOOKUP(K513,'Rea - SK'!A:A,'Rea - SK'!F:F),DATE(1966,6,6)))</f>
        <v>24264</v>
      </c>
      <c r="G513" s="3" t="s">
        <v>1903</v>
      </c>
      <c r="H513" s="2" t="s">
        <v>1895</v>
      </c>
      <c r="I513" s="19"/>
      <c r="J513" s="19"/>
      <c r="K513" s="19"/>
      <c r="L513" s="18"/>
    </row>
    <row r="514" spans="1:12" ht="18.75" customHeight="1" x14ac:dyDescent="0.2">
      <c r="A514" s="2" t="s">
        <v>5750</v>
      </c>
      <c r="B514" s="2">
        <v>24480</v>
      </c>
      <c r="C514" s="2">
        <v>5902557398980</v>
      </c>
      <c r="D514" s="4" t="s">
        <v>5751</v>
      </c>
      <c r="E514" s="3">
        <f t="array" aca="1" ref="E514" ca="1">IFERROR(_xludf.XLOOKUP(G514,'Rea - SK'!A:A,'Rea - SK'!E:E),0)+IFERROR(_xludf.XLOOKUP(H514,'Rea - SK'!A:A,'Rea - SK'!E:E),0)+IFERROR(_xludf.XLOOKUP(I514,'Rea - SK'!A:A,'Rea - SK'!E:E),0)+IFERROR(_xludf.XLOOKUP(J514,'Rea - SK'!A:A,'Rea - SK'!E:E),0)+IFERROR(_xludf.XLOOKUP(K514,'Rea - SK'!A:A,'Rea - SK'!E:E),0)</f>
        <v>0</v>
      </c>
      <c r="F514" s="11">
        <f t="array" aca="1" ref="F514" ca="1">MAX(IFERROR(_xludf.XLOOKUP(G514,'Rea - SK'!A:A,'Rea - SK'!F:F),DATE(1966,6,6)),IFERROR(_xludf.XLOOKUP(H514,'Rea - SK'!A:A,'Rea - SK'!F:F),DATE(1966,6,6)),IFERROR(_xludf.XLOOKUP(I514,'Rea - SK'!A:A,'Rea - SK'!F:F),DATE(1966,6,6)),IFERROR(_xludf.XLOOKUP(J514,'Rea - SK'!A:A,'Rea - SK'!F:F),DATE(1966,6,6)),IFERROR(_xludf.XLOOKUP(K514,'Rea - SK'!A:A,'Rea - SK'!F:F),DATE(1966,6,6)))</f>
        <v>24264</v>
      </c>
      <c r="G514" s="3" t="s">
        <v>1903</v>
      </c>
      <c r="H514" s="2" t="s">
        <v>1905</v>
      </c>
      <c r="I514" s="19"/>
      <c r="J514" s="19"/>
      <c r="K514" s="19"/>
      <c r="L514" s="18"/>
    </row>
    <row r="515" spans="1:12" ht="18.75" customHeight="1" x14ac:dyDescent="0.2">
      <c r="A515" s="16" t="s">
        <v>5752</v>
      </c>
      <c r="B515" s="2">
        <v>24479</v>
      </c>
      <c r="C515" s="2">
        <v>5906366007125</v>
      </c>
      <c r="D515" s="4" t="s">
        <v>5753</v>
      </c>
      <c r="E515" s="3">
        <f t="array" aca="1" ref="E515" ca="1">IFERROR(_xludf.XLOOKUP(G515,'Rea - SK'!A:A,'Rea - SK'!E:E),0)+IFERROR(_xludf.XLOOKUP(H515,'Rea - SK'!A:A,'Rea - SK'!E:E),0)+IFERROR(_xludf.XLOOKUP(I515,'Rea - SK'!A:A,'Rea - SK'!E:E),0)+IFERROR(_xludf.XLOOKUP(J515,'Rea - SK'!A:A,'Rea - SK'!E:E),0)+IFERROR(_xludf.XLOOKUP(K515,'Rea - SK'!A:A,'Rea - SK'!E:E),0)</f>
        <v>0</v>
      </c>
      <c r="F515" s="11">
        <f t="array" aca="1" ref="F515" ca="1">MAX(IFERROR(_xludf.XLOOKUP(G515,'Rea - SK'!A:A,'Rea - SK'!F:F),DATE(1966,6,6)),IFERROR(_xludf.XLOOKUP(H515,'Rea - SK'!A:A,'Rea - SK'!F:F),DATE(1966,6,6)),IFERROR(_xludf.XLOOKUP(I515,'Rea - SK'!A:A,'Rea - SK'!F:F),DATE(1966,6,6)),IFERROR(_xludf.XLOOKUP(J515,'Rea - SK'!A:A,'Rea - SK'!F:F),DATE(1966,6,6)),IFERROR(_xludf.XLOOKUP(K515,'Rea - SK'!A:A,'Rea - SK'!F:F),DATE(1966,6,6)))</f>
        <v>24264</v>
      </c>
      <c r="G515" s="2" t="s">
        <v>1903</v>
      </c>
      <c r="H515" s="2" t="s">
        <v>1903</v>
      </c>
      <c r="I515" s="19"/>
      <c r="J515" s="19"/>
      <c r="K515" s="19"/>
      <c r="L515" s="18"/>
    </row>
    <row r="516" spans="1:12" ht="18.75" customHeight="1" x14ac:dyDescent="0.2">
      <c r="A516" s="2" t="s">
        <v>5754</v>
      </c>
      <c r="B516" s="2">
        <v>24478</v>
      </c>
      <c r="C516" s="2">
        <v>5902557399000</v>
      </c>
      <c r="D516" s="4" t="s">
        <v>5755</v>
      </c>
      <c r="E516" s="3">
        <f t="array" aca="1" ref="E516" ca="1">IFERROR(_xludf.XLOOKUP(G516,'Rea - SK'!A:A,'Rea - SK'!E:E),0)+IFERROR(_xludf.XLOOKUP(H516,'Rea - SK'!A:A,'Rea - SK'!E:E),0)+IFERROR(_xludf.XLOOKUP(I516,'Rea - SK'!A:A,'Rea - SK'!E:E),0)+IFERROR(_xludf.XLOOKUP(J516,'Rea - SK'!A:A,'Rea - SK'!E:E),0)+IFERROR(_xludf.XLOOKUP(K516,'Rea - SK'!A:A,'Rea - SK'!E:E),0)</f>
        <v>0</v>
      </c>
      <c r="F516" s="11">
        <f t="array" aca="1" ref="F516" ca="1">MAX(IFERROR(_xludf.XLOOKUP(G516,'Rea - SK'!A:A,'Rea - SK'!F:F),DATE(1966,6,6)),IFERROR(_xludf.XLOOKUP(H516,'Rea - SK'!A:A,'Rea - SK'!F:F),DATE(1966,6,6)),IFERROR(_xludf.XLOOKUP(I516,'Rea - SK'!A:A,'Rea - SK'!F:F),DATE(1966,6,6)),IFERROR(_xludf.XLOOKUP(J516,'Rea - SK'!A:A,'Rea - SK'!F:F),DATE(1966,6,6)),IFERROR(_xludf.XLOOKUP(K516,'Rea - SK'!A:A,'Rea - SK'!F:F),DATE(1966,6,6)))</f>
        <v>24264</v>
      </c>
      <c r="G516" s="3" t="s">
        <v>1901</v>
      </c>
      <c r="H516" s="2" t="s">
        <v>1899</v>
      </c>
      <c r="I516" s="19"/>
      <c r="J516" s="19"/>
      <c r="K516" s="19"/>
      <c r="L516" s="18"/>
    </row>
    <row r="517" spans="1:12" ht="18.75" customHeight="1" x14ac:dyDescent="0.2">
      <c r="A517" s="2" t="s">
        <v>5756</v>
      </c>
      <c r="B517" s="2">
        <v>24477</v>
      </c>
      <c r="C517" s="2">
        <v>5902557398997</v>
      </c>
      <c r="D517" s="4" t="s">
        <v>5757</v>
      </c>
      <c r="E517" s="3">
        <f t="array" aca="1" ref="E517" ca="1">IFERROR(_xludf.XLOOKUP(G517,'Rea - SK'!A:A,'Rea - SK'!E:E),0)+IFERROR(_xludf.XLOOKUP(H517,'Rea - SK'!A:A,'Rea - SK'!E:E),0)+IFERROR(_xludf.XLOOKUP(I517,'Rea - SK'!A:A,'Rea - SK'!E:E),0)+IFERROR(_xludf.XLOOKUP(J517,'Rea - SK'!A:A,'Rea - SK'!E:E),0)+IFERROR(_xludf.XLOOKUP(K517,'Rea - SK'!A:A,'Rea - SK'!E:E),0)</f>
        <v>0</v>
      </c>
      <c r="F517" s="11">
        <f t="array" aca="1" ref="F517" ca="1">MAX(IFERROR(_xludf.XLOOKUP(G517,'Rea - SK'!A:A,'Rea - SK'!F:F),DATE(1966,6,6)),IFERROR(_xludf.XLOOKUP(H517,'Rea - SK'!A:A,'Rea - SK'!F:F),DATE(1966,6,6)),IFERROR(_xludf.XLOOKUP(I517,'Rea - SK'!A:A,'Rea - SK'!F:F),DATE(1966,6,6)),IFERROR(_xludf.XLOOKUP(J517,'Rea - SK'!A:A,'Rea - SK'!F:F),DATE(1966,6,6)),IFERROR(_xludf.XLOOKUP(K517,'Rea - SK'!A:A,'Rea - SK'!F:F),DATE(1966,6,6)))</f>
        <v>24264</v>
      </c>
      <c r="G517" s="3" t="s">
        <v>1901</v>
      </c>
      <c r="H517" s="2" t="s">
        <v>1897</v>
      </c>
      <c r="I517" s="19"/>
      <c r="J517" s="19"/>
      <c r="K517" s="19"/>
      <c r="L517" s="18"/>
    </row>
    <row r="518" spans="1:12" ht="18.75" customHeight="1" x14ac:dyDescent="0.2">
      <c r="A518" s="2" t="s">
        <v>5758</v>
      </c>
      <c r="B518" s="2">
        <v>24476</v>
      </c>
      <c r="C518" s="2">
        <v>5902557398973</v>
      </c>
      <c r="D518" s="4" t="s">
        <v>5759</v>
      </c>
      <c r="E518" s="3">
        <f t="array" aca="1" ref="E518" ca="1">IFERROR(_xludf.XLOOKUP(G518,'Rea - SK'!A:A,'Rea - SK'!E:E),0)+IFERROR(_xludf.XLOOKUP(H518,'Rea - SK'!A:A,'Rea - SK'!E:E),0)+IFERROR(_xludf.XLOOKUP(I518,'Rea - SK'!A:A,'Rea - SK'!E:E),0)+IFERROR(_xludf.XLOOKUP(J518,'Rea - SK'!A:A,'Rea - SK'!E:E),0)+IFERROR(_xludf.XLOOKUP(K518,'Rea - SK'!A:A,'Rea - SK'!E:E),0)</f>
        <v>0</v>
      </c>
      <c r="F518" s="11">
        <f t="array" aca="1" ref="F518" ca="1">MAX(IFERROR(_xludf.XLOOKUP(G518,'Rea - SK'!A:A,'Rea - SK'!F:F),DATE(1966,6,6)),IFERROR(_xludf.XLOOKUP(H518,'Rea - SK'!A:A,'Rea - SK'!F:F),DATE(1966,6,6)),IFERROR(_xludf.XLOOKUP(I518,'Rea - SK'!A:A,'Rea - SK'!F:F),DATE(1966,6,6)),IFERROR(_xludf.XLOOKUP(J518,'Rea - SK'!A:A,'Rea - SK'!F:F),DATE(1966,6,6)),IFERROR(_xludf.XLOOKUP(K518,'Rea - SK'!A:A,'Rea - SK'!F:F),DATE(1966,6,6)))</f>
        <v>24264</v>
      </c>
      <c r="G518" s="3" t="s">
        <v>1901</v>
      </c>
      <c r="H518" s="2" t="s">
        <v>1895</v>
      </c>
      <c r="I518" s="19"/>
      <c r="J518" s="19"/>
      <c r="K518" s="19"/>
      <c r="L518" s="18"/>
    </row>
    <row r="519" spans="1:12" ht="18.75" customHeight="1" x14ac:dyDescent="0.2">
      <c r="A519" s="2" t="s">
        <v>5760</v>
      </c>
      <c r="B519" s="2">
        <v>24475</v>
      </c>
      <c r="C519" s="2">
        <v>5902557398966</v>
      </c>
      <c r="D519" s="4" t="s">
        <v>5761</v>
      </c>
      <c r="E519" s="3">
        <f t="array" aca="1" ref="E519" ca="1">IFERROR(_xludf.XLOOKUP(G519,'Rea - SK'!A:A,'Rea - SK'!E:E),0)+IFERROR(_xludf.XLOOKUP(H519,'Rea - SK'!A:A,'Rea - SK'!E:E),0)+IFERROR(_xludf.XLOOKUP(I519,'Rea - SK'!A:A,'Rea - SK'!E:E),0)+IFERROR(_xludf.XLOOKUP(J519,'Rea - SK'!A:A,'Rea - SK'!E:E),0)+IFERROR(_xludf.XLOOKUP(K519,'Rea - SK'!A:A,'Rea - SK'!E:E),0)</f>
        <v>0</v>
      </c>
      <c r="F519" s="11">
        <f t="array" aca="1" ref="F519" ca="1">MAX(IFERROR(_xludf.XLOOKUP(G519,'Rea - SK'!A:A,'Rea - SK'!F:F),DATE(1966,6,6)),IFERROR(_xludf.XLOOKUP(H519,'Rea - SK'!A:A,'Rea - SK'!F:F),DATE(1966,6,6)),IFERROR(_xludf.XLOOKUP(I519,'Rea - SK'!A:A,'Rea - SK'!F:F),DATE(1966,6,6)),IFERROR(_xludf.XLOOKUP(J519,'Rea - SK'!A:A,'Rea - SK'!F:F),DATE(1966,6,6)),IFERROR(_xludf.XLOOKUP(K519,'Rea - SK'!A:A,'Rea - SK'!F:F),DATE(1966,6,6)))</f>
        <v>24264</v>
      </c>
      <c r="G519" s="3" t="s">
        <v>1901</v>
      </c>
      <c r="H519" s="2" t="s">
        <v>1905</v>
      </c>
      <c r="I519" s="19"/>
      <c r="J519" s="19"/>
      <c r="K519" s="19"/>
      <c r="L519" s="18"/>
    </row>
    <row r="520" spans="1:12" ht="18.75" customHeight="1" x14ac:dyDescent="0.2">
      <c r="A520" s="2" t="s">
        <v>5762</v>
      </c>
      <c r="B520" s="2">
        <v>24474</v>
      </c>
      <c r="C520" s="2">
        <v>5902557398959</v>
      </c>
      <c r="D520" s="4" t="s">
        <v>5763</v>
      </c>
      <c r="E520" s="3">
        <f t="array" aca="1" ref="E520" ca="1">IFERROR(_xludf.XLOOKUP(G520,'Rea - SK'!A:A,'Rea - SK'!E:E),0)+IFERROR(_xludf.XLOOKUP(H520,'Rea - SK'!A:A,'Rea - SK'!E:E),0)+IFERROR(_xludf.XLOOKUP(I520,'Rea - SK'!A:A,'Rea - SK'!E:E),0)+IFERROR(_xludf.XLOOKUP(J520,'Rea - SK'!A:A,'Rea - SK'!E:E),0)+IFERROR(_xludf.XLOOKUP(K520,'Rea - SK'!A:A,'Rea - SK'!E:E),0)</f>
        <v>0</v>
      </c>
      <c r="F520" s="11">
        <f t="array" aca="1" ref="F520" ca="1">MAX(IFERROR(_xludf.XLOOKUP(G520,'Rea - SK'!A:A,'Rea - SK'!F:F),DATE(1966,6,6)),IFERROR(_xludf.XLOOKUP(H520,'Rea - SK'!A:A,'Rea - SK'!F:F),DATE(1966,6,6)),IFERROR(_xludf.XLOOKUP(I520,'Rea - SK'!A:A,'Rea - SK'!F:F),DATE(1966,6,6)),IFERROR(_xludf.XLOOKUP(J520,'Rea - SK'!A:A,'Rea - SK'!F:F),DATE(1966,6,6)),IFERROR(_xludf.XLOOKUP(K520,'Rea - SK'!A:A,'Rea - SK'!F:F),DATE(1966,6,6)))</f>
        <v>24264</v>
      </c>
      <c r="G520" s="3" t="s">
        <v>1901</v>
      </c>
      <c r="H520" s="2" t="s">
        <v>1903</v>
      </c>
      <c r="I520" s="19"/>
      <c r="J520" s="19"/>
      <c r="K520" s="19"/>
      <c r="L520" s="18"/>
    </row>
    <row r="521" spans="1:12" ht="18.75" customHeight="1" x14ac:dyDescent="0.2">
      <c r="A521" s="2" t="s">
        <v>5764</v>
      </c>
      <c r="B521" s="2">
        <v>17366</v>
      </c>
      <c r="C521" s="2">
        <v>5902557396139</v>
      </c>
      <c r="D521" s="4" t="s">
        <v>5765</v>
      </c>
      <c r="E521" s="3">
        <f t="array" aca="1" ref="E521" ca="1">IFERROR(_xludf.XLOOKUP(G521,'Rea - SK'!A:A,'Rea - SK'!E:E),0)+IFERROR(_xludf.XLOOKUP(H521,'Rea - SK'!A:A,'Rea - SK'!E:E),0)+IFERROR(_xludf.XLOOKUP(I521,'Rea - SK'!A:A,'Rea - SK'!E:E),0)+IFERROR(_xludf.XLOOKUP(J521,'Rea - SK'!A:A,'Rea - SK'!E:E),0)+IFERROR(_xludf.XLOOKUP(K521,'Rea - SK'!A:A,'Rea - SK'!E:E),0)</f>
        <v>0</v>
      </c>
      <c r="F521" s="11">
        <f t="array" aca="1" ref="F521" ca="1">MAX(IFERROR(_xludf.XLOOKUP(G521,'Rea - SK'!A:A,'Rea - SK'!F:F),DATE(1966,6,6)),IFERROR(_xludf.XLOOKUP(H521,'Rea - SK'!A:A,'Rea - SK'!F:F),DATE(1966,6,6)),IFERROR(_xludf.XLOOKUP(I521,'Rea - SK'!A:A,'Rea - SK'!F:F),DATE(1966,6,6)),IFERROR(_xludf.XLOOKUP(J521,'Rea - SK'!A:A,'Rea - SK'!F:F),DATE(1966,6,6)),IFERROR(_xludf.XLOOKUP(K521,'Rea - SK'!A:A,'Rea - SK'!F:F),DATE(1966,6,6)))</f>
        <v>24264</v>
      </c>
      <c r="G521" s="2" t="s">
        <v>2403</v>
      </c>
      <c r="H521" s="2" t="s">
        <v>2355</v>
      </c>
      <c r="I521" s="19"/>
      <c r="J521" s="19"/>
      <c r="K521" s="19"/>
      <c r="L521" s="18"/>
    </row>
    <row r="522" spans="1:12" ht="18.75" customHeight="1" x14ac:dyDescent="0.2">
      <c r="A522" s="2" t="s">
        <v>5766</v>
      </c>
      <c r="B522" s="2">
        <v>17354</v>
      </c>
      <c r="C522" s="2">
        <v>5902557396153</v>
      </c>
      <c r="D522" s="4" t="s">
        <v>5767</v>
      </c>
      <c r="E522" s="3">
        <f t="array" aca="1" ref="E522" ca="1">IFERROR(_xludf.XLOOKUP(G522,'Rea - SK'!A:A,'Rea - SK'!E:E),0)+IFERROR(_xludf.XLOOKUP(H522,'Rea - SK'!A:A,'Rea - SK'!E:E),0)+IFERROR(_xludf.XLOOKUP(I522,'Rea - SK'!A:A,'Rea - SK'!E:E),0)+IFERROR(_xludf.XLOOKUP(J522,'Rea - SK'!A:A,'Rea - SK'!E:E),0)+IFERROR(_xludf.XLOOKUP(K522,'Rea - SK'!A:A,'Rea - SK'!E:E),0)</f>
        <v>0</v>
      </c>
      <c r="F522" s="11">
        <f t="array" aca="1" ref="F522" ca="1">MAX(IFERROR(_xludf.XLOOKUP(G522,'Rea - SK'!A:A,'Rea - SK'!F:F),DATE(1966,6,6)),IFERROR(_xludf.XLOOKUP(H522,'Rea - SK'!A:A,'Rea - SK'!F:F),DATE(1966,6,6)),IFERROR(_xludf.XLOOKUP(I522,'Rea - SK'!A:A,'Rea - SK'!F:F),DATE(1966,6,6)),IFERROR(_xludf.XLOOKUP(J522,'Rea - SK'!A:A,'Rea - SK'!F:F),DATE(1966,6,6)),IFERROR(_xludf.XLOOKUP(K522,'Rea - SK'!A:A,'Rea - SK'!F:F),DATE(1966,6,6)))</f>
        <v>24264</v>
      </c>
      <c r="G522" s="2" t="s">
        <v>2403</v>
      </c>
      <c r="H522" s="2" t="s">
        <v>2347</v>
      </c>
      <c r="I522" s="19"/>
      <c r="J522" s="19"/>
      <c r="K522" s="19"/>
      <c r="L522" s="18"/>
    </row>
    <row r="523" spans="1:12" ht="18.75" customHeight="1" x14ac:dyDescent="0.2">
      <c r="A523" s="2" t="s">
        <v>5768</v>
      </c>
      <c r="B523" s="2"/>
      <c r="C523" s="2">
        <v>5906366012945</v>
      </c>
      <c r="D523" s="4" t="s">
        <v>5769</v>
      </c>
      <c r="E523" s="3">
        <f t="array" aca="1" ref="E523" ca="1">IFERROR(_xludf.XLOOKUP(G523,'Rea - SK'!A:A,'Rea - SK'!E:E),0)+IFERROR(_xludf.XLOOKUP(H523,'Rea - SK'!A:A,'Rea - SK'!E:E),0)+IFERROR(_xludf.XLOOKUP(I523,'Rea - SK'!A:A,'Rea - SK'!E:E),0)+IFERROR(_xludf.XLOOKUP(J523,'Rea - SK'!A:A,'Rea - SK'!E:E),0)+IFERROR(_xludf.XLOOKUP(K523,'Rea - SK'!A:A,'Rea - SK'!E:E),0)</f>
        <v>0</v>
      </c>
      <c r="F523" s="11">
        <f t="array" aca="1" ref="F523" ca="1">MAX(IFERROR(_xludf.XLOOKUP(G523,'Rea - SK'!A:A,'Rea - SK'!F:F),DATE(1966,6,6)),IFERROR(_xludf.XLOOKUP(H523,'Rea - SK'!A:A,'Rea - SK'!F:F),DATE(1966,6,6)),IFERROR(_xludf.XLOOKUP(I523,'Rea - SK'!A:A,'Rea - SK'!F:F),DATE(1966,6,6)),IFERROR(_xludf.XLOOKUP(J523,'Rea - SK'!A:A,'Rea - SK'!F:F),DATE(1966,6,6)),IFERROR(_xludf.XLOOKUP(K523,'Rea - SK'!A:A,'Rea - SK'!F:F),DATE(1966,6,6)))</f>
        <v>24264</v>
      </c>
      <c r="G523" s="2" t="s">
        <v>3696</v>
      </c>
      <c r="H523" s="2" t="s">
        <v>1793</v>
      </c>
      <c r="I523" s="19"/>
      <c r="J523" s="19"/>
      <c r="K523" s="19"/>
      <c r="L523" s="18"/>
    </row>
  </sheetData>
  <autoFilter ref="A1:L523" xr:uid="{00000000-0009-0000-0000-000002000000}"/>
  <conditionalFormatting sqref="A2:F523">
    <cfRule type="expression" dxfId="1" priority="1">
      <formula>$F2=MAX($F$2:$F523)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01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9.5" customWidth="1"/>
    <col min="2" max="2" width="12.625" customWidth="1"/>
    <col min="3" max="3" width="15.125" customWidth="1"/>
    <col min="4" max="4" width="70.125" customWidth="1"/>
    <col min="5" max="6" width="12.625" customWidth="1"/>
    <col min="7" max="7" width="5.125" customWidth="1"/>
  </cols>
  <sheetData>
    <row r="1" spans="1:7" ht="15.75" x14ac:dyDescent="0.2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6" t="s">
        <v>6</v>
      </c>
    </row>
    <row r="2" spans="1:7" ht="18.75" customHeight="1" x14ac:dyDescent="0.2">
      <c r="A2" s="8" t="s">
        <v>5770</v>
      </c>
      <c r="B2" s="9">
        <v>49518</v>
      </c>
      <c r="C2" s="9">
        <v>5902557384075</v>
      </c>
      <c r="D2" s="10" t="s">
        <v>5771</v>
      </c>
      <c r="E2" s="9">
        <f ca="1">IFERROR(__xludf.DUMMYFUNCTION("MROUND(XLOOKUP(A2,PL!E:E,PL!D:D)*1.4/SUBSTITUTE(importxml(""http://api.nbp.pl/api/exchangerates/rates/a/eur/""&amp;to_text(XLOOKUP(A2,PL!E:E,PL!A:A))&amp;""/?format=xml"",""//Mid""),""."","",""),5)"),15)</f>
        <v>15</v>
      </c>
      <c r="F2" s="11" t="e">
        <f t="array" aca="1" ref="F2" ca="1">_xludf.XLOOKUP(A2,PL!E:E,PL!A:A)</f>
        <v>#NAME?</v>
      </c>
      <c r="G2" s="8"/>
    </row>
    <row r="3" spans="1:7" ht="18.75" customHeight="1" x14ac:dyDescent="0.2">
      <c r="A3" s="8" t="s">
        <v>5772</v>
      </c>
      <c r="B3" s="9">
        <v>49543</v>
      </c>
      <c r="C3" s="9">
        <v>5902557384280</v>
      </c>
      <c r="D3" s="10" t="s">
        <v>5773</v>
      </c>
      <c r="E3" s="9">
        <f ca="1">IFERROR(__xludf.DUMMYFUNCTION("MROUND(XLOOKUP(A3,PL!E:E,PL!D:D)*1.4/SUBSTITUTE(importxml(""http://api.nbp.pl/api/exchangerates/rates/a/eur/""&amp;to_text(XLOOKUP(A3,PL!E:E,PL!A:A))&amp;""/?format=xml"",""//Mid""),""."","",""),5)"),20)</f>
        <v>20</v>
      </c>
      <c r="F3" s="11" t="e">
        <f t="array" aca="1" ref="F3" ca="1">_xludf.XLOOKUP(A3,PL!E:E,PL!A:A)</f>
        <v>#NAME?</v>
      </c>
      <c r="G3" s="8"/>
    </row>
    <row r="4" spans="1:7" ht="18.75" customHeight="1" x14ac:dyDescent="0.2">
      <c r="A4" s="8" t="s">
        <v>5774</v>
      </c>
      <c r="B4" s="9">
        <v>49526</v>
      </c>
      <c r="C4" s="9">
        <v>5902557384150</v>
      </c>
      <c r="D4" s="10" t="s">
        <v>5775</v>
      </c>
      <c r="E4" s="9">
        <f ca="1">IFERROR(__xludf.DUMMYFUNCTION("MROUND(XLOOKUP(A4,PL!E:E,PL!D:D)*1.4/SUBSTITUTE(importxml(""http://api.nbp.pl/api/exchangerates/rates/a/eur/""&amp;to_text(XLOOKUP(A4,PL!E:E,PL!A:A))&amp;""/?format=xml"",""//Mid""),""."","",""),5)"),10)</f>
        <v>10</v>
      </c>
      <c r="F4" s="11" t="e">
        <f t="array" aca="1" ref="F4" ca="1">_xludf.XLOOKUP(A4,PL!E:E,PL!A:A)</f>
        <v>#NAME?</v>
      </c>
      <c r="G4" s="8"/>
    </row>
    <row r="5" spans="1:7" ht="18.75" customHeight="1" x14ac:dyDescent="0.2">
      <c r="A5" s="8" t="s">
        <v>5776</v>
      </c>
      <c r="B5" s="9">
        <v>43679</v>
      </c>
      <c r="C5" s="9">
        <v>5902557371570</v>
      </c>
      <c r="D5" s="10" t="s">
        <v>5777</v>
      </c>
      <c r="E5" s="9">
        <f ca="1">IFERROR(__xludf.DUMMYFUNCTION("MROUND(XLOOKUP(A5,PL!E:E,PL!D:D)*1.4/SUBSTITUTE(importxml(""http://api.nbp.pl/api/exchangerates/rates/a/eur/""&amp;to_text(XLOOKUP(A5,PL!E:E,PL!A:A))&amp;""/?format=xml"",""//Mid""),""."","",""),5)"),15)</f>
        <v>15</v>
      </c>
      <c r="F5" s="11" t="e">
        <f t="array" aca="1" ref="F5" ca="1">_xludf.XLOOKUP(A5,PL!E:E,PL!A:A)</f>
        <v>#NAME?</v>
      </c>
      <c r="G5" s="8"/>
    </row>
    <row r="6" spans="1:7" ht="18.75" customHeight="1" x14ac:dyDescent="0.2">
      <c r="A6" s="8" t="s">
        <v>5778</v>
      </c>
      <c r="B6" s="9">
        <v>49690</v>
      </c>
      <c r="C6" s="9">
        <v>5902557385119</v>
      </c>
      <c r="D6" s="10" t="s">
        <v>5779</v>
      </c>
      <c r="E6" s="9">
        <f ca="1">IFERROR(__xludf.DUMMYFUNCTION("MROUND(XLOOKUP(A6,PL!E:E,PL!D:D)*1.4/SUBSTITUTE(importxml(""http://api.nbp.pl/api/exchangerates/rates/a/eur/""&amp;to_text(XLOOKUP(A6,PL!E:E,PL!A:A))&amp;""/?format=xml"",""//Mid""),""."","",""),5)"),20)</f>
        <v>20</v>
      </c>
      <c r="F6" s="11" t="e">
        <f t="array" aca="1" ref="F6" ca="1">_xludf.XLOOKUP(A6,PL!E:E,PL!A:A)</f>
        <v>#NAME?</v>
      </c>
      <c r="G6" s="8"/>
    </row>
    <row r="7" spans="1:7" ht="18.75" customHeight="1" x14ac:dyDescent="0.2">
      <c r="A7" s="8" t="s">
        <v>5780</v>
      </c>
      <c r="B7" s="9">
        <v>43677</v>
      </c>
      <c r="C7" s="9">
        <v>5902557371563</v>
      </c>
      <c r="D7" s="10" t="s">
        <v>5781</v>
      </c>
      <c r="E7" s="9">
        <f ca="1">IFERROR(__xludf.DUMMYFUNCTION("MROUND(XLOOKUP(A7,PL!E:E,PL!D:D)*1.4/SUBSTITUTE(importxml(""http://api.nbp.pl/api/exchangerates/rates/a/eur/""&amp;to_text(XLOOKUP(A7,PL!E:E,PL!A:A))&amp;""/?format=xml"",""//Mid""),""."","",""),5)"),20)</f>
        <v>20</v>
      </c>
      <c r="F7" s="11" t="e">
        <f t="array" aca="1" ref="F7" ca="1">_xludf.XLOOKUP(A7,PL!E:E,PL!A:A)</f>
        <v>#NAME?</v>
      </c>
      <c r="G7" s="8"/>
    </row>
    <row r="8" spans="1:7" ht="18.75" customHeight="1" x14ac:dyDescent="0.2">
      <c r="A8" s="8" t="s">
        <v>5782</v>
      </c>
      <c r="B8" s="9">
        <v>49541</v>
      </c>
      <c r="C8" s="9">
        <v>5902557384273</v>
      </c>
      <c r="D8" s="10" t="s">
        <v>5783</v>
      </c>
      <c r="E8" s="9">
        <f ca="1">IFERROR(__xludf.DUMMYFUNCTION("MROUND(XLOOKUP(A8,PL!E:E,PL!D:D)*1.4/SUBSTITUTE(importxml(""http://api.nbp.pl/api/exchangerates/rates/a/eur/""&amp;to_text(XLOOKUP(A8,PL!E:E,PL!A:A))&amp;""/?format=xml"",""//Mid""),""."","",""),5)"),20)</f>
        <v>20</v>
      </c>
      <c r="F8" s="11" t="e">
        <f t="array" aca="1" ref="F8" ca="1">_xludf.XLOOKUP(A8,PL!E:E,PL!A:A)</f>
        <v>#NAME?</v>
      </c>
      <c r="G8" s="8"/>
    </row>
    <row r="9" spans="1:7" ht="18.75" customHeight="1" x14ac:dyDescent="0.2">
      <c r="A9" s="8" t="s">
        <v>5784</v>
      </c>
      <c r="B9" s="9">
        <v>49551</v>
      </c>
      <c r="C9" s="9">
        <v>5902557384358</v>
      </c>
      <c r="D9" s="10" t="s">
        <v>5785</v>
      </c>
      <c r="E9" s="9">
        <f ca="1">IFERROR(__xludf.DUMMYFUNCTION("MROUND(XLOOKUP(A9,PL!E:E,PL!D:D)*1.4/SUBSTITUTE(importxml(""http://api.nbp.pl/api/exchangerates/rates/a/eur/""&amp;to_text(XLOOKUP(A9,PL!E:E,PL!A:A))&amp;""/?format=xml"",""//Mid""),""."","",""),5)"),20)</f>
        <v>20</v>
      </c>
      <c r="F9" s="11" t="e">
        <f t="array" aca="1" ref="F9" ca="1">_xludf.XLOOKUP(A9,PL!E:E,PL!A:A)</f>
        <v>#NAME?</v>
      </c>
      <c r="G9" s="8"/>
    </row>
    <row r="10" spans="1:7" ht="18.75" customHeight="1" x14ac:dyDescent="0.2">
      <c r="A10" s="8" t="s">
        <v>5786</v>
      </c>
      <c r="B10" s="9">
        <v>49607</v>
      </c>
      <c r="C10" s="9">
        <v>5902557384570</v>
      </c>
      <c r="D10" s="10" t="s">
        <v>5787</v>
      </c>
      <c r="E10" s="9">
        <f ca="1">IFERROR(__xludf.DUMMYFUNCTION("MROUND(XLOOKUP(A10,PL!E:E,PL!D:D)*1.4/SUBSTITUTE(importxml(""http://api.nbp.pl/api/exchangerates/rates/a/eur/""&amp;to_text(XLOOKUP(A10,PL!E:E,PL!A:A))&amp;""/?format=xml"",""//Mid""),""."","",""),5)"),30)</f>
        <v>30</v>
      </c>
      <c r="F10" s="11" t="e">
        <f t="array" aca="1" ref="F10" ca="1">_xludf.XLOOKUP(A10,PL!E:E,PL!A:A)</f>
        <v>#NAME?</v>
      </c>
      <c r="G10" s="8"/>
    </row>
    <row r="11" spans="1:7" ht="18.75" customHeight="1" x14ac:dyDescent="0.2">
      <c r="A11" s="8" t="s">
        <v>5788</v>
      </c>
      <c r="B11" s="9">
        <v>53011</v>
      </c>
      <c r="C11" s="9">
        <v>5906366003783</v>
      </c>
      <c r="D11" s="10" t="s">
        <v>5789</v>
      </c>
      <c r="E11" s="9">
        <f ca="1">IFERROR(__xludf.DUMMYFUNCTION("MROUND(XLOOKUP(A11,PL!E:E,PL!D:D)*1.4/SUBSTITUTE(importxml(""http://api.nbp.pl/api/exchangerates/rates/a/eur/""&amp;to_text(XLOOKUP(A11,PL!E:E,PL!A:A))&amp;""/?format=xml"",""//Mid""),""."","",""),5)"),15)</f>
        <v>15</v>
      </c>
      <c r="F11" s="11" t="e">
        <f t="array" aca="1" ref="F11" ca="1">_xludf.XLOOKUP(A11,PL!E:E,PL!A:A)</f>
        <v>#NAME?</v>
      </c>
      <c r="G11" s="8"/>
    </row>
    <row r="12" spans="1:7" ht="18.75" customHeight="1" x14ac:dyDescent="0.2">
      <c r="A12" s="8" t="s">
        <v>5790</v>
      </c>
      <c r="B12" s="9">
        <v>7441</v>
      </c>
      <c r="C12" s="9">
        <v>5906366003776</v>
      </c>
      <c r="D12" s="10" t="s">
        <v>5791</v>
      </c>
      <c r="E12" s="9">
        <f ca="1">IFERROR(__xludf.DUMMYFUNCTION("MROUND(XLOOKUP(A12,PL!E:E,PL!D:D)*1.4/SUBSTITUTE(importxml(""http://api.nbp.pl/api/exchangerates/rates/a/eur/""&amp;to_text(XLOOKUP(A12,PL!E:E,PL!A:A))&amp;""/?format=xml"",""//Mid""),""."","",""),5)"),15)</f>
        <v>15</v>
      </c>
      <c r="F12" s="11" t="e">
        <f t="array" aca="1" ref="F12" ca="1">_xludf.XLOOKUP(A12,PL!E:E,PL!A:A)</f>
        <v>#NAME?</v>
      </c>
      <c r="G12" s="8"/>
    </row>
    <row r="13" spans="1:7" ht="18.75" customHeight="1" x14ac:dyDescent="0.2">
      <c r="A13" s="8" t="s">
        <v>5792</v>
      </c>
      <c r="B13" s="9">
        <v>49405</v>
      </c>
      <c r="C13" s="9">
        <v>5902557383238</v>
      </c>
      <c r="D13" s="10" t="s">
        <v>5793</v>
      </c>
      <c r="E13" s="9">
        <f ca="1">IFERROR(__xludf.DUMMYFUNCTION("MROUND(XLOOKUP(A13,PL!E:E,PL!D:D)*1.4/SUBSTITUTE(importxml(""http://api.nbp.pl/api/exchangerates/rates/a/eur/""&amp;to_text(XLOOKUP(A13,PL!E:E,PL!A:A))&amp;""/?format=xml"",""//Mid""),""."","",""),5)"),10)</f>
        <v>10</v>
      </c>
      <c r="F13" s="11" t="e">
        <f t="array" aca="1" ref="F13" ca="1">_xludf.XLOOKUP(A13,PL!E:E,PL!A:A)</f>
        <v>#NAME?</v>
      </c>
      <c r="G13" s="8"/>
    </row>
    <row r="14" spans="1:7" ht="18.75" customHeight="1" x14ac:dyDescent="0.2">
      <c r="A14" s="8" t="s">
        <v>5794</v>
      </c>
      <c r="B14" s="9">
        <v>49406</v>
      </c>
      <c r="C14" s="9">
        <v>5902557383245</v>
      </c>
      <c r="D14" s="10" t="s">
        <v>5795</v>
      </c>
      <c r="E14" s="9">
        <f ca="1">IFERROR(__xludf.DUMMYFUNCTION("MROUND(XLOOKUP(A14,PL!E:E,PL!D:D)*1.4/SUBSTITUTE(importxml(""http://api.nbp.pl/api/exchangerates/rates/a/eur/""&amp;to_text(XLOOKUP(A14,PL!E:E,PL!A:A))&amp;""/?format=xml"",""//Mid""),""."","",""),5)"),10)</f>
        <v>10</v>
      </c>
      <c r="F14" s="11" t="e">
        <f t="array" aca="1" ref="F14" ca="1">_xludf.XLOOKUP(A14,PL!E:E,PL!A:A)</f>
        <v>#NAME?</v>
      </c>
      <c r="G14" s="8"/>
    </row>
    <row r="15" spans="1:7" ht="18.75" customHeight="1" x14ac:dyDescent="0.2">
      <c r="A15" s="8" t="s">
        <v>5796</v>
      </c>
      <c r="B15" s="9">
        <v>49402</v>
      </c>
      <c r="C15" s="9">
        <v>5906366003905</v>
      </c>
      <c r="D15" s="10" t="s">
        <v>5797</v>
      </c>
      <c r="E15" s="9">
        <f ca="1">IFERROR(__xludf.DUMMYFUNCTION("MROUND(XLOOKUP(A15,PL!E:E,PL!D:D)*1.4/SUBSTITUTE(importxml(""http://api.nbp.pl/api/exchangerates/rates/a/eur/""&amp;to_text(XLOOKUP(A15,PL!E:E,PL!A:A))&amp;""/?format=xml"",""//Mid""),""."","",""),5)"),15)</f>
        <v>15</v>
      </c>
      <c r="F15" s="11" t="e">
        <f t="array" aca="1" ref="F15" ca="1">_xludf.XLOOKUP(A15,PL!E:E,PL!A:A)</f>
        <v>#NAME?</v>
      </c>
      <c r="G15" s="8"/>
    </row>
    <row r="16" spans="1:7" ht="18.75" customHeight="1" x14ac:dyDescent="0.2">
      <c r="A16" s="8" t="s">
        <v>5798</v>
      </c>
      <c r="B16" s="9">
        <v>49408</v>
      </c>
      <c r="C16" s="9">
        <v>5902557383269</v>
      </c>
      <c r="D16" s="10" t="s">
        <v>5799</v>
      </c>
      <c r="E16" s="9">
        <f ca="1">IFERROR(__xludf.DUMMYFUNCTION("MROUND(XLOOKUP(A16,PL!E:E,PL!D:D)*1.4/SUBSTITUTE(importxml(""http://api.nbp.pl/api/exchangerates/rates/a/eur/""&amp;to_text(XLOOKUP(A16,PL!E:E,PL!A:A))&amp;""/?format=xml"",""//Mid""),""."","",""),5)"),20)</f>
        <v>20</v>
      </c>
      <c r="F16" s="11" t="e">
        <f t="array" aca="1" ref="F16" ca="1">_xludf.XLOOKUP(A16,PL!E:E,PL!A:A)</f>
        <v>#NAME?</v>
      </c>
      <c r="G16" s="8"/>
    </row>
    <row r="17" spans="1:7" ht="18.75" customHeight="1" x14ac:dyDescent="0.2">
      <c r="A17" s="8" t="s">
        <v>5800</v>
      </c>
      <c r="B17" s="9">
        <v>49407</v>
      </c>
      <c r="C17" s="9">
        <v>5902557383252</v>
      </c>
      <c r="D17" s="10" t="s">
        <v>5801</v>
      </c>
      <c r="E17" s="9">
        <f ca="1">IFERROR(__xludf.DUMMYFUNCTION("MROUND(XLOOKUP(A17,PL!E:E,PL!D:D)*1.4/SUBSTITUTE(importxml(""http://api.nbp.pl/api/exchangerates/rates/a/eur/""&amp;to_text(XLOOKUP(A17,PL!E:E,PL!A:A))&amp;""/?format=xml"",""//Mid""),""."","",""),5)"),10)</f>
        <v>10</v>
      </c>
      <c r="F17" s="11" t="e">
        <f t="array" aca="1" ref="F17" ca="1">_xludf.XLOOKUP(A17,PL!E:E,PL!A:A)</f>
        <v>#NAME?</v>
      </c>
      <c r="G17" s="8"/>
    </row>
    <row r="18" spans="1:7" ht="18.75" customHeight="1" x14ac:dyDescent="0.2">
      <c r="A18" s="8" t="s">
        <v>5802</v>
      </c>
      <c r="B18" s="9">
        <v>49403</v>
      </c>
      <c r="C18" s="9">
        <v>5902557383214</v>
      </c>
      <c r="D18" s="10" t="s">
        <v>5803</v>
      </c>
      <c r="E18" s="9">
        <f ca="1">IFERROR(__xludf.DUMMYFUNCTION("MROUND(XLOOKUP(A18,PL!E:E,PL!D:D)*1.4/SUBSTITUTE(importxml(""http://api.nbp.pl/api/exchangerates/rates/a/eur/""&amp;to_text(XLOOKUP(A18,PL!E:E,PL!A:A))&amp;""/?format=xml"",""//Mid""),""."","",""),5)"),20)</f>
        <v>20</v>
      </c>
      <c r="F18" s="11" t="e">
        <f t="array" aca="1" ref="F18" ca="1">_xludf.XLOOKUP(A18,PL!E:E,PL!A:A)</f>
        <v>#NAME?</v>
      </c>
      <c r="G18" s="8"/>
    </row>
    <row r="19" spans="1:7" ht="18.75" customHeight="1" x14ac:dyDescent="0.2">
      <c r="A19" s="8" t="s">
        <v>5804</v>
      </c>
      <c r="B19" s="9">
        <v>49404</v>
      </c>
      <c r="C19" s="9">
        <v>5902557383221</v>
      </c>
      <c r="D19" s="10" t="s">
        <v>5805</v>
      </c>
      <c r="E19" s="9">
        <f ca="1">IFERROR(__xludf.DUMMYFUNCTION("MROUND(XLOOKUP(A19,PL!E:E,PL!D:D)*1.4/SUBSTITUTE(importxml(""http://api.nbp.pl/api/exchangerates/rates/a/eur/""&amp;to_text(XLOOKUP(A19,PL!E:E,PL!A:A))&amp;""/?format=xml"",""//Mid""),""."","",""),5)"),15)</f>
        <v>15</v>
      </c>
      <c r="F19" s="11" t="e">
        <f t="array" aca="1" ref="F19" ca="1">_xludf.XLOOKUP(A19,PL!E:E,PL!A:A)</f>
        <v>#NAME?</v>
      </c>
      <c r="G19" s="8"/>
    </row>
    <row r="20" spans="1:7" ht="18.75" customHeight="1" x14ac:dyDescent="0.2">
      <c r="A20" s="8" t="s">
        <v>5806</v>
      </c>
      <c r="B20" s="9">
        <v>49410</v>
      </c>
      <c r="C20" s="9">
        <v>5902557383191</v>
      </c>
      <c r="D20" s="10" t="s">
        <v>5807</v>
      </c>
      <c r="E20" s="9">
        <f ca="1">IFERROR(__xludf.DUMMYFUNCTION("MROUND(XLOOKUP(A20,PL!E:E,PL!D:D)*1.4/SUBSTITUTE(importxml(""http://api.nbp.pl/api/exchangerates/rates/a/eur/""&amp;to_text(XLOOKUP(A20,PL!E:E,PL!A:A))&amp;""/?format=xml"",""//Mid""),""."","",""),5)"),5)</f>
        <v>5</v>
      </c>
      <c r="F20" s="11" t="e">
        <f t="array" aca="1" ref="F20" ca="1">_xludf.XLOOKUP(A20,PL!E:E,PL!A:A)</f>
        <v>#NAME?</v>
      </c>
      <c r="G20" s="8"/>
    </row>
    <row r="21" spans="1:7" ht="18.75" customHeight="1" x14ac:dyDescent="0.2">
      <c r="A21" s="8" t="s">
        <v>5808</v>
      </c>
      <c r="B21" s="9">
        <v>49453</v>
      </c>
      <c r="C21" s="9">
        <v>5902557383306</v>
      </c>
      <c r="D21" s="10" t="s">
        <v>5809</v>
      </c>
      <c r="E21" s="9">
        <f ca="1">IFERROR(__xludf.DUMMYFUNCTION("MROUND(XLOOKUP(A21,PL!E:E,PL!D:D)*1.4/SUBSTITUTE(importxml(""http://api.nbp.pl/api/exchangerates/rates/a/eur/""&amp;to_text(XLOOKUP(A21,PL!E:E,PL!A:A))&amp;""/?format=xml"",""//Mid""),""."","",""),5)"),5)</f>
        <v>5</v>
      </c>
      <c r="F21" s="11" t="e">
        <f t="array" aca="1" ref="F21" ca="1">_xludf.XLOOKUP(A21,PL!E:E,PL!A:A)</f>
        <v>#NAME?</v>
      </c>
      <c r="G21" s="8"/>
    </row>
    <row r="22" spans="1:7" ht="18.75" customHeight="1" x14ac:dyDescent="0.2">
      <c r="A22" s="8" t="s">
        <v>5810</v>
      </c>
      <c r="B22" s="9">
        <v>49450</v>
      </c>
      <c r="C22" s="9">
        <v>5902557383276</v>
      </c>
      <c r="D22" s="10" t="s">
        <v>5811</v>
      </c>
      <c r="E22" s="9">
        <f ca="1">IFERROR(__xludf.DUMMYFUNCTION("MROUND(XLOOKUP(A22,PL!E:E,PL!D:D)*1.4/SUBSTITUTE(importxml(""http://api.nbp.pl/api/exchangerates/rates/a/eur/""&amp;to_text(XLOOKUP(A22,PL!E:E,PL!A:A))&amp;""/?format=xml"",""//Mid""),""."","",""),5)"),10)</f>
        <v>10</v>
      </c>
      <c r="F22" s="11" t="e">
        <f t="array" aca="1" ref="F22" ca="1">_xludf.XLOOKUP(A22,PL!E:E,PL!A:A)</f>
        <v>#NAME?</v>
      </c>
      <c r="G22" s="8"/>
    </row>
    <row r="23" spans="1:7" ht="18.75" customHeight="1" x14ac:dyDescent="0.2">
      <c r="A23" s="8" t="s">
        <v>5812</v>
      </c>
      <c r="B23" s="9">
        <v>53701</v>
      </c>
      <c r="C23" s="9">
        <v>5902557383320</v>
      </c>
      <c r="D23" s="10" t="s">
        <v>5813</v>
      </c>
      <c r="E23" s="9">
        <f ca="1">IFERROR(__xludf.DUMMYFUNCTION("MROUND(XLOOKUP(A23,PL!E:E,PL!D:D)*1.4/SUBSTITUTE(importxml(""http://api.nbp.pl/api/exchangerates/rates/a/eur/""&amp;to_text(XLOOKUP(A23,PL!E:E,PL!A:A))&amp;""/?format=xml"",""//Mid""),""."","",""),5)"),20)</f>
        <v>20</v>
      </c>
      <c r="F23" s="11" t="e">
        <f t="array" aca="1" ref="F23" ca="1">_xludf.XLOOKUP(A23,PL!E:E,PL!A:A)</f>
        <v>#NAME?</v>
      </c>
      <c r="G23" s="8"/>
    </row>
    <row r="24" spans="1:7" ht="18.75" customHeight="1" x14ac:dyDescent="0.2">
      <c r="A24" s="9" t="s">
        <v>5814</v>
      </c>
      <c r="B24" s="9">
        <v>49454</v>
      </c>
      <c r="C24" s="8">
        <v>5902557383313</v>
      </c>
      <c r="D24" s="10" t="s">
        <v>5815</v>
      </c>
      <c r="E24" s="9">
        <f ca="1">IFERROR(__xludf.DUMMYFUNCTION("MROUND(XLOOKUP(A24,PL!E:E,PL!D:D)*1.4/SUBSTITUTE(importxml(""http://api.nbp.pl/api/exchangerates/rates/a/eur/""&amp;to_text(XLOOKUP(A24,PL!E:E,PL!A:A))&amp;""/?format=xml"",""//Mid""),""."","",""),5)"),5)</f>
        <v>5</v>
      </c>
      <c r="F24" s="11" t="e">
        <f t="array" aca="1" ref="F24" ca="1">_xludf.XLOOKUP(A24,PL!E:E,PL!A:A)</f>
        <v>#NAME?</v>
      </c>
      <c r="G24" s="8"/>
    </row>
    <row r="25" spans="1:7" ht="18.75" customHeight="1" x14ac:dyDescent="0.2">
      <c r="A25" s="8" t="s">
        <v>5816</v>
      </c>
      <c r="B25" s="9">
        <v>49451</v>
      </c>
      <c r="C25" s="8">
        <v>5902557383283</v>
      </c>
      <c r="D25" s="10" t="s">
        <v>5817</v>
      </c>
      <c r="E25" s="9">
        <f ca="1">IFERROR(__xludf.DUMMYFUNCTION("MROUND(XLOOKUP(A25,PL!E:E,PL!D:D)*1.4/SUBSTITUTE(importxml(""http://api.nbp.pl/api/exchangerates/rates/a/eur/""&amp;to_text(XLOOKUP(A25,PL!E:E,PL!A:A))&amp;""/?format=xml"",""//Mid""),""."","",""),5)"),10)</f>
        <v>10</v>
      </c>
      <c r="F25" s="12" t="e">
        <f t="array" aca="1" ref="F25" ca="1">_xludf.XLOOKUP(A25,PL!E:E,PL!A:A)</f>
        <v>#NAME?</v>
      </c>
      <c r="G25" s="8"/>
    </row>
    <row r="26" spans="1:7" ht="18.75" customHeight="1" x14ac:dyDescent="0.2">
      <c r="A26" s="9" t="s">
        <v>5818</v>
      </c>
      <c r="B26" s="9">
        <v>49452</v>
      </c>
      <c r="C26" s="8">
        <v>5902557383290</v>
      </c>
      <c r="D26" s="10" t="s">
        <v>5819</v>
      </c>
      <c r="E26" s="9">
        <f ca="1">IFERROR(__xludf.DUMMYFUNCTION("MROUND(XLOOKUP(A26,PL!E:E,PL!D:D)*1.4/SUBSTITUTE(importxml(""http://api.nbp.pl/api/exchangerates/rates/a/eur/""&amp;to_text(XLOOKUP(A26,PL!E:E,PL!A:A))&amp;""/?format=xml"",""//Mid""),""."","",""),5)"),10)</f>
        <v>10</v>
      </c>
      <c r="F26" s="11" t="e">
        <f t="array" aca="1" ref="F26" ca="1">_xludf.XLOOKUP(A26,PL!E:E,PL!A:A)</f>
        <v>#NAME?</v>
      </c>
      <c r="G26" s="8"/>
    </row>
    <row r="27" spans="1:7" ht="18.75" customHeight="1" x14ac:dyDescent="0.2">
      <c r="A27" s="8" t="s">
        <v>5820</v>
      </c>
      <c r="B27" s="9">
        <v>49517</v>
      </c>
      <c r="C27" s="9">
        <v>5902557384068</v>
      </c>
      <c r="D27" s="10" t="s">
        <v>5821</v>
      </c>
      <c r="E27" s="9">
        <f ca="1">IFERROR(__xludf.DUMMYFUNCTION("MROUND(XLOOKUP(A27,PL!E:E,PL!D:D)*1.4/SUBSTITUTE(importxml(""http://api.nbp.pl/api/exchangerates/rates/a/eur/""&amp;to_text(XLOOKUP(A27,PL!E:E,PL!A:A))&amp;""/?format=xml"",""//Mid""),""."","",""),5)"),20)</f>
        <v>20</v>
      </c>
      <c r="F27" s="11" t="e">
        <f t="array" aca="1" ref="F27" ca="1">_xludf.XLOOKUP(A27,PL!E:E,PL!A:A)</f>
        <v>#NAME?</v>
      </c>
      <c r="G27" s="8"/>
    </row>
    <row r="28" spans="1:7" ht="18.75" customHeight="1" x14ac:dyDescent="0.2">
      <c r="A28" s="8" t="s">
        <v>5822</v>
      </c>
      <c r="B28" s="9">
        <v>49444</v>
      </c>
      <c r="C28" s="9">
        <v>5902557383382</v>
      </c>
      <c r="D28" s="10" t="s">
        <v>5823</v>
      </c>
      <c r="E28" s="9">
        <f ca="1">IFERROR(__xludf.DUMMYFUNCTION("MROUND(XLOOKUP(A28,PL!E:E,PL!D:D)*1.4/SUBSTITUTE(importxml(""http://api.nbp.pl/api/exchangerates/rates/a/eur/""&amp;to_text(XLOOKUP(A28,PL!E:E,PL!A:A))&amp;""/?format=xml"",""//Mid""),""."","",""),5)"),10)</f>
        <v>10</v>
      </c>
      <c r="F28" s="11" t="e">
        <f t="array" aca="1" ref="F28" ca="1">_xludf.XLOOKUP(A28,PL!E:E,PL!A:A)</f>
        <v>#NAME?</v>
      </c>
      <c r="G28" s="8"/>
    </row>
    <row r="29" spans="1:7" ht="18.75" customHeight="1" x14ac:dyDescent="0.2">
      <c r="A29" s="8" t="s">
        <v>5824</v>
      </c>
      <c r="B29" s="9">
        <v>49507</v>
      </c>
      <c r="C29" s="9">
        <v>5902557383993</v>
      </c>
      <c r="D29" s="10" t="s">
        <v>5825</v>
      </c>
      <c r="E29" s="9">
        <f ca="1">IFERROR(__xludf.DUMMYFUNCTION("MROUND(XLOOKUP(A29,PL!E:E,PL!D:D)*1.4/SUBSTITUTE(importxml(""http://api.nbp.pl/api/exchangerates/rates/a/eur/""&amp;to_text(XLOOKUP(A29,PL!E:E,PL!A:A))&amp;""/?format=xml"",""//Mid""),""."","",""),5)"),10)</f>
        <v>10</v>
      </c>
      <c r="F29" s="11" t="e">
        <f t="array" aca="1" ref="F29" ca="1">_xludf.XLOOKUP(A29,PL!E:E,PL!A:A)</f>
        <v>#NAME?</v>
      </c>
      <c r="G29" s="8"/>
    </row>
    <row r="30" spans="1:7" ht="18.75" customHeight="1" x14ac:dyDescent="0.2">
      <c r="A30" s="8" t="s">
        <v>5826</v>
      </c>
      <c r="B30" s="9">
        <v>49524</v>
      </c>
      <c r="C30" s="9">
        <v>5902557384143</v>
      </c>
      <c r="D30" s="10" t="s">
        <v>5827</v>
      </c>
      <c r="E30" s="9">
        <f ca="1">IFERROR(__xludf.DUMMYFUNCTION("MROUND(XLOOKUP(A30,PL!E:E,PL!D:D)*1.4/SUBSTITUTE(importxml(""http://api.nbp.pl/api/exchangerates/rates/a/eur/""&amp;to_text(XLOOKUP(A30,PL!E:E,PL!A:A))&amp;""/?format=xml"",""//Mid""),""."","",""),5)"),10)</f>
        <v>10</v>
      </c>
      <c r="F30" s="11" t="e">
        <f t="array" aca="1" ref="F30" ca="1">_xludf.XLOOKUP(A30,PL!E:E,PL!A:A)</f>
        <v>#NAME?</v>
      </c>
      <c r="G30" s="8"/>
    </row>
    <row r="31" spans="1:7" ht="18.75" customHeight="1" x14ac:dyDescent="0.2">
      <c r="A31" s="8" t="s">
        <v>5828</v>
      </c>
      <c r="B31" s="9">
        <v>49516</v>
      </c>
      <c r="C31" s="9">
        <v>5902557384051</v>
      </c>
      <c r="D31" s="10" t="s">
        <v>5829</v>
      </c>
      <c r="E31" s="9">
        <f ca="1">IFERROR(__xludf.DUMMYFUNCTION("MROUND(XLOOKUP(A31,PL!E:E,PL!D:D)*1.4/SUBSTITUTE(importxml(""http://api.nbp.pl/api/exchangerates/rates/a/eur/""&amp;to_text(XLOOKUP(A31,PL!E:E,PL!A:A))&amp;""/?format=xml"",""//Mid""),""."","",""),5)"),20)</f>
        <v>20</v>
      </c>
      <c r="F31" s="11" t="e">
        <f t="array" aca="1" ref="F31" ca="1">_xludf.XLOOKUP(A31,PL!E:E,PL!A:A)</f>
        <v>#NAME?</v>
      </c>
      <c r="G31" s="8"/>
    </row>
    <row r="32" spans="1:7" ht="18.75" customHeight="1" x14ac:dyDescent="0.2">
      <c r="A32" s="8" t="s">
        <v>5830</v>
      </c>
      <c r="B32" s="9">
        <v>49514</v>
      </c>
      <c r="C32" s="9">
        <v>5902557384037</v>
      </c>
      <c r="D32" s="10" t="s">
        <v>5831</v>
      </c>
      <c r="E32" s="9">
        <f ca="1">IFERROR(__xludf.DUMMYFUNCTION("MROUND(XLOOKUP(A32,PL!E:E,PL!D:D)*1.4/SUBSTITUTE(importxml(""http://api.nbp.pl/api/exchangerates/rates/a/eur/""&amp;to_text(XLOOKUP(A32,PL!E:E,PL!A:A))&amp;""/?format=xml"",""//Mid""),""."","",""),5)"),35)</f>
        <v>35</v>
      </c>
      <c r="F32" s="11" t="e">
        <f t="array" aca="1" ref="F32" ca="1">_xludf.XLOOKUP(A32,PL!E:E,PL!A:A)</f>
        <v>#NAME?</v>
      </c>
      <c r="G32" s="8"/>
    </row>
    <row r="33" spans="1:7" ht="18.75" customHeight="1" x14ac:dyDescent="0.2">
      <c r="A33" s="8" t="s">
        <v>5832</v>
      </c>
      <c r="B33" s="9">
        <v>50007</v>
      </c>
      <c r="C33" s="9">
        <v>5902557386833</v>
      </c>
      <c r="D33" s="10" t="s">
        <v>5833</v>
      </c>
      <c r="E33" s="9">
        <f ca="1">IFERROR(__xludf.DUMMYFUNCTION("MROUND(XLOOKUP(A33,PL!E:E,PL!D:D)*1.4/SUBSTITUTE(importxml(""http://api.nbp.pl/api/exchangerates/rates/a/eur/""&amp;to_text(XLOOKUP(A33,PL!E:E,PL!A:A))&amp;""/?format=xml"",""//Mid""),""."","",""),5)"),25)</f>
        <v>25</v>
      </c>
      <c r="F33" s="11" t="e">
        <f t="array" aca="1" ref="F33" ca="1">_xludf.XLOOKUP(A33,PL!E:E,PL!A:A)</f>
        <v>#NAME?</v>
      </c>
      <c r="G33" s="8"/>
    </row>
    <row r="34" spans="1:7" ht="18.75" customHeight="1" x14ac:dyDescent="0.2">
      <c r="A34" s="8" t="s">
        <v>5834</v>
      </c>
      <c r="B34" s="9">
        <v>49445</v>
      </c>
      <c r="C34" s="9">
        <v>5902557383504</v>
      </c>
      <c r="D34" s="10" t="s">
        <v>5835</v>
      </c>
      <c r="E34" s="9">
        <f ca="1">IFERROR(__xludf.DUMMYFUNCTION("MROUND(XLOOKUP(A34,PL!E:E,PL!D:D)*1.4/SUBSTITUTE(importxml(""http://api.nbp.pl/api/exchangerates/rates/a/eur/""&amp;to_text(XLOOKUP(A34,PL!E:E,PL!A:A))&amp;""/?format=xml"",""//Mid""),""."","",""),5)"),15)</f>
        <v>15</v>
      </c>
      <c r="F34" s="11" t="e">
        <f t="array" aca="1" ref="F34" ca="1">_xludf.XLOOKUP(A34,PL!E:E,PL!A:A)</f>
        <v>#NAME?</v>
      </c>
      <c r="G34" s="8"/>
    </row>
    <row r="35" spans="1:7" ht="18.75" customHeight="1" x14ac:dyDescent="0.2">
      <c r="A35" s="8" t="s">
        <v>5836</v>
      </c>
      <c r="B35" s="9">
        <v>49678</v>
      </c>
      <c r="C35" s="9">
        <v>5902557384648</v>
      </c>
      <c r="D35" s="10" t="s">
        <v>5837</v>
      </c>
      <c r="E35" s="9">
        <f ca="1">IFERROR(__xludf.DUMMYFUNCTION("MROUND(XLOOKUP(A35,PL!E:E,PL!D:D)*1.4/SUBSTITUTE(importxml(""http://api.nbp.pl/api/exchangerates/rates/a/eur/""&amp;to_text(XLOOKUP(A35,PL!E:E,PL!A:A))&amp;""/?format=xml"",""//Mid""),""."","",""),5)"),15)</f>
        <v>15</v>
      </c>
      <c r="F35" s="11" t="e">
        <f t="array" aca="1" ref="F35" ca="1">_xludf.XLOOKUP(A35,PL!E:E,PL!A:A)</f>
        <v>#NAME?</v>
      </c>
      <c r="G35" s="8"/>
    </row>
    <row r="36" spans="1:7" ht="18.75" customHeight="1" x14ac:dyDescent="0.2">
      <c r="A36" s="8" t="s">
        <v>5838</v>
      </c>
      <c r="B36" s="9">
        <v>49559</v>
      </c>
      <c r="C36" s="9">
        <v>5902557384426</v>
      </c>
      <c r="D36" s="10" t="s">
        <v>5839</v>
      </c>
      <c r="E36" s="9">
        <f ca="1">IFERROR(__xludf.DUMMYFUNCTION("MROUND(XLOOKUP(A36,PL!E:E,PL!D:D)*1.4/SUBSTITUTE(importxml(""http://api.nbp.pl/api/exchangerates/rates/a/eur/""&amp;to_text(XLOOKUP(A36,PL!E:E,PL!A:A))&amp;""/?format=xml"",""//Mid""),""."","",""),5)"),10)</f>
        <v>10</v>
      </c>
      <c r="F36" s="11" t="e">
        <f t="array" aca="1" ref="F36" ca="1">_xludf.XLOOKUP(A36,PL!E:E,PL!A:A)</f>
        <v>#NAME?</v>
      </c>
      <c r="G36" s="8"/>
    </row>
    <row r="37" spans="1:7" ht="18.75" customHeight="1" x14ac:dyDescent="0.2">
      <c r="A37" s="8" t="s">
        <v>5840</v>
      </c>
      <c r="B37" s="9">
        <v>50006</v>
      </c>
      <c r="C37" s="9">
        <v>5902557386819</v>
      </c>
      <c r="D37" s="10" t="s">
        <v>5841</v>
      </c>
      <c r="E37" s="9">
        <f ca="1">IFERROR(__xludf.DUMMYFUNCTION("MROUND(XLOOKUP(A37,PL!E:E,PL!D:D)*1.4/SUBSTITUTE(importxml(""http://api.nbp.pl/api/exchangerates/rates/a/eur/""&amp;to_text(XLOOKUP(A37,PL!E:E,PL!A:A))&amp;""/?format=xml"",""//Mid""),""."","",""),5)"),40)</f>
        <v>40</v>
      </c>
      <c r="F37" s="11" t="e">
        <f t="array" aca="1" ref="F37" ca="1">_xludf.XLOOKUP(A37,PL!E:E,PL!A:A)</f>
        <v>#NAME?</v>
      </c>
      <c r="G37" s="8"/>
    </row>
    <row r="38" spans="1:7" ht="18.75" customHeight="1" x14ac:dyDescent="0.2">
      <c r="A38" s="8" t="s">
        <v>5842</v>
      </c>
      <c r="B38" s="9">
        <v>49521</v>
      </c>
      <c r="C38" s="9">
        <v>5902557384099</v>
      </c>
      <c r="D38" s="10" t="s">
        <v>5843</v>
      </c>
      <c r="E38" s="9">
        <f ca="1">IFERROR(__xludf.DUMMYFUNCTION("MROUND(XLOOKUP(A38,PL!E:E,PL!D:D)*1.4/SUBSTITUTE(importxml(""http://api.nbp.pl/api/exchangerates/rates/a/eur/""&amp;to_text(XLOOKUP(A38,PL!E:E,PL!A:A))&amp;""/?format=xml"",""//Mid""),""."","",""),5)"),30)</f>
        <v>30</v>
      </c>
      <c r="F38" s="11" t="e">
        <f t="array" aca="1" ref="F38" ca="1">_xludf.XLOOKUP(A38,PL!E:E,PL!A:A)</f>
        <v>#NAME?</v>
      </c>
      <c r="G38" s="8"/>
    </row>
    <row r="39" spans="1:7" ht="18.75" customHeight="1" x14ac:dyDescent="0.2">
      <c r="A39" s="13" t="s">
        <v>5844</v>
      </c>
      <c r="B39" s="9">
        <v>49529</v>
      </c>
      <c r="C39" s="9">
        <v>5902557384136</v>
      </c>
      <c r="D39" s="10" t="s">
        <v>5845</v>
      </c>
      <c r="E39" s="9">
        <f ca="1">IFERROR(__xludf.DUMMYFUNCTION("MROUND(XLOOKUP(A39,PL!E:E,PL!D:D)*1.4/SUBSTITUTE(importxml(""http://api.nbp.pl/api/exchangerates/rates/a/eur/""&amp;to_text(XLOOKUP(A39,PL!E:E,PL!A:A))&amp;""/?format=xml"",""//Mid""),""."","",""),5)"),20)</f>
        <v>20</v>
      </c>
      <c r="F39" s="11" t="e">
        <f t="array" aca="1" ref="F39" ca="1">_xludf.XLOOKUP(A39,PL!E:E,PL!A:A)</f>
        <v>#NAME?</v>
      </c>
      <c r="G39" s="8"/>
    </row>
    <row r="40" spans="1:7" ht="18.75" customHeight="1" x14ac:dyDescent="0.2">
      <c r="A40" s="8" t="s">
        <v>5846</v>
      </c>
      <c r="B40" s="9">
        <v>49612</v>
      </c>
      <c r="C40" s="9">
        <v>5902557384594</v>
      </c>
      <c r="D40" s="10" t="s">
        <v>5847</v>
      </c>
      <c r="E40" s="9">
        <f ca="1">IFERROR(__xludf.DUMMYFUNCTION("MROUND(XLOOKUP(A40,PL!E:E,PL!D:D)*1.4/SUBSTITUTE(importxml(""http://api.nbp.pl/api/exchangerates/rates/a/eur/""&amp;to_text(XLOOKUP(A40,PL!E:E,PL!A:A))&amp;""/?format=xml"",""//Mid""),""."","",""),5)"),15)</f>
        <v>15</v>
      </c>
      <c r="F40" s="11" t="e">
        <f t="array" aca="1" ref="F40" ca="1">_xludf.XLOOKUP(A40,PL!E:E,PL!A:A)</f>
        <v>#NAME?</v>
      </c>
      <c r="G40" s="8"/>
    </row>
    <row r="41" spans="1:7" ht="18.75" customHeight="1" x14ac:dyDescent="0.2">
      <c r="A41" s="8" t="s">
        <v>5848</v>
      </c>
      <c r="B41" s="9">
        <v>49523</v>
      </c>
      <c r="C41" s="9">
        <v>5902557384129</v>
      </c>
      <c r="D41" s="10" t="s">
        <v>5849</v>
      </c>
      <c r="E41" s="9">
        <f ca="1">IFERROR(__xludf.DUMMYFUNCTION("MROUND(XLOOKUP(A41,PL!E:E,PL!D:D)*1.4/SUBSTITUTE(importxml(""http://api.nbp.pl/api/exchangerates/rates/a/eur/""&amp;to_text(XLOOKUP(A41,PL!E:E,PL!A:A))&amp;""/?format=xml"",""//Mid""),""."","",""),5)"),20)</f>
        <v>20</v>
      </c>
      <c r="F41" s="11" t="e">
        <f t="array" aca="1" ref="F41" ca="1">_xludf.XLOOKUP(A41,PL!E:E,PL!A:A)</f>
        <v>#NAME?</v>
      </c>
      <c r="G41" s="8"/>
    </row>
    <row r="42" spans="1:7" ht="18.75" customHeight="1" x14ac:dyDescent="0.2">
      <c r="A42" s="8" t="s">
        <v>5850</v>
      </c>
      <c r="B42" s="9">
        <v>50018</v>
      </c>
      <c r="C42" s="9">
        <v>5902557386864</v>
      </c>
      <c r="D42" s="10" t="s">
        <v>5851</v>
      </c>
      <c r="E42" s="9">
        <f ca="1">IFERROR(__xludf.DUMMYFUNCTION("MROUND(XLOOKUP(A42,PL!E:E,PL!D:D)*1.4/SUBSTITUTE(importxml(""http://api.nbp.pl/api/exchangerates/rates/a/eur/""&amp;to_text(XLOOKUP(A42,PL!E:E,PL!A:A))&amp;""/?format=xml"",""//Mid""),""."","",""),5)"),30)</f>
        <v>30</v>
      </c>
      <c r="F42" s="11" t="e">
        <f t="array" aca="1" ref="F42" ca="1">_xludf.XLOOKUP(A42,PL!E:E,PL!A:A)</f>
        <v>#NAME?</v>
      </c>
      <c r="G42" s="8"/>
    </row>
    <row r="43" spans="1:7" ht="18.75" customHeight="1" x14ac:dyDescent="0.2">
      <c r="A43" s="8" t="s">
        <v>5852</v>
      </c>
      <c r="B43" s="9">
        <v>50019</v>
      </c>
      <c r="C43" s="9">
        <v>5902557386871</v>
      </c>
      <c r="D43" s="10" t="s">
        <v>5853</v>
      </c>
      <c r="E43" s="9">
        <f ca="1">IFERROR(__xludf.DUMMYFUNCTION("MROUND(XLOOKUP(A43,PL!E:E,PL!D:D)*1.4/SUBSTITUTE(importxml(""http://api.nbp.pl/api/exchangerates/rates/a/eur/""&amp;to_text(XLOOKUP(A43,PL!E:E,PL!A:A))&amp;""/?format=xml"",""//Mid""),""."","",""),5)"),15)</f>
        <v>15</v>
      </c>
      <c r="F43" s="11" t="e">
        <f t="array" aca="1" ref="F43" ca="1">_xludf.XLOOKUP(A43,PL!E:E,PL!A:A)</f>
        <v>#NAME?</v>
      </c>
      <c r="G43" s="8"/>
    </row>
    <row r="44" spans="1:7" ht="18.75" customHeight="1" x14ac:dyDescent="0.2">
      <c r="A44" s="8" t="s">
        <v>5854</v>
      </c>
      <c r="B44" s="9">
        <v>49525</v>
      </c>
      <c r="C44" s="9">
        <v>5902557384112</v>
      </c>
      <c r="D44" s="10" t="s">
        <v>5855</v>
      </c>
      <c r="E44" s="9">
        <f ca="1">IFERROR(__xludf.DUMMYFUNCTION("MROUND(XLOOKUP(A44,PL!E:E,PL!D:D)*1.4/SUBSTITUTE(importxml(""http://api.nbp.pl/api/exchangerates/rates/a/eur/""&amp;to_text(XLOOKUP(A44,PL!E:E,PL!A:A))&amp;""/?format=xml"",""//Mid""),""."","",""),5)"),30)</f>
        <v>30</v>
      </c>
      <c r="F44" s="11" t="e">
        <f t="array" aca="1" ref="F44" ca="1">_xludf.XLOOKUP(A44,PL!E:E,PL!A:A)</f>
        <v>#NAME?</v>
      </c>
      <c r="G44" s="8"/>
    </row>
    <row r="45" spans="1:7" ht="18.75" customHeight="1" x14ac:dyDescent="0.2">
      <c r="A45" s="8" t="s">
        <v>5856</v>
      </c>
      <c r="B45" s="9">
        <v>50017</v>
      </c>
      <c r="C45" s="9">
        <v>5902557386857</v>
      </c>
      <c r="D45" s="10" t="s">
        <v>5857</v>
      </c>
      <c r="E45" s="9">
        <f ca="1">IFERROR(__xludf.DUMMYFUNCTION("MROUND(XLOOKUP(A45,PL!E:E,PL!D:D)*1.4/SUBSTITUTE(importxml(""http://api.nbp.pl/api/exchangerates/rates/a/eur/""&amp;to_text(XLOOKUP(A45,PL!E:E,PL!A:A))&amp;""/?format=xml"",""//Mid""),""."","",""),5)"),40)</f>
        <v>40</v>
      </c>
      <c r="F45" s="11" t="e">
        <f t="array" aca="1" ref="F45" ca="1">_xludf.XLOOKUP(A45,PL!E:E,PL!A:A)</f>
        <v>#NAME?</v>
      </c>
      <c r="G45" s="8"/>
    </row>
    <row r="46" spans="1:7" ht="18.75" customHeight="1" x14ac:dyDescent="0.2">
      <c r="A46" s="8" t="s">
        <v>5858</v>
      </c>
      <c r="B46" s="9">
        <v>49776</v>
      </c>
      <c r="C46" s="9">
        <v>5902557386635</v>
      </c>
      <c r="D46" s="10" t="s">
        <v>5859</v>
      </c>
      <c r="E46" s="9">
        <f ca="1">IFERROR(__xludf.DUMMYFUNCTION("MROUND(XLOOKUP(A46,PL!E:E,PL!D:D)*1.4/SUBSTITUTE(importxml(""http://api.nbp.pl/api/exchangerates/rates/a/eur/""&amp;to_text(XLOOKUP(A46,PL!E:E,PL!A:A))&amp;""/?format=xml"",""//Mid""),""."","",""),5)"),10)</f>
        <v>10</v>
      </c>
      <c r="F46" s="11" t="e">
        <f t="array" aca="1" ref="F46" ca="1">_xludf.XLOOKUP(A46,PL!E:E,PL!A:A)</f>
        <v>#NAME?</v>
      </c>
      <c r="G46" s="8"/>
    </row>
    <row r="47" spans="1:7" ht="18.75" customHeight="1" x14ac:dyDescent="0.2">
      <c r="A47" s="8" t="s">
        <v>5860</v>
      </c>
      <c r="B47" s="9">
        <v>49772</v>
      </c>
      <c r="C47" s="9">
        <v>5902557386604</v>
      </c>
      <c r="D47" s="10" t="s">
        <v>5861</v>
      </c>
      <c r="E47" s="9">
        <f ca="1">IFERROR(__xludf.DUMMYFUNCTION("MROUND(XLOOKUP(A47,PL!E:E,PL!D:D)*1.4/SUBSTITUTE(importxml(""http://api.nbp.pl/api/exchangerates/rates/a/eur/""&amp;to_text(XLOOKUP(A47,PL!E:E,PL!A:A))&amp;""/?format=xml"",""//Mid""),""."","",""),5)"),15)</f>
        <v>15</v>
      </c>
      <c r="F47" s="11" t="e">
        <f t="array" aca="1" ref="F47" ca="1">_xludf.XLOOKUP(A47,PL!E:E,PL!A:A)</f>
        <v>#NAME?</v>
      </c>
      <c r="G47" s="8"/>
    </row>
    <row r="48" spans="1:7" ht="18.75" customHeight="1" x14ac:dyDescent="0.2">
      <c r="A48" s="8" t="s">
        <v>5862</v>
      </c>
      <c r="B48" s="9">
        <v>49774</v>
      </c>
      <c r="C48" s="9">
        <v>5902557386628</v>
      </c>
      <c r="D48" s="10" t="s">
        <v>5863</v>
      </c>
      <c r="E48" s="9">
        <f ca="1">IFERROR(__xludf.DUMMYFUNCTION("MROUND(XLOOKUP(A48,PL!E:E,PL!D:D)*1.4/SUBSTITUTE(importxml(""http://api.nbp.pl/api/exchangerates/rates/a/eur/""&amp;to_text(XLOOKUP(A48,PL!E:E,PL!A:A))&amp;""/?format=xml"",""//Mid""),""."","",""),5)"),10)</f>
        <v>10</v>
      </c>
      <c r="F48" s="11" t="e">
        <f t="array" aca="1" ref="F48" ca="1">_xludf.XLOOKUP(A48,PL!E:E,PL!A:A)</f>
        <v>#NAME?</v>
      </c>
      <c r="G48" s="8"/>
    </row>
    <row r="49" spans="1:7" ht="18.75" customHeight="1" x14ac:dyDescent="0.2">
      <c r="A49" s="8" t="s">
        <v>5864</v>
      </c>
      <c r="B49" s="9">
        <v>49773</v>
      </c>
      <c r="C49" s="9">
        <v>5902557386611</v>
      </c>
      <c r="D49" s="10" t="s">
        <v>5865</v>
      </c>
      <c r="E49" s="9">
        <f ca="1">IFERROR(__xludf.DUMMYFUNCTION("MROUND(XLOOKUP(A49,PL!E:E,PL!D:D)*1.4/SUBSTITUTE(importxml(""http://api.nbp.pl/api/exchangerates/rates/a/eur/""&amp;to_text(XLOOKUP(A49,PL!E:E,PL!A:A))&amp;""/?format=xml"",""//Mid""),""."","",""),5)"),10)</f>
        <v>10</v>
      </c>
      <c r="F49" s="11" t="e">
        <f t="array" aca="1" ref="F49" ca="1">_xludf.XLOOKUP(A49,PL!E:E,PL!A:A)</f>
        <v>#NAME?</v>
      </c>
      <c r="G49" s="8"/>
    </row>
    <row r="50" spans="1:7" ht="18.75" customHeight="1" x14ac:dyDescent="0.2">
      <c r="A50" s="8" t="s">
        <v>5866</v>
      </c>
      <c r="B50" s="9">
        <v>49771</v>
      </c>
      <c r="C50" s="8">
        <v>5902557386598</v>
      </c>
      <c r="D50" s="10" t="s">
        <v>5867</v>
      </c>
      <c r="E50" s="9">
        <f ca="1">IFERROR(__xludf.DUMMYFUNCTION("MROUND(XLOOKUP(A50,PL!E:E,PL!D:D)*1.4/SUBSTITUTE(importxml(""http://api.nbp.pl/api/exchangerates/rates/a/eur/""&amp;to_text(XLOOKUP(A50,PL!E:E,PL!A:A))&amp;""/?format=xml"",""//Mid""),""."","",""),5)"),15)</f>
        <v>15</v>
      </c>
      <c r="F50" s="11" t="e">
        <f t="array" aca="1" ref="F50" ca="1">_xludf.XLOOKUP(A50,PL!E:E,PL!A:A)</f>
        <v>#NAME?</v>
      </c>
      <c r="G50" s="8"/>
    </row>
    <row r="51" spans="1:7" ht="18.75" customHeight="1" x14ac:dyDescent="0.2">
      <c r="A51" s="8" t="s">
        <v>5868</v>
      </c>
      <c r="B51" s="9">
        <v>52733</v>
      </c>
      <c r="C51" s="9">
        <v>5902557398508</v>
      </c>
      <c r="D51" s="10" t="s">
        <v>5869</v>
      </c>
      <c r="E51" s="9">
        <f ca="1">IFERROR(__xludf.DUMMYFUNCTION("MROUND(XLOOKUP(A51,PL!E:E,PL!D:D)*1.4/SUBSTITUTE(importxml(""http://api.nbp.pl/api/exchangerates/rates/a/eur/""&amp;to_text(XLOOKUP(A51,PL!E:E,PL!A:A))&amp;""/?format=xml"",""//Mid""),""."","",""),5)"),35)</f>
        <v>35</v>
      </c>
      <c r="F51" s="11" t="e">
        <f t="array" aca="1" ref="F51" ca="1">_xludf.XLOOKUP(A51,PL!E:E,PL!A:A)</f>
        <v>#NAME?</v>
      </c>
      <c r="G51" s="8"/>
    </row>
    <row r="52" spans="1:7" ht="18.75" customHeight="1" x14ac:dyDescent="0.2">
      <c r="A52" s="8" t="s">
        <v>5870</v>
      </c>
      <c r="B52" s="9">
        <v>52734</v>
      </c>
      <c r="C52" s="9">
        <v>5902557398492</v>
      </c>
      <c r="D52" s="10" t="s">
        <v>5871</v>
      </c>
      <c r="E52" s="9">
        <f ca="1">IFERROR(__xludf.DUMMYFUNCTION("MROUND(XLOOKUP(A52,PL!E:E,PL!D:D)*1.4/SUBSTITUTE(importxml(""http://api.nbp.pl/api/exchangerates/rates/a/eur/""&amp;to_text(XLOOKUP(A52,PL!E:E,PL!A:A))&amp;""/?format=xml"",""//Mid""),""."","",""),5)"),45)</f>
        <v>45</v>
      </c>
      <c r="F52" s="11" t="e">
        <f t="array" aca="1" ref="F52" ca="1">_xludf.XLOOKUP(A52,PL!E:E,PL!A:A)</f>
        <v>#NAME?</v>
      </c>
      <c r="G52" s="8"/>
    </row>
    <row r="53" spans="1:7" ht="18.75" customHeight="1" x14ac:dyDescent="0.2">
      <c r="A53" s="8" t="s">
        <v>5872</v>
      </c>
      <c r="B53" s="9">
        <v>52721</v>
      </c>
      <c r="C53" s="9">
        <v>5902557398379</v>
      </c>
      <c r="D53" s="10" t="s">
        <v>5873</v>
      </c>
      <c r="E53" s="9">
        <f ca="1">IFERROR(__xludf.DUMMYFUNCTION("MROUND(XLOOKUP(A53,PL!E:E,PL!D:D)*1.4/SUBSTITUTE(importxml(""http://api.nbp.pl/api/exchangerates/rates/a/eur/""&amp;to_text(XLOOKUP(A53,PL!E:E,PL!A:A))&amp;""/?format=xml"",""//Mid""),""."","",""),5)"),55)</f>
        <v>55</v>
      </c>
      <c r="F53" s="11" t="e">
        <f t="array" aca="1" ref="F53" ca="1">_xludf.XLOOKUP(A53,PL!E:E,PL!A:A)</f>
        <v>#NAME?</v>
      </c>
      <c r="G53" s="8"/>
    </row>
    <row r="54" spans="1:7" ht="18.75" customHeight="1" x14ac:dyDescent="0.2">
      <c r="A54" s="8" t="s">
        <v>5874</v>
      </c>
      <c r="B54" s="9">
        <v>52723</v>
      </c>
      <c r="C54" s="9">
        <v>5902557398386</v>
      </c>
      <c r="D54" s="10" t="s">
        <v>5875</v>
      </c>
      <c r="E54" s="9">
        <f ca="1">IFERROR(__xludf.DUMMYFUNCTION("MROUND(XLOOKUP(A54,PL!E:E,PL!D:D)*1.4/SUBSTITUTE(importxml(""http://api.nbp.pl/api/exchangerates/rates/a/eur/""&amp;to_text(XLOOKUP(A54,PL!E:E,PL!A:A))&amp;""/?format=xml"",""//Mid""),""."","",""),5)"),60)</f>
        <v>60</v>
      </c>
      <c r="F54" s="11" t="e">
        <f t="array" aca="1" ref="F54" ca="1">_xludf.XLOOKUP(A54,PL!E:E,PL!A:A)</f>
        <v>#NAME?</v>
      </c>
      <c r="G54" s="8"/>
    </row>
    <row r="55" spans="1:7" ht="18.75" customHeight="1" x14ac:dyDescent="0.2">
      <c r="A55" s="8" t="s">
        <v>5876</v>
      </c>
      <c r="B55" s="9">
        <v>49486</v>
      </c>
      <c r="C55" s="9">
        <v>5902557378043</v>
      </c>
      <c r="D55" s="10" t="s">
        <v>5877</v>
      </c>
      <c r="E55" s="9">
        <f ca="1">IFERROR(__xludf.DUMMYFUNCTION("MROUND(XLOOKUP(A55,PL!E:E,PL!D:D)*1.4/SUBSTITUTE(importxml(""http://api.nbp.pl/api/exchangerates/rates/a/eur/""&amp;to_text(XLOOKUP(A55,PL!E:E,PL!A:A))&amp;""/?format=xml"",""//Mid""),""."","",""),5)"),20)</f>
        <v>20</v>
      </c>
      <c r="F55" s="11" t="e">
        <f t="array" aca="1" ref="F55" ca="1">_xludf.XLOOKUP(A55,PL!E:E,PL!A:A)</f>
        <v>#NAME?</v>
      </c>
      <c r="G55" s="8"/>
    </row>
    <row r="56" spans="1:7" ht="18.75" customHeight="1" x14ac:dyDescent="0.2">
      <c r="A56" s="8" t="s">
        <v>5878</v>
      </c>
      <c r="B56" s="9">
        <v>49492</v>
      </c>
      <c r="C56" s="9">
        <v>5902557378050</v>
      </c>
      <c r="D56" s="10" t="s">
        <v>5879</v>
      </c>
      <c r="E56" s="9">
        <f ca="1">IFERROR(__xludf.DUMMYFUNCTION("MROUND(XLOOKUP(A56,PL!E:E,PL!D:D)*1.4/SUBSTITUTE(importxml(""http://api.nbp.pl/api/exchangerates/rates/a/eur/""&amp;to_text(XLOOKUP(A56,PL!E:E,PL!A:A))&amp;""/?format=xml"",""//Mid""),""."","",""),5)"),20)</f>
        <v>20</v>
      </c>
      <c r="F56" s="11" t="e">
        <f t="array" aca="1" ref="F56" ca="1">_xludf.XLOOKUP(A56,PL!E:E,PL!A:A)</f>
        <v>#NAME?</v>
      </c>
      <c r="G56" s="8"/>
    </row>
    <row r="57" spans="1:7" ht="18.75" customHeight="1" x14ac:dyDescent="0.2">
      <c r="A57" s="8" t="s">
        <v>5880</v>
      </c>
      <c r="B57" s="9">
        <v>49488</v>
      </c>
      <c r="C57" s="9">
        <v>5902557378067</v>
      </c>
      <c r="D57" s="10" t="s">
        <v>5881</v>
      </c>
      <c r="E57" s="9">
        <f ca="1">IFERROR(__xludf.DUMMYFUNCTION("MROUND(XLOOKUP(A57,PL!E:E,PL!D:D)*1.4/SUBSTITUTE(importxml(""http://api.nbp.pl/api/exchangerates/rates/a/eur/""&amp;to_text(XLOOKUP(A57,PL!E:E,PL!A:A))&amp;""/?format=xml"",""//Mid""),""."","",""),5)"),25)</f>
        <v>25</v>
      </c>
      <c r="F57" s="11" t="e">
        <f t="array" aca="1" ref="F57" ca="1">_xludf.XLOOKUP(A57,PL!E:E,PL!A:A)</f>
        <v>#NAME?</v>
      </c>
      <c r="G57" s="8"/>
    </row>
    <row r="58" spans="1:7" ht="18.75" customHeight="1" x14ac:dyDescent="0.2">
      <c r="A58" s="8" t="s">
        <v>5882</v>
      </c>
      <c r="B58" s="9">
        <v>30282</v>
      </c>
      <c r="C58" s="9">
        <v>5902557348596</v>
      </c>
      <c r="D58" s="10" t="s">
        <v>5883</v>
      </c>
      <c r="E58" s="9">
        <f ca="1">IFERROR(__xludf.DUMMYFUNCTION("MROUND(XLOOKUP(A58,PL!E:E,PL!D:D)*1.4/SUBSTITUTE(importxml(""http://api.nbp.pl/api/exchangerates/rates/a/eur/""&amp;to_text(XLOOKUP(A58,PL!E:E,PL!A:A))&amp;""/?format=xml"",""//Mid""),""."","",""),5)"),40)</f>
        <v>40</v>
      </c>
      <c r="F58" s="11" t="e">
        <f t="array" aca="1" ref="F58" ca="1">_xludf.XLOOKUP(A58,PL!E:E,PL!A:A)</f>
        <v>#NAME?</v>
      </c>
      <c r="G58" s="8"/>
    </row>
    <row r="59" spans="1:7" ht="18.75" customHeight="1" x14ac:dyDescent="0.2">
      <c r="A59" s="8" t="s">
        <v>5884</v>
      </c>
      <c r="B59" s="9">
        <v>53552</v>
      </c>
      <c r="C59" s="8">
        <v>5906366006708</v>
      </c>
      <c r="D59" s="10" t="s">
        <v>5885</v>
      </c>
      <c r="E59" s="9">
        <f ca="1">IFERROR(__xludf.DUMMYFUNCTION("MROUND(XLOOKUP(A59,PL!E:E,PL!D:D)*1.4/SUBSTITUTE(importxml(""http://api.nbp.pl/api/exchangerates/rates/a/eur/""&amp;to_text(XLOOKUP(A59,PL!E:E,PL!A:A))&amp;""/?format=xml"",""//Mid""),""."","",""),5)"),35)</f>
        <v>35</v>
      </c>
      <c r="F59" s="11" t="e">
        <f t="array" aca="1" ref="F59" ca="1">_xludf.XLOOKUP(A59,PL!E:E,PL!A:A)</f>
        <v>#NAME?</v>
      </c>
      <c r="G59" s="8"/>
    </row>
    <row r="60" spans="1:7" ht="18.75" customHeight="1" x14ac:dyDescent="0.2">
      <c r="A60" s="8" t="s">
        <v>5886</v>
      </c>
      <c r="B60" s="9">
        <v>53560</v>
      </c>
      <c r="C60" s="8">
        <v>5906366006692</v>
      </c>
      <c r="D60" s="10" t="s">
        <v>5887</v>
      </c>
      <c r="E60" s="9">
        <f ca="1">IFERROR(__xludf.DUMMYFUNCTION("MROUND(XLOOKUP(A60,PL!E:E,PL!D:D)*1.4/SUBSTITUTE(importxml(""http://api.nbp.pl/api/exchangerates/rates/a/eur/""&amp;to_text(XLOOKUP(A60,PL!E:E,PL!A:A))&amp;""/?format=xml"",""//Mid""),""."","",""),5)"),40)</f>
        <v>40</v>
      </c>
      <c r="F60" s="11" t="e">
        <f t="array" aca="1" ref="F60" ca="1">_xludf.XLOOKUP(A60,PL!E:E,PL!A:A)</f>
        <v>#NAME?</v>
      </c>
      <c r="G60" s="8"/>
    </row>
    <row r="61" spans="1:7" ht="18.75" customHeight="1" x14ac:dyDescent="0.2">
      <c r="A61" s="8" t="s">
        <v>5888</v>
      </c>
      <c r="B61" s="9">
        <v>26394</v>
      </c>
      <c r="C61" s="9">
        <v>5902557334698</v>
      </c>
      <c r="D61" s="10" t="s">
        <v>5889</v>
      </c>
      <c r="E61" s="9">
        <f ca="1">IFERROR(__xludf.DUMMYFUNCTION("MROUND(XLOOKUP(A61,PL!E:E,PL!D:D)*1.4/SUBSTITUTE(importxml(""http://api.nbp.pl/api/exchangerates/rates/a/eur/""&amp;to_text(XLOOKUP(A61,PL!E:E,PL!A:A))&amp;""/?format=xml"",""//Mid""),""."","",""),5)"),35)</f>
        <v>35</v>
      </c>
      <c r="F61" s="11" t="e">
        <f t="array" aca="1" ref="F61" ca="1">_xludf.XLOOKUP(A61,PL!E:E,PL!A:A)</f>
        <v>#NAME?</v>
      </c>
      <c r="G61" s="8"/>
    </row>
    <row r="62" spans="1:7" ht="18.75" customHeight="1" x14ac:dyDescent="0.2">
      <c r="A62" s="8" t="s">
        <v>5890</v>
      </c>
      <c r="B62" s="9">
        <v>49519</v>
      </c>
      <c r="C62" s="9">
        <v>5902557384082</v>
      </c>
      <c r="D62" s="10" t="s">
        <v>5891</v>
      </c>
      <c r="E62" s="9">
        <f ca="1">IFERROR(__xludf.DUMMYFUNCTION("MROUND(XLOOKUP(A62,PL!E:E,PL!D:D)*1.4/SUBSTITUTE(importxml(""http://api.nbp.pl/api/exchangerates/rates/a/eur/""&amp;to_text(XLOOKUP(A62,PL!E:E,PL!A:A))&amp;""/?format=xml"",""//Mid""),""."","",""),5)"),20)</f>
        <v>20</v>
      </c>
      <c r="F62" s="11" t="e">
        <f t="array" aca="1" ref="F62" ca="1">_xludf.XLOOKUP(A62,PL!E:E,PL!A:A)</f>
        <v>#NAME?</v>
      </c>
      <c r="G62" s="8"/>
    </row>
    <row r="63" spans="1:7" ht="18.75" customHeight="1" x14ac:dyDescent="0.2">
      <c r="A63" s="8" t="s">
        <v>5892</v>
      </c>
      <c r="B63" s="9">
        <v>49590</v>
      </c>
      <c r="C63" s="9">
        <v>5902557384549</v>
      </c>
      <c r="D63" s="10" t="s">
        <v>5893</v>
      </c>
      <c r="E63" s="9">
        <f ca="1">IFERROR(__xludf.DUMMYFUNCTION("MROUND(XLOOKUP(A63,PL!E:E,PL!D:D)*1.4/SUBSTITUTE(importxml(""http://api.nbp.pl/api/exchangerates/rates/a/eur/""&amp;to_text(XLOOKUP(A63,PL!E:E,PL!A:A))&amp;""/?format=xml"",""//Mid""),""."","",""),5)"),30)</f>
        <v>30</v>
      </c>
      <c r="F63" s="11" t="e">
        <f t="array" aca="1" ref="F63" ca="1">_xludf.XLOOKUP(A63,PL!E:E,PL!A:A)</f>
        <v>#NAME?</v>
      </c>
      <c r="G63" s="8"/>
    </row>
    <row r="64" spans="1:7" ht="18.75" customHeight="1" x14ac:dyDescent="0.2">
      <c r="A64" s="8" t="s">
        <v>5894</v>
      </c>
      <c r="B64" s="9">
        <v>49544</v>
      </c>
      <c r="C64" s="9">
        <v>5902557384297</v>
      </c>
      <c r="D64" s="10" t="s">
        <v>5895</v>
      </c>
      <c r="E64" s="9">
        <f ca="1">IFERROR(__xludf.DUMMYFUNCTION("MROUND(XLOOKUP(A64,PL!E:E,PL!D:D)*1.4/SUBSTITUTE(importxml(""http://api.nbp.pl/api/exchangerates/rates/a/eur/""&amp;to_text(XLOOKUP(A64,PL!E:E,PL!A:A))&amp;""/?format=xml"",""//Mid""),""."","",""),5)"),35)</f>
        <v>35</v>
      </c>
      <c r="F64" s="11" t="e">
        <f t="array" aca="1" ref="F64" ca="1">_xludf.XLOOKUP(A64,PL!E:E,PL!A:A)</f>
        <v>#NAME?</v>
      </c>
      <c r="G64" s="8"/>
    </row>
    <row r="65" spans="1:7" ht="18.75" customHeight="1" x14ac:dyDescent="0.2">
      <c r="A65" s="8" t="s">
        <v>5896</v>
      </c>
      <c r="B65" s="9">
        <v>52991</v>
      </c>
      <c r="C65" s="9">
        <v>5906366003769</v>
      </c>
      <c r="D65" s="10" t="s">
        <v>5897</v>
      </c>
      <c r="E65" s="9">
        <f ca="1">IFERROR(__xludf.DUMMYFUNCTION("MROUND(XLOOKUP(A65,PL!E:E,PL!D:D)*1.4/SUBSTITUTE(importxml(""http://api.nbp.pl/api/exchangerates/rates/a/eur/""&amp;to_text(XLOOKUP(A65,PL!E:E,PL!A:A))&amp;""/?format=xml"",""//Mid""),""."","",""),5)"),15)</f>
        <v>15</v>
      </c>
      <c r="F65" s="11" t="e">
        <f t="array" aca="1" ref="F65" ca="1">_xludf.XLOOKUP(A65,PL!E:E,PL!A:A)</f>
        <v>#NAME?</v>
      </c>
      <c r="G65" s="8"/>
    </row>
    <row r="66" spans="1:7" ht="18.75" customHeight="1" x14ac:dyDescent="0.2">
      <c r="A66" s="8" t="s">
        <v>5898</v>
      </c>
      <c r="B66" s="9">
        <v>43937</v>
      </c>
      <c r="C66" s="9">
        <v>5902557367764</v>
      </c>
      <c r="D66" s="10" t="s">
        <v>5899</v>
      </c>
      <c r="E66" s="9">
        <f ca="1">IFERROR(__xludf.DUMMYFUNCTION("MROUND(XLOOKUP(A66,PL!E:E,PL!D:D)*1.4/SUBSTITUTE(importxml(""http://api.nbp.pl/api/exchangerates/rates/a/eur/""&amp;to_text(XLOOKUP(A66,PL!E:E,PL!A:A))&amp;""/?format=xml"",""//Mid""),""."","",""),5)"),20)</f>
        <v>20</v>
      </c>
      <c r="F66" s="11" t="e">
        <f t="array" aca="1" ref="F66" ca="1">_xludf.XLOOKUP(A66,PL!E:E,PL!A:A)</f>
        <v>#NAME?</v>
      </c>
      <c r="G66" s="8"/>
    </row>
    <row r="67" spans="1:7" ht="18.75" customHeight="1" x14ac:dyDescent="0.2">
      <c r="A67" s="8" t="s">
        <v>5900</v>
      </c>
      <c r="B67" s="9">
        <v>43933</v>
      </c>
      <c r="C67" s="9">
        <v>5902557367948</v>
      </c>
      <c r="D67" s="10" t="s">
        <v>5901</v>
      </c>
      <c r="E67" s="9">
        <f ca="1">IFERROR(__xludf.DUMMYFUNCTION("MROUND(XLOOKUP(A67,PL!E:E,PL!D:D)*1.4/SUBSTITUTE(importxml(""http://api.nbp.pl/api/exchangerates/rates/a/eur/""&amp;to_text(XLOOKUP(A67,PL!E:E,PL!A:A))&amp;""/?format=xml"",""//Mid""),""."","",""),5)"),15)</f>
        <v>15</v>
      </c>
      <c r="F67" s="11" t="e">
        <f t="array" aca="1" ref="F67" ca="1">_xludf.XLOOKUP(A67,PL!E:E,PL!A:A)</f>
        <v>#NAME?</v>
      </c>
      <c r="G67" s="8"/>
    </row>
    <row r="68" spans="1:7" ht="18.75" customHeight="1" x14ac:dyDescent="0.2">
      <c r="A68" s="8" t="s">
        <v>5902</v>
      </c>
      <c r="B68" s="9">
        <v>44676</v>
      </c>
      <c r="C68" s="9">
        <v>5902557368112</v>
      </c>
      <c r="D68" s="10" t="s">
        <v>5903</v>
      </c>
      <c r="E68" s="9">
        <f ca="1">IFERROR(__xludf.DUMMYFUNCTION("MROUND(XLOOKUP(A68,PL!E:E,PL!D:D)*1.4/SUBSTITUTE(importxml(""http://api.nbp.pl/api/exchangerates/rates/a/eur/""&amp;to_text(XLOOKUP(A68,PL!E:E,PL!A:A))&amp;""/?format=xml"",""//Mid""),""."","",""),5)"),20)</f>
        <v>20</v>
      </c>
      <c r="F68" s="11" t="e">
        <f t="array" aca="1" ref="F68" ca="1">_xludf.XLOOKUP(A68,PL!E:E,PL!A:A)</f>
        <v>#NAME?</v>
      </c>
      <c r="G68" s="8"/>
    </row>
    <row r="69" spans="1:7" ht="18.75" customHeight="1" x14ac:dyDescent="0.2">
      <c r="A69" s="8" t="s">
        <v>5904</v>
      </c>
      <c r="B69" s="9">
        <v>49794</v>
      </c>
      <c r="C69" s="9">
        <v>5902557386697</v>
      </c>
      <c r="D69" s="10" t="s">
        <v>5905</v>
      </c>
      <c r="E69" s="9">
        <f ca="1">IFERROR(__xludf.DUMMYFUNCTION("MROUND(XLOOKUP(A69,PL!E:E,PL!D:D)*1.4/SUBSTITUTE(importxml(""http://api.nbp.pl/api/exchangerates/rates/a/eur/""&amp;to_text(XLOOKUP(A69,PL!E:E,PL!A:A))&amp;""/?format=xml"",""//Mid""),""."","",""),5)"),15)</f>
        <v>15</v>
      </c>
      <c r="F69" s="11" t="e">
        <f t="array" aca="1" ref="F69" ca="1">_xludf.XLOOKUP(A69,PL!E:E,PL!A:A)</f>
        <v>#NAME?</v>
      </c>
      <c r="G69" s="8"/>
    </row>
    <row r="70" spans="1:7" ht="18.75" customHeight="1" x14ac:dyDescent="0.2">
      <c r="A70" s="8" t="s">
        <v>5906</v>
      </c>
      <c r="B70" s="9">
        <v>49515</v>
      </c>
      <c r="C70" s="9">
        <v>5902557384044</v>
      </c>
      <c r="D70" s="10" t="s">
        <v>5907</v>
      </c>
      <c r="E70" s="9">
        <f ca="1">IFERROR(__xludf.DUMMYFUNCTION("MROUND(XLOOKUP(A70,PL!E:E,PL!D:D)*1.4/SUBSTITUTE(importxml(""http://api.nbp.pl/api/exchangerates/rates/a/eur/""&amp;to_text(XLOOKUP(A70,PL!E:E,PL!A:A))&amp;""/?format=xml"",""//Mid""),""."","",""),5)"),20)</f>
        <v>20</v>
      </c>
      <c r="F70" s="11" t="e">
        <f t="array" aca="1" ref="F70" ca="1">_xludf.XLOOKUP(A70,PL!E:E,PL!A:A)</f>
        <v>#NAME?</v>
      </c>
      <c r="G70" s="8"/>
    </row>
    <row r="71" spans="1:7" ht="18.75" customHeight="1" x14ac:dyDescent="0.2">
      <c r="A71" s="8" t="s">
        <v>5908</v>
      </c>
      <c r="B71" s="9">
        <v>49553</v>
      </c>
      <c r="C71" s="9">
        <v>5902557384372</v>
      </c>
      <c r="D71" s="10" t="s">
        <v>5909</v>
      </c>
      <c r="E71" s="9">
        <f ca="1">IFERROR(__xludf.DUMMYFUNCTION("MROUND(XLOOKUP(A71,PL!E:E,PL!D:D)*1.4/SUBSTITUTE(importxml(""http://api.nbp.pl/api/exchangerates/rates/a/eur/""&amp;to_text(XLOOKUP(A71,PL!E:E,PL!A:A))&amp;""/?format=xml"",""//Mid""),""."","",""),5)"),15)</f>
        <v>15</v>
      </c>
      <c r="F71" s="11" t="e">
        <f t="array" aca="1" ref="F71" ca="1">_xludf.XLOOKUP(A71,PL!E:E,PL!A:A)</f>
        <v>#NAME?</v>
      </c>
      <c r="G71" s="8"/>
    </row>
    <row r="72" spans="1:7" ht="18.75" customHeight="1" x14ac:dyDescent="0.2">
      <c r="A72" s="8" t="s">
        <v>5910</v>
      </c>
      <c r="B72" s="9">
        <v>49549</v>
      </c>
      <c r="C72" s="9">
        <v>5902557384341</v>
      </c>
      <c r="D72" s="10" t="s">
        <v>5911</v>
      </c>
      <c r="E72" s="9">
        <f ca="1">IFERROR(__xludf.DUMMYFUNCTION("MROUND(XLOOKUP(A72,PL!E:E,PL!D:D)*1.4/SUBSTITUTE(importxml(""http://api.nbp.pl/api/exchangerates/rates/a/eur/""&amp;to_text(XLOOKUP(A72,PL!E:E,PL!A:A))&amp;""/?format=xml"",""//Mid""),""."","",""),5)"),30)</f>
        <v>30</v>
      </c>
      <c r="F72" s="11" t="e">
        <f t="array" aca="1" ref="F72" ca="1">_xludf.XLOOKUP(A72,PL!E:E,PL!A:A)</f>
        <v>#NAME?</v>
      </c>
      <c r="G72" s="8"/>
    </row>
    <row r="73" spans="1:7" ht="18.75" customHeight="1" x14ac:dyDescent="0.2">
      <c r="A73" s="8" t="s">
        <v>5912</v>
      </c>
      <c r="B73" s="9">
        <v>49533</v>
      </c>
      <c r="C73" s="9">
        <v>5902557384198</v>
      </c>
      <c r="D73" s="10" t="s">
        <v>5913</v>
      </c>
      <c r="E73" s="9">
        <f ca="1">IFERROR(__xludf.DUMMYFUNCTION("MROUND(XLOOKUP(A73,PL!E:E,PL!D:D)*1.4/SUBSTITUTE(importxml(""http://api.nbp.pl/api/exchangerates/rates/a/eur/""&amp;to_text(XLOOKUP(A73,PL!E:E,PL!A:A))&amp;""/?format=xml"",""//Mid""),""."","",""),5)"),35)</f>
        <v>35</v>
      </c>
      <c r="F73" s="11" t="e">
        <f t="array" aca="1" ref="F73" ca="1">_xludf.XLOOKUP(A73,PL!E:E,PL!A:A)</f>
        <v>#NAME?</v>
      </c>
      <c r="G73" s="8"/>
    </row>
    <row r="74" spans="1:7" ht="18.75" customHeight="1" x14ac:dyDescent="0.2">
      <c r="A74" s="8" t="s">
        <v>5914</v>
      </c>
      <c r="B74" s="9">
        <v>49548</v>
      </c>
      <c r="C74" s="9">
        <v>5902557384334</v>
      </c>
      <c r="D74" s="10" t="s">
        <v>5915</v>
      </c>
      <c r="E74" s="9">
        <f ca="1">IFERROR(__xludf.DUMMYFUNCTION("MROUND(XLOOKUP(A74,PL!E:E,PL!D:D)*1.4/SUBSTITUTE(importxml(""http://api.nbp.pl/api/exchangerates/rates/a/eur/""&amp;to_text(XLOOKUP(A74,PL!E:E,PL!A:A))&amp;""/?format=xml"",""//Mid""),""."","",""),5)"),20)</f>
        <v>20</v>
      </c>
      <c r="F74" s="11" t="e">
        <f t="array" aca="1" ref="F74" ca="1">_xludf.XLOOKUP(A74,PL!E:E,PL!A:A)</f>
        <v>#NAME?</v>
      </c>
      <c r="G74" s="8"/>
    </row>
    <row r="75" spans="1:7" ht="18.75" customHeight="1" x14ac:dyDescent="0.2">
      <c r="A75" s="8" t="s">
        <v>5916</v>
      </c>
      <c r="B75" s="9">
        <v>52920</v>
      </c>
      <c r="C75" s="9">
        <v>5906366004186</v>
      </c>
      <c r="D75" s="10" t="s">
        <v>5917</v>
      </c>
      <c r="E75" s="9">
        <f ca="1">IFERROR(__xludf.DUMMYFUNCTION("MROUND(XLOOKUP(A75,PL!E:E,PL!D:D)*1.4/SUBSTITUTE(importxml(""http://api.nbp.pl/api/exchangerates/rates/a/eur/""&amp;to_text(XLOOKUP(A75,PL!E:E,PL!A:A))&amp;""/?format=xml"",""//Mid""),""."","",""),5)"),40)</f>
        <v>40</v>
      </c>
      <c r="F75" s="11" t="e">
        <f t="array" aca="1" ref="F75" ca="1">_xludf.XLOOKUP(A75,PL!E:E,PL!A:A)</f>
        <v>#NAME?</v>
      </c>
      <c r="G75" s="8"/>
    </row>
    <row r="76" spans="1:7" ht="18.75" customHeight="1" x14ac:dyDescent="0.2">
      <c r="A76" s="8" t="s">
        <v>5918</v>
      </c>
      <c r="B76" s="9">
        <v>43938</v>
      </c>
      <c r="C76" s="9">
        <v>5902557367771</v>
      </c>
      <c r="D76" s="10" t="s">
        <v>5919</v>
      </c>
      <c r="E76" s="9">
        <f ca="1">IFERROR(__xludf.DUMMYFUNCTION("MROUND(XLOOKUP(A76,PL!E:E,PL!D:D)*1.4/SUBSTITUTE(importxml(""http://api.nbp.pl/api/exchangerates/rates/a/eur/""&amp;to_text(XLOOKUP(A76,PL!E:E,PL!A:A))&amp;""/?format=xml"",""//Mid""),""."","",""),5)"),20)</f>
        <v>20</v>
      </c>
      <c r="F76" s="11" t="e">
        <f t="array" aca="1" ref="F76" ca="1">_xludf.XLOOKUP(A76,PL!E:E,PL!A:A)</f>
        <v>#NAME?</v>
      </c>
      <c r="G76" s="8"/>
    </row>
    <row r="77" spans="1:7" ht="18.75" customHeight="1" x14ac:dyDescent="0.2">
      <c r="A77" s="8" t="s">
        <v>5920</v>
      </c>
      <c r="B77" s="9">
        <v>43934</v>
      </c>
      <c r="C77" s="9">
        <v>5902557371716</v>
      </c>
      <c r="D77" s="10" t="s">
        <v>5921</v>
      </c>
      <c r="E77" s="9">
        <f ca="1">IFERROR(__xludf.DUMMYFUNCTION("MROUND(XLOOKUP(A77,PL!E:E,PL!D:D)*1.4/SUBSTITUTE(importxml(""http://api.nbp.pl/api/exchangerates/rates/a/eur/""&amp;to_text(XLOOKUP(A77,PL!E:E,PL!A:A))&amp;""/?format=xml"",""//Mid""),""."","",""),5)"),20)</f>
        <v>20</v>
      </c>
      <c r="F77" s="11" t="e">
        <f t="array" aca="1" ref="F77" ca="1">_xludf.XLOOKUP(A77,PL!E:E,PL!A:A)</f>
        <v>#NAME?</v>
      </c>
      <c r="G77" s="8"/>
    </row>
    <row r="78" spans="1:7" ht="18.75" customHeight="1" x14ac:dyDescent="0.2">
      <c r="A78" s="8" t="s">
        <v>5922</v>
      </c>
      <c r="B78" s="9">
        <v>43939</v>
      </c>
      <c r="C78" s="9">
        <v>5902557368129</v>
      </c>
      <c r="D78" s="10" t="s">
        <v>5923</v>
      </c>
      <c r="E78" s="9">
        <f ca="1">IFERROR(__xludf.DUMMYFUNCTION("MROUND(XLOOKUP(A78,PL!E:E,PL!D:D)*1.4/SUBSTITUTE(importxml(""http://api.nbp.pl/api/exchangerates/rates/a/eur/""&amp;to_text(XLOOKUP(A78,PL!E:E,PL!A:A))&amp;""/?format=xml"",""//Mid""),""."","",""),5)"),20)</f>
        <v>20</v>
      </c>
      <c r="F78" s="11" t="e">
        <f t="array" aca="1" ref="F78" ca="1">_xludf.XLOOKUP(A78,PL!E:E,PL!A:A)</f>
        <v>#NAME?</v>
      </c>
      <c r="G78" s="8"/>
    </row>
    <row r="79" spans="1:7" ht="18.75" customHeight="1" x14ac:dyDescent="0.2">
      <c r="A79" s="8" t="s">
        <v>5924</v>
      </c>
      <c r="B79" s="9">
        <v>49535</v>
      </c>
      <c r="C79" s="9">
        <v>5902557384228</v>
      </c>
      <c r="D79" s="10" t="s">
        <v>5925</v>
      </c>
      <c r="E79" s="9">
        <f ca="1">IFERROR(__xludf.DUMMYFUNCTION("MROUND(XLOOKUP(A79,PL!E:E,PL!D:D)*1.4/SUBSTITUTE(importxml(""http://api.nbp.pl/api/exchangerates/rates/a/eur/""&amp;to_text(XLOOKUP(A79,PL!E:E,PL!A:A))&amp;""/?format=xml"",""//Mid""),""."","",""),5)"),45)</f>
        <v>45</v>
      </c>
      <c r="F79" s="11" t="e">
        <f t="array" aca="1" ref="F79" ca="1">_xludf.XLOOKUP(A79,PL!E:E,PL!A:A)</f>
        <v>#NAME?</v>
      </c>
      <c r="G79" s="8"/>
    </row>
    <row r="80" spans="1:7" ht="18.75" customHeight="1" x14ac:dyDescent="0.2">
      <c r="A80" s="8" t="s">
        <v>5926</v>
      </c>
      <c r="B80" s="9">
        <v>49585</v>
      </c>
      <c r="C80" s="9">
        <v>5902557384495</v>
      </c>
      <c r="D80" s="10" t="s">
        <v>5927</v>
      </c>
      <c r="E80" s="9">
        <f ca="1">IFERROR(__xludf.DUMMYFUNCTION("MROUND(XLOOKUP(A80,PL!E:E,PL!D:D)*1.4/SUBSTITUTE(importxml(""http://api.nbp.pl/api/exchangerates/rates/a/eur/""&amp;to_text(XLOOKUP(A80,PL!E:E,PL!A:A))&amp;""/?format=xml"",""//Mid""),""."","",""),5)"),20)</f>
        <v>20</v>
      </c>
      <c r="F80" s="11" t="e">
        <f t="array" aca="1" ref="F80" ca="1">_xludf.XLOOKUP(A80,PL!E:E,PL!A:A)</f>
        <v>#NAME?</v>
      </c>
      <c r="G80" s="8"/>
    </row>
    <row r="81" spans="1:7" ht="18.75" customHeight="1" x14ac:dyDescent="0.2">
      <c r="A81" s="8" t="s">
        <v>5928</v>
      </c>
      <c r="B81" s="9">
        <v>50016</v>
      </c>
      <c r="C81" s="9">
        <v>5902557386840</v>
      </c>
      <c r="D81" s="10" t="s">
        <v>5929</v>
      </c>
      <c r="E81" s="9">
        <f ca="1">IFERROR(__xludf.DUMMYFUNCTION("MROUND(XLOOKUP(A81,PL!E:E,PL!D:D)*1.4/SUBSTITUTE(importxml(""http://api.nbp.pl/api/exchangerates/rates/a/eur/""&amp;to_text(XLOOKUP(A81,PL!E:E,PL!A:A))&amp;""/?format=xml"",""//Mid""),""."","",""),5)"),30)</f>
        <v>30</v>
      </c>
      <c r="F81" s="11" t="e">
        <f t="array" aca="1" ref="F81" ca="1">_xludf.XLOOKUP(A81,PL!E:E,PL!A:A)</f>
        <v>#NAME?</v>
      </c>
      <c r="G81" s="8"/>
    </row>
    <row r="82" spans="1:7" ht="18.75" customHeight="1" x14ac:dyDescent="0.2">
      <c r="A82" s="8" t="s">
        <v>5930</v>
      </c>
      <c r="B82" s="9">
        <v>49793</v>
      </c>
      <c r="C82" s="9">
        <v>5902557386680</v>
      </c>
      <c r="D82" s="10" t="s">
        <v>5931</v>
      </c>
      <c r="E82" s="9">
        <f ca="1">IFERROR(__xludf.DUMMYFUNCTION("MROUND(XLOOKUP(A82,PL!E:E,PL!D:D)*1.4/SUBSTITUTE(importxml(""http://api.nbp.pl/api/exchangerates/rates/a/eur/""&amp;to_text(XLOOKUP(A82,PL!E:E,PL!A:A))&amp;""/?format=xml"",""//Mid""),""."","",""),5)"),10)</f>
        <v>10</v>
      </c>
      <c r="F82" s="11" t="e">
        <f t="array" aca="1" ref="F82" ca="1">_xludf.XLOOKUP(A82,PL!E:E,PL!A:A)</f>
        <v>#NAME?</v>
      </c>
      <c r="G82" s="8"/>
    </row>
    <row r="83" spans="1:7" ht="18.75" customHeight="1" x14ac:dyDescent="0.2">
      <c r="A83" s="8" t="s">
        <v>5932</v>
      </c>
      <c r="B83" s="9">
        <v>49552</v>
      </c>
      <c r="C83" s="9">
        <v>5902557384365</v>
      </c>
      <c r="D83" s="10" t="s">
        <v>5933</v>
      </c>
      <c r="E83" s="9">
        <f ca="1">IFERROR(__xludf.DUMMYFUNCTION("MROUND(XLOOKUP(A83,PL!E:E,PL!D:D)*1.4/SUBSTITUTE(importxml(""http://api.nbp.pl/api/exchangerates/rates/a/eur/""&amp;to_text(XLOOKUP(A83,PL!E:E,PL!A:A))&amp;""/?format=xml"",""//Mid""),""."","",""),5)"),25)</f>
        <v>25</v>
      </c>
      <c r="F83" s="11" t="e">
        <f t="array" aca="1" ref="F83" ca="1">_xludf.XLOOKUP(A83,PL!E:E,PL!A:A)</f>
        <v>#NAME?</v>
      </c>
      <c r="G83" s="8"/>
    </row>
    <row r="84" spans="1:7" ht="18.75" customHeight="1" x14ac:dyDescent="0.2">
      <c r="A84" s="8" t="s">
        <v>5934</v>
      </c>
      <c r="B84" s="9">
        <v>49554</v>
      </c>
      <c r="C84" s="9">
        <v>5902557384389</v>
      </c>
      <c r="D84" s="10" t="s">
        <v>5935</v>
      </c>
      <c r="E84" s="9">
        <f ca="1">IFERROR(__xludf.DUMMYFUNCTION("MROUND(XLOOKUP(A84,PL!E:E,PL!D:D)*1.4/SUBSTITUTE(importxml(""http://api.nbp.pl/api/exchangerates/rates/a/eur/""&amp;to_text(XLOOKUP(A84,PL!E:E,PL!A:A))&amp;""/?format=xml"",""//Mid""),""."","",""),5)"),25)</f>
        <v>25</v>
      </c>
      <c r="F84" s="11" t="e">
        <f t="array" aca="1" ref="F84" ca="1">_xludf.XLOOKUP(A84,PL!E:E,PL!A:A)</f>
        <v>#NAME?</v>
      </c>
      <c r="G84" s="8"/>
    </row>
    <row r="85" spans="1:7" ht="18.75" customHeight="1" x14ac:dyDescent="0.2">
      <c r="A85" s="8" t="s">
        <v>5936</v>
      </c>
      <c r="B85" s="9">
        <v>49579</v>
      </c>
      <c r="C85" s="9">
        <v>5902557384457</v>
      </c>
      <c r="D85" s="10" t="s">
        <v>5937</v>
      </c>
      <c r="E85" s="9">
        <f ca="1">IFERROR(__xludf.DUMMYFUNCTION("MROUND(XLOOKUP(A85,PL!E:E,PL!D:D)*1.4/SUBSTITUTE(importxml(""http://api.nbp.pl/api/exchangerates/rates/a/eur/""&amp;to_text(XLOOKUP(A85,PL!E:E,PL!A:A))&amp;""/?format=xml"",""//Mid""),""."","",""),5)"),25)</f>
        <v>25</v>
      </c>
      <c r="F85" s="11" t="e">
        <f t="array" aca="1" ref="F85" ca="1">_xludf.XLOOKUP(A85,PL!E:E,PL!A:A)</f>
        <v>#NAME?</v>
      </c>
      <c r="G85" s="8"/>
    </row>
    <row r="86" spans="1:7" ht="18.75" customHeight="1" x14ac:dyDescent="0.2">
      <c r="A86" s="8" t="s">
        <v>5938</v>
      </c>
      <c r="B86" s="9">
        <v>49586</v>
      </c>
      <c r="C86" s="9">
        <v>5902557384501</v>
      </c>
      <c r="D86" s="10" t="s">
        <v>5939</v>
      </c>
      <c r="E86" s="9">
        <f ca="1">IFERROR(__xludf.DUMMYFUNCTION("MROUND(XLOOKUP(A86,PL!E:E,PL!D:D)*1.4/SUBSTITUTE(importxml(""http://api.nbp.pl/api/exchangerates/rates/a/eur/""&amp;to_text(XLOOKUP(A86,PL!E:E,PL!A:A))&amp;""/?format=xml"",""//Mid""),""."","",""),5)"),35)</f>
        <v>35</v>
      </c>
      <c r="F86" s="11" t="e">
        <f t="array" aca="1" ref="F86" ca="1">_xludf.XLOOKUP(A86,PL!E:E,PL!A:A)</f>
        <v>#NAME?</v>
      </c>
      <c r="G86" s="8"/>
    </row>
    <row r="87" spans="1:7" ht="18.75" customHeight="1" x14ac:dyDescent="0.2">
      <c r="A87" s="8" t="s">
        <v>5940</v>
      </c>
      <c r="B87" s="9">
        <v>50008</v>
      </c>
      <c r="C87" s="9">
        <v>5902557386826</v>
      </c>
      <c r="D87" s="10" t="s">
        <v>5941</v>
      </c>
      <c r="E87" s="9">
        <f ca="1">IFERROR(__xludf.DUMMYFUNCTION("MROUND(XLOOKUP(A87,PL!E:E,PL!D:D)*1.4/SUBSTITUTE(importxml(""http://api.nbp.pl/api/exchangerates/rates/a/eur/""&amp;to_text(XLOOKUP(A87,PL!E:E,PL!A:A))&amp;""/?format=xml"",""//Mid""),""."","",""),5)"),45)</f>
        <v>45</v>
      </c>
      <c r="F87" s="11" t="e">
        <f t="array" aca="1" ref="F87" ca="1">_xludf.XLOOKUP(A87,PL!E:E,PL!A:A)</f>
        <v>#NAME?</v>
      </c>
      <c r="G87" s="8"/>
    </row>
    <row r="88" spans="1:7" ht="18.75" customHeight="1" x14ac:dyDescent="0.2">
      <c r="A88" s="8" t="s">
        <v>5942</v>
      </c>
      <c r="B88" s="9">
        <v>49539</v>
      </c>
      <c r="C88" s="9">
        <v>5902557384266</v>
      </c>
      <c r="D88" s="10" t="s">
        <v>5943</v>
      </c>
      <c r="E88" s="9">
        <f ca="1">IFERROR(__xludf.DUMMYFUNCTION("MROUND(XLOOKUP(A88,PL!E:E,PL!D:D)*1.4/SUBSTITUTE(importxml(""http://api.nbp.pl/api/exchangerates/rates/a/eur/""&amp;to_text(XLOOKUP(A88,PL!E:E,PL!A:A))&amp;""/?format=xml"",""//Mid""),""."","",""),5)"),45)</f>
        <v>45</v>
      </c>
      <c r="F88" s="11" t="e">
        <f t="array" aca="1" ref="F88" ca="1">_xludf.XLOOKUP(A88,PL!E:E,PL!A:A)</f>
        <v>#NAME?</v>
      </c>
      <c r="G88" s="8"/>
    </row>
    <row r="89" spans="1:7" ht="18.75" customHeight="1" x14ac:dyDescent="0.2">
      <c r="A89" s="8" t="s">
        <v>5944</v>
      </c>
      <c r="B89" s="9">
        <v>52918</v>
      </c>
      <c r="C89" s="9">
        <v>5906366004193</v>
      </c>
      <c r="D89" s="10" t="s">
        <v>5945</v>
      </c>
      <c r="E89" s="9">
        <f ca="1">IFERROR(__xludf.DUMMYFUNCTION("MROUND(XLOOKUP(A89,PL!E:E,PL!D:D)*1.4/SUBSTITUTE(importxml(""http://api.nbp.pl/api/exchangerates/rates/a/eur/""&amp;to_text(XLOOKUP(A89,PL!E:E,PL!A:A))&amp;""/?format=xml"",""//Mid""),""."","",""),5)"),45)</f>
        <v>45</v>
      </c>
      <c r="F89" s="11" t="e">
        <f t="array" aca="1" ref="F89" ca="1">_xludf.XLOOKUP(A89,PL!E:E,PL!A:A)</f>
        <v>#NAME?</v>
      </c>
      <c r="G89" s="8"/>
    </row>
    <row r="90" spans="1:7" ht="18.75" customHeight="1" x14ac:dyDescent="0.2">
      <c r="A90" s="8" t="s">
        <v>5946</v>
      </c>
      <c r="B90" s="9">
        <v>43936</v>
      </c>
      <c r="C90" s="9">
        <v>5902557367788</v>
      </c>
      <c r="D90" s="10" t="s">
        <v>5947</v>
      </c>
      <c r="E90" s="9">
        <f ca="1">IFERROR(__xludf.DUMMYFUNCTION("MROUND(XLOOKUP(A90,PL!E:E,PL!D:D)*1.4/SUBSTITUTE(importxml(""http://api.nbp.pl/api/exchangerates/rates/a/eur/""&amp;to_text(XLOOKUP(A90,PL!E:E,PL!A:A))&amp;""/?format=xml"",""//Mid""),""."","",""),5)"),25)</f>
        <v>25</v>
      </c>
      <c r="F90" s="11" t="e">
        <f t="array" aca="1" ref="F90" ca="1">_xludf.XLOOKUP(A90,PL!E:E,PL!A:A)</f>
        <v>#NAME?</v>
      </c>
      <c r="G90" s="8"/>
    </row>
    <row r="91" spans="1:7" ht="18.75" customHeight="1" x14ac:dyDescent="0.2">
      <c r="A91" s="8" t="s">
        <v>5948</v>
      </c>
      <c r="B91" s="9">
        <v>43935</v>
      </c>
      <c r="C91" s="9">
        <v>5902557371709</v>
      </c>
      <c r="D91" s="10" t="s">
        <v>5949</v>
      </c>
      <c r="E91" s="9">
        <f ca="1">IFERROR(__xludf.DUMMYFUNCTION("MROUND(XLOOKUP(A91,PL!E:E,PL!D:D)*1.4/SUBSTITUTE(importxml(""http://api.nbp.pl/api/exchangerates/rates/a/eur/""&amp;to_text(XLOOKUP(A91,PL!E:E,PL!A:A))&amp;""/?format=xml"",""//Mid""),""."","",""),5)"),20)</f>
        <v>20</v>
      </c>
      <c r="F91" s="11" t="e">
        <f t="array" aca="1" ref="F91" ca="1">_xludf.XLOOKUP(A91,PL!E:E,PL!A:A)</f>
        <v>#NAME?</v>
      </c>
      <c r="G91" s="8"/>
    </row>
    <row r="92" spans="1:7" ht="18.75" customHeight="1" x14ac:dyDescent="0.2">
      <c r="A92" s="8" t="s">
        <v>5950</v>
      </c>
      <c r="B92" s="9">
        <v>42911</v>
      </c>
      <c r="C92" s="9">
        <v>5902557359011</v>
      </c>
      <c r="D92" s="10" t="s">
        <v>5951</v>
      </c>
      <c r="E92" s="9">
        <f ca="1">IFERROR(__xludf.DUMMYFUNCTION("MROUND(XLOOKUP(A92,PL!E:E,PL!D:D)*1.4/SUBSTITUTE(importxml(""http://api.nbp.pl/api/exchangerates/rates/a/eur/""&amp;to_text(XLOOKUP(A92,PL!E:E,PL!A:A))&amp;""/?format=xml"",""//Mid""),""."","",""),5)"),20)</f>
        <v>20</v>
      </c>
      <c r="F92" s="11" t="e">
        <f t="array" aca="1" ref="F92" ca="1">_xludf.XLOOKUP(A92,PL!E:E,PL!A:A)</f>
        <v>#NAME?</v>
      </c>
      <c r="G92" s="8"/>
    </row>
    <row r="93" spans="1:7" ht="18.75" customHeight="1" x14ac:dyDescent="0.2">
      <c r="A93" s="8" t="s">
        <v>5952</v>
      </c>
      <c r="B93" s="9">
        <v>42912</v>
      </c>
      <c r="C93" s="9">
        <v>5902557359028</v>
      </c>
      <c r="D93" s="10" t="s">
        <v>5953</v>
      </c>
      <c r="E93" s="9">
        <f ca="1">IFERROR(__xludf.DUMMYFUNCTION("MROUND(XLOOKUP(A93,PL!E:E,PL!D:D)*1.4/SUBSTITUTE(importxml(""http://api.nbp.pl/api/exchangerates/rates/a/eur/""&amp;to_text(XLOOKUP(A93,PL!E:E,PL!A:A))&amp;""/?format=xml"",""//Mid""),""."","",""),5)"),20)</f>
        <v>20</v>
      </c>
      <c r="F93" s="11" t="e">
        <f t="array" aca="1" ref="F93" ca="1">_xludf.XLOOKUP(A93,PL!E:E,PL!A:A)</f>
        <v>#NAME?</v>
      </c>
      <c r="G93" s="8"/>
    </row>
    <row r="94" spans="1:7" ht="18.75" customHeight="1" x14ac:dyDescent="0.2">
      <c r="A94" s="8" t="s">
        <v>5954</v>
      </c>
      <c r="B94" s="9">
        <v>43588</v>
      </c>
      <c r="C94" s="9">
        <v>5902557367610</v>
      </c>
      <c r="D94" s="10" t="s">
        <v>5955</v>
      </c>
      <c r="E94" s="9">
        <f ca="1">IFERROR(__xludf.DUMMYFUNCTION("MROUND(XLOOKUP(A94,PL!E:E,PL!D:D)*1.4/SUBSTITUTE(importxml(""http://api.nbp.pl/api/exchangerates/rates/a/eur/""&amp;to_text(XLOOKUP(A94,PL!E:E,PL!A:A))&amp;""/?format=xml"",""//Mid""),""."","",""),5)"),30)</f>
        <v>30</v>
      </c>
      <c r="F94" s="11" t="e">
        <f t="array" aca="1" ref="F94" ca="1">_xludf.XLOOKUP(A94,PL!E:E,PL!A:A)</f>
        <v>#NAME?</v>
      </c>
      <c r="G94" s="8"/>
    </row>
    <row r="95" spans="1:7" ht="18.75" customHeight="1" x14ac:dyDescent="0.2">
      <c r="A95" s="8" t="s">
        <v>5956</v>
      </c>
      <c r="B95" s="9">
        <v>43830</v>
      </c>
      <c r="C95" s="9">
        <v>5902557367900</v>
      </c>
      <c r="D95" s="10" t="s">
        <v>5957</v>
      </c>
      <c r="E95" s="9">
        <f ca="1">IFERROR(__xludf.DUMMYFUNCTION("MROUND(XLOOKUP(A95,PL!E:E,PL!D:D)*1.4/SUBSTITUTE(importxml(""http://api.nbp.pl/api/exchangerates/rates/a/eur/""&amp;to_text(XLOOKUP(A95,PL!E:E,PL!A:A))&amp;""/?format=xml"",""//Mid""),""."","",""),5)"),15)</f>
        <v>15</v>
      </c>
      <c r="F95" s="11" t="e">
        <f t="array" aca="1" ref="F95" ca="1">_xludf.XLOOKUP(A95,PL!E:E,PL!A:A)</f>
        <v>#NAME?</v>
      </c>
      <c r="G95" s="8"/>
    </row>
    <row r="96" spans="1:7" ht="18.75" customHeight="1" x14ac:dyDescent="0.2">
      <c r="A96" s="8" t="s">
        <v>5958</v>
      </c>
      <c r="B96" s="9">
        <v>49446</v>
      </c>
      <c r="C96" s="9">
        <v>5902557383511</v>
      </c>
      <c r="D96" s="10" t="s">
        <v>5959</v>
      </c>
      <c r="E96" s="9">
        <f ca="1">IFERROR(__xludf.DUMMYFUNCTION("MROUND(XLOOKUP(A96,PL!E:E,PL!D:D)*1.4/SUBSTITUTE(importxml(""http://api.nbp.pl/api/exchangerates/rates/a/eur/""&amp;to_text(XLOOKUP(A96,PL!E:E,PL!A:A))&amp;""/?format=xml"",""//Mid""),""."","",""),5)"),10)</f>
        <v>10</v>
      </c>
      <c r="F96" s="11" t="e">
        <f t="array" aca="1" ref="F96" ca="1">_xludf.XLOOKUP(A96,PL!E:E,PL!A:A)</f>
        <v>#NAME?</v>
      </c>
      <c r="G96" s="8"/>
    </row>
    <row r="97" spans="1:7" ht="18.75" customHeight="1" x14ac:dyDescent="0.2">
      <c r="A97" s="8" t="s">
        <v>5960</v>
      </c>
      <c r="B97" s="9">
        <v>49520</v>
      </c>
      <c r="C97" s="9">
        <v>5902557384105</v>
      </c>
      <c r="D97" s="10" t="s">
        <v>5961</v>
      </c>
      <c r="E97" s="9">
        <f ca="1">IFERROR(__xludf.DUMMYFUNCTION("MROUND(XLOOKUP(A97,PL!E:E,PL!D:D)*1.4/SUBSTITUTE(importxml(""http://api.nbp.pl/api/exchangerates/rates/a/eur/""&amp;to_text(XLOOKUP(A97,PL!E:E,PL!A:A))&amp;""/?format=xml"",""//Mid""),""."","",""),5)"),10)</f>
        <v>10</v>
      </c>
      <c r="F97" s="11" t="e">
        <f t="array" aca="1" ref="F97" ca="1">_xludf.XLOOKUP(A97,PL!E:E,PL!A:A)</f>
        <v>#NAME?</v>
      </c>
      <c r="G97" s="8"/>
    </row>
    <row r="98" spans="1:7" ht="18.75" customHeight="1" x14ac:dyDescent="0.2">
      <c r="A98" s="8" t="s">
        <v>5962</v>
      </c>
      <c r="B98" s="9">
        <v>49534</v>
      </c>
      <c r="C98" s="9">
        <v>5902557384211</v>
      </c>
      <c r="D98" s="10" t="s">
        <v>5963</v>
      </c>
      <c r="E98" s="9">
        <f ca="1">IFERROR(__xludf.DUMMYFUNCTION("MROUND(XLOOKUP(A98,PL!E:E,PL!D:D)*1.4/SUBSTITUTE(importxml(""http://api.nbp.pl/api/exchangerates/rates/a/eur/""&amp;to_text(XLOOKUP(A98,PL!E:E,PL!A:A))&amp;""/?format=xml"",""//Mid""),""."","",""),5)"),15)</f>
        <v>15</v>
      </c>
      <c r="F98" s="11" t="e">
        <f t="array" aca="1" ref="F98" ca="1">_xludf.XLOOKUP(A98,PL!E:E,PL!A:A)</f>
        <v>#NAME?</v>
      </c>
      <c r="G98" s="8"/>
    </row>
    <row r="99" spans="1:7" ht="18.75" customHeight="1" x14ac:dyDescent="0.2">
      <c r="A99" s="8" t="s">
        <v>5964</v>
      </c>
      <c r="B99" s="9">
        <v>53027</v>
      </c>
      <c r="C99" s="9">
        <v>5906366003981</v>
      </c>
      <c r="D99" s="10" t="s">
        <v>5965</v>
      </c>
      <c r="E99" s="9">
        <f ca="1">IFERROR(__xludf.DUMMYFUNCTION("MROUND(XLOOKUP(A99,PL!E:E,PL!D:D)*1.4/SUBSTITUTE(importxml(""http://api.nbp.pl/api/exchangerates/rates/a/eur/""&amp;to_text(XLOOKUP(A99,PL!E:E,PL!A:A))&amp;""/?format=xml"",""//Mid""),""."","",""),5)"),15)</f>
        <v>15</v>
      </c>
      <c r="F99" s="11" t="e">
        <f t="array" aca="1" ref="F99" ca="1">_xludf.XLOOKUP(A99,PL!E:E,PL!A:A)</f>
        <v>#NAME?</v>
      </c>
      <c r="G99" s="8"/>
    </row>
    <row r="100" spans="1:7" ht="18.75" customHeight="1" x14ac:dyDescent="0.2">
      <c r="A100" s="8" t="s">
        <v>5966</v>
      </c>
      <c r="B100" s="9">
        <v>49512</v>
      </c>
      <c r="C100" s="9">
        <v>5902557384006</v>
      </c>
      <c r="D100" s="10" t="s">
        <v>5967</v>
      </c>
      <c r="E100" s="9">
        <f ca="1">IFERROR(__xludf.DUMMYFUNCTION("MROUND(XLOOKUP(A100,PL!E:E,PL!D:D)*1.4/SUBSTITUTE(importxml(""http://api.nbp.pl/api/exchangerates/rates/a/eur/""&amp;to_text(XLOOKUP(A100,PL!E:E,PL!A:A))&amp;""/?format=xml"",""//Mid""),""."","",""),5)"),10)</f>
        <v>10</v>
      </c>
      <c r="F100" s="11" t="e">
        <f t="array" aca="1" ref="F100" ca="1">_xludf.XLOOKUP(A100,PL!E:E,PL!A:A)</f>
        <v>#NAME?</v>
      </c>
      <c r="G100" s="8"/>
    </row>
    <row r="101" spans="1:7" ht="18.75" customHeight="1" x14ac:dyDescent="0.2">
      <c r="A101" s="8" t="s">
        <v>5968</v>
      </c>
      <c r="B101" s="9">
        <v>49547</v>
      </c>
      <c r="C101" s="9">
        <v>5902557384327</v>
      </c>
      <c r="D101" s="10" t="s">
        <v>5969</v>
      </c>
      <c r="E101" s="9">
        <f ca="1">IFERROR(__xludf.DUMMYFUNCTION("MROUND(XLOOKUP(A101,PL!E:E,PL!D:D)*1.4/SUBSTITUTE(importxml(""http://api.nbp.pl/api/exchangerates/rates/a/eur/""&amp;to_text(XLOOKUP(A101,PL!E:E,PL!A:A))&amp;""/?format=xml"",""//Mid""),""."","",""),5)"),20)</f>
        <v>20</v>
      </c>
      <c r="F101" s="11" t="e">
        <f t="array" aca="1" ref="F101" ca="1">_xludf.XLOOKUP(A101,PL!E:E,PL!A:A)</f>
        <v>#NAME?</v>
      </c>
      <c r="G101" s="8"/>
    </row>
    <row r="102" spans="1:7" ht="18.75" customHeight="1" x14ac:dyDescent="0.2">
      <c r="A102" s="8" t="s">
        <v>5970</v>
      </c>
      <c r="B102" s="9">
        <v>49495</v>
      </c>
      <c r="C102" s="9">
        <v>5902557383870</v>
      </c>
      <c r="D102" s="10" t="s">
        <v>5971</v>
      </c>
      <c r="E102" s="9">
        <f ca="1">IFERROR(__xludf.DUMMYFUNCTION("MROUND(XLOOKUP(A102,PL!E:E,PL!D:D)*1.4/SUBSTITUTE(importxml(""http://api.nbp.pl/api/exchangerates/rates/a/eur/""&amp;to_text(XLOOKUP(A102,PL!E:E,PL!A:A))&amp;""/?format=xml"",""//Mid""),""."","",""),5)"),15)</f>
        <v>15</v>
      </c>
      <c r="F102" s="11" t="e">
        <f t="array" aca="1" ref="F102" ca="1">_xludf.XLOOKUP(A102,PL!E:E,PL!A:A)</f>
        <v>#NAME?</v>
      </c>
      <c r="G102" s="8"/>
    </row>
    <row r="103" spans="1:7" ht="18.75" customHeight="1" x14ac:dyDescent="0.2">
      <c r="A103" s="8" t="s">
        <v>5972</v>
      </c>
      <c r="B103" s="9">
        <v>49503</v>
      </c>
      <c r="C103" s="9">
        <v>5902557383931</v>
      </c>
      <c r="D103" s="10" t="s">
        <v>5973</v>
      </c>
      <c r="E103" s="9">
        <f ca="1">IFERROR(__xludf.DUMMYFUNCTION("MROUND(XLOOKUP(A103,PL!E:E,PL!D:D)*1.4/SUBSTITUTE(importxml(""http://api.nbp.pl/api/exchangerates/rates/a/eur/""&amp;to_text(XLOOKUP(A103,PL!E:E,PL!A:A))&amp;""/?format=xml"",""//Mid""),""."","",""),5)"),20)</f>
        <v>20</v>
      </c>
      <c r="F103" s="11" t="e">
        <f t="array" aca="1" ref="F103" ca="1">_xludf.XLOOKUP(A103,PL!E:E,PL!A:A)</f>
        <v>#NAME?</v>
      </c>
      <c r="G103" s="8"/>
    </row>
    <row r="104" spans="1:7" ht="18.75" customHeight="1" x14ac:dyDescent="0.2">
      <c r="A104" s="8" t="s">
        <v>5974</v>
      </c>
      <c r="B104" s="9">
        <v>49489</v>
      </c>
      <c r="C104" s="9">
        <v>5902557383849</v>
      </c>
      <c r="D104" s="10" t="s">
        <v>5975</v>
      </c>
      <c r="E104" s="9">
        <f ca="1">IFERROR(__xludf.DUMMYFUNCTION("MROUND(XLOOKUP(A104,PL!E:E,PL!D:D)*1.4/SUBSTITUTE(importxml(""http://api.nbp.pl/api/exchangerates/rates/a/eur/""&amp;to_text(XLOOKUP(A104,PL!E:E,PL!A:A))&amp;""/?format=xml"",""//Mid""),""."","",""),5)"),20)</f>
        <v>20</v>
      </c>
      <c r="F104" s="11" t="e">
        <f t="array" aca="1" ref="F104" ca="1">_xludf.XLOOKUP(A104,PL!E:E,PL!A:A)</f>
        <v>#NAME?</v>
      </c>
      <c r="G104" s="8"/>
    </row>
    <row r="105" spans="1:7" ht="18.75" customHeight="1" x14ac:dyDescent="0.2">
      <c r="A105" s="8" t="s">
        <v>5976</v>
      </c>
      <c r="B105" s="9">
        <v>49792</v>
      </c>
      <c r="C105" s="9">
        <v>5902557386000</v>
      </c>
      <c r="D105" s="10" t="s">
        <v>5977</v>
      </c>
      <c r="E105" s="9">
        <f ca="1">IFERROR(__xludf.DUMMYFUNCTION("MROUND(XLOOKUP(A105,PL!E:E,PL!D:D)*1.4/SUBSTITUTE(importxml(""http://api.nbp.pl/api/exchangerates/rates/a/eur/""&amp;to_text(XLOOKUP(A105,PL!E:E,PL!A:A))&amp;""/?format=xml"",""//Mid""),""."","",""),5)"),15)</f>
        <v>15</v>
      </c>
      <c r="F105" s="11" t="e">
        <f t="array" aca="1" ref="F105" ca="1">_xludf.XLOOKUP(A105,PL!E:E,PL!A:A)</f>
        <v>#NAME?</v>
      </c>
      <c r="G105" s="8"/>
    </row>
    <row r="106" spans="1:7" ht="18.75" customHeight="1" x14ac:dyDescent="0.2">
      <c r="A106" s="8" t="s">
        <v>5978</v>
      </c>
      <c r="B106" s="9">
        <v>49791</v>
      </c>
      <c r="C106" s="9">
        <v>5902557386017</v>
      </c>
      <c r="D106" s="10" t="s">
        <v>5979</v>
      </c>
      <c r="E106" s="9">
        <f ca="1">IFERROR(__xludf.DUMMYFUNCTION("MROUND(XLOOKUP(A106,PL!E:E,PL!D:D)*1.4/SUBSTITUTE(importxml(""http://api.nbp.pl/api/exchangerates/rates/a/eur/""&amp;to_text(XLOOKUP(A106,PL!E:E,PL!A:A))&amp;""/?format=xml"",""//Mid""),""."","",""),5)"),10)</f>
        <v>10</v>
      </c>
      <c r="F106" s="11" t="e">
        <f t="array" aca="1" ref="F106" ca="1">_xludf.XLOOKUP(A106,PL!E:E,PL!A:A)</f>
        <v>#NAME?</v>
      </c>
      <c r="G106" s="8"/>
    </row>
    <row r="107" spans="1:7" ht="18.75" customHeight="1" x14ac:dyDescent="0.2">
      <c r="A107" s="8" t="s">
        <v>5980</v>
      </c>
      <c r="B107" s="9">
        <v>49788</v>
      </c>
      <c r="C107" s="9">
        <v>5902557386673</v>
      </c>
      <c r="D107" s="10" t="s">
        <v>5981</v>
      </c>
      <c r="E107" s="9">
        <f ca="1">IFERROR(__xludf.DUMMYFUNCTION("MROUND(XLOOKUP(A107,PL!E:E,PL!D:D)*1.4/SUBSTITUTE(importxml(""http://api.nbp.pl/api/exchangerates/rates/a/eur/""&amp;to_text(XLOOKUP(A107,PL!E:E,PL!A:A))&amp;""/?format=xml"",""//Mid""),""."","",""),5)"),10)</f>
        <v>10</v>
      </c>
      <c r="F107" s="11" t="e">
        <f t="array" aca="1" ref="F107" ca="1">_xludf.XLOOKUP(A107,PL!E:E,PL!A:A)</f>
        <v>#NAME?</v>
      </c>
      <c r="G107" s="8"/>
    </row>
    <row r="108" spans="1:7" ht="18.75" customHeight="1" x14ac:dyDescent="0.2">
      <c r="A108" s="8" t="s">
        <v>5982</v>
      </c>
      <c r="B108" s="9">
        <v>49780</v>
      </c>
      <c r="C108" s="9">
        <v>5902557386642</v>
      </c>
      <c r="D108" s="10" t="s">
        <v>5983</v>
      </c>
      <c r="E108" s="9">
        <f ca="1">IFERROR(__xludf.DUMMYFUNCTION("MROUND(XLOOKUP(A108,PL!E:E,PL!D:D)*1.4/SUBSTITUTE(importxml(""http://api.nbp.pl/api/exchangerates/rates/a/eur/""&amp;to_text(XLOOKUP(A108,PL!E:E,PL!A:A))&amp;""/?format=xml"",""//Mid""),""."","",""),5)"),10)</f>
        <v>10</v>
      </c>
      <c r="F108" s="11" t="e">
        <f t="array" aca="1" ref="F108" ca="1">_xludf.XLOOKUP(A108,PL!E:E,PL!A:A)</f>
        <v>#NAME?</v>
      </c>
      <c r="G108" s="8"/>
    </row>
    <row r="109" spans="1:7" ht="18.75" customHeight="1" x14ac:dyDescent="0.2">
      <c r="A109" s="8" t="s">
        <v>5984</v>
      </c>
      <c r="B109" s="9">
        <v>53531</v>
      </c>
      <c r="C109" s="9">
        <v>5902557390687</v>
      </c>
      <c r="D109" s="10" t="s">
        <v>5985</v>
      </c>
      <c r="E109" s="9">
        <f ca="1">IFERROR(__xludf.DUMMYFUNCTION("MROUND(XLOOKUP(A109,PL!E:E,PL!D:D)*1.4/SUBSTITUTE(importxml(""http://api.nbp.pl/api/exchangerates/rates/a/eur/""&amp;to_text(XLOOKUP(A109,PL!E:E,PL!A:A))&amp;""/?format=xml"",""//Mid""),""."","",""),5)"),5)</f>
        <v>5</v>
      </c>
      <c r="F109" s="11" t="e">
        <f t="array" aca="1" ref="F109" ca="1">_xludf.XLOOKUP(A109,PL!E:E,PL!A:A)</f>
        <v>#NAME?</v>
      </c>
      <c r="G109" s="8"/>
    </row>
    <row r="110" spans="1:7" ht="18.75" customHeight="1" x14ac:dyDescent="0.2">
      <c r="A110" s="8" t="s">
        <v>5986</v>
      </c>
      <c r="B110" s="9">
        <v>53036</v>
      </c>
      <c r="C110" s="9">
        <v>5906366004131</v>
      </c>
      <c r="D110" s="10" t="s">
        <v>5987</v>
      </c>
      <c r="E110" s="9">
        <f ca="1">IFERROR(__xludf.DUMMYFUNCTION("MROUND(XLOOKUP(A110,PL!E:E,PL!D:D)*1.4/SUBSTITUTE(importxml(""http://api.nbp.pl/api/exchangerates/rates/a/eur/""&amp;to_text(XLOOKUP(A110,PL!E:E,PL!A:A))&amp;""/?format=xml"",""//Mid""),""."","",""),5)"),10)</f>
        <v>10</v>
      </c>
      <c r="F110" s="11" t="e">
        <f t="array" aca="1" ref="F110" ca="1">_xludf.XLOOKUP(A110,PL!E:E,PL!A:A)</f>
        <v>#NAME?</v>
      </c>
      <c r="G110" s="8"/>
    </row>
    <row r="111" spans="1:7" ht="18.75" customHeight="1" x14ac:dyDescent="0.2">
      <c r="A111" s="9" t="s">
        <v>5988</v>
      </c>
      <c r="B111" s="9">
        <v>53009</v>
      </c>
      <c r="C111" s="8">
        <v>5906366004094</v>
      </c>
      <c r="D111" s="10" t="s">
        <v>5989</v>
      </c>
      <c r="E111" s="9">
        <f ca="1">IFERROR(__xludf.DUMMYFUNCTION("MROUND(XLOOKUP(A111,PL!E:E,PL!D:D)*1.4/SUBSTITUTE(importxml(""http://api.nbp.pl/api/exchangerates/rates/a/eur/""&amp;to_text(XLOOKUP(A111,PL!E:E,PL!A:A))&amp;""/?format=xml"",""//Mid""),""."","",""),5)"),10)</f>
        <v>10</v>
      </c>
      <c r="F111" s="11" t="e">
        <f t="array" aca="1" ref="F111" ca="1">_xludf.XLOOKUP(A111,PL!E:E,PL!A:A)</f>
        <v>#NAME?</v>
      </c>
      <c r="G111" s="8"/>
    </row>
    <row r="112" spans="1:7" ht="18.75" customHeight="1" x14ac:dyDescent="0.2">
      <c r="A112" s="8" t="s">
        <v>5990</v>
      </c>
      <c r="B112" s="9">
        <v>53045</v>
      </c>
      <c r="C112" s="9">
        <v>5906366004179</v>
      </c>
      <c r="D112" s="10" t="s">
        <v>5991</v>
      </c>
      <c r="E112" s="9">
        <f ca="1">IFERROR(__xludf.DUMMYFUNCTION("MROUND(XLOOKUP(A112,PL!E:E,PL!D:D)*1.4/SUBSTITUTE(importxml(""http://api.nbp.pl/api/exchangerates/rates/a/eur/""&amp;to_text(XLOOKUP(A112,PL!E:E,PL!A:A))&amp;""/?format=xml"",""//Mid""),""."","",""),5)"),10)</f>
        <v>10</v>
      </c>
      <c r="F112" s="11" t="e">
        <f t="array" aca="1" ref="F112" ca="1">_xludf.XLOOKUP(A112,PL!E:E,PL!A:A)</f>
        <v>#NAME?</v>
      </c>
      <c r="G112" s="8"/>
    </row>
    <row r="113" spans="1:7" ht="18.75" customHeight="1" x14ac:dyDescent="0.2">
      <c r="A113" s="8" t="s">
        <v>5992</v>
      </c>
      <c r="B113" s="9">
        <v>52913</v>
      </c>
      <c r="C113" s="9">
        <v>5906366004230</v>
      </c>
      <c r="D113" s="10" t="s">
        <v>5993</v>
      </c>
      <c r="E113" s="9">
        <f ca="1">IFERROR(__xludf.DUMMYFUNCTION("MROUND(XLOOKUP(A113,PL!E:E,PL!D:D)*1.4/SUBSTITUTE(importxml(""http://api.nbp.pl/api/exchangerates/rates/a/eur/""&amp;to_text(XLOOKUP(A113,PL!E:E,PL!A:A))&amp;""/?format=xml"",""//Mid""),""."","",""),5)"),20)</f>
        <v>20</v>
      </c>
      <c r="F113" s="11" t="e">
        <f t="array" aca="1" ref="F113" ca="1">_xludf.XLOOKUP(A113,PL!E:E,PL!A:A)</f>
        <v>#NAME?</v>
      </c>
      <c r="G113" s="8"/>
    </row>
    <row r="114" spans="1:7" ht="18.75" customHeight="1" x14ac:dyDescent="0.2">
      <c r="A114" s="8" t="s">
        <v>5994</v>
      </c>
      <c r="B114" s="9">
        <v>52912</v>
      </c>
      <c r="C114" s="9">
        <v>5906366004223</v>
      </c>
      <c r="D114" s="10" t="s">
        <v>5995</v>
      </c>
      <c r="E114" s="9">
        <f ca="1">IFERROR(__xludf.DUMMYFUNCTION("MROUND(XLOOKUP(A114,PL!E:E,PL!D:D)*1.4/SUBSTITUTE(importxml(""http://api.nbp.pl/api/exchangerates/rates/a/eur/""&amp;to_text(XLOOKUP(A114,PL!E:E,PL!A:A))&amp;""/?format=xml"",""//Mid""),""."","",""),5)"),20)</f>
        <v>20</v>
      </c>
      <c r="F114" s="11" t="e">
        <f t="array" aca="1" ref="F114" ca="1">_xludf.XLOOKUP(A114,PL!E:E,PL!A:A)</f>
        <v>#NAME?</v>
      </c>
      <c r="G114" s="8"/>
    </row>
    <row r="115" spans="1:7" ht="18.75" customHeight="1" x14ac:dyDescent="0.2">
      <c r="A115" s="8" t="s">
        <v>5996</v>
      </c>
      <c r="B115" s="9">
        <v>26412</v>
      </c>
      <c r="C115" s="9">
        <v>5902557334711</v>
      </c>
      <c r="D115" s="10" t="s">
        <v>5997</v>
      </c>
      <c r="E115" s="9">
        <f ca="1">IFERROR(__xludf.DUMMYFUNCTION("MROUND(XLOOKUP(A115,PL!E:E,PL!D:D)*1.4/SUBSTITUTE(importxml(""http://api.nbp.pl/api/exchangerates/rates/a/eur/""&amp;to_text(XLOOKUP(A115,PL!E:E,PL!A:A))&amp;""/?format=xml"",""//Mid""),""."","",""),5)"),10)</f>
        <v>10</v>
      </c>
      <c r="F115" s="11" t="e">
        <f t="array" aca="1" ref="F115" ca="1">_xludf.XLOOKUP(A115,PL!E:E,PL!A:A)</f>
        <v>#NAME?</v>
      </c>
      <c r="G115" s="8"/>
    </row>
    <row r="116" spans="1:7" ht="18.75" customHeight="1" x14ac:dyDescent="0.2">
      <c r="A116" s="8" t="s">
        <v>5998</v>
      </c>
      <c r="B116" s="9">
        <v>29748</v>
      </c>
      <c r="C116" s="9">
        <v>5902557337934</v>
      </c>
      <c r="D116" s="10" t="s">
        <v>5999</v>
      </c>
      <c r="E116" s="9">
        <f ca="1">IFERROR(__xludf.DUMMYFUNCTION("MROUND(XLOOKUP(A116,PL!E:E,PL!D:D)*1.4/SUBSTITUTE(importxml(""http://api.nbp.pl/api/exchangerates/rates/a/eur/""&amp;to_text(XLOOKUP(A116,PL!E:E,PL!A:A))&amp;""/?format=xml"",""//Mid""),""."","",""),5)"),10)</f>
        <v>10</v>
      </c>
      <c r="F116" s="11" t="e">
        <f t="array" aca="1" ref="F116" ca="1">_xludf.XLOOKUP(A116,PL!E:E,PL!A:A)</f>
        <v>#NAME?</v>
      </c>
      <c r="G116" s="8"/>
    </row>
    <row r="117" spans="1:7" ht="18.75" customHeight="1" x14ac:dyDescent="0.2">
      <c r="A117" s="8" t="s">
        <v>6000</v>
      </c>
      <c r="B117" s="9">
        <v>49588</v>
      </c>
      <c r="C117" s="9">
        <v>5902557384525</v>
      </c>
      <c r="D117" s="10" t="s">
        <v>6001</v>
      </c>
      <c r="E117" s="9">
        <f ca="1">IFERROR(__xludf.DUMMYFUNCTION("MROUND(XLOOKUP(A117,PL!E:E,PL!D:D)*1.4/SUBSTITUTE(importxml(""http://api.nbp.pl/api/exchangerates/rates/a/eur/""&amp;to_text(XLOOKUP(A117,PL!E:E,PL!A:A))&amp;""/?format=xml"",""//Mid""),""."","",""),5)"),15)</f>
        <v>15</v>
      </c>
      <c r="F117" s="11" t="e">
        <f t="array" aca="1" ref="F117" ca="1">_xludf.XLOOKUP(A117,PL!E:E,PL!A:A)</f>
        <v>#NAME?</v>
      </c>
      <c r="G117" s="8"/>
    </row>
    <row r="118" spans="1:7" ht="18.75" customHeight="1" x14ac:dyDescent="0.2">
      <c r="A118" s="8" t="s">
        <v>6002</v>
      </c>
      <c r="B118" s="9">
        <v>49770</v>
      </c>
      <c r="C118" s="9">
        <v>5902557386581</v>
      </c>
      <c r="D118" s="10" t="s">
        <v>6003</v>
      </c>
      <c r="E118" s="9">
        <f ca="1">IFERROR(__xludf.DUMMYFUNCTION("MROUND(XLOOKUP(A118,PL!E:E,PL!D:D)*1.4/SUBSTITUTE(importxml(""http://api.nbp.pl/api/exchangerates/rates/a/eur/""&amp;to_text(XLOOKUP(A118,PL!E:E,PL!A:A))&amp;""/?format=xml"",""//Mid""),""."","",""),5)"),5)</f>
        <v>5</v>
      </c>
      <c r="F118" s="11" t="e">
        <f t="array" aca="1" ref="F118" ca="1">_xludf.XLOOKUP(A118,PL!E:E,PL!A:A)</f>
        <v>#NAME?</v>
      </c>
      <c r="G118" s="8"/>
    </row>
    <row r="119" spans="1:7" ht="18.75" customHeight="1" x14ac:dyDescent="0.2">
      <c r="A119" s="8" t="s">
        <v>6004</v>
      </c>
      <c r="B119" s="9">
        <v>44358</v>
      </c>
      <c r="C119" s="9">
        <v>5902557367733</v>
      </c>
      <c r="D119" s="10" t="s">
        <v>6005</v>
      </c>
      <c r="E119" s="9">
        <f ca="1">IFERROR(__xludf.DUMMYFUNCTION("MROUND(XLOOKUP(A119,PL!E:E,PL!D:D)*1.4/SUBSTITUTE(importxml(""http://api.nbp.pl/api/exchangerates/rates/a/eur/""&amp;to_text(XLOOKUP(A119,PL!E:E,PL!A:A))&amp;""/?format=xml"",""//Mid""),""."","",""),5)"),15)</f>
        <v>15</v>
      </c>
      <c r="F119" s="11" t="e">
        <f t="array" aca="1" ref="F119" ca="1">_xludf.XLOOKUP(A119,PL!E:E,PL!A:A)</f>
        <v>#NAME?</v>
      </c>
      <c r="G119" s="8"/>
    </row>
    <row r="120" spans="1:7" ht="18.75" customHeight="1" x14ac:dyDescent="0.2">
      <c r="A120" s="8" t="s">
        <v>6006</v>
      </c>
      <c r="B120" s="9">
        <v>43820</v>
      </c>
      <c r="C120" s="9">
        <v>5902557367887</v>
      </c>
      <c r="D120" s="10" t="s">
        <v>6007</v>
      </c>
      <c r="E120" s="9">
        <f ca="1">IFERROR(__xludf.DUMMYFUNCTION("MROUND(XLOOKUP(A120,PL!E:E,PL!D:D)*1.4/SUBSTITUTE(importxml(""http://api.nbp.pl/api/exchangerates/rates/a/eur/""&amp;to_text(XLOOKUP(A120,PL!E:E,PL!A:A))&amp;""/?format=xml"",""//Mid""),""."","",""),5)"),10)</f>
        <v>10</v>
      </c>
      <c r="F120" s="11" t="e">
        <f t="array" aca="1" ref="F120" ca="1">_xludf.XLOOKUP(A120,PL!E:E,PL!A:A)</f>
        <v>#NAME?</v>
      </c>
      <c r="G120" s="8"/>
    </row>
    <row r="121" spans="1:7" ht="18.75" customHeight="1" x14ac:dyDescent="0.2">
      <c r="A121" s="8" t="s">
        <v>6008</v>
      </c>
      <c r="B121" s="9">
        <v>44361</v>
      </c>
      <c r="C121" s="9">
        <v>5902557368044</v>
      </c>
      <c r="D121" s="10" t="s">
        <v>6009</v>
      </c>
      <c r="E121" s="9">
        <f ca="1">IFERROR(__xludf.DUMMYFUNCTION("MROUND(XLOOKUP(A121,PL!E:E,PL!D:D)*1.4/SUBSTITUTE(importxml(""http://api.nbp.pl/api/exchangerates/rates/a/eur/""&amp;to_text(XLOOKUP(A121,PL!E:E,PL!A:A))&amp;""/?format=xml"",""//Mid""),""."","",""),5)"),10)</f>
        <v>10</v>
      </c>
      <c r="F121" s="11" t="e">
        <f t="array" aca="1" ref="F121" ca="1">_xludf.XLOOKUP(A121,PL!E:E,PL!A:A)</f>
        <v>#NAME?</v>
      </c>
      <c r="G121" s="8"/>
    </row>
    <row r="122" spans="1:7" ht="18.75" customHeight="1" x14ac:dyDescent="0.2">
      <c r="A122" s="8" t="s">
        <v>6010</v>
      </c>
      <c r="B122" s="9">
        <v>43929</v>
      </c>
      <c r="C122" s="9">
        <v>5902557368075</v>
      </c>
      <c r="D122" s="10" t="s">
        <v>6011</v>
      </c>
      <c r="E122" s="9">
        <f ca="1">IFERROR(__xludf.DUMMYFUNCTION("MROUND(XLOOKUP(A122,PL!E:E,PL!D:D)*1.4/SUBSTITUTE(importxml(""http://api.nbp.pl/api/exchangerates/rates/a/eur/""&amp;to_text(XLOOKUP(A122,PL!E:E,PL!A:A))&amp;""/?format=xml"",""//Mid""),""."","",""),5)"),10)</f>
        <v>10</v>
      </c>
      <c r="F122" s="11" t="e">
        <f t="array" aca="1" ref="F122" ca="1">_xludf.XLOOKUP(A122,PL!E:E,PL!A:A)</f>
        <v>#NAME?</v>
      </c>
      <c r="G122" s="8"/>
    </row>
    <row r="123" spans="1:7" ht="18.75" customHeight="1" x14ac:dyDescent="0.2">
      <c r="A123" s="8" t="s">
        <v>6012</v>
      </c>
      <c r="B123" s="9">
        <v>49436</v>
      </c>
      <c r="C123" s="8">
        <v>5902557383399</v>
      </c>
      <c r="D123" s="10" t="s">
        <v>6013</v>
      </c>
      <c r="E123" s="9">
        <f ca="1">IFERROR(__xludf.DUMMYFUNCTION("MROUND(XLOOKUP(A123,PL!E:E,PL!D:D)*1.4/SUBSTITUTE(importxml(""http://api.nbp.pl/api/exchangerates/rates/a/eur/""&amp;to_text(XLOOKUP(A123,PL!E:E,PL!A:A))&amp;""/?format=xml"",""//Mid""),""."","",""),5)"),10)</f>
        <v>10</v>
      </c>
      <c r="F123" s="11" t="e">
        <f t="array" aca="1" ref="F123" ca="1">_xludf.XLOOKUP(A123,PL!E:E,PL!A:A)</f>
        <v>#NAME?</v>
      </c>
      <c r="G123" s="8"/>
    </row>
    <row r="124" spans="1:7" ht="18.75" customHeight="1" x14ac:dyDescent="0.2">
      <c r="A124" s="8" t="s">
        <v>6014</v>
      </c>
      <c r="B124" s="9">
        <v>49510</v>
      </c>
      <c r="C124" s="9">
        <v>5902557383986</v>
      </c>
      <c r="D124" s="10" t="s">
        <v>6015</v>
      </c>
      <c r="E124" s="9">
        <f ca="1">IFERROR(__xludf.DUMMYFUNCTION("MROUND(XLOOKUP(A124,PL!E:E,PL!D:D)*1.4/SUBSTITUTE(importxml(""http://api.nbp.pl/api/exchangerates/rates/a/eur/""&amp;to_text(XLOOKUP(A124,PL!E:E,PL!A:A))&amp;""/?format=xml"",""//Mid""),""."","",""),5)"),10)</f>
        <v>10</v>
      </c>
      <c r="F124" s="11" t="e">
        <f t="array" aca="1" ref="F124" ca="1">_xludf.XLOOKUP(A124,PL!E:E,PL!A:A)</f>
        <v>#NAME?</v>
      </c>
      <c r="G124" s="8"/>
    </row>
    <row r="125" spans="1:7" ht="18.75" customHeight="1" x14ac:dyDescent="0.2">
      <c r="A125" s="8" t="s">
        <v>6016</v>
      </c>
      <c r="B125" s="9">
        <v>49509</v>
      </c>
      <c r="C125" s="9">
        <v>5902557383979</v>
      </c>
      <c r="D125" s="10" t="s">
        <v>6017</v>
      </c>
      <c r="E125" s="9">
        <f ca="1">IFERROR(__xludf.DUMMYFUNCTION("MROUND(XLOOKUP(A125,PL!E:E,PL!D:D)*1.4/SUBSTITUTE(importxml(""http://api.nbp.pl/api/exchangerates/rates/a/eur/""&amp;to_text(XLOOKUP(A125,PL!E:E,PL!A:A))&amp;""/?format=xml"",""//Mid""),""."","",""),5)"),10)</f>
        <v>10</v>
      </c>
      <c r="F125" s="11" t="e">
        <f t="array" aca="1" ref="F125" ca="1">_xludf.XLOOKUP(A125,PL!E:E,PL!A:A)</f>
        <v>#NAME?</v>
      </c>
      <c r="G125" s="8"/>
    </row>
    <row r="126" spans="1:7" ht="18.75" customHeight="1" x14ac:dyDescent="0.2">
      <c r="A126" s="8" t="s">
        <v>6018</v>
      </c>
      <c r="B126" s="9">
        <v>49506</v>
      </c>
      <c r="C126" s="9">
        <v>5902557383948</v>
      </c>
      <c r="D126" s="10" t="s">
        <v>6019</v>
      </c>
      <c r="E126" s="9">
        <f ca="1">IFERROR(__xludf.DUMMYFUNCTION("MROUND(XLOOKUP(A126,PL!E:E,PL!D:D)*1.4/SUBSTITUTE(importxml(""http://api.nbp.pl/api/exchangerates/rates/a/eur/""&amp;to_text(XLOOKUP(A126,PL!E:E,PL!A:A))&amp;""/?format=xml"",""//Mid""),""."","",""),5)"),20)</f>
        <v>20</v>
      </c>
      <c r="F126" s="11" t="e">
        <f t="array" aca="1" ref="F126" ca="1">_xludf.XLOOKUP(A126,PL!E:E,PL!A:A)</f>
        <v>#NAME?</v>
      </c>
      <c r="G126" s="8"/>
    </row>
    <row r="127" spans="1:7" ht="18.75" customHeight="1" x14ac:dyDescent="0.2">
      <c r="A127" s="8" t="s">
        <v>6020</v>
      </c>
      <c r="B127" s="9">
        <v>49602</v>
      </c>
      <c r="C127" s="9">
        <v>5902557384563</v>
      </c>
      <c r="D127" s="10" t="s">
        <v>6021</v>
      </c>
      <c r="E127" s="9">
        <f ca="1">IFERROR(__xludf.DUMMYFUNCTION("MROUND(XLOOKUP(A127,PL!E:E,PL!D:D)*1.4/SUBSTITUTE(importxml(""http://api.nbp.pl/api/exchangerates/rates/a/eur/""&amp;to_text(XLOOKUP(A127,PL!E:E,PL!A:A))&amp;""/?format=xml"",""//Mid""),""."","",""),5)"),20)</f>
        <v>20</v>
      </c>
      <c r="F127" s="11" t="e">
        <f t="array" aca="1" ref="F127" ca="1">_xludf.XLOOKUP(A127,PL!E:E,PL!A:A)</f>
        <v>#NAME?</v>
      </c>
      <c r="G127" s="8"/>
    </row>
    <row r="128" spans="1:7" ht="18.75" customHeight="1" x14ac:dyDescent="0.2">
      <c r="A128" s="8" t="s">
        <v>6022</v>
      </c>
      <c r="B128" s="9">
        <v>49528</v>
      </c>
      <c r="C128" s="9">
        <v>5902557384167</v>
      </c>
      <c r="D128" s="10" t="s">
        <v>6023</v>
      </c>
      <c r="E128" s="9">
        <f ca="1">IFERROR(__xludf.DUMMYFUNCTION("MROUND(XLOOKUP(A128,PL!E:E,PL!D:D)*1.4/SUBSTITUTE(importxml(""http://api.nbp.pl/api/exchangerates/rates/a/eur/""&amp;to_text(XLOOKUP(A128,PL!E:E,PL!A:A))&amp;""/?format=xml"",""//Mid""),""."","",""),5)"),15)</f>
        <v>15</v>
      </c>
      <c r="F128" s="11" t="e">
        <f t="array" aca="1" ref="F128" ca="1">_xludf.XLOOKUP(A128,PL!E:E,PL!A:A)</f>
        <v>#NAME?</v>
      </c>
      <c r="G128" s="8"/>
    </row>
    <row r="129" spans="1:7" ht="18.75" customHeight="1" x14ac:dyDescent="0.2">
      <c r="A129" s="9" t="s">
        <v>6024</v>
      </c>
      <c r="B129" s="9">
        <v>39434</v>
      </c>
      <c r="C129" s="8">
        <v>5902557378135</v>
      </c>
      <c r="D129" s="10" t="s">
        <v>6025</v>
      </c>
      <c r="E129" s="9">
        <f ca="1">IFERROR(__xludf.DUMMYFUNCTION("MROUND(XLOOKUP(A129,PL!E:E,PL!D:D)*1.4/SUBSTITUTE(importxml(""http://api.nbp.pl/api/exchangerates/rates/a/eur/""&amp;to_text(XLOOKUP(A129,PL!E:E,PL!A:A))&amp;""/?format=xml"",""//Mid""),""."","",""),5)"),20)</f>
        <v>20</v>
      </c>
      <c r="F129" s="11" t="e">
        <f t="array" aca="1" ref="F129" ca="1">_xludf.XLOOKUP(A129,PL!E:E,PL!A:A)</f>
        <v>#NAME?</v>
      </c>
      <c r="G129" s="8"/>
    </row>
    <row r="130" spans="1:7" ht="18.75" customHeight="1" x14ac:dyDescent="0.2">
      <c r="A130" s="9" t="s">
        <v>6026</v>
      </c>
      <c r="B130" s="9">
        <v>39435</v>
      </c>
      <c r="C130" s="8">
        <v>5902557383184</v>
      </c>
      <c r="D130" s="10" t="s">
        <v>6027</v>
      </c>
      <c r="E130" s="9">
        <f ca="1">IFERROR(__xludf.DUMMYFUNCTION("MROUND(XLOOKUP(A130,PL!E:E,PL!D:D)*1.4/SUBSTITUTE(importxml(""http://api.nbp.pl/api/exchangerates/rates/a/eur/""&amp;to_text(XLOOKUP(A130,PL!E:E,PL!A:A))&amp;""/?format=xml"",""//Mid""),""."","",""),5)"),10)</f>
        <v>10</v>
      </c>
      <c r="F130" s="11" t="e">
        <f t="array" aca="1" ref="F130" ca="1">_xludf.XLOOKUP(A130,PL!E:E,PL!A:A)</f>
        <v>#NAME?</v>
      </c>
      <c r="G130" s="8"/>
    </row>
    <row r="131" spans="1:7" ht="18.75" customHeight="1" x14ac:dyDescent="0.2">
      <c r="A131" s="8" t="s">
        <v>6028</v>
      </c>
      <c r="B131" s="9">
        <v>44357</v>
      </c>
      <c r="C131" s="8">
        <v>5902557367740</v>
      </c>
      <c r="D131" s="10" t="s">
        <v>6029</v>
      </c>
      <c r="E131" s="9">
        <f ca="1">IFERROR(__xludf.DUMMYFUNCTION("MROUND(XLOOKUP(A131,PL!E:E,PL!D:D)*1.4/SUBSTITUTE(importxml(""http://api.nbp.pl/api/exchangerates/rates/a/eur/""&amp;to_text(XLOOKUP(A131,PL!E:E,PL!A:A))&amp;""/?format=xml"",""//Mid""),""."","",""),5)"),20)</f>
        <v>20</v>
      </c>
      <c r="F131" s="11" t="e">
        <f t="array" aca="1" ref="F131" ca="1">_xludf.XLOOKUP(A131,PL!E:E,PL!A:A)</f>
        <v>#NAME?</v>
      </c>
      <c r="G131" s="8"/>
    </row>
    <row r="132" spans="1:7" ht="18.75" customHeight="1" x14ac:dyDescent="0.2">
      <c r="A132" s="8" t="s">
        <v>6030</v>
      </c>
      <c r="B132" s="9">
        <v>43932</v>
      </c>
      <c r="C132" s="8">
        <v>5902557367894</v>
      </c>
      <c r="D132" s="10" t="s">
        <v>6031</v>
      </c>
      <c r="E132" s="9">
        <f ca="1">IFERROR(__xludf.DUMMYFUNCTION("MROUND(XLOOKUP(A132,PL!E:E,PL!D:D)*1.4/SUBSTITUTE(importxml(""http://api.nbp.pl/api/exchangerates/rates/a/eur/""&amp;to_text(XLOOKUP(A132,PL!E:E,PL!A:A))&amp;""/?format=xml"",""//Mid""),""."","",""),5)"),10)</f>
        <v>10</v>
      </c>
      <c r="F132" s="11" t="e">
        <f t="array" aca="1" ref="F132" ca="1">_xludf.XLOOKUP(A132,PL!E:E,PL!A:A)</f>
        <v>#NAME?</v>
      </c>
      <c r="G132" s="8"/>
    </row>
    <row r="133" spans="1:7" ht="18.75" customHeight="1" x14ac:dyDescent="0.2">
      <c r="A133" s="9" t="s">
        <v>6032</v>
      </c>
      <c r="B133" s="9">
        <v>44360</v>
      </c>
      <c r="C133" s="8">
        <v>5902557368051</v>
      </c>
      <c r="D133" s="10" t="s">
        <v>6033</v>
      </c>
      <c r="E133" s="9">
        <f ca="1">IFERROR(__xludf.DUMMYFUNCTION("MROUND(XLOOKUP(A133,PL!E:E,PL!D:D)*1.4/SUBSTITUTE(importxml(""http://api.nbp.pl/api/exchangerates/rates/a/eur/""&amp;to_text(XLOOKUP(A133,PL!E:E,PL!A:A))&amp;""/?format=xml"",""//Mid""),""."","",""),5)"),10)</f>
        <v>10</v>
      </c>
      <c r="F133" s="11" t="e">
        <f t="array" aca="1" ref="F133" ca="1">_xludf.XLOOKUP(A133,PL!E:E,PL!A:A)</f>
        <v>#NAME?</v>
      </c>
      <c r="G133" s="8"/>
    </row>
    <row r="134" spans="1:7" ht="18.75" customHeight="1" x14ac:dyDescent="0.2">
      <c r="A134" s="8" t="s">
        <v>6034</v>
      </c>
      <c r="B134" s="9">
        <v>43835</v>
      </c>
      <c r="C134" s="8">
        <v>5902557368082</v>
      </c>
      <c r="D134" s="10" t="s">
        <v>6035</v>
      </c>
      <c r="E134" s="9">
        <f ca="1">IFERROR(__xludf.DUMMYFUNCTION("MROUND(XLOOKUP(A134,PL!E:E,PL!D:D)*1.4/SUBSTITUTE(importxml(""http://api.nbp.pl/api/exchangerates/rates/a/eur/""&amp;to_text(XLOOKUP(A134,PL!E:E,PL!A:A))&amp;""/?format=xml"",""//Mid""),""."","",""),5)"),15)</f>
        <v>15</v>
      </c>
      <c r="F134" s="11" t="e">
        <f t="array" aca="1" ref="F134" ca="1">_xludf.XLOOKUP(A134,PL!E:E,PL!A:A)</f>
        <v>#NAME?</v>
      </c>
      <c r="G134" s="8"/>
    </row>
    <row r="135" spans="1:7" ht="18.75" customHeight="1" x14ac:dyDescent="0.2">
      <c r="A135" s="8" t="s">
        <v>6036</v>
      </c>
      <c r="B135" s="9">
        <v>49532</v>
      </c>
      <c r="C135" s="8">
        <v>5902557384204</v>
      </c>
      <c r="D135" s="10" t="s">
        <v>6037</v>
      </c>
      <c r="E135" s="9">
        <f ca="1">IFERROR(__xludf.DUMMYFUNCTION("MROUND(XLOOKUP(A135,PL!E:E,PL!D:D)*1.4/SUBSTITUTE(importxml(""http://api.nbp.pl/api/exchangerates/rates/a/eur/""&amp;to_text(XLOOKUP(A135,PL!E:E,PL!A:A))&amp;""/?format=xml"",""//Mid""),""."","",""),5)"),20)</f>
        <v>20</v>
      </c>
      <c r="F135" s="11" t="e">
        <f t="array" aca="1" ref="F135" ca="1">_xludf.XLOOKUP(A135,PL!E:E,PL!A:A)</f>
        <v>#NAME?</v>
      </c>
      <c r="G135" s="8"/>
    </row>
    <row r="136" spans="1:7" ht="18.75" customHeight="1" x14ac:dyDescent="0.2">
      <c r="A136" s="9" t="s">
        <v>6038</v>
      </c>
      <c r="B136" s="9">
        <v>49897</v>
      </c>
      <c r="C136" s="8">
        <v>5902557386451</v>
      </c>
      <c r="D136" s="10" t="s">
        <v>6039</v>
      </c>
      <c r="E136" s="9">
        <f ca="1">IFERROR(__xludf.DUMMYFUNCTION("MROUND(XLOOKUP(A136,PL!E:E,PL!D:D)*1.4/SUBSTITUTE(importxml(""http://api.nbp.pl/api/exchangerates/rates/a/eur/""&amp;to_text(XLOOKUP(A136,PL!E:E,PL!A:A))&amp;""/?format=xml"",""//Mid""),""."","",""),5)"),20)</f>
        <v>20</v>
      </c>
      <c r="F136" s="11" t="e">
        <f t="array" aca="1" ref="F136" ca="1">_xludf.XLOOKUP(A136,PL!E:E,PL!A:A)</f>
        <v>#NAME?</v>
      </c>
      <c r="G136" s="8"/>
    </row>
    <row r="137" spans="1:7" ht="18.75" customHeight="1" x14ac:dyDescent="0.2">
      <c r="A137" s="8" t="s">
        <v>6040</v>
      </c>
      <c r="B137" s="9">
        <v>29750</v>
      </c>
      <c r="C137" s="9">
        <v>5902557337927</v>
      </c>
      <c r="D137" s="10" t="s">
        <v>6041</v>
      </c>
      <c r="E137" s="9">
        <f ca="1">IFERROR(__xludf.DUMMYFUNCTION("MROUND(XLOOKUP(A137,PL!E:E,PL!D:D)*1.4/SUBSTITUTE(importxml(""http://api.nbp.pl/api/exchangerates/rates/a/eur/""&amp;to_text(XLOOKUP(A137,PL!E:E,PL!A:A))&amp;""/?format=xml"",""//Mid""),""."","",""),5)"),10)</f>
        <v>10</v>
      </c>
      <c r="F137" s="11" t="e">
        <f t="array" aca="1" ref="F137" ca="1">_xludf.XLOOKUP(A137,PL!E:E,PL!A:A)</f>
        <v>#NAME?</v>
      </c>
      <c r="G137" s="8"/>
    </row>
    <row r="138" spans="1:7" ht="18.75" customHeight="1" x14ac:dyDescent="0.2">
      <c r="A138" s="8" t="s">
        <v>6042</v>
      </c>
      <c r="B138" s="9">
        <v>29752</v>
      </c>
      <c r="C138" s="9">
        <v>5902557337903</v>
      </c>
      <c r="D138" s="10" t="s">
        <v>6043</v>
      </c>
      <c r="E138" s="9">
        <f ca="1">IFERROR(__xludf.DUMMYFUNCTION("MROUND(XLOOKUP(A138,PL!E:E,PL!D:D)*1.4/SUBSTITUTE(importxml(""http://api.nbp.pl/api/exchangerates/rates/a/eur/""&amp;to_text(XLOOKUP(A138,PL!E:E,PL!A:A))&amp;""/?format=xml"",""//Mid""),""."","",""),5)"),10)</f>
        <v>10</v>
      </c>
      <c r="F138" s="11" t="e">
        <f t="array" aca="1" ref="F138" ca="1">_xludf.XLOOKUP(A138,PL!E:E,PL!A:A)</f>
        <v>#NAME?</v>
      </c>
      <c r="G138" s="8"/>
    </row>
    <row r="139" spans="1:7" ht="18.75" customHeight="1" x14ac:dyDescent="0.2">
      <c r="A139" s="8" t="s">
        <v>6044</v>
      </c>
      <c r="B139" s="9">
        <v>49556</v>
      </c>
      <c r="C139" s="9">
        <v>5902557384402</v>
      </c>
      <c r="D139" s="10" t="s">
        <v>6045</v>
      </c>
      <c r="E139" s="9">
        <f ca="1">IFERROR(__xludf.DUMMYFUNCTION("MROUND(XLOOKUP(A139,PL!E:E,PL!D:D)*1.4/SUBSTITUTE(importxml(""http://api.nbp.pl/api/exchangerates/rates/a/eur/""&amp;to_text(XLOOKUP(A139,PL!E:E,PL!A:A))&amp;""/?format=xml"",""//Mid""),""."","",""),5)"),15)</f>
        <v>15</v>
      </c>
      <c r="F139" s="11" t="e">
        <f t="array" aca="1" ref="F139" ca="1">_xludf.XLOOKUP(A139,PL!E:E,PL!A:A)</f>
        <v>#NAME?</v>
      </c>
      <c r="G139" s="8"/>
    </row>
    <row r="140" spans="1:7" ht="18.75" customHeight="1" x14ac:dyDescent="0.2">
      <c r="A140" s="8" t="s">
        <v>6046</v>
      </c>
      <c r="B140" s="9">
        <v>49449</v>
      </c>
      <c r="C140" s="9">
        <v>5902557383528</v>
      </c>
      <c r="D140" s="10" t="s">
        <v>6047</v>
      </c>
      <c r="E140" s="9">
        <f ca="1">IFERROR(__xludf.DUMMYFUNCTION("MROUND(XLOOKUP(A140,PL!E:E,PL!D:D)*1.4/SUBSTITUTE(importxml(""http://api.nbp.pl/api/exchangerates/rates/a/eur/""&amp;to_text(XLOOKUP(A140,PL!E:E,PL!A:A))&amp;""/?format=xml"",""//Mid""),""."","",""),5)"),15)</f>
        <v>15</v>
      </c>
      <c r="F140" s="11" t="e">
        <f t="array" aca="1" ref="F140" ca="1">_xludf.XLOOKUP(A140,PL!E:E,PL!A:A)</f>
        <v>#NAME?</v>
      </c>
      <c r="G140" s="8"/>
    </row>
    <row r="141" spans="1:7" ht="18.75" customHeight="1" x14ac:dyDescent="0.2">
      <c r="A141" s="8" t="s">
        <v>6048</v>
      </c>
      <c r="B141" s="9">
        <v>49502</v>
      </c>
      <c r="C141" s="9">
        <v>5902557383962</v>
      </c>
      <c r="D141" s="10" t="s">
        <v>6049</v>
      </c>
      <c r="E141" s="9">
        <f ca="1">IFERROR(__xludf.DUMMYFUNCTION("MROUND(XLOOKUP(A141,PL!E:E,PL!D:D)*1.4/SUBSTITUTE(importxml(""http://api.nbp.pl/api/exchangerates/rates/a/eur/""&amp;to_text(XLOOKUP(A141,PL!E:E,PL!A:A))&amp;""/?format=xml"",""//Mid""),""."","",""),5)"),25)</f>
        <v>25</v>
      </c>
      <c r="F141" s="11" t="e">
        <f t="array" aca="1" ref="F141" ca="1">_xludf.XLOOKUP(A141,PL!E:E,PL!A:A)</f>
        <v>#NAME?</v>
      </c>
      <c r="G141" s="8"/>
    </row>
    <row r="142" spans="1:7" ht="18.75" customHeight="1" x14ac:dyDescent="0.2">
      <c r="A142" s="8" t="s">
        <v>6050</v>
      </c>
      <c r="B142" s="9">
        <v>49558</v>
      </c>
      <c r="C142" s="9">
        <v>5902557384419</v>
      </c>
      <c r="D142" s="10" t="s">
        <v>6051</v>
      </c>
      <c r="E142" s="9">
        <f ca="1">IFERROR(__xludf.DUMMYFUNCTION("MROUND(XLOOKUP(A142,PL!E:E,PL!D:D)*1.4/SUBSTITUTE(importxml(""http://api.nbp.pl/api/exchangerates/rates/a/eur/""&amp;to_text(XLOOKUP(A142,PL!E:E,PL!A:A))&amp;""/?format=xml"",""//Mid""),""."","",""),5)"),10)</f>
        <v>10</v>
      </c>
      <c r="F142" s="11" t="e">
        <f t="array" aca="1" ref="F142" ca="1">_xludf.XLOOKUP(A142,PL!E:E,PL!A:A)</f>
        <v>#NAME?</v>
      </c>
      <c r="G142" s="8"/>
    </row>
    <row r="143" spans="1:7" ht="18.75" customHeight="1" x14ac:dyDescent="0.2">
      <c r="A143" s="8" t="s">
        <v>6052</v>
      </c>
      <c r="B143" s="9">
        <v>49577</v>
      </c>
      <c r="C143" s="9">
        <v>5902557384440</v>
      </c>
      <c r="D143" s="10" t="s">
        <v>6053</v>
      </c>
      <c r="E143" s="9">
        <f ca="1">IFERROR(__xludf.DUMMYFUNCTION("MROUND(XLOOKUP(A143,PL!E:E,PL!D:D)*1.4/SUBSTITUTE(importxml(""http://api.nbp.pl/api/exchangerates/rates/a/eur/""&amp;to_text(XLOOKUP(A143,PL!E:E,PL!A:A))&amp;""/?format=xml"",""//Mid""),""."","",""),5)"),15)</f>
        <v>15</v>
      </c>
      <c r="F143" s="11" t="e">
        <f t="array" aca="1" ref="F143" ca="1">_xludf.XLOOKUP(A143,PL!E:E,PL!A:A)</f>
        <v>#NAME?</v>
      </c>
      <c r="G143" s="8"/>
    </row>
    <row r="144" spans="1:7" ht="18.75" customHeight="1" x14ac:dyDescent="0.2">
      <c r="A144" s="8" t="s">
        <v>6054</v>
      </c>
      <c r="B144" s="9">
        <v>49493</v>
      </c>
      <c r="C144" s="9">
        <v>5902557383863</v>
      </c>
      <c r="D144" s="10" t="s">
        <v>6055</v>
      </c>
      <c r="E144" s="9">
        <f ca="1">IFERROR(__xludf.DUMMYFUNCTION("MROUND(XLOOKUP(A144,PL!E:E,PL!D:D)*1.4/SUBSTITUTE(importxml(""http://api.nbp.pl/api/exchangerates/rates/a/eur/""&amp;to_text(XLOOKUP(A144,PL!E:E,PL!A:A))&amp;""/?format=xml"",""//Mid""),""."","",""),5)"),30)</f>
        <v>30</v>
      </c>
      <c r="F144" s="11" t="e">
        <f t="array" aca="1" ref="F144" ca="1">_xludf.XLOOKUP(A144,PL!E:E,PL!A:A)</f>
        <v>#NAME?</v>
      </c>
      <c r="G144" s="8"/>
    </row>
    <row r="145" spans="1:7" ht="18.75" customHeight="1" x14ac:dyDescent="0.2">
      <c r="A145" s="8" t="s">
        <v>6056</v>
      </c>
      <c r="B145" s="9">
        <v>44359</v>
      </c>
      <c r="C145" s="9">
        <v>5902557367757</v>
      </c>
      <c r="D145" s="10" t="s">
        <v>6057</v>
      </c>
      <c r="E145" s="9">
        <f ca="1">IFERROR(__xludf.DUMMYFUNCTION("MROUND(XLOOKUP(A145,PL!E:E,PL!D:D)*1.4/SUBSTITUTE(importxml(""http://api.nbp.pl/api/exchangerates/rates/a/eur/""&amp;to_text(XLOOKUP(A145,PL!E:E,PL!A:A))&amp;""/?format=xml"",""//Mid""),""."","",""),5)"),20)</f>
        <v>20</v>
      </c>
      <c r="F145" s="11" t="e">
        <f t="array" aca="1" ref="F145" ca="1">_xludf.XLOOKUP(A145,PL!E:E,PL!A:A)</f>
        <v>#NAME?</v>
      </c>
      <c r="G145" s="8"/>
    </row>
    <row r="146" spans="1:7" ht="18.75" customHeight="1" x14ac:dyDescent="0.2">
      <c r="A146" s="8" t="s">
        <v>6058</v>
      </c>
      <c r="B146" s="9">
        <v>44362</v>
      </c>
      <c r="C146" s="9">
        <v>5902557368068</v>
      </c>
      <c r="D146" s="10" t="s">
        <v>6059</v>
      </c>
      <c r="E146" s="9">
        <f ca="1">IFERROR(__xludf.DUMMYFUNCTION("MROUND(XLOOKUP(A146,PL!E:E,PL!D:D)*1.4/SUBSTITUTE(importxml(""http://api.nbp.pl/api/exchangerates/rates/a/eur/""&amp;to_text(XLOOKUP(A146,PL!E:E,PL!A:A))&amp;""/?format=xml"",""//Mid""),""."","",""),5)"),15)</f>
        <v>15</v>
      </c>
      <c r="F146" s="11" t="e">
        <f t="array" aca="1" ref="F146" ca="1">_xludf.XLOOKUP(A146,PL!E:E,PL!A:A)</f>
        <v>#NAME?</v>
      </c>
      <c r="G146" s="8"/>
    </row>
    <row r="147" spans="1:7" ht="18.75" customHeight="1" x14ac:dyDescent="0.2">
      <c r="A147" s="8" t="s">
        <v>6060</v>
      </c>
      <c r="B147" s="9">
        <v>47621</v>
      </c>
      <c r="C147" s="9">
        <v>5902557375561</v>
      </c>
      <c r="D147" s="10" t="s">
        <v>6061</v>
      </c>
      <c r="E147" s="9">
        <f ca="1">IFERROR(__xludf.DUMMYFUNCTION("MROUND(XLOOKUP(A147,PL!E:E,PL!D:D)*1.4/SUBSTITUTE(importxml(""http://api.nbp.pl/api/exchangerates/rates/a/eur/""&amp;to_text(XLOOKUP(A147,PL!E:E,PL!A:A))&amp;""/?format=xml"",""//Mid""),""."","",""),5)"),15)</f>
        <v>15</v>
      </c>
      <c r="F147" s="11" t="e">
        <f t="array" aca="1" ref="F147" ca="1">_xludf.XLOOKUP(A147,PL!E:E,PL!A:A)</f>
        <v>#NAME?</v>
      </c>
      <c r="G147" s="8"/>
    </row>
    <row r="148" spans="1:7" ht="18.75" customHeight="1" x14ac:dyDescent="0.2">
      <c r="A148" s="8" t="s">
        <v>6062</v>
      </c>
      <c r="B148" s="9">
        <v>49501</v>
      </c>
      <c r="C148" s="9">
        <v>5902557383924</v>
      </c>
      <c r="D148" s="10" t="s">
        <v>6063</v>
      </c>
      <c r="E148" s="9">
        <f ca="1">IFERROR(__xludf.DUMMYFUNCTION("MROUND(XLOOKUP(A148,PL!E:E,PL!D:D)*1.4/SUBSTITUTE(importxml(""http://api.nbp.pl/api/exchangerates/rates/a/eur/""&amp;to_text(XLOOKUP(A148,PL!E:E,PL!A:A))&amp;""/?format=xml"",""//Mid""),""."","",""),5)"),30)</f>
        <v>30</v>
      </c>
      <c r="F148" s="11" t="e">
        <f t="array" aca="1" ref="F148" ca="1">_xludf.XLOOKUP(A148,PL!E:E,PL!A:A)</f>
        <v>#NAME?</v>
      </c>
      <c r="G148" s="8"/>
    </row>
    <row r="149" spans="1:7" ht="18.75" customHeight="1" x14ac:dyDescent="0.2">
      <c r="A149" s="8" t="s">
        <v>6064</v>
      </c>
      <c r="B149" s="9">
        <v>49896</v>
      </c>
      <c r="C149" s="9">
        <v>5902557386444</v>
      </c>
      <c r="D149" s="10" t="s">
        <v>6065</v>
      </c>
      <c r="E149" s="9">
        <f ca="1">IFERROR(__xludf.DUMMYFUNCTION("MROUND(XLOOKUP(A149,PL!E:E,PL!D:D)*1.4/SUBSTITUTE(importxml(""http://api.nbp.pl/api/exchangerates/rates/a/eur/""&amp;to_text(XLOOKUP(A149,PL!E:E,PL!A:A))&amp;""/?format=xml"",""//Mid""),""."","",""),5)"),30)</f>
        <v>30</v>
      </c>
      <c r="F149" s="11" t="e">
        <f t="array" aca="1" ref="F149" ca="1">_xludf.XLOOKUP(A149,PL!E:E,PL!A:A)</f>
        <v>#NAME?</v>
      </c>
      <c r="G149" s="8"/>
    </row>
    <row r="150" spans="1:7" ht="18.75" customHeight="1" x14ac:dyDescent="0.2">
      <c r="A150" s="8" t="s">
        <v>6066</v>
      </c>
      <c r="B150" s="9">
        <v>49587</v>
      </c>
      <c r="C150" s="9">
        <v>5902557384518</v>
      </c>
      <c r="D150" s="10" t="s">
        <v>6067</v>
      </c>
      <c r="E150" s="9">
        <f ca="1">IFERROR(__xludf.DUMMYFUNCTION("MROUND(XLOOKUP(A150,PL!E:E,PL!D:D)*1.4/SUBSTITUTE(importxml(""http://api.nbp.pl/api/exchangerates/rates/a/eur/""&amp;to_text(XLOOKUP(A150,PL!E:E,PL!A:A))&amp;""/?format=xml"",""//Mid""),""."","",""),5)"),20)</f>
        <v>20</v>
      </c>
      <c r="F150" s="11" t="e">
        <f t="array" aca="1" ref="F150" ca="1">_xludf.XLOOKUP(A150,PL!E:E,PL!A:A)</f>
        <v>#NAME?</v>
      </c>
      <c r="G150" s="8"/>
    </row>
    <row r="151" spans="1:7" ht="18.75" customHeight="1" x14ac:dyDescent="0.2">
      <c r="A151" s="8" t="s">
        <v>6068</v>
      </c>
      <c r="B151" s="9">
        <v>49475</v>
      </c>
      <c r="C151" s="9">
        <v>5902557383740</v>
      </c>
      <c r="D151" s="10" t="s">
        <v>6069</v>
      </c>
      <c r="E151" s="9">
        <f ca="1">IFERROR(__xludf.DUMMYFUNCTION("MROUND(XLOOKUP(A151,PL!E:E,PL!D:D)*1.4/SUBSTITUTE(importxml(""http://api.nbp.pl/api/exchangerates/rates/a/eur/""&amp;to_text(XLOOKUP(A151,PL!E:E,PL!A:A))&amp;""/?format=xml"",""//Mid""),""."","",""),5)"),5)</f>
        <v>5</v>
      </c>
      <c r="F151" s="11" t="e">
        <f t="array" aca="1" ref="F151" ca="1">_xludf.XLOOKUP(A151,PL!E:E,PL!A:A)</f>
        <v>#NAME?</v>
      </c>
      <c r="G151" s="8"/>
    </row>
    <row r="152" spans="1:7" ht="18.75" customHeight="1" x14ac:dyDescent="0.2">
      <c r="A152" s="8" t="s">
        <v>6070</v>
      </c>
      <c r="B152" s="9">
        <v>49511</v>
      </c>
      <c r="C152" s="9">
        <v>5902557384013</v>
      </c>
      <c r="D152" s="10" t="s">
        <v>6071</v>
      </c>
      <c r="E152" s="9">
        <f ca="1">IFERROR(__xludf.DUMMYFUNCTION("MROUND(XLOOKUP(A152,PL!E:E,PL!D:D)*1.4/SUBSTITUTE(importxml(""http://api.nbp.pl/api/exchangerates/rates/a/eur/""&amp;to_text(XLOOKUP(A152,PL!E:E,PL!A:A))&amp;""/?format=xml"",""//Mid""),""."","",""),5)"),10)</f>
        <v>10</v>
      </c>
      <c r="F152" s="11" t="e">
        <f t="array" aca="1" ref="F152" ca="1">_xludf.XLOOKUP(A152,PL!E:E,PL!A:A)</f>
        <v>#NAME?</v>
      </c>
      <c r="G152" s="8"/>
    </row>
    <row r="153" spans="1:7" ht="18.75" customHeight="1" x14ac:dyDescent="0.2">
      <c r="A153" s="8" t="s">
        <v>6072</v>
      </c>
      <c r="B153" s="9">
        <v>26225</v>
      </c>
      <c r="C153" s="9">
        <v>5902557335138</v>
      </c>
      <c r="D153" s="10" t="s">
        <v>6073</v>
      </c>
      <c r="E153" s="9">
        <f ca="1">IFERROR(__xludf.DUMMYFUNCTION("MROUND(XLOOKUP(A153,PL!E:E,PL!D:D)*1.4/SUBSTITUTE(importxml(""http://api.nbp.pl/api/exchangerates/rates/a/eur/""&amp;to_text(XLOOKUP(A153,PL!E:E,PL!A:A))&amp;""/?format=xml"",""//Mid""),""."","",""),5)"),25)</f>
        <v>25</v>
      </c>
      <c r="F153" s="11" t="e">
        <f t="array" aca="1" ref="F153" ca="1">_xludf.XLOOKUP(A153,PL!E:E,PL!A:A)</f>
        <v>#NAME?</v>
      </c>
      <c r="G153" s="8"/>
    </row>
    <row r="154" spans="1:7" ht="18.75" customHeight="1" x14ac:dyDescent="0.2">
      <c r="A154" s="8" t="s">
        <v>6074</v>
      </c>
      <c r="B154" s="9">
        <v>49560</v>
      </c>
      <c r="C154" s="9">
        <v>5902557384433</v>
      </c>
      <c r="D154" s="10" t="s">
        <v>6075</v>
      </c>
      <c r="E154" s="9">
        <f ca="1">IFERROR(__xludf.DUMMYFUNCTION("MROUND(XLOOKUP(A154,PL!E:E,PL!D:D)*1.4/SUBSTITUTE(importxml(""http://api.nbp.pl/api/exchangerates/rates/a/eur/""&amp;to_text(XLOOKUP(A154,PL!E:E,PL!A:A))&amp;""/?format=xml"",""//Mid""),""."","",""),5)"),10)</f>
        <v>10</v>
      </c>
      <c r="F154" s="11" t="e">
        <f t="array" aca="1" ref="F154" ca="1">_xludf.XLOOKUP(A154,PL!E:E,PL!A:A)</f>
        <v>#NAME?</v>
      </c>
      <c r="G154" s="8"/>
    </row>
    <row r="155" spans="1:7" ht="18.75" customHeight="1" x14ac:dyDescent="0.2">
      <c r="A155" s="8" t="s">
        <v>6076</v>
      </c>
      <c r="B155" s="9">
        <v>49487</v>
      </c>
      <c r="C155" s="9">
        <v>5902557383832</v>
      </c>
      <c r="D155" s="10" t="s">
        <v>6077</v>
      </c>
      <c r="E155" s="9">
        <f ca="1">IFERROR(__xludf.DUMMYFUNCTION("MROUND(XLOOKUP(A155,PL!E:E,PL!D:D)*1.4/SUBSTITUTE(importxml(""http://api.nbp.pl/api/exchangerates/rates/a/eur/""&amp;to_text(XLOOKUP(A155,PL!E:E,PL!A:A))&amp;""/?format=xml"",""//Mid""),""."","",""),5)"),10)</f>
        <v>10</v>
      </c>
      <c r="F155" s="11" t="e">
        <f t="array" aca="1" ref="F155" ca="1">_xludf.XLOOKUP(A155,PL!E:E,PL!A:A)</f>
        <v>#NAME?</v>
      </c>
      <c r="G155" s="8"/>
    </row>
    <row r="156" spans="1:7" ht="18.75" customHeight="1" x14ac:dyDescent="0.2">
      <c r="A156" s="8" t="s">
        <v>6078</v>
      </c>
      <c r="B156" s="9">
        <v>49530</v>
      </c>
      <c r="C156" s="9">
        <v>5902557384174</v>
      </c>
      <c r="D156" s="10" t="s">
        <v>6079</v>
      </c>
      <c r="E156" s="9">
        <f ca="1">IFERROR(__xludf.DUMMYFUNCTION("MROUND(XLOOKUP(A156,PL!E:E,PL!D:D)*1.4/SUBSTITUTE(importxml(""http://api.nbp.pl/api/exchangerates/rates/a/eur/""&amp;to_text(XLOOKUP(A156,PL!E:E,PL!A:A))&amp;""/?format=xml"",""//Mid""),""."","",""),5)"),10)</f>
        <v>10</v>
      </c>
      <c r="F156" s="11" t="e">
        <f t="array" aca="1" ref="F156" ca="1">_xludf.XLOOKUP(A156,PL!E:E,PL!A:A)</f>
        <v>#NAME?</v>
      </c>
      <c r="G156" s="8"/>
    </row>
    <row r="157" spans="1:7" ht="18.75" customHeight="1" x14ac:dyDescent="0.2">
      <c r="A157" s="8" t="s">
        <v>6080</v>
      </c>
      <c r="B157" s="9">
        <v>49423</v>
      </c>
      <c r="C157" s="9">
        <v>5902557383375</v>
      </c>
      <c r="D157" s="10" t="s">
        <v>6081</v>
      </c>
      <c r="E157" s="9">
        <f ca="1">IFERROR(__xludf.DUMMYFUNCTION("MROUND(XLOOKUP(A157,PL!E:E,PL!D:D)*1.4/SUBSTITUTE(importxml(""http://api.nbp.pl/api/exchangerates/rates/a/eur/""&amp;to_text(XLOOKUP(A157,PL!E:E,PL!A:A))&amp;""/?format=xml"",""//Mid""),""."","",""),5)"),10)</f>
        <v>10</v>
      </c>
      <c r="F157" s="11" t="e">
        <f t="array" aca="1" ref="F157" ca="1">_xludf.XLOOKUP(A157,PL!E:E,PL!A:A)</f>
        <v>#NAME?</v>
      </c>
      <c r="G157" s="8"/>
    </row>
    <row r="158" spans="1:7" ht="18.75" customHeight="1" x14ac:dyDescent="0.2">
      <c r="A158" s="8" t="s">
        <v>6082</v>
      </c>
      <c r="B158" s="9">
        <v>49443</v>
      </c>
      <c r="C158" s="9">
        <v>5902557383481</v>
      </c>
      <c r="D158" s="10" t="s">
        <v>6083</v>
      </c>
      <c r="E158" s="9">
        <f ca="1">IFERROR(__xludf.DUMMYFUNCTION("MROUND(XLOOKUP(A158,PL!E:E,PL!D:D)*1.4/SUBSTITUTE(importxml(""http://api.nbp.pl/api/exchangerates/rates/a/eur/""&amp;to_text(XLOOKUP(A158,PL!E:E,PL!A:A))&amp;""/?format=xml"",""//Mid""),""."","",""),5)"),10)</f>
        <v>10</v>
      </c>
      <c r="F158" s="11" t="e">
        <f t="array" aca="1" ref="F158" ca="1">_xludf.XLOOKUP(A158,PL!E:E,PL!A:A)</f>
        <v>#NAME?</v>
      </c>
      <c r="G158" s="8"/>
    </row>
    <row r="159" spans="1:7" ht="18.75" customHeight="1" x14ac:dyDescent="0.2">
      <c r="A159" s="8" t="s">
        <v>6084</v>
      </c>
      <c r="B159" s="9">
        <v>49484</v>
      </c>
      <c r="C159" s="9">
        <v>5902557383818</v>
      </c>
      <c r="D159" s="10" t="s">
        <v>6085</v>
      </c>
      <c r="E159" s="9">
        <f ca="1">IFERROR(__xludf.DUMMYFUNCTION("MROUND(XLOOKUP(A159,PL!E:E,PL!D:D)*1.4/SUBSTITUTE(importxml(""http://api.nbp.pl/api/exchangerates/rates/a/eur/""&amp;to_text(XLOOKUP(A159,PL!E:E,PL!A:A))&amp;""/?format=xml"",""//Mid""),""."","",""),5)"),10)</f>
        <v>10</v>
      </c>
      <c r="F159" s="11" t="e">
        <f t="array" aca="1" ref="F159" ca="1">_xludf.XLOOKUP(A159,PL!E:E,PL!A:A)</f>
        <v>#NAME?</v>
      </c>
      <c r="G159" s="8"/>
    </row>
    <row r="160" spans="1:7" ht="18.75" customHeight="1" x14ac:dyDescent="0.2">
      <c r="A160" s="8" t="s">
        <v>6086</v>
      </c>
      <c r="B160" s="9">
        <v>53033</v>
      </c>
      <c r="C160" s="9">
        <v>5906366004100</v>
      </c>
      <c r="D160" s="10" t="s">
        <v>6087</v>
      </c>
      <c r="E160" s="9">
        <f ca="1">IFERROR(__xludf.DUMMYFUNCTION("MROUND(XLOOKUP(A160,PL!E:E,PL!D:D)*1.4/SUBSTITUTE(importxml(""http://api.nbp.pl/api/exchangerates/rates/a/eur/""&amp;to_text(XLOOKUP(A160,PL!E:E,PL!A:A))&amp;""/?format=xml"",""//Mid""),""."","",""),5)"),10)</f>
        <v>10</v>
      </c>
      <c r="F160" s="11" t="e">
        <f t="array" aca="1" ref="F160" ca="1">_xludf.XLOOKUP(A160,PL!E:E,PL!A:A)</f>
        <v>#NAME?</v>
      </c>
      <c r="G160" s="8"/>
    </row>
    <row r="161" spans="1:7" ht="18.75" customHeight="1" x14ac:dyDescent="0.2">
      <c r="A161" s="8" t="s">
        <v>6088</v>
      </c>
      <c r="B161" s="9">
        <v>52990</v>
      </c>
      <c r="C161" s="9">
        <v>5906366004063</v>
      </c>
      <c r="D161" s="10" t="s">
        <v>6089</v>
      </c>
      <c r="E161" s="9">
        <f ca="1">IFERROR(__xludf.DUMMYFUNCTION("MROUND(XLOOKUP(A161,PL!E:E,PL!D:D)*1.4/SUBSTITUTE(importxml(""http://api.nbp.pl/api/exchangerates/rates/a/eur/""&amp;to_text(XLOOKUP(A161,PL!E:E,PL!A:A))&amp;""/?format=xml"",""//Mid""),""."","",""),5)"),10)</f>
        <v>10</v>
      </c>
      <c r="F161" s="11" t="e">
        <f t="array" aca="1" ref="F161" ca="1">_xludf.XLOOKUP(A161,PL!E:E,PL!A:A)</f>
        <v>#NAME?</v>
      </c>
      <c r="G161" s="8"/>
    </row>
    <row r="162" spans="1:7" ht="18.75" customHeight="1" x14ac:dyDescent="0.2">
      <c r="A162" s="8" t="s">
        <v>6090</v>
      </c>
      <c r="B162" s="9">
        <v>53038</v>
      </c>
      <c r="C162" s="9">
        <v>5906366004148</v>
      </c>
      <c r="D162" s="10" t="s">
        <v>6091</v>
      </c>
      <c r="E162" s="9">
        <f ca="1">IFERROR(__xludf.DUMMYFUNCTION("MROUND(XLOOKUP(A162,PL!E:E,PL!D:D)*1.4/SUBSTITUTE(importxml(""http://api.nbp.pl/api/exchangerates/rates/a/eur/""&amp;to_text(XLOOKUP(A162,PL!E:E,PL!A:A))&amp;""/?format=xml"",""//Mid""),""."","",""),5)"),10)</f>
        <v>10</v>
      </c>
      <c r="F162" s="11" t="e">
        <f t="array" aca="1" ref="F162" ca="1">_xludf.XLOOKUP(A162,PL!E:E,PL!A:A)</f>
        <v>#NAME?</v>
      </c>
      <c r="G162" s="8"/>
    </row>
    <row r="163" spans="1:7" ht="18.75" customHeight="1" x14ac:dyDescent="0.2">
      <c r="A163" s="8" t="s">
        <v>6092</v>
      </c>
      <c r="B163" s="9">
        <v>52987</v>
      </c>
      <c r="C163" s="9">
        <v>5906366004322</v>
      </c>
      <c r="D163" s="10" t="s">
        <v>6093</v>
      </c>
      <c r="E163" s="9">
        <f ca="1">IFERROR(__xludf.DUMMYFUNCTION("MROUND(XLOOKUP(A163,PL!E:E,PL!D:D)*1.4/SUBSTITUTE(importxml(""http://api.nbp.pl/api/exchangerates/rates/a/eur/""&amp;to_text(XLOOKUP(A163,PL!E:E,PL!A:A))&amp;""/?format=xml"",""//Mid""),""."","",""),5)"),15)</f>
        <v>15</v>
      </c>
      <c r="F163" s="11" t="e">
        <f t="array" aca="1" ref="F163" ca="1">_xludf.XLOOKUP(A163,PL!E:E,PL!A:A)</f>
        <v>#NAME?</v>
      </c>
      <c r="G163" s="8"/>
    </row>
    <row r="164" spans="1:7" ht="18.75" customHeight="1" x14ac:dyDescent="0.2">
      <c r="A164" s="8" t="s">
        <v>6094</v>
      </c>
      <c r="B164" s="9">
        <v>52891</v>
      </c>
      <c r="C164" s="9">
        <v>5906366004209</v>
      </c>
      <c r="D164" s="10" t="s">
        <v>6095</v>
      </c>
      <c r="E164" s="9">
        <f ca="1">IFERROR(__xludf.DUMMYFUNCTION("MROUND(XLOOKUP(A164,PL!E:E,PL!D:D)*1.4/SUBSTITUTE(importxml(""http://api.nbp.pl/api/exchangerates/rates/a/eur/""&amp;to_text(XLOOKUP(A164,PL!E:E,PL!A:A))&amp;""/?format=xml"",""//Mid""),""."","",""),5)"),20)</f>
        <v>20</v>
      </c>
      <c r="F164" s="11" t="e">
        <f t="array" aca="1" ref="F164" ca="1">_xludf.XLOOKUP(A164,PL!E:E,PL!A:A)</f>
        <v>#NAME?</v>
      </c>
      <c r="G164" s="8"/>
    </row>
    <row r="165" spans="1:7" ht="18.75" customHeight="1" x14ac:dyDescent="0.2">
      <c r="A165" s="8" t="s">
        <v>6096</v>
      </c>
      <c r="B165" s="9">
        <v>52892</v>
      </c>
      <c r="C165" s="9">
        <v>5906366004216</v>
      </c>
      <c r="D165" s="10" t="s">
        <v>6097</v>
      </c>
      <c r="E165" s="9">
        <f ca="1">IFERROR(__xludf.DUMMYFUNCTION("MROUND(XLOOKUP(A165,PL!E:E,PL!D:D)*1.4/SUBSTITUTE(importxml(""http://api.nbp.pl/api/exchangerates/rates/a/eur/""&amp;to_text(XLOOKUP(A165,PL!E:E,PL!A:A))&amp;""/?format=xml"",""//Mid""),""."","",""),5)"),20)</f>
        <v>20</v>
      </c>
      <c r="F165" s="11" t="e">
        <f t="array" aca="1" ref="F165" ca="1">_xludf.XLOOKUP(A165,PL!E:E,PL!A:A)</f>
        <v>#NAME?</v>
      </c>
      <c r="G165" s="8"/>
    </row>
    <row r="166" spans="1:7" ht="18.75" customHeight="1" x14ac:dyDescent="0.2">
      <c r="A166" s="8" t="s">
        <v>6098</v>
      </c>
      <c r="B166" s="9">
        <v>49434</v>
      </c>
      <c r="C166" s="9">
        <v>5902557383122</v>
      </c>
      <c r="D166" s="10" t="s">
        <v>6099</v>
      </c>
      <c r="E166" s="9">
        <f ca="1">IFERROR(__xludf.DUMMYFUNCTION("MROUND(XLOOKUP(A166,PL!E:E,PL!D:D)*1.4/SUBSTITUTE(importxml(""http://api.nbp.pl/api/exchangerates/rates/a/eur/""&amp;to_text(XLOOKUP(A166,PL!E:E,PL!A:A))&amp;""/?format=xml"",""//Mid""),""."","",""),5)"),10)</f>
        <v>10</v>
      </c>
      <c r="F166" s="11" t="e">
        <f t="array" aca="1" ref="F166" ca="1">_xludf.XLOOKUP(A166,PL!E:E,PL!A:A)</f>
        <v>#NAME?</v>
      </c>
      <c r="G166" s="8"/>
    </row>
    <row r="167" spans="1:7" ht="18.75" customHeight="1" x14ac:dyDescent="0.2">
      <c r="A167" s="8" t="s">
        <v>6100</v>
      </c>
      <c r="B167" s="9">
        <v>49480</v>
      </c>
      <c r="C167" s="9">
        <v>5902557383801</v>
      </c>
      <c r="D167" s="10" t="s">
        <v>6101</v>
      </c>
      <c r="E167" s="9">
        <f ca="1">IFERROR(__xludf.DUMMYFUNCTION("MROUND(XLOOKUP(A167,PL!E:E,PL!D:D)*1.4/SUBSTITUTE(importxml(""http://api.nbp.pl/api/exchangerates/rates/a/eur/""&amp;to_text(XLOOKUP(A167,PL!E:E,PL!A:A))&amp;""/?format=xml"",""//Mid""),""."","",""),5)"),15)</f>
        <v>15</v>
      </c>
      <c r="F167" s="11" t="e">
        <f t="array" aca="1" ref="F167" ca="1">_xludf.XLOOKUP(A167,PL!E:E,PL!A:A)</f>
        <v>#NAME?</v>
      </c>
      <c r="G167" s="8"/>
    </row>
    <row r="168" spans="1:7" ht="18.75" customHeight="1" x14ac:dyDescent="0.2">
      <c r="A168" s="8" t="s">
        <v>6102</v>
      </c>
      <c r="B168" s="9">
        <v>49435</v>
      </c>
      <c r="C168" s="9">
        <v>5902557383139</v>
      </c>
      <c r="D168" s="10" t="s">
        <v>6103</v>
      </c>
      <c r="E168" s="9">
        <f ca="1">IFERROR(__xludf.DUMMYFUNCTION("MROUND(XLOOKUP(A168,PL!E:E,PL!D:D)*1.4/SUBSTITUTE(importxml(""http://api.nbp.pl/api/exchangerates/rates/a/eur/""&amp;to_text(XLOOKUP(A168,PL!E:E,PL!A:A))&amp;""/?format=xml"",""//Mid""),""."","",""),5)"),15)</f>
        <v>15</v>
      </c>
      <c r="F168" s="11" t="e">
        <f t="array" aca="1" ref="F168" ca="1">_xludf.XLOOKUP(A168,PL!E:E,PL!A:A)</f>
        <v>#NAME?</v>
      </c>
      <c r="G168" s="8"/>
    </row>
    <row r="169" spans="1:7" ht="18.75" customHeight="1" x14ac:dyDescent="0.2">
      <c r="A169" s="8" t="s">
        <v>6104</v>
      </c>
      <c r="B169" s="9">
        <v>49485</v>
      </c>
      <c r="C169" s="9">
        <v>5902557383825</v>
      </c>
      <c r="D169" s="10" t="s">
        <v>6105</v>
      </c>
      <c r="E169" s="9">
        <f ca="1">IFERROR(__xludf.DUMMYFUNCTION("MROUND(XLOOKUP(A169,PL!E:E,PL!D:D)*1.4/SUBSTITUTE(importxml(""http://api.nbp.pl/api/exchangerates/rates/a/eur/""&amp;to_text(XLOOKUP(A169,PL!E:E,PL!A:A))&amp;""/?format=xml"",""//Mid""),""."","",""),5)"),20)</f>
        <v>20</v>
      </c>
      <c r="F169" s="11" t="e">
        <f t="array" aca="1" ref="F169" ca="1">_xludf.XLOOKUP(A169,PL!E:E,PL!A:A)</f>
        <v>#NAME?</v>
      </c>
      <c r="G169" s="8"/>
    </row>
    <row r="170" spans="1:7" ht="18.75" customHeight="1" x14ac:dyDescent="0.2">
      <c r="A170" s="8" t="s">
        <v>6106</v>
      </c>
      <c r="B170" s="9">
        <v>49531</v>
      </c>
      <c r="C170" s="9">
        <v>5902557384181</v>
      </c>
      <c r="D170" s="10" t="s">
        <v>6107</v>
      </c>
      <c r="E170" s="9">
        <f ca="1">IFERROR(__xludf.DUMMYFUNCTION("MROUND(XLOOKUP(A170,PL!E:E,PL!D:D)*1.4/SUBSTITUTE(importxml(""http://api.nbp.pl/api/exchangerates/rates/a/eur/""&amp;to_text(XLOOKUP(A170,PL!E:E,PL!A:A))&amp;""/?format=xml"",""//Mid""),""."","",""),5)"),15)</f>
        <v>15</v>
      </c>
      <c r="F170" s="11" t="e">
        <f t="array" aca="1" ref="F170" ca="1">_xludf.XLOOKUP(A170,PL!E:E,PL!A:A)</f>
        <v>#NAME?</v>
      </c>
      <c r="G170" s="8"/>
    </row>
    <row r="171" spans="1:7" ht="18.75" customHeight="1" x14ac:dyDescent="0.2">
      <c r="A171" s="8" t="s">
        <v>6108</v>
      </c>
      <c r="B171" s="9">
        <v>49472</v>
      </c>
      <c r="C171" s="9">
        <v>5902557383719</v>
      </c>
      <c r="D171" s="10" t="s">
        <v>6109</v>
      </c>
      <c r="E171" s="9">
        <f ca="1">IFERROR(__xludf.DUMMYFUNCTION("MROUND(XLOOKUP(A171,PL!E:E,PL!D:D)*1.4/SUBSTITUTE(importxml(""http://api.nbp.pl/api/exchangerates/rates/a/eur/""&amp;to_text(XLOOKUP(A171,PL!E:E,PL!A:A))&amp;""/?format=xml"",""//Mid""),""."","",""),5)"),20)</f>
        <v>20</v>
      </c>
      <c r="F171" s="11" t="e">
        <f t="array" aca="1" ref="F171" ca="1">_xludf.XLOOKUP(A171,PL!E:E,PL!A:A)</f>
        <v>#NAME?</v>
      </c>
      <c r="G171" s="8"/>
    </row>
    <row r="172" spans="1:7" ht="18.75" customHeight="1" x14ac:dyDescent="0.2">
      <c r="A172" s="8" t="s">
        <v>6110</v>
      </c>
      <c r="B172" s="9">
        <v>49474</v>
      </c>
      <c r="C172" s="9">
        <v>5902557383726</v>
      </c>
      <c r="D172" s="10" t="s">
        <v>6111</v>
      </c>
      <c r="E172" s="9">
        <f ca="1">IFERROR(__xludf.DUMMYFUNCTION("MROUND(XLOOKUP(A172,PL!E:E,PL!D:D)*1.4/SUBSTITUTE(importxml(""http://api.nbp.pl/api/exchangerates/rates/a/eur/""&amp;to_text(XLOOKUP(A172,PL!E:E,PL!A:A))&amp;""/?format=xml"",""//Mid""),""."","",""),5)"),30)</f>
        <v>30</v>
      </c>
      <c r="F172" s="11" t="e">
        <f t="array" aca="1" ref="F172" ca="1">_xludf.XLOOKUP(A172,PL!E:E,PL!A:A)</f>
        <v>#NAME?</v>
      </c>
      <c r="G172" s="8"/>
    </row>
    <row r="173" spans="1:7" ht="18.75" customHeight="1" x14ac:dyDescent="0.2">
      <c r="A173" s="8" t="s">
        <v>6112</v>
      </c>
      <c r="B173" s="9">
        <v>49479</v>
      </c>
      <c r="C173" s="9">
        <v>5902557383764</v>
      </c>
      <c r="D173" s="10" t="s">
        <v>6113</v>
      </c>
      <c r="E173" s="9">
        <f ca="1">IFERROR(__xludf.DUMMYFUNCTION("MROUND(XLOOKUP(A173,PL!E:E,PL!D:D)*1.4/SUBSTITUTE(importxml(""http://api.nbp.pl/api/exchangerates/rates/a/eur/""&amp;to_text(XLOOKUP(A173,PL!E:E,PL!A:A))&amp;""/?format=xml"",""//Mid""),""."","",""),5)"),20)</f>
        <v>20</v>
      </c>
      <c r="F173" s="11" t="e">
        <f t="array" aca="1" ref="F173" ca="1">_xludf.XLOOKUP(A173,PL!E:E,PL!A:A)</f>
        <v>#NAME?</v>
      </c>
      <c r="G173" s="8"/>
    </row>
    <row r="174" spans="1:7" ht="18.75" customHeight="1" x14ac:dyDescent="0.2">
      <c r="A174" s="8" t="s">
        <v>6114</v>
      </c>
      <c r="B174" s="9">
        <v>49508</v>
      </c>
      <c r="C174" s="9">
        <v>5902557383955</v>
      </c>
      <c r="D174" s="10" t="s">
        <v>6115</v>
      </c>
      <c r="E174" s="9">
        <f ca="1">IFERROR(__xludf.DUMMYFUNCTION("MROUND(XLOOKUP(A174,PL!E:E,PL!D:D)*1.4/SUBSTITUTE(importxml(""http://api.nbp.pl/api/exchangerates/rates/a/eur/""&amp;to_text(XLOOKUP(A174,PL!E:E,PL!A:A))&amp;""/?format=xml"",""//Mid""),""."","",""),5)"),15)</f>
        <v>15</v>
      </c>
      <c r="F174" s="11" t="e">
        <f t="array" aca="1" ref="F174" ca="1">_xludf.XLOOKUP(A174,PL!E:E,PL!A:A)</f>
        <v>#NAME?</v>
      </c>
      <c r="G174" s="8"/>
    </row>
    <row r="175" spans="1:7" ht="18.75" customHeight="1" x14ac:dyDescent="0.2">
      <c r="A175" s="8" t="s">
        <v>6116</v>
      </c>
      <c r="B175" s="9">
        <v>49546</v>
      </c>
      <c r="C175" s="9">
        <v>5902557384303</v>
      </c>
      <c r="D175" s="10" t="s">
        <v>6117</v>
      </c>
      <c r="E175" s="9">
        <f ca="1">IFERROR(__xludf.DUMMYFUNCTION("MROUND(XLOOKUP(A175,PL!E:E,PL!D:D)*1.4/SUBSTITUTE(importxml(""http://api.nbp.pl/api/exchangerates/rates/a/eur/""&amp;to_text(XLOOKUP(A175,PL!E:E,PL!A:A))&amp;""/?format=xml"",""//Mid""),""."","",""),5)"),20)</f>
        <v>20</v>
      </c>
      <c r="F175" s="11" t="e">
        <f t="array" aca="1" ref="F175" ca="1">_xludf.XLOOKUP(A175,PL!E:E,PL!A:A)</f>
        <v>#NAME?</v>
      </c>
      <c r="G175" s="8"/>
    </row>
    <row r="176" spans="1:7" ht="18.75" customHeight="1" x14ac:dyDescent="0.2">
      <c r="A176" s="8" t="s">
        <v>6118</v>
      </c>
      <c r="B176" s="9">
        <v>49537</v>
      </c>
      <c r="C176" s="9">
        <v>5902557384242</v>
      </c>
      <c r="D176" s="10" t="s">
        <v>6119</v>
      </c>
      <c r="E176" s="9">
        <f ca="1">IFERROR(__xludf.DUMMYFUNCTION("MROUND(XLOOKUP(A176,PL!E:E,PL!D:D)*1.4/SUBSTITUTE(importxml(""http://api.nbp.pl/api/exchangerates/rates/a/eur/""&amp;to_text(XLOOKUP(A176,PL!E:E,PL!A:A))&amp;""/?format=xml"",""//Mid""),""."","",""),5)"),10)</f>
        <v>10</v>
      </c>
      <c r="F176" s="11" t="e">
        <f t="array" aca="1" ref="F176" ca="1">_xludf.XLOOKUP(A176,PL!E:E,PL!A:A)</f>
        <v>#NAME?</v>
      </c>
      <c r="G176" s="8"/>
    </row>
    <row r="177" spans="1:7" ht="18.75" customHeight="1" x14ac:dyDescent="0.2">
      <c r="A177" s="8" t="s">
        <v>6120</v>
      </c>
      <c r="B177" s="9">
        <v>49581</v>
      </c>
      <c r="C177" s="9">
        <v>5902557384464</v>
      </c>
      <c r="D177" s="10" t="s">
        <v>6121</v>
      </c>
      <c r="E177" s="9">
        <f ca="1">IFERROR(__xludf.DUMMYFUNCTION("MROUND(XLOOKUP(A177,PL!E:E,PL!D:D)*1.4/SUBSTITUTE(importxml(""http://api.nbp.pl/api/exchangerates/rates/a/eur/""&amp;to_text(XLOOKUP(A177,PL!E:E,PL!A:A))&amp;""/?format=xml"",""//Mid""),""."","",""),5)"),20)</f>
        <v>20</v>
      </c>
      <c r="F177" s="11" t="e">
        <f t="array" aca="1" ref="F177" ca="1">_xludf.XLOOKUP(A177,PL!E:E,PL!A:A)</f>
        <v>#NAME?</v>
      </c>
      <c r="G177" s="8"/>
    </row>
    <row r="178" spans="1:7" ht="18.75" customHeight="1" x14ac:dyDescent="0.2">
      <c r="A178" s="8" t="s">
        <v>6122</v>
      </c>
      <c r="B178" s="9">
        <v>49582</v>
      </c>
      <c r="C178" s="9">
        <v>5902557384471</v>
      </c>
      <c r="D178" s="10" t="s">
        <v>6123</v>
      </c>
      <c r="E178" s="9">
        <f ca="1">IFERROR(__xludf.DUMMYFUNCTION("MROUND(XLOOKUP(A178,PL!E:E,PL!D:D)*1.4/SUBSTITUTE(importxml(""http://api.nbp.pl/api/exchangerates/rates/a/eur/""&amp;to_text(XLOOKUP(A178,PL!E:E,PL!A:A))&amp;""/?format=xml"",""//Mid""),""."","",""),5)"),20)</f>
        <v>20</v>
      </c>
      <c r="F178" s="11" t="e">
        <f t="array" aca="1" ref="F178" ca="1">_xludf.XLOOKUP(A178,PL!E:E,PL!A:A)</f>
        <v>#NAME?</v>
      </c>
      <c r="G178" s="8"/>
    </row>
    <row r="179" spans="1:7" ht="18.75" customHeight="1" x14ac:dyDescent="0.2">
      <c r="A179" s="8" t="s">
        <v>6124</v>
      </c>
      <c r="B179" s="9">
        <v>53035</v>
      </c>
      <c r="C179" s="9">
        <v>5906366004124</v>
      </c>
      <c r="D179" s="10" t="s">
        <v>6125</v>
      </c>
      <c r="E179" s="9">
        <f ca="1">IFERROR(__xludf.DUMMYFUNCTION("MROUND(XLOOKUP(A179,PL!E:E,PL!D:D)*1.4/SUBSTITUTE(importxml(""http://api.nbp.pl/api/exchangerates/rates/a/eur/""&amp;to_text(XLOOKUP(A179,PL!E:E,PL!A:A))&amp;""/?format=xml"",""//Mid""),""."","",""),5)"),25)</f>
        <v>25</v>
      </c>
      <c r="F179" s="11" t="e">
        <f t="array" aca="1" ref="F179" ca="1">_xludf.XLOOKUP(A179,PL!E:E,PL!A:A)</f>
        <v>#NAME?</v>
      </c>
      <c r="G179" s="8"/>
    </row>
    <row r="180" spans="1:7" ht="18.75" customHeight="1" x14ac:dyDescent="0.2">
      <c r="A180" s="8" t="s">
        <v>6126</v>
      </c>
      <c r="B180" s="9">
        <v>52992</v>
      </c>
      <c r="C180" s="9">
        <v>5906366004087</v>
      </c>
      <c r="D180" s="10" t="s">
        <v>6127</v>
      </c>
      <c r="E180" s="9">
        <f ca="1">IFERROR(__xludf.DUMMYFUNCTION("MROUND(XLOOKUP(A180,PL!E:E,PL!D:D)*1.4/SUBSTITUTE(importxml(""http://api.nbp.pl/api/exchangerates/rates/a/eur/""&amp;to_text(XLOOKUP(A180,PL!E:E,PL!A:A))&amp;""/?format=xml"",""//Mid""),""."","",""),5)"),25)</f>
        <v>25</v>
      </c>
      <c r="F180" s="11" t="e">
        <f t="array" aca="1" ref="F180" ca="1">_xludf.XLOOKUP(A180,PL!E:E,PL!A:A)</f>
        <v>#NAME?</v>
      </c>
      <c r="G180" s="8"/>
    </row>
    <row r="181" spans="1:7" ht="18.75" customHeight="1" x14ac:dyDescent="0.2">
      <c r="A181" s="8" t="s">
        <v>6128</v>
      </c>
      <c r="B181" s="9">
        <v>53042</v>
      </c>
      <c r="C181" s="9">
        <v>5906366004162</v>
      </c>
      <c r="D181" s="10" t="s">
        <v>6129</v>
      </c>
      <c r="E181" s="9">
        <f ca="1">IFERROR(__xludf.DUMMYFUNCTION("MROUND(XLOOKUP(A181,PL!E:E,PL!D:D)*1.4/SUBSTITUTE(importxml(""http://api.nbp.pl/api/exchangerates/rates/a/eur/""&amp;to_text(XLOOKUP(A181,PL!E:E,PL!A:A))&amp;""/?format=xml"",""//Mid""),""."","",""),5)"),25)</f>
        <v>25</v>
      </c>
      <c r="F181" s="11" t="e">
        <f t="array" aca="1" ref="F181" ca="1">_xludf.XLOOKUP(A181,PL!E:E,PL!A:A)</f>
        <v>#NAME?</v>
      </c>
      <c r="G181" s="8"/>
    </row>
    <row r="182" spans="1:7" ht="18.75" customHeight="1" x14ac:dyDescent="0.2">
      <c r="A182" s="8" t="s">
        <v>6130</v>
      </c>
      <c r="B182" s="9">
        <v>49589</v>
      </c>
      <c r="C182" s="8">
        <v>5902557384532</v>
      </c>
      <c r="D182" s="10" t="s">
        <v>6131</v>
      </c>
      <c r="E182" s="9">
        <f ca="1">IFERROR(__xludf.DUMMYFUNCTION("MROUND(XLOOKUP(A182,PL!E:E,PL!D:D)*1.4/SUBSTITUTE(importxml(""http://api.nbp.pl/api/exchangerates/rates/a/eur/""&amp;to_text(XLOOKUP(A182,PL!E:E,PL!A:A))&amp;""/?format=xml"",""//Mid""),""."","",""),5)"),30)</f>
        <v>30</v>
      </c>
      <c r="F182" s="11" t="e">
        <f t="array" aca="1" ref="F182" ca="1">_xludf.XLOOKUP(A182,PL!E:E,PL!A:A)</f>
        <v>#NAME?</v>
      </c>
      <c r="G182" s="8"/>
    </row>
    <row r="183" spans="1:7" ht="18.75" customHeight="1" x14ac:dyDescent="0.2">
      <c r="A183" s="8" t="s">
        <v>6132</v>
      </c>
      <c r="B183" s="9">
        <v>49538</v>
      </c>
      <c r="C183" s="8">
        <v>5902557384259</v>
      </c>
      <c r="D183" s="10" t="s">
        <v>6133</v>
      </c>
      <c r="E183" s="9">
        <f ca="1">IFERROR(__xludf.DUMMYFUNCTION("MROUND(XLOOKUP(A183,PL!E:E,PL!D:D)*1.4/SUBSTITUTE(importxml(""http://api.nbp.pl/api/exchangerates/rates/a/eur/""&amp;to_text(XLOOKUP(A183,PL!E:E,PL!A:A))&amp;""/?format=xml"",""//Mid""),""."","",""),5)"),25)</f>
        <v>25</v>
      </c>
      <c r="F183" s="11" t="e">
        <f t="array" aca="1" ref="F183" ca="1">_xludf.XLOOKUP(A183,PL!E:E,PL!A:A)</f>
        <v>#NAME?</v>
      </c>
      <c r="G183" s="8"/>
    </row>
    <row r="184" spans="1:7" ht="18.75" customHeight="1" x14ac:dyDescent="0.2">
      <c r="A184" s="8" t="s">
        <v>6134</v>
      </c>
      <c r="B184" s="9">
        <v>49536</v>
      </c>
      <c r="C184" s="9">
        <v>5902557384235</v>
      </c>
      <c r="D184" s="10" t="s">
        <v>6135</v>
      </c>
      <c r="E184" s="9">
        <f ca="1">IFERROR(__xludf.DUMMYFUNCTION("MROUND(XLOOKUP(A184,PL!E:E,PL!D:D)*1.4/SUBSTITUTE(importxml(""http://api.nbp.pl/api/exchangerates/rates/a/eur/""&amp;to_text(XLOOKUP(A184,PL!E:E,PL!A:A))&amp;""/?format=xml"",""//Mid""),""."","",""),5)"),30)</f>
        <v>30</v>
      </c>
      <c r="F184" s="11" t="e">
        <f t="array" aca="1" ref="F184" ca="1">_xludf.XLOOKUP(A184,PL!E:E,PL!A:A)</f>
        <v>#NAME?</v>
      </c>
      <c r="G184" s="8"/>
    </row>
    <row r="185" spans="1:7" ht="18.75" customHeight="1" x14ac:dyDescent="0.2">
      <c r="A185" s="8" t="s">
        <v>6136</v>
      </c>
      <c r="B185" s="9">
        <v>49545</v>
      </c>
      <c r="C185" s="9">
        <v>5902557384310</v>
      </c>
      <c r="D185" s="10" t="s">
        <v>6137</v>
      </c>
      <c r="E185" s="9">
        <f ca="1">IFERROR(__xludf.DUMMYFUNCTION("MROUND(XLOOKUP(A185,PL!E:E,PL!D:D)*1.4/SUBSTITUTE(importxml(""http://api.nbp.pl/api/exchangerates/rates/a/eur/""&amp;to_text(XLOOKUP(A185,PL!E:E,PL!A:A))&amp;""/?format=xml"",""//Mid""),""."","",""),5)"),30)</f>
        <v>30</v>
      </c>
      <c r="F185" s="11" t="e">
        <f t="array" aca="1" ref="F185" ca="1">_xludf.XLOOKUP(A185,PL!E:E,PL!A:A)</f>
        <v>#NAME?</v>
      </c>
      <c r="G185" s="8"/>
    </row>
    <row r="186" spans="1:7" ht="18.75" customHeight="1" x14ac:dyDescent="0.2">
      <c r="A186" s="8" t="s">
        <v>6138</v>
      </c>
      <c r="B186" s="9">
        <v>49901</v>
      </c>
      <c r="C186" s="9">
        <v>5902557386499</v>
      </c>
      <c r="D186" s="10" t="s">
        <v>6139</v>
      </c>
      <c r="E186" s="9">
        <f ca="1">IFERROR(__xludf.DUMMYFUNCTION("MROUND(XLOOKUP(A186,PL!E:E,PL!D:D)*1.4/SUBSTITUTE(importxml(""http://api.nbp.pl/api/exchangerates/rates/a/eur/""&amp;to_text(XLOOKUP(A186,PL!E:E,PL!A:A))&amp;""/?format=xml"",""//Mid""),""."","",""),5)"),20)</f>
        <v>20</v>
      </c>
      <c r="F186" s="11" t="e">
        <f t="array" aca="1" ref="F186" ca="1">_xludf.XLOOKUP(A186,PL!E:E,PL!A:A)</f>
        <v>#NAME?</v>
      </c>
      <c r="G186" s="8"/>
    </row>
    <row r="187" spans="1:7" ht="18.75" customHeight="1" x14ac:dyDescent="0.2">
      <c r="A187" s="8" t="s">
        <v>6140</v>
      </c>
      <c r="B187" s="9">
        <v>49478</v>
      </c>
      <c r="C187" s="9">
        <v>5902557383757</v>
      </c>
      <c r="D187" s="10" t="s">
        <v>6141</v>
      </c>
      <c r="E187" s="9">
        <f ca="1">IFERROR(__xludf.DUMMYFUNCTION("MROUND(XLOOKUP(A187,PL!E:E,PL!D:D)*1.4/SUBSTITUTE(importxml(""http://api.nbp.pl/api/exchangerates/rates/a/eur/""&amp;to_text(XLOOKUP(A187,PL!E:E,PL!A:A))&amp;""/?format=xml"",""//Mid""),""."","",""),5)"),25)</f>
        <v>25</v>
      </c>
      <c r="F187" s="11" t="e">
        <f t="array" aca="1" ref="F187" ca="1">_xludf.XLOOKUP(A187,PL!E:E,PL!A:A)</f>
        <v>#NAME?</v>
      </c>
      <c r="G187" s="8"/>
    </row>
    <row r="188" spans="1:7" ht="18.75" customHeight="1" x14ac:dyDescent="0.2">
      <c r="A188" s="8" t="s">
        <v>6142</v>
      </c>
      <c r="B188" s="9">
        <v>49584</v>
      </c>
      <c r="C188" s="9">
        <v>5902557384488</v>
      </c>
      <c r="D188" s="10" t="s">
        <v>6143</v>
      </c>
      <c r="E188" s="9">
        <f ca="1">IFERROR(__xludf.DUMMYFUNCTION("MROUND(XLOOKUP(A188,PL!E:E,PL!D:D)*1.4/SUBSTITUTE(importxml(""http://api.nbp.pl/api/exchangerates/rates/a/eur/""&amp;to_text(XLOOKUP(A188,PL!E:E,PL!A:A))&amp;""/?format=xml"",""//Mid""),""."","",""),5)"),35)</f>
        <v>35</v>
      </c>
      <c r="F188" s="11" t="e">
        <f t="array" aca="1" ref="F188" ca="1">_xludf.XLOOKUP(A188,PL!E:E,PL!A:A)</f>
        <v>#NAME?</v>
      </c>
      <c r="G188" s="8"/>
    </row>
    <row r="189" spans="1:7" ht="18.75" customHeight="1" x14ac:dyDescent="0.2">
      <c r="A189" s="8" t="s">
        <v>6144</v>
      </c>
      <c r="B189" s="9">
        <v>49900</v>
      </c>
      <c r="C189" s="9">
        <v>5902557386482</v>
      </c>
      <c r="D189" s="10" t="s">
        <v>6145</v>
      </c>
      <c r="E189" s="9">
        <f ca="1">IFERROR(__xludf.DUMMYFUNCTION("MROUND(XLOOKUP(A189,PL!E:E,PL!D:D)*1.4/SUBSTITUTE(importxml(""http://api.nbp.pl/api/exchangerates/rates/a/eur/""&amp;to_text(XLOOKUP(A189,PL!E:E,PL!A:A))&amp;""/?format=xml"",""//Mid""),""."","",""),5)"),30)</f>
        <v>30</v>
      </c>
      <c r="F189" s="11" t="e">
        <f t="array" aca="1" ref="F189" ca="1">_xludf.XLOOKUP(A189,PL!E:E,PL!A:A)</f>
        <v>#NAME?</v>
      </c>
      <c r="G189" s="8"/>
    </row>
    <row r="190" spans="1:7" ht="18.75" customHeight="1" x14ac:dyDescent="0.2">
      <c r="A190" s="8" t="s">
        <v>6146</v>
      </c>
      <c r="B190" s="9">
        <v>49689</v>
      </c>
      <c r="C190" s="9">
        <v>5902557385102</v>
      </c>
      <c r="D190" s="10" t="s">
        <v>6147</v>
      </c>
      <c r="E190" s="9">
        <f ca="1">IFERROR(__xludf.DUMMYFUNCTION("MROUND(XLOOKUP(A190,PL!E:E,PL!D:D)*1.4/SUBSTITUTE(importxml(""http://api.nbp.pl/api/exchangerates/rates/a/eur/""&amp;to_text(XLOOKUP(A190,PL!E:E,PL!A:A))&amp;""/?format=xml"",""//Mid""),""."","",""),5)"),30)</f>
        <v>30</v>
      </c>
      <c r="F190" s="11" t="e">
        <f t="array" aca="1" ref="F190" ca="1">_xludf.XLOOKUP(A190,PL!E:E,PL!A:A)</f>
        <v>#NAME?</v>
      </c>
      <c r="G190" s="8"/>
    </row>
    <row r="191" spans="1:7" ht="18.75" customHeight="1" x14ac:dyDescent="0.2">
      <c r="A191" s="8" t="s">
        <v>6148</v>
      </c>
      <c r="B191" s="9">
        <v>52923</v>
      </c>
      <c r="C191" s="9">
        <v>5906366004247</v>
      </c>
      <c r="D191" s="10" t="s">
        <v>6149</v>
      </c>
      <c r="E191" s="9">
        <f ca="1">IFERROR(__xludf.DUMMYFUNCTION("MROUND(XLOOKUP(A191,PL!E:E,PL!D:D)*1.4/SUBSTITUTE(importxml(""http://api.nbp.pl/api/exchangerates/rates/a/eur/""&amp;to_text(XLOOKUP(A191,PL!E:E,PL!A:A))&amp;""/?format=xml"",""//Mid""),""."","",""),5)"),15)</f>
        <v>15</v>
      </c>
      <c r="F191" s="11" t="e">
        <f t="array" aca="1" ref="F191" ca="1">_xludf.XLOOKUP(A191,PL!E:E,PL!A:A)</f>
        <v>#NAME?</v>
      </c>
      <c r="G191" s="8"/>
    </row>
    <row r="192" spans="1:7" ht="18.75" customHeight="1" x14ac:dyDescent="0.2">
      <c r="A192" s="8" t="s">
        <v>6150</v>
      </c>
      <c r="B192" s="9">
        <v>52922</v>
      </c>
      <c r="C192" s="9">
        <v>5906366004261</v>
      </c>
      <c r="D192" s="10" t="s">
        <v>6151</v>
      </c>
      <c r="E192" s="9">
        <f ca="1">IFERROR(__xludf.DUMMYFUNCTION("MROUND(XLOOKUP(A192,PL!E:E,PL!D:D)*1.4/SUBSTITUTE(importxml(""http://api.nbp.pl/api/exchangerates/rates/a/eur/""&amp;to_text(XLOOKUP(A192,PL!E:E,PL!A:A))&amp;""/?format=xml"",""//Mid""),""."","",""),5)"),10)</f>
        <v>10</v>
      </c>
      <c r="F192" s="11" t="e">
        <f t="array" aca="1" ref="F192" ca="1">_xludf.XLOOKUP(A192,PL!E:E,PL!A:A)</f>
        <v>#NAME?</v>
      </c>
      <c r="G192" s="8"/>
    </row>
    <row r="193" spans="1:7" ht="18.75" customHeight="1" x14ac:dyDescent="0.2">
      <c r="A193" s="8" t="s">
        <v>6152</v>
      </c>
      <c r="B193" s="9">
        <v>52914</v>
      </c>
      <c r="C193" s="9">
        <v>5906366004254</v>
      </c>
      <c r="D193" s="10" t="s">
        <v>6153</v>
      </c>
      <c r="E193" s="9">
        <f ca="1">IFERROR(__xludf.DUMMYFUNCTION("MROUND(XLOOKUP(A193,PL!E:E,PL!D:D)*1.4/SUBSTITUTE(importxml(""http://api.nbp.pl/api/exchangerates/rates/a/eur/""&amp;to_text(XLOOKUP(A193,PL!E:E,PL!A:A))&amp;""/?format=xml"",""//Mid""),""."","",""),5)"),15)</f>
        <v>15</v>
      </c>
      <c r="F193" s="11" t="e">
        <f t="array" aca="1" ref="F193" ca="1">_xludf.XLOOKUP(A193,PL!E:E,PL!A:A)</f>
        <v>#NAME?</v>
      </c>
      <c r="G193" s="8"/>
    </row>
    <row r="194" spans="1:7" ht="18.75" customHeight="1" x14ac:dyDescent="0.2">
      <c r="A194" s="8" t="s">
        <v>6154</v>
      </c>
      <c r="B194" s="9">
        <v>43665</v>
      </c>
      <c r="C194" s="9">
        <v>5902557371594</v>
      </c>
      <c r="D194" s="10" t="s">
        <v>6155</v>
      </c>
      <c r="E194" s="9">
        <f ca="1">IFERROR(__xludf.DUMMYFUNCTION("MROUND(XLOOKUP(A194,PL!E:E,PL!D:D)*1.4/SUBSTITUTE(importxml(""http://api.nbp.pl/api/exchangerates/rates/a/eur/""&amp;to_text(XLOOKUP(A194,PL!E:E,PL!A:A))&amp;""/?format=xml"",""//Mid""),""."","",""),5)"),10)</f>
        <v>10</v>
      </c>
      <c r="F194" s="11" t="e">
        <f t="array" aca="1" ref="F194" ca="1">_xludf.XLOOKUP(A194,PL!E:E,PL!A:A)</f>
        <v>#NAME?</v>
      </c>
      <c r="G194" s="8"/>
    </row>
    <row r="195" spans="1:7" ht="18.75" customHeight="1" x14ac:dyDescent="0.2">
      <c r="A195" s="8" t="s">
        <v>6156</v>
      </c>
      <c r="B195" s="9">
        <v>43987</v>
      </c>
      <c r="C195" s="9">
        <v>5902557368006</v>
      </c>
      <c r="D195" s="10" t="s">
        <v>6157</v>
      </c>
      <c r="E195" s="9">
        <f ca="1">IFERROR(__xludf.DUMMYFUNCTION("MROUND(XLOOKUP(A195,PL!E:E,PL!D:D)*1.4/SUBSTITUTE(importxml(""http://api.nbp.pl/api/exchangerates/rates/a/eur/""&amp;to_text(XLOOKUP(A195,PL!E:E,PL!A:A))&amp;""/?format=xml"",""//Mid""),""."","",""),5)"),30)</f>
        <v>30</v>
      </c>
      <c r="F195" s="11" t="e">
        <f t="array" aca="1" ref="F195" ca="1">_xludf.XLOOKUP(A195,PL!E:E,PL!A:A)</f>
        <v>#NAME?</v>
      </c>
      <c r="G195" s="8"/>
    </row>
    <row r="196" spans="1:7" ht="18.75" customHeight="1" x14ac:dyDescent="0.2">
      <c r="A196" s="8" t="s">
        <v>6158</v>
      </c>
      <c r="B196" s="9">
        <v>43673</v>
      </c>
      <c r="C196" s="9">
        <v>5902557371662</v>
      </c>
      <c r="D196" s="10" t="s">
        <v>6159</v>
      </c>
      <c r="E196" s="9">
        <f ca="1">IFERROR(__xludf.DUMMYFUNCTION("MROUND(XLOOKUP(A196,PL!E:E,PL!D:D)*1.4/SUBSTITUTE(importxml(""http://api.nbp.pl/api/exchangerates/rates/a/eur/""&amp;to_text(XLOOKUP(A196,PL!E:E,PL!A:A))&amp;""/?format=xml"",""//Mid""),""."","",""),5)"),10)</f>
        <v>10</v>
      </c>
      <c r="F196" s="11" t="e">
        <f t="array" aca="1" ref="F196" ca="1">_xludf.XLOOKUP(A196,PL!E:E,PL!A:A)</f>
        <v>#NAME?</v>
      </c>
      <c r="G196" s="8"/>
    </row>
    <row r="197" spans="1:7" ht="18.75" customHeight="1" x14ac:dyDescent="0.2">
      <c r="A197" s="8" t="s">
        <v>6160</v>
      </c>
      <c r="B197" s="9">
        <v>44003</v>
      </c>
      <c r="C197" s="9">
        <v>5902557367672</v>
      </c>
      <c r="D197" s="10" t="s">
        <v>6161</v>
      </c>
      <c r="E197" s="9">
        <f ca="1">IFERROR(__xludf.DUMMYFUNCTION("MROUND(XLOOKUP(A197,PL!E:E,PL!D:D)*1.4/SUBSTITUTE(importxml(""http://api.nbp.pl/api/exchangerates/rates/a/eur/""&amp;to_text(XLOOKUP(A197,PL!E:E,PL!A:A))&amp;""/?format=xml"",""//Mid""),""."","",""),5)"),25)</f>
        <v>25</v>
      </c>
      <c r="F197" s="11" t="e">
        <f t="array" aca="1" ref="F197" ca="1">_xludf.XLOOKUP(A197,PL!E:E,PL!A:A)</f>
        <v>#NAME?</v>
      </c>
      <c r="G197" s="8"/>
    </row>
    <row r="198" spans="1:7" ht="18.75" customHeight="1" x14ac:dyDescent="0.2">
      <c r="A198" s="8" t="s">
        <v>6162</v>
      </c>
      <c r="B198" s="9">
        <v>43664</v>
      </c>
      <c r="C198" s="9">
        <v>5902557371617</v>
      </c>
      <c r="D198" s="10" t="s">
        <v>6163</v>
      </c>
      <c r="E198" s="9">
        <f ca="1">IFERROR(__xludf.DUMMYFUNCTION("MROUND(XLOOKUP(A198,PL!E:E,PL!D:D)*1.4/SUBSTITUTE(importxml(""http://api.nbp.pl/api/exchangerates/rates/a/eur/""&amp;to_text(XLOOKUP(A198,PL!E:E,PL!A:A))&amp;""/?format=xml"",""//Mid""),""."","",""),5)"),10)</f>
        <v>10</v>
      </c>
      <c r="F198" s="11" t="e">
        <f t="array" aca="1" ref="F198" ca="1">_xludf.XLOOKUP(A198,PL!E:E,PL!A:A)</f>
        <v>#NAME?</v>
      </c>
      <c r="G198" s="8"/>
    </row>
    <row r="199" spans="1:7" ht="18.75" customHeight="1" x14ac:dyDescent="0.2">
      <c r="A199" s="8" t="s">
        <v>6164</v>
      </c>
      <c r="B199" s="9">
        <v>43990</v>
      </c>
      <c r="C199" s="9">
        <v>5902557367993</v>
      </c>
      <c r="D199" s="10" t="s">
        <v>6165</v>
      </c>
      <c r="E199" s="9">
        <f ca="1">IFERROR(__xludf.DUMMYFUNCTION("MROUND(XLOOKUP(A199,PL!E:E,PL!D:D)*1.4/SUBSTITUTE(importxml(""http://api.nbp.pl/api/exchangerates/rates/a/eur/""&amp;to_text(XLOOKUP(A199,PL!E:E,PL!A:A))&amp;""/?format=xml"",""//Mid""),""."","",""),5)"),25)</f>
        <v>25</v>
      </c>
      <c r="F199" s="11" t="e">
        <f t="array" aca="1" ref="F199" ca="1">_xludf.XLOOKUP(A199,PL!E:E,PL!A:A)</f>
        <v>#NAME?</v>
      </c>
      <c r="G199" s="8"/>
    </row>
    <row r="200" spans="1:7" ht="18.75" customHeight="1" x14ac:dyDescent="0.2">
      <c r="A200" s="8" t="s">
        <v>6166</v>
      </c>
      <c r="B200" s="9">
        <v>43674</v>
      </c>
      <c r="C200" s="9">
        <v>5902557371648</v>
      </c>
      <c r="D200" s="10" t="s">
        <v>6167</v>
      </c>
      <c r="E200" s="9">
        <f ca="1">IFERROR(__xludf.DUMMYFUNCTION("MROUND(XLOOKUP(A200,PL!E:E,PL!D:D)*1.4/SUBSTITUTE(importxml(""http://api.nbp.pl/api/exchangerates/rates/a/eur/""&amp;to_text(XLOOKUP(A200,PL!E:E,PL!A:A))&amp;""/?format=xml"",""//Mid""),""."","",""),5)"),10)</f>
        <v>10</v>
      </c>
      <c r="F200" s="11" t="e">
        <f t="array" aca="1" ref="F200" ca="1">_xludf.XLOOKUP(A200,PL!E:E,PL!A:A)</f>
        <v>#NAME?</v>
      </c>
      <c r="G200" s="8"/>
    </row>
    <row r="201" spans="1:7" ht="18.75" customHeight="1" x14ac:dyDescent="0.2">
      <c r="A201" s="8" t="s">
        <v>6168</v>
      </c>
      <c r="B201" s="9">
        <v>52985</v>
      </c>
      <c r="C201" s="9">
        <v>5906366003547</v>
      </c>
      <c r="D201" s="10" t="s">
        <v>6169</v>
      </c>
      <c r="E201" s="9">
        <f ca="1">IFERROR(__xludf.DUMMYFUNCTION("MROUND(XLOOKUP(A201,PL!E:E,PL!D:D)*1.4/SUBSTITUTE(importxml(""http://api.nbp.pl/api/exchangerates/rates/a/eur/""&amp;to_text(XLOOKUP(A201,PL!E:E,PL!A:A))&amp;""/?format=xml"",""//Mid""),""."","",""),5)"),40)</f>
        <v>40</v>
      </c>
      <c r="F201" s="11" t="e">
        <f t="array" aca="1" ref="F201" ca="1">_xludf.XLOOKUP(A201,PL!E:E,PL!A:A)</f>
        <v>#NAME?</v>
      </c>
      <c r="G201" s="8"/>
    </row>
    <row r="202" spans="1:7" ht="18.75" customHeight="1" x14ac:dyDescent="0.2">
      <c r="A202" s="8" t="s">
        <v>6170</v>
      </c>
      <c r="B202" s="9">
        <v>44347</v>
      </c>
      <c r="C202" s="9">
        <v>5902557367689</v>
      </c>
      <c r="D202" s="10" t="s">
        <v>6171</v>
      </c>
      <c r="E202" s="9">
        <f ca="1">IFERROR(__xludf.DUMMYFUNCTION("MROUND(XLOOKUP(A202,PL!E:E,PL!D:D)*1.4/SUBSTITUTE(importxml(""http://api.nbp.pl/api/exchangerates/rates/a/eur/""&amp;to_text(XLOOKUP(A202,PL!E:E,PL!A:A))&amp;""/?format=xml"",""//Mid""),""."","",""),5)"),30)</f>
        <v>30</v>
      </c>
      <c r="F202" s="11" t="e">
        <f t="array" aca="1" ref="F202" ca="1">_xludf.XLOOKUP(A202,PL!E:E,PL!A:A)</f>
        <v>#NAME?</v>
      </c>
      <c r="G202" s="8"/>
    </row>
    <row r="203" spans="1:7" ht="18.75" customHeight="1" x14ac:dyDescent="0.2">
      <c r="A203" s="8" t="s">
        <v>6172</v>
      </c>
      <c r="B203" s="9">
        <v>43663</v>
      </c>
      <c r="C203" s="9">
        <v>5902557371587</v>
      </c>
      <c r="D203" s="10" t="s">
        <v>6173</v>
      </c>
      <c r="E203" s="9">
        <f ca="1">IFERROR(__xludf.DUMMYFUNCTION("MROUND(XLOOKUP(A203,PL!E:E,PL!D:D)*1.4/SUBSTITUTE(importxml(""http://api.nbp.pl/api/exchangerates/rates/a/eur/""&amp;to_text(XLOOKUP(A203,PL!E:E,PL!A:A))&amp;""/?format=xml"",""//Mid""),""."","",""),5)"),15)</f>
        <v>15</v>
      </c>
      <c r="F203" s="11" t="e">
        <f t="array" aca="1" ref="F203" ca="1">_xludf.XLOOKUP(A203,PL!E:E,PL!A:A)</f>
        <v>#NAME?</v>
      </c>
      <c r="G203" s="8"/>
    </row>
    <row r="204" spans="1:7" ht="18.75" customHeight="1" x14ac:dyDescent="0.2">
      <c r="A204" s="8" t="s">
        <v>6174</v>
      </c>
      <c r="B204" s="9">
        <v>43671</v>
      </c>
      <c r="C204" s="9">
        <v>5902557371655</v>
      </c>
      <c r="D204" s="10" t="s">
        <v>6175</v>
      </c>
      <c r="E204" s="9">
        <f ca="1">IFERROR(__xludf.DUMMYFUNCTION("MROUND(XLOOKUP(A204,PL!E:E,PL!D:D)*1.4/SUBSTITUTE(importxml(""http://api.nbp.pl/api/exchangerates/rates/a/eur/""&amp;to_text(XLOOKUP(A204,PL!E:E,PL!A:A))&amp;""/?format=xml"",""//Mid""),""."","",""),5)"),15)</f>
        <v>15</v>
      </c>
      <c r="F204" s="11" t="e">
        <f t="array" aca="1" ref="F204" ca="1">_xludf.XLOOKUP(A204,PL!E:E,PL!A:A)</f>
        <v>#NAME?</v>
      </c>
      <c r="G204" s="8"/>
    </row>
    <row r="205" spans="1:7" ht="18.75" customHeight="1" x14ac:dyDescent="0.2">
      <c r="A205" s="8" t="s">
        <v>6176</v>
      </c>
      <c r="B205" s="9">
        <v>44002</v>
      </c>
      <c r="C205" s="9">
        <v>5902557367696</v>
      </c>
      <c r="D205" s="10" t="s">
        <v>6177</v>
      </c>
      <c r="E205" s="9">
        <f ca="1">IFERROR(__xludf.DUMMYFUNCTION("MROUND(XLOOKUP(A205,PL!E:E,PL!D:D)*1.4/SUBSTITUTE(importxml(""http://api.nbp.pl/api/exchangerates/rates/a/eur/""&amp;to_text(XLOOKUP(A205,PL!E:E,PL!A:A))&amp;""/?format=xml"",""//Mid""),""."","",""),5)"),35)</f>
        <v>35</v>
      </c>
      <c r="F205" s="11" t="e">
        <f t="array" aca="1" ref="F205" ca="1">_xludf.XLOOKUP(A205,PL!E:E,PL!A:A)</f>
        <v>#NAME?</v>
      </c>
      <c r="G205" s="8"/>
    </row>
    <row r="206" spans="1:7" ht="18.75" customHeight="1" x14ac:dyDescent="0.2">
      <c r="A206" s="8" t="s">
        <v>6178</v>
      </c>
      <c r="B206" s="9">
        <v>52964</v>
      </c>
      <c r="C206" s="9">
        <v>5906366003523</v>
      </c>
      <c r="D206" s="10" t="s">
        <v>6179</v>
      </c>
      <c r="E206" s="9">
        <f ca="1">IFERROR(__xludf.DUMMYFUNCTION("MROUND(XLOOKUP(A206,PL!E:E,PL!D:D)*1.4/SUBSTITUTE(importxml(""http://api.nbp.pl/api/exchangerates/rates/a/eur/""&amp;to_text(XLOOKUP(A206,PL!E:E,PL!A:A))&amp;""/?format=xml"",""//Mid""),""."","",""),5)"),45)</f>
        <v>45</v>
      </c>
      <c r="F206" s="11" t="e">
        <f t="array" aca="1" ref="F206" ca="1">_xludf.XLOOKUP(A206,PL!E:E,PL!A:A)</f>
        <v>#NAME?</v>
      </c>
      <c r="G206" s="8"/>
    </row>
    <row r="207" spans="1:7" ht="18.75" customHeight="1" x14ac:dyDescent="0.2">
      <c r="A207" s="8" t="s">
        <v>6180</v>
      </c>
      <c r="B207" s="9">
        <v>43660</v>
      </c>
      <c r="C207" s="9">
        <v>5902557371679</v>
      </c>
      <c r="D207" s="10" t="s">
        <v>6181</v>
      </c>
      <c r="E207" s="9">
        <f ca="1">IFERROR(__xludf.DUMMYFUNCTION("MROUND(XLOOKUP(A207,PL!E:E,PL!D:D)*1.4/SUBSTITUTE(importxml(""http://api.nbp.pl/api/exchangerates/rates/a/eur/""&amp;to_text(XLOOKUP(A207,PL!E:E,PL!A:A))&amp;""/?format=xml"",""//Mid""),""."","",""),5)"),10)</f>
        <v>10</v>
      </c>
      <c r="F207" s="11" t="e">
        <f t="array" aca="1" ref="F207" ca="1">_xludf.XLOOKUP(A207,PL!E:E,PL!A:A)</f>
        <v>#NAME?</v>
      </c>
      <c r="G207" s="8"/>
    </row>
    <row r="208" spans="1:7" ht="18.75" customHeight="1" x14ac:dyDescent="0.2">
      <c r="A208" s="8" t="s">
        <v>6182</v>
      </c>
      <c r="B208" s="9">
        <v>43668</v>
      </c>
      <c r="C208" s="9">
        <v>5902557371624</v>
      </c>
      <c r="D208" s="10" t="s">
        <v>6183</v>
      </c>
      <c r="E208" s="9">
        <f ca="1">IFERROR(__xludf.DUMMYFUNCTION("MROUND(XLOOKUP(A208,PL!E:E,PL!D:D)*1.4/SUBSTITUTE(importxml(""http://api.nbp.pl/api/exchangerates/rates/a/eur/""&amp;to_text(XLOOKUP(A208,PL!E:E,PL!A:A))&amp;""/?format=xml"",""//Mid""),""."","",""),5)"),10)</f>
        <v>10</v>
      </c>
      <c r="F208" s="11" t="e">
        <f t="array" aca="1" ref="F208" ca="1">_xludf.XLOOKUP(A208,PL!E:E,PL!A:A)</f>
        <v>#NAME?</v>
      </c>
      <c r="G208" s="8"/>
    </row>
    <row r="209" spans="1:7" ht="18.75" customHeight="1" x14ac:dyDescent="0.2">
      <c r="A209" s="8" t="s">
        <v>6184</v>
      </c>
      <c r="B209" s="9">
        <v>44009</v>
      </c>
      <c r="C209" s="9">
        <v>5902557367641</v>
      </c>
      <c r="D209" s="10" t="s">
        <v>6185</v>
      </c>
      <c r="E209" s="9">
        <f ca="1">IFERROR(__xludf.DUMMYFUNCTION("MROUND(XLOOKUP(A209,PL!E:E,PL!D:D)*1.4/SUBSTITUTE(importxml(""http://api.nbp.pl/api/exchangerates/rates/a/eur/""&amp;to_text(XLOOKUP(A209,PL!E:E,PL!A:A))&amp;""/?format=xml"",""//Mid""),""."","",""),5)"),20)</f>
        <v>20</v>
      </c>
      <c r="F209" s="11" t="e">
        <f t="array" aca="1" ref="F209" ca="1">_xludf.XLOOKUP(A209,PL!E:E,PL!A:A)</f>
        <v>#NAME?</v>
      </c>
      <c r="G209" s="8"/>
    </row>
    <row r="210" spans="1:7" ht="18.75" customHeight="1" x14ac:dyDescent="0.2">
      <c r="A210" s="8" t="s">
        <v>6186</v>
      </c>
      <c r="B210" s="9">
        <v>43661</v>
      </c>
      <c r="C210" s="9">
        <v>5902557371693</v>
      </c>
      <c r="D210" s="10" t="s">
        <v>6187</v>
      </c>
      <c r="E210" s="9">
        <f ca="1">IFERROR(__xludf.DUMMYFUNCTION("MROUND(XLOOKUP(A210,PL!E:E,PL!D:D)*1.4/SUBSTITUTE(importxml(""http://api.nbp.pl/api/exchangerates/rates/a/eur/""&amp;to_text(XLOOKUP(A210,PL!E:E,PL!A:A))&amp;""/?format=xml"",""//Mid""),""."","",""),5)"),10)</f>
        <v>10</v>
      </c>
      <c r="F210" s="11" t="e">
        <f t="array" aca="1" ref="F210" ca="1">_xludf.XLOOKUP(A210,PL!E:E,PL!A:A)</f>
        <v>#NAME?</v>
      </c>
      <c r="G210" s="8"/>
    </row>
    <row r="211" spans="1:7" ht="18.75" customHeight="1" x14ac:dyDescent="0.2">
      <c r="A211" s="8" t="s">
        <v>6188</v>
      </c>
      <c r="B211" s="9">
        <v>43999</v>
      </c>
      <c r="C211" s="9">
        <v>5902557367795</v>
      </c>
      <c r="D211" s="10" t="s">
        <v>6189</v>
      </c>
      <c r="E211" s="9">
        <f ca="1">IFERROR(__xludf.DUMMYFUNCTION("MROUND(XLOOKUP(A211,PL!E:E,PL!D:D)*1.4/SUBSTITUTE(importxml(""http://api.nbp.pl/api/exchangerates/rates/a/eur/""&amp;to_text(XLOOKUP(A211,PL!E:E,PL!A:A))&amp;""/?format=xml"",""//Mid""),""."","",""),5)"),15)</f>
        <v>15</v>
      </c>
      <c r="F211" s="11" t="e">
        <f t="array" aca="1" ref="F211" ca="1">_xludf.XLOOKUP(A211,PL!E:E,PL!A:A)</f>
        <v>#NAME?</v>
      </c>
      <c r="G211" s="8"/>
    </row>
    <row r="212" spans="1:7" ht="18.75" customHeight="1" x14ac:dyDescent="0.2">
      <c r="A212" s="8" t="s">
        <v>6190</v>
      </c>
      <c r="B212" s="9">
        <v>43669</v>
      </c>
      <c r="C212" s="9">
        <v>5902557371631</v>
      </c>
      <c r="D212" s="10" t="s">
        <v>6191</v>
      </c>
      <c r="E212" s="9">
        <f ca="1">IFERROR(__xludf.DUMMYFUNCTION("MROUND(XLOOKUP(A212,PL!E:E,PL!D:D)*1.4/SUBSTITUTE(importxml(""http://api.nbp.pl/api/exchangerates/rates/a/eur/""&amp;to_text(XLOOKUP(A212,PL!E:E,PL!A:A))&amp;""/?format=xml"",""//Mid""),""."","",""),5)"),10)</f>
        <v>10</v>
      </c>
      <c r="F212" s="11" t="e">
        <f t="array" aca="1" ref="F212" ca="1">_xludf.XLOOKUP(A212,PL!E:E,PL!A:A)</f>
        <v>#NAME?</v>
      </c>
      <c r="G212" s="8"/>
    </row>
    <row r="213" spans="1:7" ht="18.75" customHeight="1" x14ac:dyDescent="0.2">
      <c r="A213" s="8" t="s">
        <v>6192</v>
      </c>
      <c r="B213" s="9">
        <v>43993</v>
      </c>
      <c r="C213" s="9">
        <v>5902557367979</v>
      </c>
      <c r="D213" s="10" t="s">
        <v>6193</v>
      </c>
      <c r="E213" s="9">
        <f ca="1">IFERROR(__xludf.DUMMYFUNCTION("MROUND(XLOOKUP(A213,PL!E:E,PL!D:D)*1.4/SUBSTITUTE(importxml(""http://api.nbp.pl/api/exchangerates/rates/a/eur/""&amp;to_text(XLOOKUP(A213,PL!E:E,PL!A:A))&amp;""/?format=xml"",""//Mid""),""."","",""),5)"),20)</f>
        <v>20</v>
      </c>
      <c r="F213" s="11" t="e">
        <f t="array" aca="1" ref="F213" ca="1">_xludf.XLOOKUP(A213,PL!E:E,PL!A:A)</f>
        <v>#NAME?</v>
      </c>
      <c r="G213" s="8"/>
    </row>
    <row r="214" spans="1:7" ht="18.75" customHeight="1" x14ac:dyDescent="0.2">
      <c r="A214" s="8" t="s">
        <v>6194</v>
      </c>
      <c r="B214" s="9">
        <v>52897</v>
      </c>
      <c r="C214" s="9">
        <v>5906366003745</v>
      </c>
      <c r="D214" s="10" t="s">
        <v>6195</v>
      </c>
      <c r="E214" s="9">
        <f ca="1">IFERROR(__xludf.DUMMYFUNCTION("MROUND(XLOOKUP(A214,PL!E:E,PL!D:D)*1.4/SUBSTITUTE(importxml(""http://api.nbp.pl/api/exchangerates/rates/a/eur/""&amp;to_text(XLOOKUP(A214,PL!E:E,PL!A:A))&amp;""/?format=xml"",""//Mid""),""."","",""),5)"),35)</f>
        <v>35</v>
      </c>
      <c r="F214" s="11" t="e">
        <f t="array" aca="1" ref="F214" ca="1">_xludf.XLOOKUP(A214,PL!E:E,PL!A:A)</f>
        <v>#NAME?</v>
      </c>
      <c r="G214" s="8"/>
    </row>
    <row r="215" spans="1:7" ht="18.75" customHeight="1" x14ac:dyDescent="0.2">
      <c r="A215" s="8" t="s">
        <v>6196</v>
      </c>
      <c r="B215" s="9">
        <v>44010</v>
      </c>
      <c r="C215" s="9">
        <v>5902557367658</v>
      </c>
      <c r="D215" s="10" t="s">
        <v>6197</v>
      </c>
      <c r="E215" s="9">
        <f ca="1">IFERROR(__xludf.DUMMYFUNCTION("MROUND(XLOOKUP(A215,PL!E:E,PL!D:D)*1.4/SUBSTITUTE(importxml(""http://api.nbp.pl/api/exchangerates/rates/a/eur/""&amp;to_text(XLOOKUP(A215,PL!E:E,PL!A:A))&amp;""/?format=xml"",""//Mid""),""."","",""),5)"),25)</f>
        <v>25</v>
      </c>
      <c r="F215" s="11" t="e">
        <f t="array" aca="1" ref="F215" ca="1">_xludf.XLOOKUP(A215,PL!E:E,PL!A:A)</f>
        <v>#NAME?</v>
      </c>
      <c r="G215" s="8"/>
    </row>
    <row r="216" spans="1:7" ht="18.75" customHeight="1" x14ac:dyDescent="0.2">
      <c r="A216" s="8" t="s">
        <v>6198</v>
      </c>
      <c r="B216" s="9">
        <v>43998</v>
      </c>
      <c r="C216" s="9">
        <v>5902557367801</v>
      </c>
      <c r="D216" s="10" t="s">
        <v>6199</v>
      </c>
      <c r="E216" s="9">
        <f ca="1">IFERROR(__xludf.DUMMYFUNCTION("MROUND(XLOOKUP(A216,PL!E:E,PL!D:D)*1.4/SUBSTITUTE(importxml(""http://api.nbp.pl/api/exchangerates/rates/a/eur/""&amp;to_text(XLOOKUP(A216,PL!E:E,PL!A:A))&amp;""/?format=xml"",""//Mid""),""."","",""),5)"),20)</f>
        <v>20</v>
      </c>
      <c r="F216" s="11" t="e">
        <f t="array" aca="1" ref="F216" ca="1">_xludf.XLOOKUP(A216,PL!E:E,PL!A:A)</f>
        <v>#NAME?</v>
      </c>
      <c r="G216" s="8"/>
    </row>
    <row r="217" spans="1:7" ht="18.75" customHeight="1" x14ac:dyDescent="0.2">
      <c r="A217" s="8" t="s">
        <v>6200</v>
      </c>
      <c r="B217" s="9">
        <v>43992</v>
      </c>
      <c r="C217" s="9">
        <v>5902557367986</v>
      </c>
      <c r="D217" s="10" t="s">
        <v>6201</v>
      </c>
      <c r="E217" s="9">
        <f ca="1">IFERROR(__xludf.DUMMYFUNCTION("MROUND(XLOOKUP(A217,PL!E:E,PL!D:D)*1.4/SUBSTITUTE(importxml(""http://api.nbp.pl/api/exchangerates/rates/a/eur/""&amp;to_text(XLOOKUP(A217,PL!E:E,PL!A:A))&amp;""/?format=xml"",""//Mid""),""."","",""),5)"),20)</f>
        <v>20</v>
      </c>
      <c r="F217" s="11" t="e">
        <f t="array" aca="1" ref="F217" ca="1">_xludf.XLOOKUP(A217,PL!E:E,PL!A:A)</f>
        <v>#NAME?</v>
      </c>
      <c r="G217" s="8"/>
    </row>
    <row r="218" spans="1:7" ht="18.75" customHeight="1" x14ac:dyDescent="0.2">
      <c r="A218" s="8" t="s">
        <v>6202</v>
      </c>
      <c r="B218" s="9">
        <v>43662</v>
      </c>
      <c r="C218" s="8">
        <v>5902557371686</v>
      </c>
      <c r="D218" s="10" t="s">
        <v>6203</v>
      </c>
      <c r="E218" s="9">
        <f ca="1">IFERROR(__xludf.DUMMYFUNCTION("MROUND(XLOOKUP(A218,PL!E:E,PL!D:D)*1.4/SUBSTITUTE(importxml(""http://api.nbp.pl/api/exchangerates/rates/a/eur/""&amp;to_text(XLOOKUP(A218,PL!E:E,PL!A:A))&amp;""/?format=xml"",""//Mid""),""."","",""),5)"),15)</f>
        <v>15</v>
      </c>
      <c r="F218" s="11" t="e">
        <f t="array" aca="1" ref="F218" ca="1">_xludf.XLOOKUP(A218,PL!E:E,PL!A:A)</f>
        <v>#NAME?</v>
      </c>
      <c r="G218" s="8"/>
    </row>
    <row r="219" spans="1:7" ht="18.75" customHeight="1" x14ac:dyDescent="0.2">
      <c r="A219" s="8" t="s">
        <v>6204</v>
      </c>
      <c r="B219" s="9">
        <v>43666</v>
      </c>
      <c r="C219" s="8">
        <v>5902557371600</v>
      </c>
      <c r="D219" s="10" t="s">
        <v>6205</v>
      </c>
      <c r="E219" s="9">
        <f ca="1">IFERROR(__xludf.DUMMYFUNCTION("MROUND(XLOOKUP(A219,PL!E:E,PL!D:D)*1.4/SUBSTITUTE(importxml(""http://api.nbp.pl/api/exchangerates/rates/a/eur/""&amp;to_text(XLOOKUP(A219,PL!E:E,PL!A:A))&amp;""/?format=xml"",""//Mid""),""."","",""),5)"),10)</f>
        <v>10</v>
      </c>
      <c r="F219" s="11" t="e">
        <f t="array" aca="1" ref="F219" ca="1">_xludf.XLOOKUP(A219,PL!E:E,PL!A:A)</f>
        <v>#NAME?</v>
      </c>
      <c r="G219" s="8"/>
    </row>
    <row r="220" spans="1:7" ht="18.75" customHeight="1" x14ac:dyDescent="0.2">
      <c r="A220" s="8" t="s">
        <v>6206</v>
      </c>
      <c r="B220" s="9">
        <v>52911</v>
      </c>
      <c r="C220" s="8">
        <v>5906366003752</v>
      </c>
      <c r="D220" s="10" t="s">
        <v>6207</v>
      </c>
      <c r="E220" s="9">
        <f ca="1">IFERROR(__xludf.DUMMYFUNCTION("MROUND(XLOOKUP(A220,PL!E:E,PL!D:D)*1.4/SUBSTITUTE(importxml(""http://api.nbp.pl/api/exchangerates/rates/a/eur/""&amp;to_text(XLOOKUP(A220,PL!E:E,PL!A:A))&amp;""/?format=xml"",""//Mid""),""."","",""),5)"),40)</f>
        <v>40</v>
      </c>
      <c r="F220" s="11" t="e">
        <f t="array" aca="1" ref="F220" ca="1">_xludf.XLOOKUP(A220,PL!E:E,PL!A:A)</f>
        <v>#NAME?</v>
      </c>
      <c r="G220" s="8"/>
    </row>
    <row r="221" spans="1:7" ht="18.75" customHeight="1" x14ac:dyDescent="0.2">
      <c r="A221" s="8" t="s">
        <v>6208</v>
      </c>
      <c r="B221" s="9">
        <v>44008</v>
      </c>
      <c r="C221" s="8">
        <v>5902557367665</v>
      </c>
      <c r="D221" s="10" t="s">
        <v>6209</v>
      </c>
      <c r="E221" s="9">
        <f ca="1">IFERROR(__xludf.DUMMYFUNCTION("MROUND(XLOOKUP(A221,PL!E:E,PL!D:D)*1.4/SUBSTITUTE(importxml(""http://api.nbp.pl/api/exchangerates/rates/a/eur/""&amp;to_text(XLOOKUP(A221,PL!E:E,PL!A:A))&amp;""/?format=xml"",""//Mid""),""."","",""),5)"),25)</f>
        <v>25</v>
      </c>
      <c r="F221" s="11" t="e">
        <f t="array" aca="1" ref="F221" ca="1">_xludf.XLOOKUP(A221,PL!E:E,PL!A:A)</f>
        <v>#NAME?</v>
      </c>
      <c r="G221" s="8"/>
    </row>
    <row r="222" spans="1:7" ht="18.75" customHeight="1" x14ac:dyDescent="0.2">
      <c r="A222" s="8" t="s">
        <v>6210</v>
      </c>
      <c r="B222" s="9">
        <v>43997</v>
      </c>
      <c r="C222" s="9">
        <v>5902557367818</v>
      </c>
      <c r="D222" s="10" t="s">
        <v>6211</v>
      </c>
      <c r="E222" s="9">
        <f ca="1">IFERROR(__xludf.DUMMYFUNCTION("MROUND(XLOOKUP(A222,PL!E:E,PL!D:D)*1.4/SUBSTITUTE(importxml(""http://api.nbp.pl/api/exchangerates/rates/a/eur/""&amp;to_text(XLOOKUP(A222,PL!E:E,PL!A:A))&amp;""/?format=xml"",""//Mid""),""."","",""),5)"),25)</f>
        <v>25</v>
      </c>
      <c r="F222" s="11" t="e">
        <f t="array" aca="1" ref="F222" ca="1">_xludf.XLOOKUP(A222,PL!E:E,PL!A:A)</f>
        <v>#NAME?</v>
      </c>
      <c r="G222" s="8"/>
    </row>
    <row r="223" spans="1:7" ht="18.75" customHeight="1" x14ac:dyDescent="0.2">
      <c r="A223" s="8" t="s">
        <v>6212</v>
      </c>
      <c r="B223" s="9">
        <v>43836</v>
      </c>
      <c r="C223" s="9">
        <v>5902557367931</v>
      </c>
      <c r="D223" s="10" t="s">
        <v>6213</v>
      </c>
      <c r="E223" s="9">
        <f ca="1">IFERROR(__xludf.DUMMYFUNCTION("MROUND(XLOOKUP(A223,PL!E:E,PL!D:D)*1.4/SUBSTITUTE(importxml(""http://api.nbp.pl/api/exchangerates/rates/a/eur/""&amp;to_text(XLOOKUP(A223,PL!E:E,PL!A:A))&amp;""/?format=xml"",""//Mid""),""."","",""),5)"),15)</f>
        <v>15</v>
      </c>
      <c r="F223" s="11" t="e">
        <f t="array" aca="1" ref="F223" ca="1">_xludf.XLOOKUP(A223,PL!E:E,PL!A:A)</f>
        <v>#NAME?</v>
      </c>
      <c r="G223" s="8"/>
    </row>
    <row r="224" spans="1:7" ht="18.75" customHeight="1" x14ac:dyDescent="0.2">
      <c r="A224" s="8" t="s">
        <v>6214</v>
      </c>
      <c r="B224" s="9">
        <v>43837</v>
      </c>
      <c r="C224" s="9">
        <v>5902557367924</v>
      </c>
      <c r="D224" s="10" t="s">
        <v>6215</v>
      </c>
      <c r="E224" s="9">
        <f ca="1">IFERROR(__xludf.DUMMYFUNCTION("MROUND(XLOOKUP(A224,PL!E:E,PL!D:D)*1.4/SUBSTITUTE(importxml(""http://api.nbp.pl/api/exchangerates/rates/a/eur/""&amp;to_text(XLOOKUP(A224,PL!E:E,PL!A:A))&amp;""/?format=xml"",""//Mid""),""."","",""),5)"),10)</f>
        <v>10</v>
      </c>
      <c r="F224" s="11" t="e">
        <f t="array" aca="1" ref="F224" ca="1">_xludf.XLOOKUP(A224,PL!E:E,PL!A:A)</f>
        <v>#NAME?</v>
      </c>
      <c r="G224" s="8"/>
    </row>
    <row r="225" spans="1:7" ht="18.75" customHeight="1" x14ac:dyDescent="0.2">
      <c r="A225" s="8" t="s">
        <v>6216</v>
      </c>
      <c r="B225" s="9">
        <v>43931</v>
      </c>
      <c r="C225" s="9">
        <v>5902557367917</v>
      </c>
      <c r="D225" s="10" t="s">
        <v>6217</v>
      </c>
      <c r="E225" s="9">
        <f ca="1">IFERROR(__xludf.DUMMYFUNCTION("MROUND(XLOOKUP(A225,PL!E:E,PL!D:D)*1.4/SUBSTITUTE(importxml(""http://api.nbp.pl/api/exchangerates/rates/a/eur/""&amp;to_text(XLOOKUP(A225,PL!E:E,PL!A:A))&amp;""/?format=xml"",""//Mid""),""."","",""),5)"),10)</f>
        <v>10</v>
      </c>
      <c r="F225" s="11" t="e">
        <f t="array" aca="1" ref="F225" ca="1">_xludf.XLOOKUP(A225,PL!E:E,PL!A:A)</f>
        <v>#NAME?</v>
      </c>
      <c r="G225" s="8"/>
    </row>
    <row r="226" spans="1:7" ht="18.75" customHeight="1" x14ac:dyDescent="0.2">
      <c r="A226" s="8" t="s">
        <v>6218</v>
      </c>
      <c r="B226" s="9">
        <v>49898</v>
      </c>
      <c r="C226" s="9">
        <v>5902557386468</v>
      </c>
      <c r="D226" s="10" t="s">
        <v>6219</v>
      </c>
      <c r="E226" s="9">
        <f ca="1">IFERROR(__xludf.DUMMYFUNCTION("MROUND(XLOOKUP(A226,PL!E:E,PL!D:D)*1.4/SUBSTITUTE(importxml(""http://api.nbp.pl/api/exchangerates/rates/a/eur/""&amp;to_text(XLOOKUP(A226,PL!E:E,PL!A:A))&amp;""/?format=xml"",""//Mid""),""."","",""),5)"),10)</f>
        <v>10</v>
      </c>
      <c r="F226" s="11" t="e">
        <f t="array" aca="1" ref="F226" ca="1">_xludf.XLOOKUP(A226,PL!E:E,PL!A:A)</f>
        <v>#NAME?</v>
      </c>
      <c r="G226" s="8"/>
    </row>
    <row r="227" spans="1:7" ht="18.75" customHeight="1" x14ac:dyDescent="0.2">
      <c r="A227" s="8" t="s">
        <v>6220</v>
      </c>
      <c r="B227" s="9">
        <v>53034</v>
      </c>
      <c r="C227" s="9">
        <v>5906366004117</v>
      </c>
      <c r="D227" s="10" t="s">
        <v>6221</v>
      </c>
      <c r="E227" s="9">
        <f ca="1">IFERROR(__xludf.DUMMYFUNCTION("MROUND(XLOOKUP(A227,PL!E:E,PL!D:D)*1.4/SUBSTITUTE(importxml(""http://api.nbp.pl/api/exchangerates/rates/a/eur/""&amp;to_text(XLOOKUP(A227,PL!E:E,PL!A:A))&amp;""/?format=xml"",""//Mid""),""."","",""),5)"),20)</f>
        <v>20</v>
      </c>
      <c r="F227" s="11" t="e">
        <f t="array" aca="1" ref="F227" ca="1">_xludf.XLOOKUP(A227,PL!E:E,PL!A:A)</f>
        <v>#NAME?</v>
      </c>
      <c r="G227" s="8"/>
    </row>
    <row r="228" spans="1:7" ht="18.75" customHeight="1" x14ac:dyDescent="0.2">
      <c r="A228" s="8" t="s">
        <v>6222</v>
      </c>
      <c r="B228" s="9">
        <v>53005</v>
      </c>
      <c r="C228" s="9">
        <v>5906366004070</v>
      </c>
      <c r="D228" s="10" t="s">
        <v>6223</v>
      </c>
      <c r="E228" s="9">
        <f ca="1">IFERROR(__xludf.DUMMYFUNCTION("MROUND(XLOOKUP(A228,PL!E:E,PL!D:D)*1.4/SUBSTITUTE(importxml(""http://api.nbp.pl/api/exchangerates/rates/a/eur/""&amp;to_text(XLOOKUP(A228,PL!E:E,PL!A:A))&amp;""/?format=xml"",""//Mid""),""."","",""),5)"),15)</f>
        <v>15</v>
      </c>
      <c r="F228" s="11" t="e">
        <f t="array" aca="1" ref="F228" ca="1">_xludf.XLOOKUP(A228,PL!E:E,PL!A:A)</f>
        <v>#NAME?</v>
      </c>
      <c r="G228" s="8"/>
    </row>
    <row r="229" spans="1:7" ht="18.75" customHeight="1" x14ac:dyDescent="0.2">
      <c r="A229" s="8" t="s">
        <v>6224</v>
      </c>
      <c r="B229" s="9">
        <v>53040</v>
      </c>
      <c r="C229" s="9">
        <v>5906366004155</v>
      </c>
      <c r="D229" s="10" t="s">
        <v>6225</v>
      </c>
      <c r="E229" s="9">
        <f ca="1">IFERROR(__xludf.DUMMYFUNCTION("MROUND(XLOOKUP(A229,PL!E:E,PL!D:D)*1.4/SUBSTITUTE(importxml(""http://api.nbp.pl/api/exchangerates/rates/a/eur/""&amp;to_text(XLOOKUP(A229,PL!E:E,PL!A:A))&amp;""/?format=xml"",""//Mid""),""."","",""),5)"),20)</f>
        <v>20</v>
      </c>
      <c r="F229" s="11" t="e">
        <f t="array" aca="1" ref="F229" ca="1">_xludf.XLOOKUP(A229,PL!E:E,PL!A:A)</f>
        <v>#NAME?</v>
      </c>
      <c r="G229" s="8"/>
    </row>
    <row r="230" spans="1:7" ht="18.75" customHeight="1" x14ac:dyDescent="0.2">
      <c r="A230" s="8" t="s">
        <v>6226</v>
      </c>
      <c r="B230" s="9">
        <v>52894</v>
      </c>
      <c r="C230" s="9">
        <v>5906366004292</v>
      </c>
      <c r="D230" s="10" t="s">
        <v>6227</v>
      </c>
      <c r="E230" s="9">
        <f ca="1">IFERROR(__xludf.DUMMYFUNCTION("MROUND(XLOOKUP(A230,PL!E:E,PL!D:D)*1.4/SUBSTITUTE(importxml(""http://api.nbp.pl/api/exchangerates/rates/a/eur/""&amp;to_text(XLOOKUP(A230,PL!E:E,PL!A:A))&amp;""/?format=xml"",""//Mid""),""."","",""),5)"),25)</f>
        <v>25</v>
      </c>
      <c r="F230" s="11" t="e">
        <f t="array" aca="1" ref="F230" ca="1">_xludf.XLOOKUP(A230,PL!E:E,PL!A:A)</f>
        <v>#NAME?</v>
      </c>
      <c r="G230" s="8"/>
    </row>
    <row r="231" spans="1:7" ht="18.75" customHeight="1" x14ac:dyDescent="0.2">
      <c r="A231" s="8" t="s">
        <v>6228</v>
      </c>
      <c r="B231" s="9">
        <v>52895</v>
      </c>
      <c r="C231" s="9">
        <v>5906366004278</v>
      </c>
      <c r="D231" s="10" t="s">
        <v>6229</v>
      </c>
      <c r="E231" s="9">
        <f ca="1">IFERROR(__xludf.DUMMYFUNCTION("MROUND(XLOOKUP(A231,PL!E:E,PL!D:D)*1.4/SUBSTITUTE(importxml(""http://api.nbp.pl/api/exchangerates/rates/a/eur/""&amp;to_text(XLOOKUP(A231,PL!E:E,PL!A:A))&amp;""/?format=xml"",""//Mid""),""."","",""),5)"),25)</f>
        <v>25</v>
      </c>
      <c r="F231" s="11" t="e">
        <f t="array" aca="1" ref="F231" ca="1">_xludf.XLOOKUP(A231,PL!E:E,PL!A:A)</f>
        <v>#NAME?</v>
      </c>
      <c r="G231" s="8"/>
    </row>
    <row r="232" spans="1:7" ht="18.75" customHeight="1" x14ac:dyDescent="0.2">
      <c r="A232" s="8" t="s">
        <v>6230</v>
      </c>
      <c r="B232" s="9">
        <v>52896</v>
      </c>
      <c r="C232" s="9">
        <v>5906366004315</v>
      </c>
      <c r="D232" s="10" t="s">
        <v>6231</v>
      </c>
      <c r="E232" s="9">
        <f ca="1">IFERROR(__xludf.DUMMYFUNCTION("MROUND(XLOOKUP(A232,PL!E:E,PL!D:D)*1.4/SUBSTITUTE(importxml(""http://api.nbp.pl/api/exchangerates/rates/a/eur/""&amp;to_text(XLOOKUP(A232,PL!E:E,PL!A:A))&amp;""/?format=xml"",""//Mid""),""."","",""),5)"),30)</f>
        <v>30</v>
      </c>
      <c r="F232" s="11" t="e">
        <f t="array" aca="1" ref="F232" ca="1">_xludf.XLOOKUP(A232,PL!E:E,PL!A:A)</f>
        <v>#NAME?</v>
      </c>
      <c r="G232" s="8"/>
    </row>
    <row r="233" spans="1:7" ht="18.75" customHeight="1" x14ac:dyDescent="0.2">
      <c r="A233" s="8" t="s">
        <v>6232</v>
      </c>
      <c r="B233" s="9">
        <v>49682</v>
      </c>
      <c r="C233" s="9">
        <v>5902557384655</v>
      </c>
      <c r="D233" s="10" t="s">
        <v>6233</v>
      </c>
      <c r="E233" s="9">
        <f ca="1">IFERROR(__xludf.DUMMYFUNCTION("MROUND(XLOOKUP(A233,PL!E:E,PL!D:D)*1.4/SUBSTITUTE(importxml(""http://api.nbp.pl/api/exchangerates/rates/a/eur/""&amp;to_text(XLOOKUP(A233,PL!E:E,PL!A:A))&amp;""/?format=xml"",""//Mid""),""."","",""),5)"),10)</f>
        <v>10</v>
      </c>
      <c r="F233" s="11" t="e">
        <f t="array" aca="1" ref="F233" ca="1">_xludf.XLOOKUP(A233,PL!E:E,PL!A:A)</f>
        <v>#NAME?</v>
      </c>
      <c r="G233" s="8"/>
    </row>
    <row r="234" spans="1:7" ht="18.75" customHeight="1" x14ac:dyDescent="0.2">
      <c r="A234" s="8" t="s">
        <v>6234</v>
      </c>
      <c r="B234" s="9">
        <v>49491</v>
      </c>
      <c r="C234" s="9">
        <v>5902557383856</v>
      </c>
      <c r="D234" s="10" t="s">
        <v>6235</v>
      </c>
      <c r="E234" s="9">
        <f ca="1">IFERROR(__xludf.DUMMYFUNCTION("MROUND(XLOOKUP(A234,PL!E:E,PL!D:D)*1.4/SUBSTITUTE(importxml(""http://api.nbp.pl/api/exchangerates/rates/a/eur/""&amp;to_text(XLOOKUP(A234,PL!E:E,PL!A:A))&amp;""/?format=xml"",""//Mid""),""."","",""),5)"),10)</f>
        <v>10</v>
      </c>
      <c r="F234" s="11" t="e">
        <f t="array" aca="1" ref="F234" ca="1">_xludf.XLOOKUP(A234,PL!E:E,PL!A:A)</f>
        <v>#NAME?</v>
      </c>
      <c r="G234" s="8"/>
    </row>
    <row r="235" spans="1:7" ht="18.75" customHeight="1" x14ac:dyDescent="0.2">
      <c r="A235" s="8" t="s">
        <v>6236</v>
      </c>
      <c r="B235" s="9">
        <v>49513</v>
      </c>
      <c r="C235" s="8">
        <v>5902557384020</v>
      </c>
      <c r="D235" s="10" t="s">
        <v>6237</v>
      </c>
      <c r="E235" s="9">
        <f ca="1">IFERROR(__xludf.DUMMYFUNCTION("MROUND(XLOOKUP(A235,PL!E:E,PL!D:D)*1.4/SUBSTITUTE(importxml(""http://api.nbp.pl/api/exchangerates/rates/a/eur/""&amp;to_text(XLOOKUP(A235,PL!E:E,PL!A:A))&amp;""/?format=xml"",""//Mid""),""."","",""),5)"),10)</f>
        <v>10</v>
      </c>
      <c r="F235" s="11" t="e">
        <f t="array" aca="1" ref="F235" ca="1">_xludf.XLOOKUP(A235,PL!E:E,PL!A:A)</f>
        <v>#NAME?</v>
      </c>
      <c r="G235" s="8"/>
    </row>
    <row r="236" spans="1:7" ht="18.75" customHeight="1" x14ac:dyDescent="0.2">
      <c r="A236" s="8" t="s">
        <v>6238</v>
      </c>
      <c r="B236" s="9">
        <v>49899</v>
      </c>
      <c r="C236" s="9">
        <v>5902557386475</v>
      </c>
      <c r="D236" s="10" t="s">
        <v>6239</v>
      </c>
      <c r="E236" s="9">
        <f ca="1">IFERROR(__xludf.DUMMYFUNCTION("MROUND(XLOOKUP(A236,PL!E:E,PL!D:D)*1.4/SUBSTITUTE(importxml(""http://api.nbp.pl/api/exchangerates/rates/a/eur/""&amp;to_text(XLOOKUP(A236,PL!E:E,PL!A:A))&amp;""/?format=xml"",""//Mid""),""."","",""),5)"),15)</f>
        <v>15</v>
      </c>
      <c r="F236" s="11" t="e">
        <f t="array" aca="1" ref="F236" ca="1">_xludf.XLOOKUP(A236,PL!E:E,PL!A:A)</f>
        <v>#NAME?</v>
      </c>
      <c r="G236" s="8"/>
    </row>
    <row r="237" spans="1:7" ht="18.75" customHeight="1" x14ac:dyDescent="0.2">
      <c r="A237" s="8" t="s">
        <v>6240</v>
      </c>
      <c r="B237" s="9">
        <v>49557</v>
      </c>
      <c r="C237" s="9">
        <v>5902557384396</v>
      </c>
      <c r="D237" s="10" t="s">
        <v>6241</v>
      </c>
      <c r="E237" s="9">
        <f ca="1">IFERROR(__xludf.DUMMYFUNCTION("MROUND(XLOOKUP(A237,PL!E:E,PL!D:D)*1.4/SUBSTITUTE(importxml(""http://api.nbp.pl/api/exchangerates/rates/a/eur/""&amp;to_text(XLOOKUP(A237,PL!E:E,PL!A:A))&amp;""/?format=xml"",""//Mid""),""."","",""),5)"),15)</f>
        <v>15</v>
      </c>
      <c r="F237" s="11" t="e">
        <f t="array" aca="1" ref="F237" ca="1">_xludf.XLOOKUP(A237,PL!E:E,PL!A:A)</f>
        <v>#NAME?</v>
      </c>
      <c r="G237" s="8"/>
    </row>
    <row r="238" spans="1:7" ht="18.75" customHeight="1" x14ac:dyDescent="0.2">
      <c r="A238" s="8" t="s">
        <v>6242</v>
      </c>
      <c r="B238" s="9">
        <v>30280</v>
      </c>
      <c r="C238" s="9">
        <v>5902557348602</v>
      </c>
      <c r="D238" s="10" t="s">
        <v>6243</v>
      </c>
      <c r="E238" s="9">
        <f ca="1">IFERROR(__xludf.DUMMYFUNCTION("MROUND(XLOOKUP(A238,PL!E:E,PL!D:D)*1.4/SUBSTITUTE(importxml(""http://api.nbp.pl/api/exchangerates/rates/a/eur/""&amp;to_text(XLOOKUP(A238,PL!E:E,PL!A:A))&amp;""/?format=xml"",""//Mid""),""."","",""),5)"),10)</f>
        <v>10</v>
      </c>
      <c r="F238" s="11" t="e">
        <f t="array" aca="1" ref="F238" ca="1">_xludf.XLOOKUP(A238,PL!E:E,PL!A:A)</f>
        <v>#NAME?</v>
      </c>
      <c r="G238" s="8"/>
    </row>
    <row r="239" spans="1:7" ht="18.75" customHeight="1" x14ac:dyDescent="0.2">
      <c r="A239" s="8" t="s">
        <v>6244</v>
      </c>
      <c r="B239" s="9">
        <v>49790</v>
      </c>
      <c r="C239" s="9">
        <v>5902557386666</v>
      </c>
      <c r="D239" s="10" t="s">
        <v>6245</v>
      </c>
      <c r="E239" s="9">
        <f ca="1">IFERROR(__xludf.DUMMYFUNCTION("MROUND(XLOOKUP(A239,PL!E:E,PL!D:D)*1.4/SUBSTITUTE(importxml(""http://api.nbp.pl/api/exchangerates/rates/a/eur/""&amp;to_text(XLOOKUP(A239,PL!E:E,PL!A:A))&amp;""/?format=xml"",""//Mid""),""."","",""),5)"),10)</f>
        <v>10</v>
      </c>
      <c r="F239" s="11" t="e">
        <f t="array" aca="1" ref="F239" ca="1">_xludf.XLOOKUP(A239,PL!E:E,PL!A:A)</f>
        <v>#NAME?</v>
      </c>
      <c r="G239" s="8"/>
    </row>
    <row r="240" spans="1:7" ht="18.75" customHeight="1" x14ac:dyDescent="0.2">
      <c r="A240" s="8" t="s">
        <v>6246</v>
      </c>
      <c r="B240" s="9">
        <v>49786</v>
      </c>
      <c r="C240" s="9">
        <v>5906366003486</v>
      </c>
      <c r="D240" s="10" t="s">
        <v>6247</v>
      </c>
      <c r="E240" s="9">
        <f ca="1">IFERROR(__xludf.DUMMYFUNCTION("MROUND(XLOOKUP(A240,PL!E:E,PL!D:D)*1.4/SUBSTITUTE(importxml(""http://api.nbp.pl/api/exchangerates/rates/a/eur/""&amp;to_text(XLOOKUP(A240,PL!E:E,PL!A:A))&amp;""/?format=xml"",""//Mid""),""."","",""),5)"),20)</f>
        <v>20</v>
      </c>
      <c r="F240" s="11" t="e">
        <f t="array" aca="1" ref="F240" ca="1">_xludf.XLOOKUP(A240,PL!E:E,PL!A:A)</f>
        <v>#NAME?</v>
      </c>
      <c r="G240" s="8"/>
    </row>
    <row r="241" spans="1:7" ht="18.75" customHeight="1" x14ac:dyDescent="0.2">
      <c r="A241" s="8" t="s">
        <v>6248</v>
      </c>
      <c r="B241" s="9">
        <v>53375</v>
      </c>
      <c r="C241" s="9">
        <v>5902557396986</v>
      </c>
      <c r="D241" s="10" t="s">
        <v>6249</v>
      </c>
      <c r="E241" s="9">
        <f ca="1">IFERROR(__xludf.DUMMYFUNCTION("MROUND(XLOOKUP(A241,PL!E:E,PL!D:D)*1.4/SUBSTITUTE(importxml(""http://api.nbp.pl/api/exchangerates/rates/a/eur/""&amp;to_text(XLOOKUP(A241,PL!E:E,PL!A:A))&amp;""/?format=xml"",""//Mid""),""."","",""),5)"),105)</f>
        <v>105</v>
      </c>
      <c r="F241" s="11" t="e">
        <f t="array" aca="1" ref="F241" ca="1">_xludf.XLOOKUP(A241,PL!E:E,PL!A:A)</f>
        <v>#NAME?</v>
      </c>
      <c r="G241" s="8"/>
    </row>
    <row r="242" spans="1:7" ht="18.75" customHeight="1" x14ac:dyDescent="0.2">
      <c r="A242" s="8" t="s">
        <v>6250</v>
      </c>
      <c r="B242" s="9">
        <v>53376</v>
      </c>
      <c r="C242" s="9">
        <v>5902557396979</v>
      </c>
      <c r="D242" s="10" t="s">
        <v>6251</v>
      </c>
      <c r="E242" s="9">
        <f ca="1">IFERROR(__xludf.DUMMYFUNCTION("MROUND(XLOOKUP(A242,PL!E:E,PL!D:D)*1.4/SUBSTITUTE(importxml(""http://api.nbp.pl/api/exchangerates/rates/a/eur/""&amp;to_text(XLOOKUP(A242,PL!E:E,PL!A:A))&amp;""/?format=xml"",""//Mid""),""."","",""),5)"),155)</f>
        <v>155</v>
      </c>
      <c r="F242" s="11" t="e">
        <f t="array" aca="1" ref="F242" ca="1">_xludf.XLOOKUP(A242,PL!E:E,PL!A:A)</f>
        <v>#NAME?</v>
      </c>
      <c r="G242" s="8"/>
    </row>
    <row r="243" spans="1:7" ht="18.75" customHeight="1" x14ac:dyDescent="0.2">
      <c r="A243" s="8" t="s">
        <v>6252</v>
      </c>
      <c r="B243" s="9">
        <v>52615</v>
      </c>
      <c r="C243" s="9">
        <v>5902557397112</v>
      </c>
      <c r="D243" s="10" t="s">
        <v>6253</v>
      </c>
      <c r="E243" s="9">
        <f ca="1">IFERROR(__xludf.DUMMYFUNCTION("MROUND(XLOOKUP(A243,PL!E:E,PL!D:D)*1.4/SUBSTITUTE(importxml(""http://api.nbp.pl/api/exchangerates/rates/a/eur/""&amp;to_text(XLOOKUP(A243,PL!E:E,PL!A:A))&amp;""/?format=xml"",""//Mid""),""."","",""),5)"),85)</f>
        <v>85</v>
      </c>
      <c r="F243" s="11" t="e">
        <f t="array" aca="1" ref="F243" ca="1">_xludf.XLOOKUP(A243,PL!E:E,PL!A:A)</f>
        <v>#NAME?</v>
      </c>
      <c r="G243" s="8"/>
    </row>
    <row r="244" spans="1:7" ht="18.75" customHeight="1" x14ac:dyDescent="0.2">
      <c r="A244" s="8" t="s">
        <v>6254</v>
      </c>
      <c r="B244" s="9">
        <v>50079</v>
      </c>
      <c r="C244" s="9">
        <v>5902557385911</v>
      </c>
      <c r="D244" s="10" t="s">
        <v>6255</v>
      </c>
      <c r="E244" s="9">
        <f ca="1">IFERROR(__xludf.DUMMYFUNCTION("MROUND(XLOOKUP(A244,PL!E:E,PL!D:D)*1.4/SUBSTITUTE(importxml(""http://api.nbp.pl/api/exchangerates/rates/a/eur/""&amp;to_text(XLOOKUP(A244,PL!E:E,PL!A:A))&amp;""/?format=xml"",""//Mid""),""."","",""),5)"),70)</f>
        <v>70</v>
      </c>
      <c r="F244" s="11" t="e">
        <f t="array" aca="1" ref="F244" ca="1">_xludf.XLOOKUP(A244,PL!E:E,PL!A:A)</f>
        <v>#NAME?</v>
      </c>
      <c r="G244" s="8"/>
    </row>
    <row r="245" spans="1:7" ht="18.75" customHeight="1" x14ac:dyDescent="0.2">
      <c r="A245" s="8" t="s">
        <v>6256</v>
      </c>
      <c r="B245" s="9">
        <v>49120</v>
      </c>
      <c r="C245" s="9">
        <v>5902557381692</v>
      </c>
      <c r="D245" s="10" t="s">
        <v>6257</v>
      </c>
      <c r="E245" s="9">
        <f ca="1">IFERROR(__xludf.DUMMYFUNCTION("MROUND(XLOOKUP(A245,PL!E:E,PL!D:D)*1.4/SUBSTITUTE(importxml(""http://api.nbp.pl/api/exchangerates/rates/a/eur/""&amp;to_text(XLOOKUP(A245,PL!E:E,PL!A:A))&amp;""/?format=xml"",""//Mid""),""."","",""),5)"),75)</f>
        <v>75</v>
      </c>
      <c r="F245" s="11" t="e">
        <f t="array" aca="1" ref="F245" ca="1">_xludf.XLOOKUP(A245,PL!E:E,PL!A:A)</f>
        <v>#NAME?</v>
      </c>
      <c r="G245" s="8"/>
    </row>
    <row r="246" spans="1:7" ht="18.75" customHeight="1" x14ac:dyDescent="0.2">
      <c r="A246" s="8" t="s">
        <v>6258</v>
      </c>
      <c r="B246" s="9">
        <v>52594</v>
      </c>
      <c r="C246" s="9">
        <v>5902557396924</v>
      </c>
      <c r="D246" s="10" t="s">
        <v>6259</v>
      </c>
      <c r="E246" s="9">
        <f ca="1">IFERROR(__xludf.DUMMYFUNCTION("MROUND(XLOOKUP(A246,PL!E:E,PL!D:D)*1.4/SUBSTITUTE(importxml(""http://api.nbp.pl/api/exchangerates/rates/a/eur/""&amp;to_text(XLOOKUP(A246,PL!E:E,PL!A:A))&amp;""/?format=xml"",""//Mid""),""."","",""),5)"),125)</f>
        <v>125</v>
      </c>
      <c r="F246" s="11" t="e">
        <f t="array" aca="1" ref="F246" ca="1">_xludf.XLOOKUP(A246,PL!E:E,PL!A:A)</f>
        <v>#NAME?</v>
      </c>
      <c r="G246" s="8"/>
    </row>
    <row r="247" spans="1:7" ht="18.75" customHeight="1" x14ac:dyDescent="0.2">
      <c r="A247" s="8" t="s">
        <v>6260</v>
      </c>
      <c r="B247" s="9">
        <v>52649</v>
      </c>
      <c r="C247" s="9">
        <v>5902557397006</v>
      </c>
      <c r="D247" s="10" t="s">
        <v>6261</v>
      </c>
      <c r="E247" s="9">
        <f ca="1">IFERROR(__xludf.DUMMYFUNCTION("MROUND(XLOOKUP(A247,PL!E:E,PL!D:D)*1.4/SUBSTITUTE(importxml(""http://api.nbp.pl/api/exchangerates/rates/a/eur/""&amp;to_text(XLOOKUP(A247,PL!E:E,PL!A:A))&amp;""/?format=xml"",""//Mid""),""."","",""),5)"),70)</f>
        <v>70</v>
      </c>
      <c r="F247" s="11" t="e">
        <f t="array" aca="1" ref="F247" ca="1">_xludf.XLOOKUP(A247,PL!E:E,PL!A:A)</f>
        <v>#NAME?</v>
      </c>
      <c r="G247" s="8"/>
    </row>
    <row r="248" spans="1:7" ht="18.75" customHeight="1" x14ac:dyDescent="0.2">
      <c r="A248" s="8" t="s">
        <v>6262</v>
      </c>
      <c r="B248" s="9">
        <v>52641</v>
      </c>
      <c r="C248" s="9">
        <v>5902557397099</v>
      </c>
      <c r="D248" s="10" t="s">
        <v>6263</v>
      </c>
      <c r="E248" s="9">
        <f ca="1">IFERROR(__xludf.DUMMYFUNCTION("MROUND(XLOOKUP(A248,PL!E:E,PL!D:D)*1.4/SUBSTITUTE(importxml(""http://api.nbp.pl/api/exchangerates/rates/a/eur/""&amp;to_text(XLOOKUP(A248,PL!E:E,PL!A:A))&amp;""/?format=xml"",""//Mid""),""."","",""),5)"),120)</f>
        <v>120</v>
      </c>
      <c r="F248" s="11" t="e">
        <f t="array" aca="1" ref="F248" ca="1">_xludf.XLOOKUP(A248,PL!E:E,PL!A:A)</f>
        <v>#NAME?</v>
      </c>
      <c r="G248" s="8"/>
    </row>
    <row r="249" spans="1:7" ht="18.75" customHeight="1" x14ac:dyDescent="0.2">
      <c r="A249" s="9" t="s">
        <v>6264</v>
      </c>
      <c r="B249" s="9">
        <v>53680</v>
      </c>
      <c r="C249" s="8">
        <v>5906366006791</v>
      </c>
      <c r="D249" s="10" t="s">
        <v>6265</v>
      </c>
      <c r="E249" s="9">
        <f ca="1">IFERROR(__xludf.DUMMYFUNCTION("MROUND(XLOOKUP(A249,PL!E:E,PL!D:D)*1.4/SUBSTITUTE(importxml(""http://api.nbp.pl/api/exchangerates/rates/a/eur/""&amp;to_text(XLOOKUP(A249,PL!E:E,PL!A:A))&amp;""/?format=xml"",""//Mid""),""."","",""),5)"),70)</f>
        <v>70</v>
      </c>
      <c r="F249" s="11" t="e">
        <f t="array" aca="1" ref="F249" ca="1">_xludf.XLOOKUP(A249,PL!E:E,PL!A:A)</f>
        <v>#NAME?</v>
      </c>
      <c r="G249" s="8"/>
    </row>
    <row r="250" spans="1:7" ht="18.75" customHeight="1" x14ac:dyDescent="0.2">
      <c r="A250" s="9" t="s">
        <v>6266</v>
      </c>
      <c r="B250" s="9">
        <v>54073</v>
      </c>
      <c r="C250" s="8">
        <v>5906366004582</v>
      </c>
      <c r="D250" s="10" t="s">
        <v>6267</v>
      </c>
      <c r="E250" s="9">
        <f ca="1">IFERROR(__xludf.DUMMYFUNCTION("MROUND(XLOOKUP(A250,PL!E:E,PL!D:D)*1.4/SUBSTITUTE(importxml(""http://api.nbp.pl/api/exchangerates/rates/a/eur/""&amp;to_text(XLOOKUP(A250,PL!E:E,PL!A:A))&amp;""/?format=xml"",""//Mid""),""."","",""),5)"),100)</f>
        <v>100</v>
      </c>
      <c r="F250" s="11" t="e">
        <f t="array" aca="1" ref="F250" ca="1">_xludf.XLOOKUP(A250,PL!E:E,PL!A:A)</f>
        <v>#NAME?</v>
      </c>
      <c r="G250" s="8"/>
    </row>
    <row r="251" spans="1:7" ht="18.75" customHeight="1" x14ac:dyDescent="0.2">
      <c r="A251" s="8" t="s">
        <v>6268</v>
      </c>
      <c r="B251" s="9">
        <v>52616</v>
      </c>
      <c r="C251" s="8">
        <v>5902557397129</v>
      </c>
      <c r="D251" s="10" t="s">
        <v>6269</v>
      </c>
      <c r="E251" s="9">
        <f ca="1">IFERROR(__xludf.DUMMYFUNCTION("MROUND(XLOOKUP(A251,PL!E:E,PL!D:D)*1.4/SUBSTITUTE(importxml(""http://api.nbp.pl/api/exchangerates/rates/a/eur/""&amp;to_text(XLOOKUP(A251,PL!E:E,PL!A:A))&amp;""/?format=xml"",""//Mid""),""."","",""),5)"),95)</f>
        <v>95</v>
      </c>
      <c r="F251" s="11" t="e">
        <f t="array" aca="1" ref="F251" ca="1">_xludf.XLOOKUP(A251,PL!E:E,PL!A:A)</f>
        <v>#NAME?</v>
      </c>
      <c r="G251" s="8"/>
    </row>
    <row r="252" spans="1:7" ht="18.75" customHeight="1" x14ac:dyDescent="0.2">
      <c r="A252" s="8" t="s">
        <v>6270</v>
      </c>
      <c r="B252" s="9">
        <v>50078</v>
      </c>
      <c r="C252" s="8">
        <v>5902557385928</v>
      </c>
      <c r="D252" s="10" t="s">
        <v>6271</v>
      </c>
      <c r="E252" s="9">
        <f ca="1">IFERROR(__xludf.DUMMYFUNCTION("MROUND(XLOOKUP(A252,PL!E:E,PL!D:D)*1.4/SUBSTITUTE(importxml(""http://api.nbp.pl/api/exchangerates/rates/a/eur/""&amp;to_text(XLOOKUP(A252,PL!E:E,PL!A:A))&amp;""/?format=xml"",""//Mid""),""."","",""),5)"),85)</f>
        <v>85</v>
      </c>
      <c r="F252" s="11" t="e">
        <f t="array" aca="1" ref="F252" ca="1">_xludf.XLOOKUP(A252,PL!E:E,PL!A:A)</f>
        <v>#NAME?</v>
      </c>
      <c r="G252" s="8"/>
    </row>
    <row r="253" spans="1:7" ht="18.75" customHeight="1" x14ac:dyDescent="0.2">
      <c r="A253" s="9" t="s">
        <v>6272</v>
      </c>
      <c r="B253" s="9">
        <v>49122</v>
      </c>
      <c r="C253" s="8">
        <v>5902557381708</v>
      </c>
      <c r="D253" s="10" t="s">
        <v>6273</v>
      </c>
      <c r="E253" s="9">
        <f ca="1">IFERROR(__xludf.DUMMYFUNCTION("MROUND(XLOOKUP(A253,PL!E:E,PL!D:D)*1.4/SUBSTITUTE(importxml(""http://api.nbp.pl/api/exchangerates/rates/a/eur/""&amp;to_text(XLOOKUP(A253,PL!E:E,PL!A:A))&amp;""/?format=xml"",""//Mid""),""."","",""),5)"),85)</f>
        <v>85</v>
      </c>
      <c r="F253" s="11" t="e">
        <f t="array" aca="1" ref="F253" ca="1">_xludf.XLOOKUP(A253,PL!E:E,PL!A:A)</f>
        <v>#NAME?</v>
      </c>
      <c r="G253" s="8"/>
    </row>
    <row r="254" spans="1:7" ht="18.75" customHeight="1" x14ac:dyDescent="0.2">
      <c r="A254" s="9" t="s">
        <v>6274</v>
      </c>
      <c r="B254" s="9">
        <v>52593</v>
      </c>
      <c r="C254" s="8">
        <v>5902557396931</v>
      </c>
      <c r="D254" s="10" t="s">
        <v>6275</v>
      </c>
      <c r="E254" s="9">
        <f ca="1">IFERROR(__xludf.DUMMYFUNCTION("MROUND(XLOOKUP(A254,PL!E:E,PL!D:D)*1.4/SUBSTITUTE(importxml(""http://api.nbp.pl/api/exchangerates/rates/a/eur/""&amp;to_text(XLOOKUP(A254,PL!E:E,PL!A:A))&amp;""/?format=xml"",""//Mid""),""."","",""),5)"),135)</f>
        <v>135</v>
      </c>
      <c r="F254" s="11" t="e">
        <f t="array" aca="1" ref="F254" ca="1">_xludf.XLOOKUP(A254,PL!E:E,PL!A:A)</f>
        <v>#NAME?</v>
      </c>
      <c r="G254" s="8"/>
    </row>
    <row r="255" spans="1:7" ht="18.75" customHeight="1" x14ac:dyDescent="0.2">
      <c r="A255" s="8" t="s">
        <v>6276</v>
      </c>
      <c r="B255" s="9">
        <v>52643</v>
      </c>
      <c r="C255" s="8">
        <v>5902557397082</v>
      </c>
      <c r="D255" s="10" t="s">
        <v>6277</v>
      </c>
      <c r="E255" s="9">
        <f ca="1">IFERROR(__xludf.DUMMYFUNCTION("MROUND(XLOOKUP(A255,PL!E:E,PL!D:D)*1.4/SUBSTITUTE(importxml(""http://api.nbp.pl/api/exchangerates/rates/a/eur/""&amp;to_text(XLOOKUP(A255,PL!E:E,PL!A:A))&amp;""/?format=xml"",""//Mid""),""."","",""),5)"),135)</f>
        <v>135</v>
      </c>
      <c r="F255" s="11" t="e">
        <f t="array" aca="1" ref="F255" ca="1">_xludf.XLOOKUP(A255,PL!E:E,PL!A:A)</f>
        <v>#NAME?</v>
      </c>
      <c r="G255" s="8"/>
    </row>
    <row r="256" spans="1:7" ht="18.75" customHeight="1" x14ac:dyDescent="0.2">
      <c r="A256" s="8" t="s">
        <v>6278</v>
      </c>
      <c r="B256" s="9">
        <v>52650</v>
      </c>
      <c r="C256" s="9">
        <v>5902557397013</v>
      </c>
      <c r="D256" s="10" t="s">
        <v>6279</v>
      </c>
      <c r="E256" s="9">
        <f ca="1">IFERROR(__xludf.DUMMYFUNCTION("MROUND(XLOOKUP(A256,PL!E:E,PL!D:D)*1.4/SUBSTITUTE(importxml(""http://api.nbp.pl/api/exchangerates/rates/a/eur/""&amp;to_text(XLOOKUP(A256,PL!E:E,PL!A:A))&amp;""/?format=xml"",""//Mid""),""."","",""),5)"),80)</f>
        <v>80</v>
      </c>
      <c r="F256" s="11" t="e">
        <f t="array" aca="1" ref="F256" ca="1">_xludf.XLOOKUP(A256,PL!E:E,PL!A:A)</f>
        <v>#NAME?</v>
      </c>
      <c r="G256" s="8"/>
    </row>
    <row r="257" spans="1:7" ht="18.75" customHeight="1" x14ac:dyDescent="0.2">
      <c r="A257" s="8" t="s">
        <v>6280</v>
      </c>
      <c r="B257" s="9">
        <v>53681</v>
      </c>
      <c r="C257" s="9">
        <v>5906366006807</v>
      </c>
      <c r="D257" s="10" t="s">
        <v>6281</v>
      </c>
      <c r="E257" s="9">
        <f ca="1">IFERROR(__xludf.DUMMYFUNCTION("MROUND(XLOOKUP(A257,PL!E:E,PL!D:D)*1.4/SUBSTITUTE(importxml(""http://api.nbp.pl/api/exchangerates/rates/a/eur/""&amp;to_text(XLOOKUP(A257,PL!E:E,PL!A:A))&amp;""/?format=xml"",""//Mid""),""."","",""),5)"),80)</f>
        <v>80</v>
      </c>
      <c r="F257" s="11" t="e">
        <f t="array" aca="1" ref="F257" ca="1">_xludf.XLOOKUP(A257,PL!E:E,PL!A:A)</f>
        <v>#NAME?</v>
      </c>
      <c r="G257" s="8"/>
    </row>
    <row r="258" spans="1:7" ht="18.75" customHeight="1" x14ac:dyDescent="0.2">
      <c r="A258" s="8" t="s">
        <v>6282</v>
      </c>
      <c r="B258" s="9">
        <v>54009</v>
      </c>
      <c r="C258" s="9">
        <v>5906366004612</v>
      </c>
      <c r="D258" s="10" t="s">
        <v>6283</v>
      </c>
      <c r="E258" s="9">
        <f ca="1">IFERROR(__xludf.DUMMYFUNCTION("MROUND(XLOOKUP(A258,PL!E:E,PL!D:D)*1.4/SUBSTITUTE(importxml(""http://api.nbp.pl/api/exchangerates/rates/a/eur/""&amp;to_text(XLOOKUP(A258,PL!E:E,PL!A:A))&amp;""/?format=xml"",""//Mid""),""."","",""),5)"),105)</f>
        <v>105</v>
      </c>
      <c r="F258" s="11" t="e">
        <f t="array" aca="1" ref="F258" ca="1">_xludf.XLOOKUP(A258,PL!E:E,PL!A:A)</f>
        <v>#NAME?</v>
      </c>
      <c r="G258" s="8"/>
    </row>
    <row r="259" spans="1:7" ht="18.75" customHeight="1" x14ac:dyDescent="0.2">
      <c r="A259" s="8" t="s">
        <v>6284</v>
      </c>
      <c r="B259" s="9">
        <v>54057</v>
      </c>
      <c r="C259" s="9">
        <v>5906366004605</v>
      </c>
      <c r="D259" s="10" t="s">
        <v>6285</v>
      </c>
      <c r="E259" s="9">
        <f ca="1">IFERROR(__xludf.DUMMYFUNCTION("MROUND(XLOOKUP(A259,PL!E:E,PL!D:D)*1.4/SUBSTITUTE(importxml(""http://api.nbp.pl/api/exchangerates/rates/a/eur/""&amp;to_text(XLOOKUP(A259,PL!E:E,PL!A:A))&amp;""/?format=xml"",""//Mid""),""."","",""),5)"),125)</f>
        <v>125</v>
      </c>
      <c r="F259" s="11" t="e">
        <f t="array" aca="1" ref="F259" ca="1">_xludf.XLOOKUP(A259,PL!E:E,PL!A:A)</f>
        <v>#NAME?</v>
      </c>
      <c r="G259" s="8"/>
    </row>
    <row r="260" spans="1:7" ht="18.75" customHeight="1" x14ac:dyDescent="0.2">
      <c r="A260" s="8" t="s">
        <v>6286</v>
      </c>
      <c r="B260" s="9">
        <v>54052</v>
      </c>
      <c r="C260" s="9">
        <v>5906366004599</v>
      </c>
      <c r="D260" s="10" t="s">
        <v>6287</v>
      </c>
      <c r="E260" s="9">
        <f ca="1">IFERROR(__xludf.DUMMYFUNCTION("MROUND(XLOOKUP(A260,PL!E:E,PL!D:D)*1.4/SUBSTITUTE(importxml(""http://api.nbp.pl/api/exchangerates/rates/a/eur/""&amp;to_text(XLOOKUP(A260,PL!E:E,PL!A:A))&amp;""/?format=xml"",""//Mid""),""."","",""),5)"),105)</f>
        <v>105</v>
      </c>
      <c r="F260" s="11" t="e">
        <f t="array" aca="1" ref="F260" ca="1">_xludf.XLOOKUP(A260,PL!E:E,PL!A:A)</f>
        <v>#NAME?</v>
      </c>
      <c r="G260" s="8"/>
    </row>
    <row r="261" spans="1:7" ht="18.75" customHeight="1" x14ac:dyDescent="0.2">
      <c r="A261" s="8" t="s">
        <v>6288</v>
      </c>
      <c r="B261" s="9">
        <v>52617</v>
      </c>
      <c r="C261" s="9">
        <v>5902557397136</v>
      </c>
      <c r="D261" s="10" t="s">
        <v>6289</v>
      </c>
      <c r="E261" s="9">
        <f ca="1">IFERROR(__xludf.DUMMYFUNCTION("MROUND(XLOOKUP(A261,PL!E:E,PL!D:D)*1.4/SUBSTITUTE(importxml(""http://api.nbp.pl/api/exchangerates/rates/a/eur/""&amp;to_text(XLOOKUP(A261,PL!E:E,PL!A:A))&amp;""/?format=xml"",""//Mid""),""."","",""),5)"),110)</f>
        <v>110</v>
      </c>
      <c r="F261" s="11" t="e">
        <f t="array" aca="1" ref="F261" ca="1">_xludf.XLOOKUP(A261,PL!E:E,PL!A:A)</f>
        <v>#NAME?</v>
      </c>
      <c r="G261" s="8"/>
    </row>
    <row r="262" spans="1:7" ht="18.75" customHeight="1" x14ac:dyDescent="0.2">
      <c r="A262" s="8" t="s">
        <v>6290</v>
      </c>
      <c r="B262" s="9">
        <v>50052</v>
      </c>
      <c r="C262" s="9">
        <v>5902557385935</v>
      </c>
      <c r="D262" s="10" t="s">
        <v>6291</v>
      </c>
      <c r="E262" s="9">
        <f ca="1">IFERROR(__xludf.DUMMYFUNCTION("MROUND(XLOOKUP(A262,PL!E:E,PL!D:D)*1.4/SUBSTITUTE(importxml(""http://api.nbp.pl/api/exchangerates/rates/a/eur/""&amp;to_text(XLOOKUP(A262,PL!E:E,PL!A:A))&amp;""/?format=xml"",""//Mid""),""."","",""),5)"),90)</f>
        <v>90</v>
      </c>
      <c r="F262" s="11" t="e">
        <f t="array" aca="1" ref="F262" ca="1">_xludf.XLOOKUP(A262,PL!E:E,PL!A:A)</f>
        <v>#NAME?</v>
      </c>
      <c r="G262" s="8"/>
    </row>
    <row r="263" spans="1:7" ht="18.75" customHeight="1" x14ac:dyDescent="0.2">
      <c r="A263" s="8" t="s">
        <v>6292</v>
      </c>
      <c r="B263" s="9">
        <v>51662</v>
      </c>
      <c r="C263" s="9">
        <v>5902557381678</v>
      </c>
      <c r="D263" s="10" t="s">
        <v>6293</v>
      </c>
      <c r="E263" s="9">
        <f ca="1">IFERROR(__xludf.DUMMYFUNCTION("MROUND(XLOOKUP(A263,PL!E:E,PL!D:D)*1.4/SUBSTITUTE(importxml(""http://api.nbp.pl/api/exchangerates/rates/a/eur/""&amp;to_text(XLOOKUP(A263,PL!E:E,PL!A:A))&amp;""/?format=xml"",""//Mid""),""."","",""),5)"),95)</f>
        <v>95</v>
      </c>
      <c r="F263" s="11" t="e">
        <f t="array" aca="1" ref="F263" ca="1">_xludf.XLOOKUP(A263,PL!E:E,PL!A:A)</f>
        <v>#NAME?</v>
      </c>
      <c r="G263" s="8"/>
    </row>
    <row r="264" spans="1:7" ht="18.75" customHeight="1" x14ac:dyDescent="0.2">
      <c r="A264" s="9" t="s">
        <v>6294</v>
      </c>
      <c r="B264" s="9">
        <v>52592</v>
      </c>
      <c r="C264" s="8">
        <v>5902557396948</v>
      </c>
      <c r="D264" s="10" t="s">
        <v>6295</v>
      </c>
      <c r="E264" s="9">
        <f ca="1">IFERROR(__xludf.DUMMYFUNCTION("MROUND(XLOOKUP(A264,PL!E:E,PL!D:D)*1.4/SUBSTITUTE(importxml(""http://api.nbp.pl/api/exchangerates/rates/a/eur/""&amp;to_text(XLOOKUP(A264,PL!E:E,PL!A:A))&amp;""/?format=xml"",""//Mid""),""."","",""),5)"),150)</f>
        <v>150</v>
      </c>
      <c r="F264" s="11" t="e">
        <f t="array" aca="1" ref="F264" ca="1">_xludf.XLOOKUP(A264,PL!E:E,PL!A:A)</f>
        <v>#NAME?</v>
      </c>
      <c r="G264" s="8"/>
    </row>
    <row r="265" spans="1:7" ht="18.75" customHeight="1" x14ac:dyDescent="0.2">
      <c r="A265" s="9" t="s">
        <v>6296</v>
      </c>
      <c r="B265" s="9">
        <v>52644</v>
      </c>
      <c r="C265" s="8">
        <v>5902557397075</v>
      </c>
      <c r="D265" s="10" t="s">
        <v>6297</v>
      </c>
      <c r="E265" s="9">
        <f ca="1">IFERROR(__xludf.DUMMYFUNCTION("MROUND(XLOOKUP(A265,PL!E:E,PL!D:D)*1.4/SUBSTITUTE(importxml(""http://api.nbp.pl/api/exchangerates/rates/a/eur/""&amp;to_text(XLOOKUP(A265,PL!E:E,PL!A:A))&amp;""/?format=xml"",""//Mid""),""."","",""),5)"),110)</f>
        <v>110</v>
      </c>
      <c r="F265" s="11" t="e">
        <f t="array" aca="1" ref="F265" ca="1">_xludf.XLOOKUP(A265,PL!E:E,PL!A:A)</f>
        <v>#NAME?</v>
      </c>
      <c r="G265" s="8"/>
    </row>
    <row r="266" spans="1:7" ht="18.75" customHeight="1" x14ac:dyDescent="0.2">
      <c r="A266" s="9" t="s">
        <v>6298</v>
      </c>
      <c r="B266" s="9">
        <v>52651</v>
      </c>
      <c r="C266" s="8">
        <v>5902557397020</v>
      </c>
      <c r="D266" s="10" t="s">
        <v>6299</v>
      </c>
      <c r="E266" s="9">
        <f ca="1">IFERROR(__xludf.DUMMYFUNCTION("MROUND(XLOOKUP(A266,PL!E:E,PL!D:D)*1.4/SUBSTITUTE(importxml(""http://api.nbp.pl/api/exchangerates/rates/a/eur/""&amp;to_text(XLOOKUP(A266,PL!E:E,PL!A:A))&amp;""/?format=xml"",""//Mid""),""."","",""),5)"),90)</f>
        <v>90</v>
      </c>
      <c r="F266" s="11" t="e">
        <f t="array" aca="1" ref="F266" ca="1">_xludf.XLOOKUP(A266,PL!E:E,PL!A:A)</f>
        <v>#NAME?</v>
      </c>
      <c r="G266" s="8"/>
    </row>
    <row r="267" spans="1:7" ht="18.75" customHeight="1" x14ac:dyDescent="0.2">
      <c r="A267" s="8" t="s">
        <v>6300</v>
      </c>
      <c r="B267" s="9">
        <v>53682</v>
      </c>
      <c r="C267" s="8">
        <v>5906366006814</v>
      </c>
      <c r="D267" s="10" t="s">
        <v>6301</v>
      </c>
      <c r="E267" s="9">
        <f ca="1">IFERROR(__xludf.DUMMYFUNCTION("MROUND(XLOOKUP(A267,PL!E:E,PL!D:D)*1.4/SUBSTITUTE(importxml(""http://api.nbp.pl/api/exchangerates/rates/a/eur/""&amp;to_text(XLOOKUP(A267,PL!E:E,PL!A:A))&amp;""/?format=xml"",""//Mid""),""."","",""),5)"),115)</f>
        <v>115</v>
      </c>
      <c r="F267" s="11" t="e">
        <f t="array" aca="1" ref="F267" ca="1">_xludf.XLOOKUP(A267,PL!E:E,PL!A:A)</f>
        <v>#NAME?</v>
      </c>
      <c r="G267" s="8"/>
    </row>
    <row r="268" spans="1:7" ht="18.75" customHeight="1" x14ac:dyDescent="0.2">
      <c r="A268" s="8" t="s">
        <v>6302</v>
      </c>
      <c r="B268" s="9">
        <v>54047</v>
      </c>
      <c r="C268" s="9">
        <v>5906366004629</v>
      </c>
      <c r="D268" s="10" t="s">
        <v>6303</v>
      </c>
      <c r="E268" s="9">
        <f ca="1">IFERROR(__xludf.DUMMYFUNCTION("MROUND(XLOOKUP(A268,PL!E:E,PL!D:D)*1.4/SUBSTITUTE(importxml(""http://api.nbp.pl/api/exchangerates/rates/a/eur/""&amp;to_text(XLOOKUP(A268,PL!E:E,PL!A:A))&amp;""/?format=xml"",""//Mid""),""."","",""),5)"),120)</f>
        <v>120</v>
      </c>
      <c r="F268" s="11" t="e">
        <f t="array" aca="1" ref="F268" ca="1">_xludf.XLOOKUP(A268,PL!E:E,PL!A:A)</f>
        <v>#NAME?</v>
      </c>
      <c r="G268" s="8"/>
    </row>
    <row r="269" spans="1:7" ht="18.75" customHeight="1" x14ac:dyDescent="0.2">
      <c r="A269" s="8" t="s">
        <v>6304</v>
      </c>
      <c r="B269" s="9">
        <v>52618</v>
      </c>
      <c r="C269" s="9">
        <v>5902557397143</v>
      </c>
      <c r="D269" s="10" t="s">
        <v>6305</v>
      </c>
      <c r="E269" s="9">
        <f ca="1">IFERROR(__xludf.DUMMYFUNCTION("MROUND(XLOOKUP(A269,PL!E:E,PL!D:D)*1.4/SUBSTITUTE(importxml(""http://api.nbp.pl/api/exchangerates/rates/a/eur/""&amp;to_text(XLOOKUP(A269,PL!E:E,PL!A:A))&amp;""/?format=xml"",""//Mid""),""."","",""),5)"),145)</f>
        <v>145</v>
      </c>
      <c r="F269" s="11" t="e">
        <f t="array" aca="1" ref="F269" ca="1">_xludf.XLOOKUP(A269,PL!E:E,PL!A:A)</f>
        <v>#NAME?</v>
      </c>
      <c r="G269" s="8"/>
    </row>
    <row r="270" spans="1:7" ht="18.75" customHeight="1" x14ac:dyDescent="0.2">
      <c r="A270" s="8" t="s">
        <v>6306</v>
      </c>
      <c r="B270" s="9">
        <v>50053</v>
      </c>
      <c r="C270" s="9">
        <v>5902557385942</v>
      </c>
      <c r="D270" s="10" t="s">
        <v>6307</v>
      </c>
      <c r="E270" s="9">
        <f ca="1">IFERROR(__xludf.DUMMYFUNCTION("MROUND(XLOOKUP(A270,PL!E:E,PL!D:D)*1.4/SUBSTITUTE(importxml(""http://api.nbp.pl/api/exchangerates/rates/a/eur/""&amp;to_text(XLOOKUP(A270,PL!E:E,PL!A:A))&amp;""/?format=xml"",""//Mid""),""."","",""),5)"),120)</f>
        <v>120</v>
      </c>
      <c r="F270" s="11" t="e">
        <f t="array" aca="1" ref="F270" ca="1">_xludf.XLOOKUP(A270,PL!E:E,PL!A:A)</f>
        <v>#NAME?</v>
      </c>
      <c r="G270" s="8"/>
    </row>
    <row r="271" spans="1:7" ht="18.75" customHeight="1" x14ac:dyDescent="0.2">
      <c r="A271" s="8" t="s">
        <v>6308</v>
      </c>
      <c r="B271" s="9">
        <v>49124</v>
      </c>
      <c r="C271" s="9">
        <v>5902557381685</v>
      </c>
      <c r="D271" s="10" t="s">
        <v>6309</v>
      </c>
      <c r="E271" s="9">
        <f ca="1">IFERROR(__xludf.DUMMYFUNCTION("MROUND(XLOOKUP(A271,PL!E:E,PL!D:D)*1.4/SUBSTITUTE(importxml(""http://api.nbp.pl/api/exchangerates/rates/a/eur/""&amp;to_text(XLOOKUP(A271,PL!E:E,PL!A:A))&amp;""/?format=xml"",""//Mid""),""."","",""),5)"),100)</f>
        <v>100</v>
      </c>
      <c r="F271" s="11" t="e">
        <f t="array" aca="1" ref="F271" ca="1">_xludf.XLOOKUP(A271,PL!E:E,PL!A:A)</f>
        <v>#NAME?</v>
      </c>
      <c r="G271" s="8"/>
    </row>
    <row r="272" spans="1:7" ht="18.75" customHeight="1" x14ac:dyDescent="0.2">
      <c r="A272" s="8" t="s">
        <v>6310</v>
      </c>
      <c r="B272" s="9">
        <v>52591</v>
      </c>
      <c r="C272" s="8">
        <v>5902557396955</v>
      </c>
      <c r="D272" s="10" t="s">
        <v>6311</v>
      </c>
      <c r="E272" s="9">
        <f ca="1">IFERROR(__xludf.DUMMYFUNCTION("MROUND(XLOOKUP(A272,PL!E:E,PL!D:D)*1.4/SUBSTITUTE(importxml(""http://api.nbp.pl/api/exchangerates/rates/a/eur/""&amp;to_text(XLOOKUP(A272,PL!E:E,PL!A:A))&amp;""/?format=xml"",""//Mid""),""."","",""),5)"),155)</f>
        <v>155</v>
      </c>
      <c r="F272" s="11" t="e">
        <f t="array" aca="1" ref="F272" ca="1">_xludf.XLOOKUP(A272,PL!E:E,PL!A:A)</f>
        <v>#NAME?</v>
      </c>
      <c r="G272" s="8"/>
    </row>
    <row r="273" spans="1:7" ht="18.75" customHeight="1" x14ac:dyDescent="0.2">
      <c r="A273" s="8" t="s">
        <v>6312</v>
      </c>
      <c r="B273" s="9">
        <v>52645</v>
      </c>
      <c r="C273" s="8">
        <v>5902557397068</v>
      </c>
      <c r="D273" s="10" t="s">
        <v>6313</v>
      </c>
      <c r="E273" s="9">
        <f ca="1">IFERROR(__xludf.DUMMYFUNCTION("MROUND(XLOOKUP(A273,PL!E:E,PL!D:D)*1.4/SUBSTITUTE(importxml(""http://api.nbp.pl/api/exchangerates/rates/a/eur/""&amp;to_text(XLOOKUP(A273,PL!E:E,PL!A:A))&amp;""/?format=xml"",""//Mid""),""."","",""),5)"),120)</f>
        <v>120</v>
      </c>
      <c r="F273" s="11" t="e">
        <f t="array" aca="1" ref="F273" ca="1">_xludf.XLOOKUP(A273,PL!E:E,PL!A:A)</f>
        <v>#NAME?</v>
      </c>
      <c r="G273" s="8"/>
    </row>
    <row r="274" spans="1:7" ht="18.75" customHeight="1" x14ac:dyDescent="0.2">
      <c r="A274" s="8" t="s">
        <v>6314</v>
      </c>
      <c r="B274" s="9">
        <v>52652</v>
      </c>
      <c r="C274" s="9">
        <v>5902557397037</v>
      </c>
      <c r="D274" s="10" t="s">
        <v>6315</v>
      </c>
      <c r="E274" s="9">
        <f ca="1">IFERROR(__xludf.DUMMYFUNCTION("MROUND(XLOOKUP(A274,PL!E:E,PL!D:D)*1.4/SUBSTITUTE(importxml(""http://api.nbp.pl/api/exchangerates/rates/a/eur/""&amp;to_text(XLOOKUP(A274,PL!E:E,PL!A:A))&amp;""/?format=xml"",""//Mid""),""."","",""),5)"),95)</f>
        <v>95</v>
      </c>
      <c r="F274" s="11" t="e">
        <f t="array" aca="1" ref="F274" ca="1">_xludf.XLOOKUP(A274,PL!E:E,PL!A:A)</f>
        <v>#NAME?</v>
      </c>
      <c r="G274" s="8"/>
    </row>
    <row r="275" spans="1:7" ht="18.75" customHeight="1" x14ac:dyDescent="0.2">
      <c r="A275" s="8" t="s">
        <v>6316</v>
      </c>
      <c r="B275" s="9">
        <v>53684</v>
      </c>
      <c r="C275" s="9">
        <v>5906366006821</v>
      </c>
      <c r="D275" s="10" t="s">
        <v>6317</v>
      </c>
      <c r="E275" s="9">
        <f ca="1">IFERROR(__xludf.DUMMYFUNCTION("MROUND(XLOOKUP(A275,PL!E:E,PL!D:D)*1.4/SUBSTITUTE(importxml(""http://api.nbp.pl/api/exchangerates/rates/a/eur/""&amp;to_text(XLOOKUP(A275,PL!E:E,PL!A:A))&amp;""/?format=xml"",""//Mid""),""."","",""),5)"),125)</f>
        <v>125</v>
      </c>
      <c r="F275" s="11" t="e">
        <f t="array" aca="1" ref="F275" ca="1">_xludf.XLOOKUP(A275,PL!E:E,PL!A:A)</f>
        <v>#NAME?</v>
      </c>
      <c r="G275" s="8"/>
    </row>
    <row r="276" spans="1:7" ht="18.75" customHeight="1" x14ac:dyDescent="0.2">
      <c r="A276" s="8" t="s">
        <v>6318</v>
      </c>
      <c r="B276" s="9">
        <v>54048</v>
      </c>
      <c r="C276" s="9">
        <v>5906366004636</v>
      </c>
      <c r="D276" s="10" t="s">
        <v>6319</v>
      </c>
      <c r="E276" s="9">
        <f ca="1">IFERROR(__xludf.DUMMYFUNCTION("MROUND(XLOOKUP(A276,PL!E:E,PL!D:D)*1.4/SUBSTITUTE(importxml(""http://api.nbp.pl/api/exchangerates/rates/a/eur/""&amp;to_text(XLOOKUP(A276,PL!E:E,PL!A:A))&amp;""/?format=xml"",""//Mid""),""."","",""),5)"),125)</f>
        <v>125</v>
      </c>
      <c r="F276" s="11" t="e">
        <f t="array" aca="1" ref="F276" ca="1">_xludf.XLOOKUP(A276,PL!E:E,PL!A:A)</f>
        <v>#NAME?</v>
      </c>
      <c r="G276" s="8"/>
    </row>
    <row r="277" spans="1:7" ht="18.75" customHeight="1" x14ac:dyDescent="0.2">
      <c r="A277" s="8" t="s">
        <v>6320</v>
      </c>
      <c r="B277" s="9">
        <v>52647</v>
      </c>
      <c r="C277" s="9">
        <v>5902557396993</v>
      </c>
      <c r="D277" s="10" t="s">
        <v>6321</v>
      </c>
      <c r="E277" s="9">
        <f ca="1">IFERROR(__xludf.DUMMYFUNCTION("MROUND(XLOOKUP(A277,PL!E:E,PL!D:D)*1.4/SUBSTITUTE(importxml(""http://api.nbp.pl/api/exchangerates/rates/a/eur/""&amp;to_text(XLOOKUP(A277,PL!E:E,PL!A:A))&amp;""/?format=xml"",""//Mid""),""."","",""),5)"),125)</f>
        <v>125</v>
      </c>
      <c r="F277" s="11" t="e">
        <f t="array" aca="1" ref="F277" ca="1">_xludf.XLOOKUP(A277,PL!E:E,PL!A:A)</f>
        <v>#NAME?</v>
      </c>
      <c r="G277" s="8"/>
    </row>
    <row r="278" spans="1:7" ht="18.75" customHeight="1" x14ac:dyDescent="0.2">
      <c r="A278" s="13" t="s">
        <v>6322</v>
      </c>
      <c r="B278" s="9">
        <v>50119</v>
      </c>
      <c r="C278" s="9">
        <v>5902557387427</v>
      </c>
      <c r="D278" s="10" t="s">
        <v>6323</v>
      </c>
      <c r="E278" s="9">
        <f ca="1">IFERROR(__xludf.DUMMYFUNCTION("MROUND(XLOOKUP(A278,PL!E:E,PL!D:D)*1.4/SUBSTITUTE(importxml(""http://api.nbp.pl/api/exchangerates/rates/a/eur/""&amp;to_text(XLOOKUP(A278,PL!E:E,PL!A:A))&amp;""/?format=xml"",""//Mid""),""."","",""),5)"),105)</f>
        <v>105</v>
      </c>
      <c r="F278" s="11" t="e">
        <f t="array" aca="1" ref="F278" ca="1">_xludf.XLOOKUP(A278,PL!E:E,PL!A:A)</f>
        <v>#NAME?</v>
      </c>
      <c r="G278" s="8"/>
    </row>
    <row r="279" spans="1:7" ht="18.75" customHeight="1" x14ac:dyDescent="0.2">
      <c r="A279" s="8" t="s">
        <v>6324</v>
      </c>
      <c r="B279" s="9">
        <v>52619</v>
      </c>
      <c r="C279" s="9">
        <v>5902557397150</v>
      </c>
      <c r="D279" s="10" t="s">
        <v>6325</v>
      </c>
      <c r="E279" s="9">
        <f ca="1">IFERROR(__xludf.DUMMYFUNCTION("MROUND(XLOOKUP(A279,PL!E:E,PL!D:D)*1.4/SUBSTITUTE(importxml(""http://api.nbp.pl/api/exchangerates/rates/a/eur/""&amp;to_text(XLOOKUP(A279,PL!E:E,PL!A:A))&amp;""/?format=xml"",""//Mid""),""."","",""),5)"),140)</f>
        <v>140</v>
      </c>
      <c r="F279" s="11" t="e">
        <f t="array" aca="1" ref="F279" ca="1">_xludf.XLOOKUP(A279,PL!E:E,PL!A:A)</f>
        <v>#NAME?</v>
      </c>
      <c r="G279" s="8"/>
    </row>
    <row r="280" spans="1:7" ht="18.75" customHeight="1" x14ac:dyDescent="0.2">
      <c r="A280" s="8" t="s">
        <v>6326</v>
      </c>
      <c r="B280" s="9">
        <v>52339</v>
      </c>
      <c r="C280" s="9">
        <v>5902557396436</v>
      </c>
      <c r="D280" s="10" t="s">
        <v>6327</v>
      </c>
      <c r="E280" s="9">
        <f ca="1">IFERROR(__xludf.DUMMYFUNCTION("MROUND(XLOOKUP(A280,PL!E:E,PL!D:D)*1.4/SUBSTITUTE(importxml(""http://api.nbp.pl/api/exchangerates/rates/a/eur/""&amp;to_text(XLOOKUP(A280,PL!E:E,PL!A:A))&amp;""/?format=xml"",""//Mid""),""."","",""),5)"),120)</f>
        <v>120</v>
      </c>
      <c r="F280" s="11" t="e">
        <f t="array" aca="1" ref="F280" ca="1">_xludf.XLOOKUP(A280,PL!E:E,PL!A:A)</f>
        <v>#NAME?</v>
      </c>
      <c r="G280" s="8"/>
    </row>
    <row r="281" spans="1:7" ht="18.75" customHeight="1" x14ac:dyDescent="0.2">
      <c r="A281" s="13" t="s">
        <v>6328</v>
      </c>
      <c r="B281" s="9">
        <v>50051</v>
      </c>
      <c r="C281" s="9">
        <v>5902557385904</v>
      </c>
      <c r="D281" s="10" t="s">
        <v>6329</v>
      </c>
      <c r="E281" s="9">
        <f ca="1">IFERROR(__xludf.DUMMYFUNCTION("MROUND(XLOOKUP(A281,PL!E:E,PL!D:D)*1.4/SUBSTITUTE(importxml(""http://api.nbp.pl/api/exchangerates/rates/a/eur/""&amp;to_text(XLOOKUP(A281,PL!E:E,PL!A:A))&amp;""/?format=xml"",""//Mid""),""."","",""),5)"),110)</f>
        <v>110</v>
      </c>
      <c r="F281" s="11" t="e">
        <f t="array" aca="1" ref="F281" ca="1">_xludf.XLOOKUP(A281,PL!E:E,PL!A:A)</f>
        <v>#NAME?</v>
      </c>
      <c r="G281" s="8"/>
    </row>
    <row r="282" spans="1:7" ht="18.75" customHeight="1" x14ac:dyDescent="0.2">
      <c r="A282" s="13" t="s">
        <v>6330</v>
      </c>
      <c r="B282" s="9">
        <v>52590</v>
      </c>
      <c r="C282" s="9">
        <v>5902557396962</v>
      </c>
      <c r="D282" s="10" t="s">
        <v>6331</v>
      </c>
      <c r="E282" s="9">
        <f ca="1">IFERROR(__xludf.DUMMYFUNCTION("MROUND(XLOOKUP(A282,PL!E:E,PL!D:D)*1.4/SUBSTITUTE(importxml(""http://api.nbp.pl/api/exchangerates/rates/a/eur/""&amp;to_text(XLOOKUP(A282,PL!E:E,PL!A:A))&amp;""/?format=xml"",""//Mid""),""."","",""),5)"),165)</f>
        <v>165</v>
      </c>
      <c r="F282" s="11" t="e">
        <f t="array" aca="1" ref="F282" ca="1">_xludf.XLOOKUP(A282,PL!E:E,PL!A:A)</f>
        <v>#NAME?</v>
      </c>
      <c r="G282" s="8"/>
    </row>
    <row r="283" spans="1:7" ht="18.75" customHeight="1" x14ac:dyDescent="0.2">
      <c r="A283" s="8" t="s">
        <v>6332</v>
      </c>
      <c r="B283" s="9">
        <v>52646</v>
      </c>
      <c r="C283" s="9">
        <v>5902557397051</v>
      </c>
      <c r="D283" s="10" t="s">
        <v>6333</v>
      </c>
      <c r="E283" s="9">
        <f ca="1">IFERROR(__xludf.DUMMYFUNCTION("MROUND(XLOOKUP(A283,PL!E:E,PL!D:D)*1.4/SUBSTITUTE(importxml(""http://api.nbp.pl/api/exchangerates/rates/a/eur/""&amp;to_text(XLOOKUP(A283,PL!E:E,PL!A:A))&amp;""/?format=xml"",""//Mid""),""."","",""),5)"),135)</f>
        <v>135</v>
      </c>
      <c r="F283" s="11" t="e">
        <f t="array" aca="1" ref="F283" ca="1">_xludf.XLOOKUP(A283,PL!E:E,PL!A:A)</f>
        <v>#NAME?</v>
      </c>
      <c r="G283" s="8"/>
    </row>
    <row r="284" spans="1:7" ht="18.75" customHeight="1" x14ac:dyDescent="0.2">
      <c r="A284" s="8" t="s">
        <v>6334</v>
      </c>
      <c r="B284" s="9">
        <v>52653</v>
      </c>
      <c r="C284" s="9">
        <v>5902557397044</v>
      </c>
      <c r="D284" s="10" t="s">
        <v>6335</v>
      </c>
      <c r="E284" s="9">
        <f ca="1">IFERROR(__xludf.DUMMYFUNCTION("MROUND(XLOOKUP(A284,PL!E:E,PL!D:D)*1.4/SUBSTITUTE(importxml(""http://api.nbp.pl/api/exchangerates/rates/a/eur/""&amp;to_text(XLOOKUP(A284,PL!E:E,PL!A:A))&amp;""/?format=xml"",""//Mid""),""."","",""),5)"),105)</f>
        <v>105</v>
      </c>
      <c r="F284" s="11" t="e">
        <f t="array" aca="1" ref="F284" ca="1">_xludf.XLOOKUP(A284,PL!E:E,PL!A:A)</f>
        <v>#NAME?</v>
      </c>
      <c r="G284" s="8"/>
    </row>
    <row r="285" spans="1:7" ht="18.75" customHeight="1" x14ac:dyDescent="0.2">
      <c r="A285" s="8" t="s">
        <v>6336</v>
      </c>
      <c r="B285" s="9">
        <v>53685</v>
      </c>
      <c r="C285" s="9">
        <v>5906366006838</v>
      </c>
      <c r="D285" s="10" t="s">
        <v>6337</v>
      </c>
      <c r="E285" s="9">
        <f ca="1">IFERROR(__xludf.DUMMYFUNCTION("MROUND(XLOOKUP(A285,PL!E:E,PL!D:D)*1.4/SUBSTITUTE(importxml(""http://api.nbp.pl/api/exchangerates/rates/a/eur/""&amp;to_text(XLOOKUP(A285,PL!E:E,PL!A:A))&amp;""/?format=xml"",""//Mid""),""."","",""),5)"),105)</f>
        <v>105</v>
      </c>
      <c r="F285" s="11" t="e">
        <f t="array" aca="1" ref="F285" ca="1">_xludf.XLOOKUP(A285,PL!E:E,PL!A:A)</f>
        <v>#NAME?</v>
      </c>
      <c r="G285" s="8"/>
    </row>
    <row r="286" spans="1:7" ht="18.75" customHeight="1" x14ac:dyDescent="0.2">
      <c r="A286" s="8" t="s">
        <v>6338</v>
      </c>
      <c r="B286" s="9">
        <v>53970</v>
      </c>
      <c r="C286" s="9">
        <v>5906366004575</v>
      </c>
      <c r="D286" s="10" t="s">
        <v>6339</v>
      </c>
      <c r="E286" s="9">
        <f ca="1">IFERROR(__xludf.DUMMYFUNCTION("MROUND(XLOOKUP(A286,PL!E:E,PL!D:D)*1.4/SUBSTITUTE(importxml(""http://api.nbp.pl/api/exchangerates/rates/a/eur/""&amp;to_text(XLOOKUP(A286,PL!E:E,PL!A:A))&amp;""/?format=xml"",""//Mid""),""."","",""),5)"),135)</f>
        <v>135</v>
      </c>
      <c r="F286" s="11" t="e">
        <f t="array" aca="1" ref="F286" ca="1">_xludf.XLOOKUP(A286,PL!E:E,PL!A:A)</f>
        <v>#NAME?</v>
      </c>
      <c r="G286" s="8"/>
    </row>
    <row r="287" spans="1:7" ht="18.75" customHeight="1" x14ac:dyDescent="0.2">
      <c r="A287" s="8" t="s">
        <v>6340</v>
      </c>
      <c r="B287" s="9">
        <v>53972</v>
      </c>
      <c r="C287" s="9">
        <v>5906366004568</v>
      </c>
      <c r="D287" s="10" t="s">
        <v>6341</v>
      </c>
      <c r="E287" s="9">
        <f ca="1">IFERROR(__xludf.DUMMYFUNCTION("MROUND(XLOOKUP(A287,PL!E:E,PL!D:D)*1.4/SUBSTITUTE(importxml(""http://api.nbp.pl/api/exchangerates/rates/a/eur/""&amp;to_text(XLOOKUP(A287,PL!E:E,PL!A:A))&amp;""/?format=xml"",""//Mid""),""."","",""),5)"),185)</f>
        <v>185</v>
      </c>
      <c r="F287" s="11" t="e">
        <f t="array" aca="1" ref="F287" ca="1">_xludf.XLOOKUP(A287,PL!E:E,PL!A:A)</f>
        <v>#NAME?</v>
      </c>
      <c r="G287" s="8"/>
    </row>
    <row r="288" spans="1:7" ht="18.75" customHeight="1" x14ac:dyDescent="0.2">
      <c r="A288" s="8" t="s">
        <v>6342</v>
      </c>
      <c r="B288" s="9">
        <v>50118</v>
      </c>
      <c r="C288" s="9">
        <v>5902557387410</v>
      </c>
      <c r="D288" s="10" t="s">
        <v>6343</v>
      </c>
      <c r="E288" s="9">
        <f ca="1">IFERROR(__xludf.DUMMYFUNCTION("MROUND(XLOOKUP(A288,PL!E:E,PL!D:D)*1.4/SUBSTITUTE(importxml(""http://api.nbp.pl/api/exchangerates/rates/a/eur/""&amp;to_text(XLOOKUP(A288,PL!E:E,PL!A:A))&amp;""/?format=xml"",""//Mid""),""."","",""),5)"),155)</f>
        <v>155</v>
      </c>
      <c r="F288" s="11" t="e">
        <f t="array" aca="1" ref="F288" ca="1">_xludf.XLOOKUP(A288,PL!E:E,PL!A:A)</f>
        <v>#NAME?</v>
      </c>
      <c r="G288" s="8"/>
    </row>
    <row r="289" spans="1:7" ht="18.75" customHeight="1" x14ac:dyDescent="0.2">
      <c r="A289" s="8" t="s">
        <v>6344</v>
      </c>
      <c r="B289" s="9">
        <v>52625</v>
      </c>
      <c r="C289" s="9">
        <v>5902557397167</v>
      </c>
      <c r="D289" s="10" t="s">
        <v>6345</v>
      </c>
      <c r="E289" s="9">
        <f ca="1">IFERROR(__xludf.DUMMYFUNCTION("MROUND(XLOOKUP(A289,PL!E:E,PL!D:D)*1.4/SUBSTITUTE(importxml(""http://api.nbp.pl/api/exchangerates/rates/a/eur/""&amp;to_text(XLOOKUP(A289,PL!E:E,PL!A:A))&amp;""/?format=xml"",""//Mid""),""."","",""),5)"),145)</f>
        <v>145</v>
      </c>
      <c r="F289" s="11" t="e">
        <f t="array" aca="1" ref="F289" ca="1">_xludf.XLOOKUP(A289,PL!E:E,PL!A:A)</f>
        <v>#NAME?</v>
      </c>
      <c r="G289" s="8"/>
    </row>
    <row r="290" spans="1:7" ht="18.75" customHeight="1" x14ac:dyDescent="0.2">
      <c r="A290" s="8" t="s">
        <v>6346</v>
      </c>
      <c r="B290" s="9">
        <v>52629</v>
      </c>
      <c r="C290" s="9">
        <v>5902557397174</v>
      </c>
      <c r="D290" s="10" t="s">
        <v>6347</v>
      </c>
      <c r="E290" s="9">
        <f ca="1">IFERROR(__xludf.DUMMYFUNCTION("MROUND(XLOOKUP(A290,PL!E:E,PL!D:D)*1.4/SUBSTITUTE(importxml(""http://api.nbp.pl/api/exchangerates/rates/a/eur/""&amp;to_text(XLOOKUP(A290,PL!E:E,PL!A:A))&amp;""/?format=xml"",""//Mid""),""."","",""),5)"),80)</f>
        <v>80</v>
      </c>
      <c r="F290" s="11" t="e">
        <f t="array" aca="1" ref="F290" ca="1">_xludf.XLOOKUP(A290,PL!E:E,PL!A:A)</f>
        <v>#NAME?</v>
      </c>
      <c r="G290" s="8"/>
    </row>
    <row r="291" spans="1:7" ht="18.75" customHeight="1" x14ac:dyDescent="0.2">
      <c r="A291" s="8" t="s">
        <v>6348</v>
      </c>
      <c r="B291" s="9">
        <v>52628</v>
      </c>
      <c r="C291" s="9">
        <v>5902557397198</v>
      </c>
      <c r="D291" s="10" t="s">
        <v>6349</v>
      </c>
      <c r="E291" s="9">
        <f ca="1">IFERROR(__xludf.DUMMYFUNCTION("MROUND(XLOOKUP(A291,PL!E:E,PL!D:D)*1.4/SUBSTITUTE(importxml(""http://api.nbp.pl/api/exchangerates/rates/a/eur/""&amp;to_text(XLOOKUP(A291,PL!E:E,PL!A:A))&amp;""/?format=xml"",""//Mid""),""."","",""),5)"),105)</f>
        <v>105</v>
      </c>
      <c r="F291" s="11" t="e">
        <f t="array" aca="1" ref="F291" ca="1">_xludf.XLOOKUP(A291,PL!E:E,PL!A:A)</f>
        <v>#NAME?</v>
      </c>
      <c r="G291" s="8"/>
    </row>
    <row r="292" spans="1:7" ht="18.75" customHeight="1" x14ac:dyDescent="0.2">
      <c r="A292" s="8" t="s">
        <v>6350</v>
      </c>
      <c r="B292" s="9">
        <v>53378</v>
      </c>
      <c r="C292" s="9">
        <v>5902557397181</v>
      </c>
      <c r="D292" s="10" t="s">
        <v>6351</v>
      </c>
      <c r="E292" s="9">
        <f ca="1">IFERROR(__xludf.DUMMYFUNCTION("MROUND(XLOOKUP(A292,PL!E:E,PL!D:D)*1.4/SUBSTITUTE(importxml(""http://api.nbp.pl/api/exchangerates/rates/a/eur/""&amp;to_text(XLOOKUP(A292,PL!E:E,PL!A:A))&amp;""/?format=xml"",""//Mid""),""."","",""),5)"),120)</f>
        <v>120</v>
      </c>
      <c r="F292" s="11" t="e">
        <f t="array" aca="1" ref="F292" ca="1">_xludf.XLOOKUP(A292,PL!E:E,PL!A:A)</f>
        <v>#NAME?</v>
      </c>
      <c r="G292" s="8"/>
    </row>
    <row r="293" spans="1:7" ht="18.75" customHeight="1" x14ac:dyDescent="0.2">
      <c r="A293" s="8" t="s">
        <v>6352</v>
      </c>
      <c r="B293" s="9">
        <v>52595</v>
      </c>
      <c r="C293" s="9">
        <v>5902557396917</v>
      </c>
      <c r="D293" s="10" t="s">
        <v>6353</v>
      </c>
      <c r="E293" s="9">
        <f ca="1">IFERROR(__xludf.DUMMYFUNCTION("MROUND(XLOOKUP(A293,PL!E:E,PL!D:D)*1.4/SUBSTITUTE(importxml(""http://api.nbp.pl/api/exchangerates/rates/a/eur/""&amp;to_text(XLOOKUP(A293,PL!E:E,PL!A:A))&amp;""/?format=xml"",""//Mid""),""."","",""),5)"),155)</f>
        <v>155</v>
      </c>
      <c r="F293" s="11" t="e">
        <f t="array" aca="1" ref="F293" ca="1">_xludf.XLOOKUP(A293,PL!E:E,PL!A:A)</f>
        <v>#NAME?</v>
      </c>
      <c r="G293" s="8"/>
    </row>
    <row r="294" spans="1:7" ht="18.75" customHeight="1" x14ac:dyDescent="0.2">
      <c r="A294" s="8" t="s">
        <v>6354</v>
      </c>
      <c r="B294" s="9">
        <v>52588</v>
      </c>
      <c r="C294" s="9">
        <v>5902557396887</v>
      </c>
      <c r="D294" s="10" t="s">
        <v>6355</v>
      </c>
      <c r="E294" s="9">
        <f ca="1">IFERROR(__xludf.DUMMYFUNCTION("MROUND(XLOOKUP(A294,PL!E:E,PL!D:D)*1.4/SUBSTITUTE(importxml(""http://api.nbp.pl/api/exchangerates/rates/a/eur/""&amp;to_text(XLOOKUP(A294,PL!E:E,PL!A:A))&amp;""/?format=xml"",""//Mid""),""."","",""),5)"),155)</f>
        <v>155</v>
      </c>
      <c r="F294" s="11" t="e">
        <f t="array" aca="1" ref="F294" ca="1">_xludf.XLOOKUP(A294,PL!E:E,PL!A:A)</f>
        <v>#NAME?</v>
      </c>
      <c r="G294" s="8"/>
    </row>
    <row r="295" spans="1:7" ht="18.75" customHeight="1" x14ac:dyDescent="0.2">
      <c r="A295" s="8" t="s">
        <v>6356</v>
      </c>
      <c r="B295" s="9">
        <v>53784</v>
      </c>
      <c r="C295" s="9">
        <v>5906366003790</v>
      </c>
      <c r="D295" s="10" t="s">
        <v>6357</v>
      </c>
      <c r="E295" s="9">
        <f ca="1">IFERROR(__xludf.DUMMYFUNCTION("MROUND(XLOOKUP(A295,PL!E:E,PL!D:D)*1.4/SUBSTITUTE(importxml(""http://api.nbp.pl/api/exchangerates/rates/a/eur/""&amp;to_text(XLOOKUP(A295,PL!E:E,PL!A:A))&amp;""/?format=xml"",""//Mid""),""."","",""),5)"),170)</f>
        <v>170</v>
      </c>
      <c r="F295" s="11" t="e">
        <f t="array" aca="1" ref="F295" ca="1">_xludf.XLOOKUP(A295,PL!E:E,PL!A:A)</f>
        <v>#NAME?</v>
      </c>
      <c r="G295" s="8"/>
    </row>
    <row r="296" spans="1:7" ht="18.75" customHeight="1" x14ac:dyDescent="0.2">
      <c r="A296" s="8" t="s">
        <v>6358</v>
      </c>
      <c r="B296" s="9">
        <v>52589</v>
      </c>
      <c r="C296" s="9">
        <v>5902557396900</v>
      </c>
      <c r="D296" s="10" t="s">
        <v>6359</v>
      </c>
      <c r="E296" s="9">
        <f ca="1">IFERROR(__xludf.DUMMYFUNCTION("MROUND(XLOOKUP(A296,PL!E:E,PL!D:D)*1.4/SUBSTITUTE(importxml(""http://api.nbp.pl/api/exchangerates/rates/a/eur/""&amp;to_text(XLOOKUP(A296,PL!E:E,PL!A:A))&amp;""/?format=xml"",""//Mid""),""."","",""),5)"),200)</f>
        <v>200</v>
      </c>
      <c r="F296" s="11" t="e">
        <f t="array" aca="1" ref="F296" ca="1">_xludf.XLOOKUP(A296,PL!E:E,PL!A:A)</f>
        <v>#NAME?</v>
      </c>
      <c r="G296" s="8"/>
    </row>
    <row r="297" spans="1:7" ht="18.75" customHeight="1" x14ac:dyDescent="0.2">
      <c r="A297" s="8" t="s">
        <v>6360</v>
      </c>
      <c r="B297" s="9">
        <v>52587</v>
      </c>
      <c r="C297" s="9">
        <v>5902557396870</v>
      </c>
      <c r="D297" s="10" t="s">
        <v>6361</v>
      </c>
      <c r="E297" s="9">
        <f ca="1">IFERROR(__xludf.DUMMYFUNCTION("MROUND(XLOOKUP(A297,PL!E:E,PL!D:D)*1.4/SUBSTITUTE(importxml(""http://api.nbp.pl/api/exchangerates/rates/a/eur/""&amp;to_text(XLOOKUP(A297,PL!E:E,PL!A:A))&amp;""/?format=xml"",""//Mid""),""."","",""),5)"),95)</f>
        <v>95</v>
      </c>
      <c r="F297" s="11" t="e">
        <f t="array" aca="1" ref="F297" ca="1">_xludf.XLOOKUP(A297,PL!E:E,PL!A:A)</f>
        <v>#NAME?</v>
      </c>
      <c r="G297" s="8"/>
    </row>
    <row r="298" spans="1:7" ht="18.75" customHeight="1" x14ac:dyDescent="0.2">
      <c r="A298" s="8" t="s">
        <v>6362</v>
      </c>
      <c r="B298" s="9">
        <v>54061</v>
      </c>
      <c r="C298" s="9">
        <v>5906366004650</v>
      </c>
      <c r="D298" s="10" t="s">
        <v>6363</v>
      </c>
      <c r="E298" s="9">
        <f ca="1">IFERROR(__xludf.DUMMYFUNCTION("MROUND(XLOOKUP(A298,PL!E:E,PL!D:D)*1.4/SUBSTITUTE(importxml(""http://api.nbp.pl/api/exchangerates/rates/a/eur/""&amp;to_text(XLOOKUP(A298,PL!E:E,PL!A:A))&amp;""/?format=xml"",""//Mid""),""."","",""),5)"),155)</f>
        <v>155</v>
      </c>
      <c r="F298" s="11" t="e">
        <f t="array" aca="1" ref="F298" ca="1">_xludf.XLOOKUP(A298,PL!E:E,PL!A:A)</f>
        <v>#NAME?</v>
      </c>
      <c r="G298" s="8"/>
    </row>
    <row r="299" spans="1:7" ht="18.75" customHeight="1" x14ac:dyDescent="0.2">
      <c r="A299" s="8" t="s">
        <v>6364</v>
      </c>
      <c r="B299" s="9">
        <v>54064</v>
      </c>
      <c r="C299" s="9">
        <v>5906366004667</v>
      </c>
      <c r="D299" s="10" t="s">
        <v>6365</v>
      </c>
      <c r="E299" s="9">
        <f ca="1">IFERROR(__xludf.DUMMYFUNCTION("MROUND(XLOOKUP(A299,PL!E:E,PL!D:D)*1.4/SUBSTITUTE(importxml(""http://api.nbp.pl/api/exchangerates/rates/a/eur/""&amp;to_text(XLOOKUP(A299,PL!E:E,PL!A:A))&amp;""/?format=xml"",""//Mid""),""."","",""),5)"),170)</f>
        <v>170</v>
      </c>
      <c r="F299" s="11" t="e">
        <f t="array" aca="1" ref="F299" ca="1">_xludf.XLOOKUP(A299,PL!E:E,PL!A:A)</f>
        <v>#NAME?</v>
      </c>
      <c r="G299" s="8"/>
    </row>
    <row r="300" spans="1:7" ht="18.75" customHeight="1" x14ac:dyDescent="0.2">
      <c r="A300" s="8" t="s">
        <v>6366</v>
      </c>
      <c r="B300" s="9">
        <v>54056</v>
      </c>
      <c r="C300" s="9">
        <v>5906366004643</v>
      </c>
      <c r="D300" s="10" t="s">
        <v>6367</v>
      </c>
      <c r="E300" s="9">
        <f ca="1">IFERROR(__xludf.DUMMYFUNCTION("MROUND(XLOOKUP(A300,PL!E:E,PL!D:D)*1.4/SUBSTITUTE(importxml(""http://api.nbp.pl/api/exchangerates/rates/a/eur/""&amp;to_text(XLOOKUP(A300,PL!E:E,PL!A:A))&amp;""/?format=xml"",""//Mid""),""."","",""),5)"),200)</f>
        <v>200</v>
      </c>
      <c r="F300" s="11" t="e">
        <f t="array" aca="1" ref="F300" ca="1">_xludf.XLOOKUP(A300,PL!E:E,PL!A:A)</f>
        <v>#NAME?</v>
      </c>
      <c r="G300" s="8"/>
    </row>
    <row r="301" spans="1:7" ht="18.75" customHeight="1" x14ac:dyDescent="0.2">
      <c r="A301" s="8" t="s">
        <v>6368</v>
      </c>
      <c r="B301" s="9">
        <v>52642</v>
      </c>
      <c r="C301" s="9">
        <v>5902557397105</v>
      </c>
      <c r="D301" s="10" t="s">
        <v>6369</v>
      </c>
      <c r="E301" s="9">
        <f ca="1">IFERROR(__xludf.DUMMYFUNCTION("MROUND(XLOOKUP(A301,PL!E:E,PL!D:D)*1.4/SUBSTITUTE(importxml(""http://api.nbp.pl/api/exchangerates/rates/a/eur/""&amp;to_text(XLOOKUP(A301,PL!E:E,PL!A:A))&amp;""/?format=xml"",""//Mid""),""."","",""),5)"),200)</f>
        <v>200</v>
      </c>
      <c r="F301" s="11" t="e">
        <f t="array" aca="1" ref="F301" ca="1">_xludf.XLOOKUP(A301,PL!E:E,PL!A:A)</f>
        <v>#NAME?</v>
      </c>
      <c r="G301" s="8"/>
    </row>
  </sheetData>
  <conditionalFormatting sqref="A2:F301">
    <cfRule type="expression" dxfId="0" priority="1">
      <formula>$F2=MAX($F:$F)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324"/>
  <sheetViews>
    <sheetView workbookViewId="0"/>
  </sheetViews>
  <sheetFormatPr defaultColWidth="12.625" defaultRowHeight="15" customHeight="1" x14ac:dyDescent="0.2"/>
  <sheetData>
    <row r="1" spans="1:10" ht="15.75" customHeight="1" x14ac:dyDescent="0.25">
      <c r="A1" s="20"/>
      <c r="B1" s="2"/>
      <c r="C1" s="2"/>
      <c r="D1" s="2"/>
      <c r="E1" s="2"/>
      <c r="F1" s="2"/>
      <c r="G1" s="2"/>
      <c r="H1" s="2"/>
      <c r="I1" s="2"/>
      <c r="J1" s="2"/>
    </row>
    <row r="2" spans="1:10" ht="15.75" customHeight="1" x14ac:dyDescent="0.25">
      <c r="A2" s="20"/>
      <c r="B2" s="21"/>
      <c r="C2" s="2"/>
      <c r="D2" s="2"/>
      <c r="E2" s="2"/>
      <c r="F2" s="2"/>
      <c r="G2" s="2"/>
      <c r="H2" s="2"/>
      <c r="I2" s="2"/>
      <c r="J2" s="2"/>
    </row>
    <row r="3" spans="1:10" ht="15.75" customHeight="1" x14ac:dyDescent="0.25">
      <c r="A3" s="20"/>
      <c r="B3" s="21"/>
      <c r="C3" s="2"/>
      <c r="D3" s="2"/>
      <c r="E3" s="2"/>
      <c r="F3" s="2"/>
      <c r="G3" s="2"/>
      <c r="H3" s="2"/>
      <c r="I3" s="2"/>
      <c r="J3" s="2"/>
    </row>
    <row r="4" spans="1:10" ht="15.75" customHeight="1" x14ac:dyDescent="0.25">
      <c r="A4" s="20"/>
      <c r="B4" s="21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20"/>
      <c r="B5" s="21"/>
      <c r="C5" s="2"/>
      <c r="D5" s="2"/>
      <c r="E5" s="2"/>
      <c r="F5" s="2"/>
      <c r="G5" s="2"/>
      <c r="H5" s="2"/>
      <c r="I5" s="2"/>
      <c r="J5" s="2"/>
    </row>
    <row r="6" spans="1:10" ht="15.75" customHeight="1" x14ac:dyDescent="0.25">
      <c r="A6" s="20"/>
      <c r="B6" s="21"/>
      <c r="C6" s="2"/>
      <c r="D6" s="2"/>
      <c r="E6" s="2"/>
      <c r="F6" s="2"/>
      <c r="G6" s="2"/>
      <c r="H6" s="2"/>
      <c r="I6" s="2"/>
      <c r="J6" s="2"/>
    </row>
    <row r="7" spans="1:10" ht="15.75" customHeight="1" x14ac:dyDescent="0.25">
      <c r="A7" s="20"/>
      <c r="B7" s="21"/>
      <c r="C7" s="2"/>
      <c r="D7" s="2"/>
      <c r="E7" s="2"/>
      <c r="F7" s="2"/>
      <c r="G7" s="2"/>
      <c r="H7" s="2"/>
      <c r="I7" s="2"/>
      <c r="J7" s="2"/>
    </row>
    <row r="8" spans="1:10" ht="15.75" customHeight="1" x14ac:dyDescent="0.25">
      <c r="A8" s="20"/>
      <c r="B8" s="21"/>
      <c r="C8" s="2"/>
      <c r="D8" s="2"/>
      <c r="E8" s="2"/>
      <c r="F8" s="2"/>
      <c r="G8" s="2"/>
      <c r="H8" s="2"/>
      <c r="I8" s="2"/>
      <c r="J8" s="2"/>
    </row>
    <row r="9" spans="1:10" ht="15.75" customHeight="1" x14ac:dyDescent="0.25">
      <c r="A9" s="20"/>
      <c r="B9" s="21"/>
      <c r="C9" s="2"/>
      <c r="D9" s="2"/>
      <c r="E9" s="2"/>
      <c r="F9" s="2"/>
      <c r="G9" s="2"/>
      <c r="H9" s="2"/>
      <c r="I9" s="2"/>
      <c r="J9" s="2"/>
    </row>
    <row r="10" spans="1:10" ht="15.75" customHeight="1" x14ac:dyDescent="0.25">
      <c r="A10" s="20"/>
      <c r="B10" s="21"/>
      <c r="C10" s="2"/>
      <c r="D10" s="2"/>
      <c r="E10" s="2"/>
      <c r="F10" s="2"/>
      <c r="G10" s="2"/>
      <c r="H10" s="2"/>
      <c r="I10" s="2"/>
      <c r="J10" s="2"/>
    </row>
    <row r="11" spans="1:10" ht="15.75" customHeight="1" x14ac:dyDescent="0.25">
      <c r="A11" s="20"/>
      <c r="B11" s="21"/>
      <c r="C11" s="2"/>
      <c r="D11" s="2"/>
      <c r="E11" s="2"/>
      <c r="F11" s="2"/>
      <c r="G11" s="2"/>
      <c r="H11" s="2"/>
      <c r="I11" s="2"/>
      <c r="J11" s="2"/>
    </row>
    <row r="12" spans="1:10" ht="15.75" customHeight="1" x14ac:dyDescent="0.25">
      <c r="A12" s="20"/>
      <c r="B12" s="21"/>
      <c r="C12" s="2"/>
      <c r="D12" s="2"/>
      <c r="E12" s="2"/>
      <c r="F12" s="2"/>
      <c r="G12" s="2"/>
      <c r="H12" s="2"/>
      <c r="I12" s="2"/>
      <c r="J12" s="2"/>
    </row>
    <row r="13" spans="1:10" ht="15.75" customHeight="1" x14ac:dyDescent="0.25">
      <c r="A13" s="20"/>
      <c r="B13" s="21"/>
      <c r="C13" s="2"/>
      <c r="D13" s="2"/>
      <c r="E13" s="2"/>
      <c r="F13" s="2"/>
      <c r="G13" s="2"/>
      <c r="H13" s="2"/>
      <c r="I13" s="2"/>
      <c r="J13" s="2"/>
    </row>
    <row r="14" spans="1:10" ht="15.75" customHeight="1" x14ac:dyDescent="0.25">
      <c r="A14" s="20"/>
      <c r="B14" s="21"/>
      <c r="C14" s="2"/>
      <c r="D14" s="2"/>
      <c r="E14" s="2"/>
      <c r="F14" s="2"/>
      <c r="G14" s="2"/>
      <c r="H14" s="2"/>
      <c r="I14" s="2"/>
      <c r="J14" s="2"/>
    </row>
    <row r="15" spans="1:10" ht="15.75" customHeight="1" x14ac:dyDescent="0.25">
      <c r="A15" s="20"/>
      <c r="B15" s="21"/>
      <c r="C15" s="2"/>
      <c r="D15" s="2"/>
      <c r="E15" s="2"/>
      <c r="F15" s="2"/>
      <c r="G15" s="2"/>
      <c r="H15" s="2"/>
      <c r="I15" s="2"/>
      <c r="J15" s="2"/>
    </row>
    <row r="16" spans="1:10" ht="15.75" customHeight="1" x14ac:dyDescent="0.25">
      <c r="A16" s="20"/>
      <c r="B16" s="21"/>
      <c r="C16" s="2"/>
      <c r="D16" s="2"/>
      <c r="E16" s="2"/>
      <c r="F16" s="2"/>
      <c r="G16" s="2"/>
      <c r="H16" s="2"/>
      <c r="I16" s="2"/>
      <c r="J16" s="2"/>
    </row>
    <row r="17" spans="1:10" ht="15.75" customHeight="1" x14ac:dyDescent="0.25">
      <c r="A17" s="20"/>
      <c r="B17" s="21"/>
      <c r="C17" s="2"/>
      <c r="D17" s="2"/>
      <c r="E17" s="2"/>
      <c r="F17" s="2"/>
      <c r="G17" s="2"/>
      <c r="H17" s="2"/>
      <c r="I17" s="2"/>
      <c r="J17" s="2"/>
    </row>
    <row r="18" spans="1:10" ht="15.75" customHeight="1" x14ac:dyDescent="0.25">
      <c r="A18" s="20"/>
      <c r="B18" s="21"/>
      <c r="C18" s="2"/>
      <c r="D18" s="2"/>
      <c r="E18" s="2"/>
      <c r="F18" s="2"/>
      <c r="G18" s="2"/>
      <c r="H18" s="2"/>
      <c r="I18" s="2"/>
      <c r="J18" s="2"/>
    </row>
    <row r="19" spans="1:10" ht="15.75" customHeight="1" x14ac:dyDescent="0.25">
      <c r="A19" s="20"/>
      <c r="B19" s="21"/>
      <c r="C19" s="2"/>
      <c r="D19" s="2"/>
      <c r="E19" s="2"/>
      <c r="F19" s="2"/>
      <c r="G19" s="2"/>
      <c r="H19" s="2"/>
      <c r="I19" s="2"/>
      <c r="J19" s="2"/>
    </row>
    <row r="20" spans="1:10" ht="15.75" customHeight="1" x14ac:dyDescent="0.25">
      <c r="A20" s="20"/>
      <c r="B20" s="21"/>
      <c r="C20" s="2"/>
      <c r="D20" s="2"/>
      <c r="E20" s="3"/>
      <c r="F20" s="2"/>
      <c r="G20" s="2"/>
      <c r="H20" s="2"/>
      <c r="I20" s="2"/>
      <c r="J20" s="2"/>
    </row>
    <row r="21" spans="1:10" ht="15.75" customHeight="1" x14ac:dyDescent="0.25">
      <c r="A21" s="20"/>
      <c r="B21" s="2"/>
      <c r="C21" s="2"/>
      <c r="D21" s="2"/>
      <c r="E21" s="3"/>
      <c r="F21" s="2"/>
      <c r="G21" s="2"/>
      <c r="H21" s="2"/>
      <c r="I21" s="2"/>
      <c r="J21" s="2"/>
    </row>
    <row r="22" spans="1:10" ht="15.75" customHeight="1" x14ac:dyDescent="0.25">
      <c r="A22" s="20"/>
      <c r="B22" s="2"/>
      <c r="C22" s="2"/>
      <c r="D22" s="2"/>
      <c r="E22" s="3"/>
      <c r="F22" s="2"/>
      <c r="G22" s="2"/>
      <c r="H22" s="2"/>
      <c r="I22" s="2"/>
      <c r="J22" s="2"/>
    </row>
    <row r="23" spans="1:10" ht="15.75" customHeight="1" x14ac:dyDescent="0.25">
      <c r="A23" s="20"/>
      <c r="B23" s="2"/>
      <c r="C23" s="2"/>
      <c r="D23" s="2"/>
      <c r="E23" s="3"/>
      <c r="F23" s="2"/>
      <c r="G23" s="2"/>
      <c r="H23" s="2"/>
      <c r="I23" s="2"/>
      <c r="J23" s="2"/>
    </row>
    <row r="24" spans="1:10" ht="15.75" customHeight="1" x14ac:dyDescent="0.25">
      <c r="A24" s="20"/>
      <c r="B24" s="2"/>
      <c r="C24" s="2"/>
      <c r="D24" s="2"/>
      <c r="E24" s="3"/>
      <c r="F24" s="2"/>
      <c r="G24" s="2"/>
      <c r="H24" s="2"/>
      <c r="I24" s="2"/>
      <c r="J24" s="2"/>
    </row>
    <row r="25" spans="1:10" ht="15.75" customHeight="1" x14ac:dyDescent="0.25">
      <c r="A25" s="20"/>
      <c r="B25" s="2"/>
      <c r="C25" s="2"/>
      <c r="D25" s="2"/>
      <c r="E25" s="3"/>
      <c r="F25" s="2"/>
      <c r="G25" s="2"/>
      <c r="H25" s="2"/>
      <c r="I25" s="2"/>
      <c r="J25" s="2"/>
    </row>
    <row r="26" spans="1:10" ht="15.75" customHeight="1" x14ac:dyDescent="0.25">
      <c r="A26" s="20"/>
      <c r="B26" s="2"/>
      <c r="C26" s="2"/>
      <c r="D26" s="2"/>
      <c r="E26" s="3"/>
      <c r="F26" s="2"/>
      <c r="G26" s="2"/>
      <c r="H26" s="2"/>
      <c r="I26" s="2"/>
      <c r="J26" s="2"/>
    </row>
    <row r="27" spans="1:10" ht="15.75" customHeight="1" x14ac:dyDescent="0.25">
      <c r="A27" s="20"/>
      <c r="B27" s="2"/>
      <c r="C27" s="2"/>
      <c r="D27" s="2"/>
      <c r="E27" s="3"/>
      <c r="F27" s="2"/>
      <c r="G27" s="2"/>
      <c r="H27" s="2"/>
      <c r="I27" s="2"/>
      <c r="J27" s="2"/>
    </row>
    <row r="28" spans="1:10" ht="15.75" customHeight="1" x14ac:dyDescent="0.25">
      <c r="A28" s="20"/>
      <c r="B28" s="2"/>
      <c r="C28" s="2"/>
      <c r="D28" s="2"/>
      <c r="E28" s="3"/>
      <c r="F28" s="2"/>
      <c r="G28" s="2"/>
      <c r="H28" s="2"/>
      <c r="I28" s="2"/>
      <c r="J28" s="2"/>
    </row>
    <row r="29" spans="1:10" ht="15.75" customHeight="1" x14ac:dyDescent="0.25">
      <c r="A29" s="20"/>
      <c r="B29" s="2"/>
      <c r="C29" s="2"/>
      <c r="D29" s="2"/>
      <c r="E29" s="3"/>
      <c r="F29" s="2"/>
      <c r="G29" s="2"/>
      <c r="H29" s="2"/>
      <c r="I29" s="2"/>
      <c r="J29" s="2"/>
    </row>
    <row r="30" spans="1:10" ht="15.75" customHeight="1" x14ac:dyDescent="0.25">
      <c r="A30" s="20"/>
      <c r="B30" s="2"/>
      <c r="C30" s="2"/>
      <c r="D30" s="2"/>
      <c r="E30" s="3"/>
      <c r="F30" s="2"/>
      <c r="G30" s="2"/>
      <c r="H30" s="2"/>
      <c r="I30" s="2"/>
      <c r="J30" s="2"/>
    </row>
    <row r="31" spans="1:10" ht="15.75" customHeight="1" x14ac:dyDescent="0.25">
      <c r="A31" s="20"/>
      <c r="B31" s="2"/>
      <c r="C31" s="2"/>
      <c r="D31" s="2"/>
      <c r="E31" s="3"/>
      <c r="F31" s="2"/>
      <c r="G31" s="2"/>
      <c r="H31" s="2"/>
      <c r="I31" s="2"/>
      <c r="J31" s="2"/>
    </row>
    <row r="32" spans="1:10" ht="15.75" customHeight="1" x14ac:dyDescent="0.25">
      <c r="A32" s="20"/>
      <c r="B32" s="2"/>
      <c r="C32" s="2"/>
      <c r="D32" s="2"/>
      <c r="E32" s="3"/>
      <c r="F32" s="2"/>
      <c r="G32" s="2"/>
      <c r="H32" s="2"/>
      <c r="I32" s="2"/>
      <c r="J32" s="2"/>
    </row>
    <row r="33" spans="1:10" ht="15.75" customHeight="1" x14ac:dyDescent="0.25">
      <c r="A33" s="20"/>
      <c r="B33" s="2"/>
      <c r="C33" s="2"/>
      <c r="D33" s="2"/>
      <c r="E33" s="3"/>
      <c r="F33" s="2"/>
      <c r="G33" s="2"/>
      <c r="H33" s="2"/>
      <c r="I33" s="2"/>
      <c r="J33" s="2"/>
    </row>
    <row r="34" spans="1:10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5021"/>
  <sheetViews>
    <sheetView workbookViewId="0"/>
  </sheetViews>
  <sheetFormatPr defaultColWidth="12.625" defaultRowHeight="15" customHeight="1" x14ac:dyDescent="0.2"/>
  <cols>
    <col min="2" max="2" width="69.625" customWidth="1"/>
    <col min="3" max="3" width="28.625" hidden="1" customWidth="1"/>
    <col min="4" max="4" width="9.125" customWidth="1"/>
  </cols>
  <sheetData>
    <row r="1" spans="1:5" x14ac:dyDescent="0.2">
      <c r="A1" s="22" t="str">
        <f ca="1">IFERROR(__xludf.DUMMYFUNCTION("IMPORTRANGE(""https://docs.google.com/spreadsheets/d/1w3CmpopiNBjnBji23i0UPZrVQKVJZHpJp7_QBVf5_Wc/edit?gid=1596304992#gid=1596304992"",""AKTUALNOŚCI!A2:F"")"),"")</f>
        <v/>
      </c>
      <c r="B1" s="23" t="str">
        <f ca="1">IFERROR(__xludf.DUMMYFUNCTION("""COMPUTED_VALUE"""),"WC - CARLO MINI TORNADO NF WHITE")</f>
        <v>WC - CARLO MINI TORNADO NF WHITE</v>
      </c>
      <c r="C1" s="23"/>
      <c r="D1" s="24">
        <f ca="1">IFERROR(__xludf.DUMMYFUNCTION("""COMPUTED_VALUE"""),679)</f>
        <v>679</v>
      </c>
      <c r="E1" s="25" t="str">
        <f ca="1">IFERROR(__xludf.DUMMYFUNCTION("""COMPUTED_VALUE"""),"REA-C1260")</f>
        <v>REA-C1260</v>
      </c>
    </row>
    <row r="2" spans="1:5" x14ac:dyDescent="0.2">
      <c r="A2" s="22"/>
      <c r="B2" s="23" t="str">
        <f ca="1">IFERROR(__xludf.DUMMYFUNCTION("""COMPUTED_VALUE"""),"KABINA CITY BRUSH NIKIEL 90X90")</f>
        <v>KABINA CITY BRUSH NIKIEL 90X90</v>
      </c>
      <c r="C2" s="23"/>
      <c r="D2" s="24">
        <f ca="1">IFERROR(__xludf.DUMMYFUNCTION("""COMPUTED_VALUE"""),979)</f>
        <v>979</v>
      </c>
      <c r="E2" s="25" t="str">
        <f ca="1">IFERROR(__xludf.DUMMYFUNCTION("""COMPUTED_VALUE"""),"REA-K6497")</f>
        <v>REA-K6497</v>
      </c>
    </row>
    <row r="3" spans="1:5" x14ac:dyDescent="0.2">
      <c r="A3" s="22"/>
      <c r="B3" s="23" t="str">
        <f ca="1">IFERROR(__xludf.DUMMYFUNCTION("""COMPUTED_VALUE"""),"KABINA CITY BRUSH NIKIEL 80X100")</f>
        <v>KABINA CITY BRUSH NIKIEL 80X100</v>
      </c>
      <c r="C3" s="23"/>
      <c r="D3" s="24">
        <f ca="1">IFERROR(__xludf.DUMMYFUNCTION("""COMPUTED_VALUE"""),999)</f>
        <v>999</v>
      </c>
      <c r="E3" s="25" t="str">
        <f ca="1">IFERROR(__xludf.DUMMYFUNCTION("""COMPUTED_VALUE"""),"REA-K6496")</f>
        <v>REA-K6496</v>
      </c>
    </row>
    <row r="4" spans="1:5" x14ac:dyDescent="0.2">
      <c r="A4" s="22"/>
      <c r="B4" s="23" t="str">
        <f ca="1">IFERROR(__xludf.DUMMYFUNCTION("""COMPUTED_VALUE"""),"STELAŻ PODTYNKOWY WC K011A-Q")</f>
        <v>STELAŻ PODTYNKOWY WC K011A-Q</v>
      </c>
      <c r="C4" s="23"/>
      <c r="D4" s="24">
        <f ca="1">IFERROR(__xludf.DUMMYFUNCTION("""COMPUTED_VALUE"""),650)</f>
        <v>650</v>
      </c>
      <c r="E4" s="25" t="str">
        <f ca="1">IFERROR(__xludf.DUMMYFUNCTION("""COMPUTED_VALUE"""),"REA-E0054")</f>
        <v>REA-E0054</v>
      </c>
    </row>
    <row r="5" spans="1:5" x14ac:dyDescent="0.2">
      <c r="A5" s="22"/>
      <c r="B5" s="23" t="str">
        <f ca="1">IFERROR(__xludf.DUMMYFUNCTION("""COMPUTED_VALUE"""),"PRZYCISK DO STELAŻA PODTYNKOWEGO T STEEL BRUSH")</f>
        <v>PRZYCISK DO STELAŻA PODTYNKOWEGO T STEEL BRUSH</v>
      </c>
      <c r="C5" s="23"/>
      <c r="D5" s="24">
        <f ca="1">IFERROR(__xludf.DUMMYFUNCTION("""COMPUTED_VALUE"""),199)</f>
        <v>199</v>
      </c>
      <c r="E5" s="25" t="str">
        <f ca="1">IFERROR(__xludf.DUMMYFUNCTION("""COMPUTED_VALUE"""),"REA-E0057")</f>
        <v>REA-E0057</v>
      </c>
    </row>
    <row r="6" spans="1:5" x14ac:dyDescent="0.2">
      <c r="A6" s="22"/>
      <c r="B6" s="23" t="str">
        <f ca="1">IFERROR(__xludf.DUMMYFUNCTION("""COMPUTED_VALUE"""),"PRZYCISK DO STELAŻA PODTYNKOWEGO T STEEL BLACK")</f>
        <v>PRZYCISK DO STELAŻA PODTYNKOWEGO T STEEL BLACK</v>
      </c>
      <c r="C6" s="23"/>
      <c r="D6" s="24">
        <f ca="1">IFERROR(__xludf.DUMMYFUNCTION("""COMPUTED_VALUE"""),199)</f>
        <v>199</v>
      </c>
      <c r="E6" s="25" t="str">
        <f ca="1">IFERROR(__xludf.DUMMYFUNCTION("""COMPUTED_VALUE"""),"REA-E0056")</f>
        <v>REA-E0056</v>
      </c>
    </row>
    <row r="7" spans="1:5" x14ac:dyDescent="0.2">
      <c r="A7" s="22"/>
      <c r="B7" s="23" t="str">
        <f ca="1">IFERROR(__xludf.DUMMYFUNCTION("""COMPUTED_VALUE"""),"PRZYCISK DO STELAŻA PODTYNKOWEG T STEEL BRUSH GOLD")</f>
        <v>PRZYCISK DO STELAŻA PODTYNKOWEG T STEEL BRUSH GOLD</v>
      </c>
      <c r="C7" s="23"/>
      <c r="D7" s="24">
        <f ca="1">IFERROR(__xludf.DUMMYFUNCTION("""COMPUTED_VALUE"""),199)</f>
        <v>199</v>
      </c>
      <c r="E7" s="25" t="str">
        <f ca="1">IFERROR(__xludf.DUMMYFUNCTION("""COMPUTED_VALUE"""),"REA-E0055")</f>
        <v>REA-E0055</v>
      </c>
    </row>
    <row r="8" spans="1:5" x14ac:dyDescent="0.2">
      <c r="A8" s="22"/>
      <c r="B8" s="23" t="str">
        <f ca="1">IFERROR(__xludf.DUMMYFUNCTION("""COMPUTED_VALUE"""),"PRZYCISK DO STELAŻA PODTYNKO T STEEL BRUSH COPPPER")</f>
        <v>PRZYCISK DO STELAŻA PODTYNKO T STEEL BRUSH COPPPER</v>
      </c>
      <c r="C8" s="23"/>
      <c r="D8" s="24">
        <f ca="1">IFERROR(__xludf.DUMMYFUNCTION("""COMPUTED_VALUE"""),199)</f>
        <v>199</v>
      </c>
      <c r="E8" s="25" t="str">
        <f ca="1">IFERROR(__xludf.DUMMYFUNCTION("""COMPUTED_VALUE"""),"REA-E0053")</f>
        <v>REA-E0053</v>
      </c>
    </row>
    <row r="9" spans="1:5" x14ac:dyDescent="0.2">
      <c r="A9" s="22"/>
      <c r="B9" s="23" t="str">
        <f ca="1">IFERROR(__xludf.DUMMYFUNCTION("""COMPUTED_VALUE"""),"PRZYCISK DO STELAŻA PODTYNKOWEGO T GLASS WHITE")</f>
        <v>PRZYCISK DO STELAŻA PODTYNKOWEGO T GLASS WHITE</v>
      </c>
      <c r="C9" s="23"/>
      <c r="D9" s="24">
        <f ca="1">IFERROR(__xludf.DUMMYFUNCTION("""COMPUTED_VALUE"""),149)</f>
        <v>149</v>
      </c>
      <c r="E9" s="25" t="str">
        <f ca="1">IFERROR(__xludf.DUMMYFUNCTION("""COMPUTED_VALUE"""),"REA-E0052")</f>
        <v>REA-E0052</v>
      </c>
    </row>
    <row r="10" spans="1:5" x14ac:dyDescent="0.2">
      <c r="A10" s="22"/>
      <c r="B10" s="23" t="str">
        <f ca="1">IFERROR(__xludf.DUMMYFUNCTION("""COMPUTED_VALUE"""),"PRZYCISK DO STELAŻA PODTYNKOWEGO T GLASS BLACK")</f>
        <v>PRZYCISK DO STELAŻA PODTYNKOWEGO T GLASS BLACK</v>
      </c>
      <c r="C10" s="23"/>
      <c r="D10" s="24">
        <f ca="1">IFERROR(__xludf.DUMMYFUNCTION("""COMPUTED_VALUE"""),149)</f>
        <v>149</v>
      </c>
      <c r="E10" s="25" t="str">
        <f ca="1">IFERROR(__xludf.DUMMYFUNCTION("""COMPUTED_VALUE"""),"REA-E0051")</f>
        <v>REA-E0051</v>
      </c>
    </row>
    <row r="11" spans="1:5" x14ac:dyDescent="0.2">
      <c r="A11" s="22"/>
      <c r="B11" s="23" t="str">
        <f ca="1">IFERROR(__xludf.DUMMYFUNCTION("""COMPUTED_VALUE"""),"LUSTRO LED HZJ 90CM")</f>
        <v>LUSTRO LED HZJ 90CM</v>
      </c>
      <c r="C11" s="23"/>
      <c r="D11" s="24">
        <f ca="1">IFERROR(__xludf.DUMMYFUNCTION("""COMPUTED_VALUE"""),329)</f>
        <v>329</v>
      </c>
      <c r="E11" s="25" t="str">
        <f ca="1">IFERROR(__xludf.DUMMYFUNCTION("""COMPUTED_VALUE"""),"HOM-02822")</f>
        <v>HOM-02822</v>
      </c>
    </row>
    <row r="12" spans="1:5" x14ac:dyDescent="0.2">
      <c r="A12" s="22"/>
      <c r="B12" s="23" t="str">
        <f ca="1">IFERROR(__xludf.DUMMYFUNCTION("""COMPUTED_VALUE"""),"LUSTRO LED HZJ 80CM")</f>
        <v>LUSTRO LED HZJ 80CM</v>
      </c>
      <c r="C12" s="23"/>
      <c r="D12" s="24">
        <f ca="1">IFERROR(__xludf.DUMMYFUNCTION("""COMPUTED_VALUE"""),299)</f>
        <v>299</v>
      </c>
      <c r="E12" s="25" t="str">
        <f ca="1">IFERROR(__xludf.DUMMYFUNCTION("""COMPUTED_VALUE"""),"HOM-02801")</f>
        <v>HOM-02801</v>
      </c>
    </row>
    <row r="13" spans="1:5" x14ac:dyDescent="0.2">
      <c r="A13" s="22"/>
      <c r="B13" s="23" t="str">
        <f ca="1">IFERROR(__xludf.DUMMYFUNCTION("""COMPUTED_VALUE"""),"LUSTRO LED HZJ 70CM")</f>
        <v>LUSTRO LED HZJ 70CM</v>
      </c>
      <c r="C13" s="23"/>
      <c r="D13" s="24">
        <f ca="1">IFERROR(__xludf.DUMMYFUNCTION("""COMPUTED_VALUE"""),279)</f>
        <v>279</v>
      </c>
      <c r="E13" s="25" t="str">
        <f ca="1">IFERROR(__xludf.DUMMYFUNCTION("""COMPUTED_VALUE"""),"HOM-02827")</f>
        <v>HOM-02827</v>
      </c>
    </row>
    <row r="14" spans="1:5" x14ac:dyDescent="0.2">
      <c r="A14" s="22"/>
      <c r="B14" s="23" t="str">
        <f ca="1">IFERROR(__xludf.DUMMYFUNCTION("""COMPUTED_VALUE"""),"LUSTRO LED HZJ 60CM")</f>
        <v>LUSTRO LED HZJ 60CM</v>
      </c>
      <c r="C14" s="23"/>
      <c r="D14" s="24">
        <f ca="1">IFERROR(__xludf.DUMMYFUNCTION("""COMPUTED_VALUE"""),259)</f>
        <v>259</v>
      </c>
      <c r="E14" s="25" t="str">
        <f ca="1">IFERROR(__xludf.DUMMYFUNCTION("""COMPUTED_VALUE"""),"HOM-02826")</f>
        <v>HOM-02826</v>
      </c>
    </row>
    <row r="15" spans="1:5" x14ac:dyDescent="0.2">
      <c r="A15" s="22"/>
      <c r="B15" s="23" t="str">
        <f ca="1">IFERROR(__xludf.DUMMYFUNCTION("""COMPUTED_VALUE"""),"LUSTRO LED FFJ 90CM")</f>
        <v>LUSTRO LED FFJ 90CM</v>
      </c>
      <c r="C15" s="23"/>
      <c r="D15" s="24">
        <f ca="1">IFERROR(__xludf.DUMMYFUNCTION("""COMPUTED_VALUE"""),359)</f>
        <v>359</v>
      </c>
      <c r="E15" s="25" t="str">
        <f ca="1">IFERROR(__xludf.DUMMYFUNCTION("""COMPUTED_VALUE"""),"HOM-04400")</f>
        <v>HOM-04400</v>
      </c>
    </row>
    <row r="16" spans="1:5" x14ac:dyDescent="0.2">
      <c r="A16" s="22">
        <f ca="1">IFERROR(__xludf.DUMMYFUNCTION("""COMPUTED_VALUE"""),45729)</f>
        <v>45729</v>
      </c>
      <c r="B16" s="23" t="str">
        <f ca="1">IFERROR(__xludf.DUMMYFUNCTION("""COMPUTED_VALUE"""),"ZESTAW NATRYSKOWY AVALON MIEDŹ SZCZOTKOWANA")</f>
        <v>ZESTAW NATRYSKOWY AVALON MIEDŹ SZCZOTKOWANA</v>
      </c>
      <c r="C16" s="23"/>
      <c r="D16" s="24">
        <f ca="1">IFERROR(__xludf.DUMMYFUNCTION("""COMPUTED_VALUE"""),999)</f>
        <v>999</v>
      </c>
      <c r="E16" s="25" t="str">
        <f ca="1">IFERROR(__xludf.DUMMYFUNCTION("""COMPUTED_VALUE"""),"REA-P2418")</f>
        <v>REA-P2418</v>
      </c>
    </row>
    <row r="17" spans="1:5" x14ac:dyDescent="0.2">
      <c r="A17" s="22">
        <f ca="1">IFERROR(__xludf.DUMMYFUNCTION("""COMPUTED_VALUE"""),45729)</f>
        <v>45729</v>
      </c>
      <c r="B17" s="23" t="str">
        <f ca="1">IFERROR(__xludf.DUMMYFUNCTION("""COMPUTED_VALUE"""),"BATERIA WANNOWA AVALON MIEDŹ SZCZOTKOWANA")</f>
        <v>BATERIA WANNOWA AVALON MIEDŹ SZCZOTKOWANA</v>
      </c>
      <c r="C17" s="23"/>
      <c r="D17" s="24">
        <f ca="1">IFERROR(__xludf.DUMMYFUNCTION("""COMPUTED_VALUE"""),419)</f>
        <v>419</v>
      </c>
      <c r="E17" s="25" t="str">
        <f ca="1">IFERROR(__xludf.DUMMYFUNCTION("""COMPUTED_VALUE"""),"REA-B0492")</f>
        <v>REA-B0492</v>
      </c>
    </row>
    <row r="18" spans="1:5" x14ac:dyDescent="0.2">
      <c r="A18" s="22">
        <f ca="1">IFERROR(__xludf.DUMMYFUNCTION("""COMPUTED_VALUE"""),45729)</f>
        <v>45729</v>
      </c>
      <c r="B18" s="23" t="str">
        <f ca="1">IFERROR(__xludf.DUMMYFUNCTION("""COMPUTED_VALUE"""),"BATERIA UMYWALKOWA AVALON MIEDŹ SZCZOTKOWAN WYSOKA")</f>
        <v>BATERIA UMYWALKOWA AVALON MIEDŹ SZCZOTKOWAN WYSOKA</v>
      </c>
      <c r="C18" s="23"/>
      <c r="D18" s="24">
        <f ca="1">IFERROR(__xludf.DUMMYFUNCTION("""COMPUTED_VALUE"""),399)</f>
        <v>399</v>
      </c>
      <c r="E18" s="25" t="str">
        <f ca="1">IFERROR(__xludf.DUMMYFUNCTION("""COMPUTED_VALUE"""),"REA-B0493")</f>
        <v>REA-B0493</v>
      </c>
    </row>
    <row r="19" spans="1:5" x14ac:dyDescent="0.2">
      <c r="A19" s="22">
        <f ca="1">IFERROR(__xludf.DUMMYFUNCTION("""COMPUTED_VALUE"""),45729)</f>
        <v>45729</v>
      </c>
      <c r="B19" s="23" t="str">
        <f ca="1">IFERROR(__xludf.DUMMYFUNCTION("""COMPUTED_VALUE"""),"BATERIA WANNOWA RIVEN ZŁOTA SZCZOTKOWANA")</f>
        <v>BATERIA WANNOWA RIVEN ZŁOTA SZCZOTKOWANA</v>
      </c>
      <c r="C19" s="23"/>
      <c r="D19" s="24">
        <f ca="1">IFERROR(__xludf.DUMMYFUNCTION("""COMPUTED_VALUE"""),569)</f>
        <v>569</v>
      </c>
      <c r="E19" s="25" t="str">
        <f ca="1">IFERROR(__xludf.DUMMYFUNCTION("""COMPUTED_VALUE"""),"REA-B0494")</f>
        <v>REA-B0494</v>
      </c>
    </row>
    <row r="20" spans="1:5" x14ac:dyDescent="0.2">
      <c r="A20" s="22">
        <f ca="1">IFERROR(__xludf.DUMMYFUNCTION("""COMPUTED_VALUE"""),45729)</f>
        <v>45729</v>
      </c>
      <c r="B20" s="23" t="str">
        <f ca="1">IFERROR(__xludf.DUMMYFUNCTION("""COMPUTED_VALUE"""),"BATERIA KUCHENNA CASTOR BLACK L.GOLD")</f>
        <v>BATERIA KUCHENNA CASTOR BLACK L.GOLD</v>
      </c>
      <c r="C20" s="23"/>
      <c r="D20" s="24">
        <f ca="1">IFERROR(__xludf.DUMMYFUNCTION("""COMPUTED_VALUE"""),599)</f>
        <v>599</v>
      </c>
      <c r="E20" s="25" t="str">
        <f ca="1">IFERROR(__xludf.DUMMYFUNCTION("""COMPUTED_VALUE"""),"REA-B6936")</f>
        <v>REA-B6936</v>
      </c>
    </row>
    <row r="21" spans="1:5" x14ac:dyDescent="0.2">
      <c r="A21" s="22">
        <f ca="1">IFERROR(__xludf.DUMMYFUNCTION("""COMPUTED_VALUE"""),45729)</f>
        <v>45729</v>
      </c>
      <c r="B21" s="23" t="str">
        <f ca="1">IFERROR(__xludf.DUMMYFUNCTION("""COMPUTED_VALUE"""),"ZESTAW NATRYSKOWY BLISS BLACK")</f>
        <v>ZESTAW NATRYSKOWY BLISS BLACK</v>
      </c>
      <c r="C21" s="23"/>
      <c r="D21" s="24">
        <f ca="1">IFERROR(__xludf.DUMMYFUNCTION("""COMPUTED_VALUE"""),619)</f>
        <v>619</v>
      </c>
      <c r="E21" s="25" t="str">
        <f ca="1">IFERROR(__xludf.DUMMYFUNCTION("""COMPUTED_VALUE"""),"REA-P8804")</f>
        <v>REA-P8804</v>
      </c>
    </row>
    <row r="22" spans="1:5" x14ac:dyDescent="0.2">
      <c r="A22" s="22">
        <f ca="1">IFERROR(__xludf.DUMMYFUNCTION("""COMPUTED_VALUE"""),45729)</f>
        <v>45729</v>
      </c>
      <c r="B22" s="23" t="str">
        <f ca="1">IFERROR(__xludf.DUMMYFUNCTION("""COMPUTED_VALUE"""),"ZESTAW NATRYSKOWY TOM ZŁOTY SZCZOTKOWANY")</f>
        <v>ZESTAW NATRYSKOWY TOM ZŁOTY SZCZOTKOWANY</v>
      </c>
      <c r="C22" s="23"/>
      <c r="D22" s="24">
        <f ca="1">IFERROR(__xludf.DUMMYFUNCTION("""COMPUTED_VALUE"""),839)</f>
        <v>839</v>
      </c>
      <c r="E22" s="25" t="str">
        <f ca="1">IFERROR(__xludf.DUMMYFUNCTION("""COMPUTED_VALUE"""),"REA-P5004")</f>
        <v>REA-P5004</v>
      </c>
    </row>
    <row r="23" spans="1:5" x14ac:dyDescent="0.2">
      <c r="A23" s="22">
        <f ca="1">IFERROR(__xludf.DUMMYFUNCTION("""COMPUTED_VALUE"""),45729)</f>
        <v>45729</v>
      </c>
      <c r="B23" s="23" t="str">
        <f ca="1">IFERROR(__xludf.DUMMYFUNCTION("""COMPUTED_VALUE"""),"UMYWALKA ROSA-2 - NABLATOWA")</f>
        <v>UMYWALKA ROSA-2 - NABLATOWA</v>
      </c>
      <c r="C23" s="23"/>
      <c r="D23" s="24">
        <f ca="1">IFERROR(__xludf.DUMMYFUNCTION("""COMPUTED_VALUE"""),239)</f>
        <v>239</v>
      </c>
      <c r="E23" s="25" t="str">
        <f ca="1">IFERROR(__xludf.DUMMYFUNCTION("""COMPUTED_VALUE"""),"REA-U0160")</f>
        <v>REA-U0160</v>
      </c>
    </row>
    <row r="24" spans="1:5" x14ac:dyDescent="0.2">
      <c r="A24" s="22">
        <f ca="1">IFERROR(__xludf.DUMMYFUNCTION("""COMPUTED_VALUE"""),45729)</f>
        <v>45729</v>
      </c>
      <c r="B24" s="23" t="str">
        <f ca="1">IFERROR(__xludf.DUMMYFUNCTION("""COMPUTED_VALUE"""),"ZESTAW NATRYSKOWY AVALON CHROM")</f>
        <v>ZESTAW NATRYSKOWY AVALON CHROM</v>
      </c>
      <c r="C24" s="23"/>
      <c r="D24" s="24">
        <f ca="1">IFERROR(__xludf.DUMMYFUNCTION("""COMPUTED_VALUE"""),849)</f>
        <v>849</v>
      </c>
      <c r="E24" s="25" t="str">
        <f ca="1">IFERROR(__xludf.DUMMYFUNCTION("""COMPUTED_VALUE"""),"REA-P8699")</f>
        <v>REA-P8699</v>
      </c>
    </row>
    <row r="25" spans="1:5" x14ac:dyDescent="0.2">
      <c r="A25" s="22">
        <f ca="1">IFERROR(__xludf.DUMMYFUNCTION("""COMPUTED_VALUE"""),45729)</f>
        <v>45729</v>
      </c>
      <c r="B25" s="23" t="str">
        <f ca="1">IFERROR(__xludf.DUMMYFUNCTION("""COMPUTED_VALUE"""),"BATERIA WANNOWA AVALON CHROME")</f>
        <v>BATERIA WANNOWA AVALON CHROME</v>
      </c>
      <c r="C25" s="23"/>
      <c r="D25" s="24">
        <f ca="1">IFERROR(__xludf.DUMMYFUNCTION("""COMPUTED_VALUE"""),399)</f>
        <v>399</v>
      </c>
      <c r="E25" s="25" t="str">
        <f ca="1">IFERROR(__xludf.DUMMYFUNCTION("""COMPUTED_VALUE"""),"REA-B1156")</f>
        <v>REA-B1156</v>
      </c>
    </row>
    <row r="26" spans="1:5" x14ac:dyDescent="0.2">
      <c r="A26" s="22">
        <f ca="1">IFERROR(__xludf.DUMMYFUNCTION("""COMPUTED_VALUE"""),45729)</f>
        <v>45729</v>
      </c>
      <c r="B26" s="23" t="str">
        <f ca="1">IFERROR(__xludf.DUMMYFUNCTION("""COMPUTED_VALUE"""),"BATERIA UMYWALKOWA AVALON CHROM NISKA")</f>
        <v>BATERIA UMYWALKOWA AVALON CHROM NISKA</v>
      </c>
      <c r="C26" s="23"/>
      <c r="D26" s="24">
        <f ca="1">IFERROR(__xludf.DUMMYFUNCTION("""COMPUTED_VALUE"""),279)</f>
        <v>279</v>
      </c>
      <c r="E26" s="25" t="str">
        <f ca="1">IFERROR(__xludf.DUMMYFUNCTION("""COMPUTED_VALUE"""),"REA-B1178")</f>
        <v>REA-B1178</v>
      </c>
    </row>
    <row r="27" spans="1:5" x14ac:dyDescent="0.2">
      <c r="A27" s="22">
        <f ca="1">IFERROR(__xludf.DUMMYFUNCTION("""COMPUTED_VALUE"""),45723)</f>
        <v>45723</v>
      </c>
      <c r="B27" s="23" t="str">
        <f ca="1">IFERROR(__xludf.DUMMYFUNCTION("""COMPUTED_VALUE"""),"ZESTAW NATRYSKOWY AVALON TYTAN")</f>
        <v>ZESTAW NATRYSKOWY AVALON TYTAN</v>
      </c>
      <c r="C27" s="23"/>
      <c r="D27" s="24">
        <f ca="1">IFERROR(__xludf.DUMMYFUNCTION("""COMPUTED_VALUE"""),989)</f>
        <v>989</v>
      </c>
      <c r="E27" s="25" t="str">
        <f ca="1">IFERROR(__xludf.DUMMYFUNCTION("""COMPUTED_VALUE"""),"REA-P2401")</f>
        <v>REA-P2401</v>
      </c>
    </row>
    <row r="28" spans="1:5" x14ac:dyDescent="0.2">
      <c r="A28" s="22">
        <f ca="1">IFERROR(__xludf.DUMMYFUNCTION("""COMPUTED_VALUE"""),45723)</f>
        <v>45723</v>
      </c>
      <c r="B28" s="23" t="str">
        <f ca="1">IFERROR(__xludf.DUMMYFUNCTION("""COMPUTED_VALUE"""),"ZESTAW NATRYSKOWY AVALON ZŁOTY SZCZOTKOWANY")</f>
        <v>ZESTAW NATRYSKOWY AVALON ZŁOTY SZCZOTKOWANY</v>
      </c>
      <c r="C28" s="23"/>
      <c r="D28" s="24">
        <f ca="1">IFERROR(__xludf.DUMMYFUNCTION("""COMPUTED_VALUE"""),999)</f>
        <v>999</v>
      </c>
      <c r="E28" s="25" t="str">
        <f ca="1">IFERROR(__xludf.DUMMYFUNCTION("""COMPUTED_VALUE"""),"REA-P2400")</f>
        <v>REA-P2400</v>
      </c>
    </row>
    <row r="29" spans="1:5" x14ac:dyDescent="0.2">
      <c r="A29" s="22">
        <f ca="1">IFERROR(__xludf.DUMMYFUNCTION("""COMPUTED_VALUE"""),45723)</f>
        <v>45723</v>
      </c>
      <c r="B29" s="23" t="str">
        <f ca="1">IFERROR(__xludf.DUMMYFUNCTION("""COMPUTED_VALUE"""),"BATERIA WANNOWA AVALON TYTAN")</f>
        <v>BATERIA WANNOWA AVALON TYTAN</v>
      </c>
      <c r="C29" s="23"/>
      <c r="D29" s="24">
        <f ca="1">IFERROR(__xludf.DUMMYFUNCTION("""COMPUTED_VALUE"""),429)</f>
        <v>429</v>
      </c>
      <c r="E29" s="25" t="str">
        <f ca="1">IFERROR(__xludf.DUMMYFUNCTION("""COMPUTED_VALUE"""),"REA-B2706")</f>
        <v>REA-B2706</v>
      </c>
    </row>
    <row r="30" spans="1:5" x14ac:dyDescent="0.2">
      <c r="A30" s="22">
        <f ca="1">IFERROR(__xludf.DUMMYFUNCTION("""COMPUTED_VALUE"""),45723)</f>
        <v>45723</v>
      </c>
      <c r="B30" s="23" t="str">
        <f ca="1">IFERROR(__xludf.DUMMYFUNCTION("""COMPUTED_VALUE"""),"BATERIA UMYWALKOWA AVALON TYTAN WYSOKA")</f>
        <v>BATERIA UMYWALKOWA AVALON TYTAN WYSOKA</v>
      </c>
      <c r="C30" s="23"/>
      <c r="D30" s="24">
        <f ca="1">IFERROR(__xludf.DUMMYFUNCTION("""COMPUTED_VALUE"""),419)</f>
        <v>419</v>
      </c>
      <c r="E30" s="25" t="str">
        <f ca="1">IFERROR(__xludf.DUMMYFUNCTION("""COMPUTED_VALUE"""),"REA-B2704")</f>
        <v>REA-B2704</v>
      </c>
    </row>
    <row r="31" spans="1:5" x14ac:dyDescent="0.2">
      <c r="A31" s="22">
        <f ca="1">IFERROR(__xludf.DUMMYFUNCTION("""COMPUTED_VALUE"""),45723)</f>
        <v>45723</v>
      </c>
      <c r="B31" s="23" t="str">
        <f ca="1">IFERROR(__xludf.DUMMYFUNCTION("""COMPUTED_VALUE"""),"BATERIA UMYWALKOWA AVALON TYTAN NISKA")</f>
        <v>BATERIA UMYWALKOWA AVALON TYTAN NISKA</v>
      </c>
      <c r="C31" s="23"/>
      <c r="D31" s="24">
        <f ca="1">IFERROR(__xludf.DUMMYFUNCTION("""COMPUTED_VALUE"""),299)</f>
        <v>299</v>
      </c>
      <c r="E31" s="25" t="str">
        <f ca="1">IFERROR(__xludf.DUMMYFUNCTION("""COMPUTED_VALUE"""),"REA-B2702")</f>
        <v>REA-B2702</v>
      </c>
    </row>
    <row r="32" spans="1:5" x14ac:dyDescent="0.2">
      <c r="A32" s="22">
        <f ca="1">IFERROR(__xludf.DUMMYFUNCTION("""COMPUTED_VALUE"""),45723)</f>
        <v>45723</v>
      </c>
      <c r="B32" s="23" t="str">
        <f ca="1">IFERROR(__xludf.DUMMYFUNCTION("""COMPUTED_VALUE"""),"BATERIA UMYWALKOWA AVALON ZŁOTA SZCZOTKOWANA NISKA")</f>
        <v>BATERIA UMYWALKOWA AVALON ZŁOTA SZCZOTKOWANA NISKA</v>
      </c>
      <c r="C32" s="23"/>
      <c r="D32" s="24">
        <f ca="1">IFERROR(__xludf.DUMMYFUNCTION("""COMPUTED_VALUE"""),319)</f>
        <v>319</v>
      </c>
      <c r="E32" s="25" t="str">
        <f ca="1">IFERROR(__xludf.DUMMYFUNCTION("""COMPUTED_VALUE"""),"REA-B2703")</f>
        <v>REA-B2703</v>
      </c>
    </row>
    <row r="33" spans="1:5" x14ac:dyDescent="0.2">
      <c r="A33" s="22">
        <f ca="1">IFERROR(__xludf.DUMMYFUNCTION("""COMPUTED_VALUE"""),45723)</f>
        <v>45723</v>
      </c>
      <c r="B33" s="23" t="str">
        <f ca="1">IFERROR(__xludf.DUMMYFUNCTION("""COMPUTED_VALUE"""),"ZESTAW NATRYSKOWY ROB CZARNY TERMOSTAT")</f>
        <v>ZESTAW NATRYSKOWY ROB CZARNY TERMOSTAT</v>
      </c>
      <c r="C33" s="23"/>
      <c r="D33" s="24">
        <f ca="1">IFERROR(__xludf.DUMMYFUNCTION("""COMPUTED_VALUE"""),1019)</f>
        <v>1019</v>
      </c>
      <c r="E33" s="25" t="str">
        <f ca="1">IFERROR(__xludf.DUMMYFUNCTION("""COMPUTED_VALUE"""),"REA-P6627")</f>
        <v>REA-P6627</v>
      </c>
    </row>
    <row r="34" spans="1:5" x14ac:dyDescent="0.2">
      <c r="A34" s="22">
        <f ca="1">IFERROR(__xludf.DUMMYFUNCTION("""COMPUTED_VALUE"""),45723)</f>
        <v>45723</v>
      </c>
      <c r="B34" s="23" t="str">
        <f ca="1">IFERROR(__xludf.DUMMYFUNCTION("""COMPUTED_VALUE"""),"BATERIA KUCHENNA COLE ZŁOTY SZCZOTKOWANY ")</f>
        <v xml:space="preserve">BATERIA KUCHENNA COLE ZŁOTY SZCZOTKOWANY </v>
      </c>
      <c r="C34" s="23"/>
      <c r="D34" s="24">
        <f ca="1">IFERROR(__xludf.DUMMYFUNCTION("""COMPUTED_VALUE"""),299)</f>
        <v>299</v>
      </c>
      <c r="E34" s="25" t="str">
        <f ca="1">IFERROR(__xludf.DUMMYFUNCTION("""COMPUTED_VALUE"""),"REA-B2720")</f>
        <v>REA-B2720</v>
      </c>
    </row>
    <row r="35" spans="1:5" x14ac:dyDescent="0.2">
      <c r="A35" s="22">
        <f ca="1">IFERROR(__xludf.DUMMYFUNCTION("""COMPUTED_VALUE"""),45723)</f>
        <v>45723</v>
      </c>
      <c r="B35" s="23" t="str">
        <f ca="1">IFERROR(__xludf.DUMMYFUNCTION("""COMPUTED_VALUE"""),"BATERIA WANNOWA VERSO GOLD SZCZOTKOWANA ")</f>
        <v xml:space="preserve">BATERIA WANNOWA VERSO GOLD SZCZOTKOWANA </v>
      </c>
      <c r="C35" s="23"/>
      <c r="D35" s="24">
        <f ca="1">IFERROR(__xludf.DUMMYFUNCTION("""COMPUTED_VALUE"""),519)</f>
        <v>519</v>
      </c>
      <c r="E35" s="25" t="str">
        <f ca="1">IFERROR(__xludf.DUMMYFUNCTION("""COMPUTED_VALUE"""),"REA-B6565")</f>
        <v>REA-B6565</v>
      </c>
    </row>
    <row r="36" spans="1:5" x14ac:dyDescent="0.2">
      <c r="A36" s="22">
        <f ca="1">IFERROR(__xludf.DUMMYFUNCTION("""COMPUTED_VALUE"""),44344)</f>
        <v>44344</v>
      </c>
      <c r="B36" s="23" t="str">
        <f ca="1">IFERROR(__xludf.DUMMYFUNCTION("""COMPUTED_VALUE"""),"ŚCIĄGACZKA YZ-G04 GOLD")</f>
        <v>ŚCIĄGACZKA YZ-G04 GOLD</v>
      </c>
      <c r="C36" s="23"/>
      <c r="D36" s="24">
        <f ca="1">IFERROR(__xludf.DUMMYFUNCTION("""COMPUTED_VALUE"""),99)</f>
        <v>99</v>
      </c>
      <c r="E36" s="25" t="str">
        <f ca="1">IFERROR(__xludf.DUMMYFUNCTION("""COMPUTED_VALUE"""),"REA-72000")</f>
        <v>REA-72000</v>
      </c>
    </row>
    <row r="37" spans="1:5" x14ac:dyDescent="0.2">
      <c r="A37" s="22"/>
      <c r="B37" s="23" t="str">
        <f ca="1">IFERROR(__xludf.DUMMYFUNCTION("""COMPUTED_VALUE"""),"BATERIA BIDETOWA LOOP L.GOLD SZCZOTKOWANA")</f>
        <v>BATERIA BIDETOWA LOOP L.GOLD SZCZOTKOWANA</v>
      </c>
      <c r="C37" s="23"/>
      <c r="D37" s="24">
        <f ca="1">IFERROR(__xludf.DUMMYFUNCTION("""COMPUTED_VALUE"""),449)</f>
        <v>449</v>
      </c>
      <c r="E37" s="25" t="str">
        <f ca="1">IFERROR(__xludf.DUMMYFUNCTION("""COMPUTED_VALUE"""),"REA-B6311")</f>
        <v>REA-B6311</v>
      </c>
    </row>
    <row r="38" spans="1:5" x14ac:dyDescent="0.2">
      <c r="A38" s="22"/>
      <c r="B38" s="23" t="str">
        <f ca="1">IFERROR(__xludf.DUMMYFUNCTION("""COMPUTED_VALUE"""),"ZESTAW NATRYSKOWY ROB NIKIEL SZCZOTKOWANY TERMOSTA")</f>
        <v>ZESTAW NATRYSKOWY ROB NIKIEL SZCZOTKOWANY TERMOSTA</v>
      </c>
      <c r="C38" s="23"/>
      <c r="D38" s="24">
        <f ca="1">IFERROR(__xludf.DUMMYFUNCTION("""COMPUTED_VALUE"""),1159)</f>
        <v>1159</v>
      </c>
      <c r="E38" s="25" t="str">
        <f ca="1">IFERROR(__xludf.DUMMYFUNCTION("""COMPUTED_VALUE"""),"REA-P6624")</f>
        <v>REA-P6624</v>
      </c>
    </row>
    <row r="39" spans="1:5" x14ac:dyDescent="0.2">
      <c r="A39" s="22"/>
      <c r="B39" s="23" t="str">
        <f ca="1">IFERROR(__xludf.DUMMYFUNCTION("""COMPUTED_VALUE"""),"ZESTAW NATRYSKOWY ROB ZŁOTY TERMOSTAT")</f>
        <v>ZESTAW NATRYSKOWY ROB ZŁOTY TERMOSTAT</v>
      </c>
      <c r="C39" s="23"/>
      <c r="D39" s="24">
        <f ca="1">IFERROR(__xludf.DUMMYFUNCTION("""COMPUTED_VALUE"""),1099)</f>
        <v>1099</v>
      </c>
      <c r="E39" s="25" t="str">
        <f ca="1">IFERROR(__xludf.DUMMYFUNCTION("""COMPUTED_VALUE"""),"REA-P6625")</f>
        <v>REA-P6625</v>
      </c>
    </row>
    <row r="40" spans="1:5" x14ac:dyDescent="0.2">
      <c r="A40" s="22"/>
      <c r="B40" s="23" t="str">
        <f ca="1">IFERROR(__xludf.DUMMYFUNCTION("""COMPUTED_VALUE"""),"ZESTAW NATRYSKOWY ROB ZŁOTY SZCZOTKOWANY TERMOSTAT")</f>
        <v>ZESTAW NATRYSKOWY ROB ZŁOTY SZCZOTKOWANY TERMOSTAT</v>
      </c>
      <c r="C40" s="23"/>
      <c r="D40" s="24">
        <f ca="1">IFERROR(__xludf.DUMMYFUNCTION("""COMPUTED_VALUE"""),1199)</f>
        <v>1199</v>
      </c>
      <c r="E40" s="25" t="str">
        <f ca="1">IFERROR(__xludf.DUMMYFUNCTION("""COMPUTED_VALUE"""),"REA-P6623")</f>
        <v>REA-P6623</v>
      </c>
    </row>
    <row r="41" spans="1:5" x14ac:dyDescent="0.2">
      <c r="A41" s="22"/>
      <c r="B41" s="23" t="str">
        <f ca="1">IFERROR(__xludf.DUMMYFUNCTION("""COMPUTED_VALUE"""),"BATERIA UMYWALKOWA LUNGIS TYTAN WYSOKA")</f>
        <v>BATERIA UMYWALKOWA LUNGIS TYTAN WYSOKA</v>
      </c>
      <c r="C41" s="23"/>
      <c r="D41" s="24">
        <f ca="1">IFERROR(__xludf.DUMMYFUNCTION("""COMPUTED_VALUE"""),299)</f>
        <v>299</v>
      </c>
      <c r="E41" s="25" t="str">
        <f ca="1">IFERROR(__xludf.DUMMYFUNCTION("""COMPUTED_VALUE"""),"REA-B6102")</f>
        <v>REA-B6102</v>
      </c>
    </row>
    <row r="42" spans="1:5" x14ac:dyDescent="0.2">
      <c r="A42" s="22"/>
      <c r="B42" s="23" t="str">
        <f ca="1">IFERROR(__xludf.DUMMYFUNCTION("""COMPUTED_VALUE"""),"BATERIA PODŁOGOWA WANNOWA ORTIS L.GOLD")</f>
        <v>BATERIA PODŁOGOWA WANNOWA ORTIS L.GOLD</v>
      </c>
      <c r="C42" s="23"/>
      <c r="D42" s="24">
        <f ca="1">IFERROR(__xludf.DUMMYFUNCTION("""COMPUTED_VALUE"""),1099)</f>
        <v>1099</v>
      </c>
      <c r="E42" s="25" t="str">
        <f ca="1">IFERROR(__xludf.DUMMYFUNCTION("""COMPUTED_VALUE"""),"REA-B7430")</f>
        <v>REA-B7430</v>
      </c>
    </row>
    <row r="43" spans="1:5" x14ac:dyDescent="0.2">
      <c r="A43" s="22"/>
      <c r="B43" s="23" t="str">
        <f ca="1">IFERROR(__xludf.DUMMYFUNCTION("""COMPUTED_VALUE"""),"BATERIA BIDETOWA FENIX CHROME")</f>
        <v>BATERIA BIDETOWA FENIX CHROME</v>
      </c>
      <c r="C43" s="23"/>
      <c r="D43" s="24">
        <f ca="1">IFERROR(__xludf.DUMMYFUNCTION("""COMPUTED_VALUE"""),399)</f>
        <v>399</v>
      </c>
      <c r="E43" s="25" t="str">
        <f ca="1">IFERROR(__xludf.DUMMYFUNCTION("""COMPUTED_VALUE"""),"REA-B5126")</f>
        <v>REA-B5126</v>
      </c>
    </row>
    <row r="44" spans="1:5" x14ac:dyDescent="0.2">
      <c r="A44" s="22"/>
      <c r="B44" s="23" t="str">
        <f ca="1">IFERROR(__xludf.DUMMYFUNCTION("""COMPUTED_VALUE"""),"ZESTAW NATRYSKOWO-WANNOWY LUNGO RÓŻOWE ZŁOTO TERMO")</f>
        <v>ZESTAW NATRYSKOWO-WANNOWY LUNGO RÓŻOWE ZŁOTO TERMO</v>
      </c>
      <c r="C44" s="23"/>
      <c r="D44" s="24">
        <f ca="1">IFERROR(__xludf.DUMMYFUNCTION("""COMPUTED_VALUE"""),1139)</f>
        <v>1139</v>
      </c>
      <c r="E44" s="25" t="str">
        <f ca="1">IFERROR(__xludf.DUMMYFUNCTION("""COMPUTED_VALUE"""),"REA-P6606")</f>
        <v>REA-P6606</v>
      </c>
    </row>
    <row r="45" spans="1:5" x14ac:dyDescent="0.2">
      <c r="A45" s="22"/>
      <c r="B45" s="23" t="str">
        <f ca="1">IFERROR(__xludf.DUMMYFUNCTION("""COMPUTED_VALUE"""),"ZESTAW NATRYSKOWO-WANNOWY Z WYLEWKĄ LUNGO BIAŁY")</f>
        <v>ZESTAW NATRYSKOWO-WANNOWY Z WYLEWKĄ LUNGO BIAŁY</v>
      </c>
      <c r="C45" s="23"/>
      <c r="D45" s="24">
        <f ca="1">IFERROR(__xludf.DUMMYFUNCTION("""COMPUTED_VALUE"""),999)</f>
        <v>999</v>
      </c>
      <c r="E45" s="25" t="str">
        <f ca="1">IFERROR(__xludf.DUMMYFUNCTION("""COMPUTED_VALUE"""),"REA-P6611")</f>
        <v>REA-P6611</v>
      </c>
    </row>
    <row r="46" spans="1:5" x14ac:dyDescent="0.2">
      <c r="A46" s="22"/>
      <c r="B46" s="23" t="str">
        <f ca="1">IFERROR(__xludf.DUMMYFUNCTION("""COMPUTED_VALUE"""),"BATERIA WANNOWA LUNGO ZŁOTA SZCZOTKOWANA")</f>
        <v>BATERIA WANNOWA LUNGO ZŁOTA SZCZOTKOWANA</v>
      </c>
      <c r="C46" s="23"/>
      <c r="D46" s="24">
        <f ca="1">IFERROR(__xludf.DUMMYFUNCTION("""COMPUTED_VALUE"""),699)</f>
        <v>699</v>
      </c>
      <c r="E46" s="25" t="str">
        <f ca="1">IFERROR(__xludf.DUMMYFUNCTION("""COMPUTED_VALUE"""),"REA-B8010")</f>
        <v>REA-B8010</v>
      </c>
    </row>
    <row r="47" spans="1:5" x14ac:dyDescent="0.2">
      <c r="A47" s="22"/>
      <c r="B47" s="23" t="str">
        <f ca="1">IFERROR(__xludf.DUMMYFUNCTION("""COMPUTED_VALUE"""),"BATERIA WANNOWA LUNGO CHROME")</f>
        <v>BATERIA WANNOWA LUNGO CHROME</v>
      </c>
      <c r="C47" s="23"/>
      <c r="D47" s="24">
        <f ca="1">IFERROR(__xludf.DUMMYFUNCTION("""COMPUTED_VALUE"""),539)</f>
        <v>539</v>
      </c>
      <c r="E47" s="25" t="str">
        <f ca="1">IFERROR(__xludf.DUMMYFUNCTION("""COMPUTED_VALUE"""),"REA-B6641")</f>
        <v>REA-B6641</v>
      </c>
    </row>
    <row r="48" spans="1:5" x14ac:dyDescent="0.2">
      <c r="A48" s="22"/>
      <c r="B48" s="23" t="str">
        <f ca="1">IFERROR(__xludf.DUMMYFUNCTION("""COMPUTED_VALUE"""),"BATERIA WANNOWA LUNGO ROSE GOLD")</f>
        <v>BATERIA WANNOWA LUNGO ROSE GOLD</v>
      </c>
      <c r="C48" s="23"/>
      <c r="D48" s="24">
        <f ca="1">IFERROR(__xludf.DUMMYFUNCTION("""COMPUTED_VALUE"""),669)</f>
        <v>669</v>
      </c>
      <c r="E48" s="25" t="str">
        <f ca="1">IFERROR(__xludf.DUMMYFUNCTION("""COMPUTED_VALUE"""),"REA-B6695")</f>
        <v>REA-B6695</v>
      </c>
    </row>
    <row r="49" spans="1:5" x14ac:dyDescent="0.2">
      <c r="A49" s="22"/>
      <c r="B49" s="23" t="str">
        <f ca="1">IFERROR(__xludf.DUMMYFUNCTION("""COMPUTED_VALUE"""),"BATERIA WANNOWA LUNGO BLACK")</f>
        <v>BATERIA WANNOWA LUNGO BLACK</v>
      </c>
      <c r="C49" s="23"/>
      <c r="D49" s="24">
        <f ca="1">IFERROR(__xludf.DUMMYFUNCTION("""COMPUTED_VALUE"""),599)</f>
        <v>599</v>
      </c>
      <c r="E49" s="25" t="str">
        <f ca="1">IFERROR(__xludf.DUMMYFUNCTION("""COMPUTED_VALUE"""),"REA-B6634")</f>
        <v>REA-B6634</v>
      </c>
    </row>
    <row r="50" spans="1:5" x14ac:dyDescent="0.2">
      <c r="A50" s="22">
        <f ca="1">IFERROR(__xludf.DUMMYFUNCTION("""COMPUTED_VALUE"""),45716)</f>
        <v>45716</v>
      </c>
      <c r="B50" s="23" t="str">
        <f ca="1">IFERROR(__xludf.DUMMYFUNCTION("""COMPUTED_VALUE"""),"WC - JULIO RIMLESS DUROPLAST/FLAT/ZM")</f>
        <v>WC - JULIO RIMLESS DUROPLAST/FLAT/ZM</v>
      </c>
      <c r="C50" s="23"/>
      <c r="D50" s="24">
        <f ca="1">IFERROR(__xludf.DUMMYFUNCTION("""COMPUTED_VALUE"""),629)</f>
        <v>629</v>
      </c>
      <c r="E50" s="25" t="str">
        <f ca="1">IFERROR(__xludf.DUMMYFUNCTION("""COMPUTED_VALUE"""),"REA-C4803")</f>
        <v>REA-C4803</v>
      </c>
    </row>
    <row r="51" spans="1:5" x14ac:dyDescent="0.2">
      <c r="A51" s="22">
        <f ca="1">IFERROR(__xludf.DUMMYFUNCTION("""COMPUTED_VALUE"""),45716)</f>
        <v>45716</v>
      </c>
      <c r="B51" s="23" t="str">
        <f ca="1">IFERROR(__xludf.DUMMYFUNCTION("""COMPUTED_VALUE"""),"WC - CARTER TORNADO")</f>
        <v>WC - CARTER TORNADO</v>
      </c>
      <c r="C51" s="23"/>
      <c r="D51" s="24">
        <f ca="1">IFERROR(__xludf.DUMMYFUNCTION("""COMPUTED_VALUE"""),599)</f>
        <v>599</v>
      </c>
      <c r="E51" s="25" t="str">
        <f ca="1">IFERROR(__xludf.DUMMYFUNCTION("""COMPUTED_VALUE"""),"REA-C4801")</f>
        <v>REA-C4801</v>
      </c>
    </row>
    <row r="52" spans="1:5" x14ac:dyDescent="0.2">
      <c r="A52" s="22">
        <f ca="1">IFERROR(__xludf.DUMMYFUNCTION("""COMPUTED_VALUE"""),45716)</f>
        <v>45716</v>
      </c>
      <c r="B52" s="23" t="str">
        <f ca="1">IFERROR(__xludf.DUMMYFUNCTION("""COMPUTED_VALUE"""),"WC - RICHARD")</f>
        <v>WC - RICHARD</v>
      </c>
      <c r="C52" s="23"/>
      <c r="D52" s="24">
        <f ca="1">IFERROR(__xludf.DUMMYFUNCTION("""COMPUTED_VALUE"""),619)</f>
        <v>619</v>
      </c>
      <c r="E52" s="25" t="str">
        <f ca="1">IFERROR(__xludf.DUMMYFUNCTION("""COMPUTED_VALUE"""),"REA-C4802")</f>
        <v>REA-C4802</v>
      </c>
    </row>
    <row r="53" spans="1:5" x14ac:dyDescent="0.2">
      <c r="A53" s="22">
        <f ca="1">IFERROR(__xludf.DUMMYFUNCTION("""COMPUTED_VALUE"""),45716)</f>
        <v>45716</v>
      </c>
      <c r="B53" s="23" t="str">
        <f ca="1">IFERROR(__xludf.DUMMYFUNCTION("""COMPUTED_VALUE"""),"UMYWALKA GRETA 75 - NABLATOWA")</f>
        <v>UMYWALKA GRETA 75 - NABLATOWA</v>
      </c>
      <c r="C53" s="23"/>
      <c r="D53" s="24">
        <f ca="1">IFERROR(__xludf.DUMMYFUNCTION("""COMPUTED_VALUE"""),499)</f>
        <v>499</v>
      </c>
      <c r="E53" s="25" t="str">
        <f ca="1">IFERROR(__xludf.DUMMYFUNCTION("""COMPUTED_VALUE"""),"REA-U1500")</f>
        <v>REA-U1500</v>
      </c>
    </row>
    <row r="54" spans="1:5" x14ac:dyDescent="0.2">
      <c r="A54" s="22">
        <f ca="1">IFERROR(__xludf.DUMMYFUNCTION("""COMPUTED_VALUE"""),45716)</f>
        <v>45716</v>
      </c>
      <c r="B54" s="23" t="str">
        <f ca="1">IFERROR(__xludf.DUMMYFUNCTION("""COMPUTED_VALUE"""),"UMYWALKA INGA - NABLATOWA")</f>
        <v>UMYWALKA INGA - NABLATOWA</v>
      </c>
      <c r="C54" s="23"/>
      <c r="D54" s="24">
        <f ca="1">IFERROR(__xludf.DUMMYFUNCTION("""COMPUTED_VALUE"""),329)</f>
        <v>329</v>
      </c>
      <c r="E54" s="25" t="str">
        <f ca="1">IFERROR(__xludf.DUMMYFUNCTION("""COMPUTED_VALUE"""),"REA-U1022")</f>
        <v>REA-U1022</v>
      </c>
    </row>
    <row r="55" spans="1:5" x14ac:dyDescent="0.2">
      <c r="A55" s="22">
        <f ca="1">IFERROR(__xludf.DUMMYFUNCTION("""COMPUTED_VALUE"""),45716)</f>
        <v>45716</v>
      </c>
      <c r="B55" s="23" t="str">
        <f ca="1">IFERROR(__xludf.DUMMYFUNCTION("""COMPUTED_VALUE"""),"UMYWALKA LINDA LAVA MATT - NABLATOWA")</f>
        <v>UMYWALKA LINDA LAVA MATT - NABLATOWA</v>
      </c>
      <c r="C55" s="23"/>
      <c r="D55" s="24">
        <f ca="1">IFERROR(__xludf.DUMMYFUNCTION("""COMPUTED_VALUE"""),359)</f>
        <v>359</v>
      </c>
      <c r="E55" s="25" t="str">
        <f ca="1">IFERROR(__xludf.DUMMYFUNCTION("""COMPUTED_VALUE"""),"REA-U8568")</f>
        <v>REA-U8568</v>
      </c>
    </row>
    <row r="56" spans="1:5" x14ac:dyDescent="0.2">
      <c r="A56" s="22">
        <f ca="1">IFERROR(__xludf.DUMMYFUNCTION("""COMPUTED_VALUE"""),45716)</f>
        <v>45716</v>
      </c>
      <c r="B56" s="23" t="str">
        <f ca="1">IFERROR(__xludf.DUMMYFUNCTION("""COMPUTED_VALUE"""),"UMYWALKA MARINA BLUE - NABLATOWA")</f>
        <v>UMYWALKA MARINA BLUE - NABLATOWA</v>
      </c>
      <c r="C56" s="23"/>
      <c r="D56" s="24">
        <f ca="1">IFERROR(__xludf.DUMMYFUNCTION("""COMPUTED_VALUE"""),579)</f>
        <v>579</v>
      </c>
      <c r="E56" s="25" t="str">
        <f ca="1">IFERROR(__xludf.DUMMYFUNCTION("""COMPUTED_VALUE"""),"REA-U3300")</f>
        <v>REA-U3300</v>
      </c>
    </row>
    <row r="57" spans="1:5" x14ac:dyDescent="0.2">
      <c r="A57" s="22">
        <f ca="1">IFERROR(__xludf.DUMMYFUNCTION("""COMPUTED_VALUE"""),45716)</f>
        <v>45716</v>
      </c>
      <c r="B57" s="23" t="str">
        <f ca="1">IFERROR(__xludf.DUMMYFUNCTION("""COMPUTED_VALUE"""),"UMYWALKA INGRID BLACK - NABLATOWA")</f>
        <v>UMYWALKA INGRID BLACK - NABLATOWA</v>
      </c>
      <c r="C57" s="23"/>
      <c r="D57" s="24">
        <f ca="1">IFERROR(__xludf.DUMMYFUNCTION("""COMPUTED_VALUE"""),629)</f>
        <v>629</v>
      </c>
      <c r="E57" s="25" t="str">
        <f ca="1">IFERROR(__xludf.DUMMYFUNCTION("""COMPUTED_VALUE"""),"REA-U6800")</f>
        <v>REA-U6800</v>
      </c>
    </row>
    <row r="58" spans="1:5" x14ac:dyDescent="0.2">
      <c r="A58" s="22">
        <f ca="1">IFERROR(__xludf.DUMMYFUNCTION("""COMPUTED_VALUE"""),45716)</f>
        <v>45716</v>
      </c>
      <c r="B58" s="23" t="str">
        <f ca="1">IFERROR(__xludf.DUMMYFUNCTION("""COMPUTED_VALUE"""),"UMYWALKA CRISTAL 39 GREY ")</f>
        <v xml:space="preserve">UMYWALKA CRISTAL 39 GREY </v>
      </c>
      <c r="C58" s="23"/>
      <c r="D58" s="24">
        <f ca="1">IFERROR(__xludf.DUMMYFUNCTION("""COMPUTED_VALUE"""),629)</f>
        <v>629</v>
      </c>
      <c r="E58" s="25" t="str">
        <f ca="1">IFERROR(__xludf.DUMMYFUNCTION("""COMPUTED_VALUE"""),"REA-U8880")</f>
        <v>REA-U8880</v>
      </c>
    </row>
    <row r="59" spans="1:5" x14ac:dyDescent="0.2">
      <c r="A59" s="22">
        <f ca="1">IFERROR(__xludf.DUMMYFUNCTION("""COMPUTED_VALUE"""),45716)</f>
        <v>45716</v>
      </c>
      <c r="B59" s="23" t="str">
        <f ca="1">IFERROR(__xludf.DUMMYFUNCTION("""COMPUTED_VALUE"""),"UMYWALKA CRISTAL 35 BLACK - NABLATOWA")</f>
        <v>UMYWALKA CRISTAL 35 BLACK - NABLATOWA</v>
      </c>
      <c r="C59" s="23"/>
      <c r="D59" s="24">
        <f ca="1">IFERROR(__xludf.DUMMYFUNCTION("""COMPUTED_VALUE"""),629)</f>
        <v>629</v>
      </c>
      <c r="E59" s="25" t="str">
        <f ca="1">IFERROR(__xludf.DUMMYFUNCTION("""COMPUTED_VALUE"""),"REA-U9671")</f>
        <v>REA-U9671</v>
      </c>
    </row>
    <row r="60" spans="1:5" x14ac:dyDescent="0.2">
      <c r="A60" s="22">
        <f ca="1">IFERROR(__xludf.DUMMYFUNCTION("""COMPUTED_VALUE"""),45716)</f>
        <v>45716</v>
      </c>
      <c r="B60" s="23" t="str">
        <f ca="1">IFERROR(__xludf.DUMMYFUNCTION("""COMPUTED_VALUE"""),"UMYWALKA CRISTAL 35 GREY - NABLATOWA")</f>
        <v>UMYWALKA CRISTAL 35 GREY - NABLATOWA</v>
      </c>
      <c r="C60" s="23"/>
      <c r="D60" s="24">
        <f ca="1">IFERROR(__xludf.DUMMYFUNCTION("""COMPUTED_VALUE"""),629)</f>
        <v>629</v>
      </c>
      <c r="E60" s="25" t="str">
        <f ca="1">IFERROR(__xludf.DUMMYFUNCTION("""COMPUTED_VALUE"""),"REA-U9615")</f>
        <v>REA-U9615</v>
      </c>
    </row>
    <row r="61" spans="1:5" x14ac:dyDescent="0.2">
      <c r="A61" s="22">
        <f ca="1">IFERROR(__xludf.DUMMYFUNCTION("""COMPUTED_VALUE"""),45716)</f>
        <v>45716</v>
      </c>
      <c r="B61" s="23" t="str">
        <f ca="1">IFERROR(__xludf.DUMMYFUNCTION("""COMPUTED_VALUE"""),"UMYWALKA WILMA RUSTIC - NABLATOWA")</f>
        <v>UMYWALKA WILMA RUSTIC - NABLATOWA</v>
      </c>
      <c r="C61" s="23"/>
      <c r="D61" s="24">
        <f ca="1">IFERROR(__xludf.DUMMYFUNCTION("""COMPUTED_VALUE"""),439)</f>
        <v>439</v>
      </c>
      <c r="E61" s="25" t="str">
        <f ca="1">IFERROR(__xludf.DUMMYFUNCTION("""COMPUTED_VALUE"""),"REA-U3305")</f>
        <v>REA-U3305</v>
      </c>
    </row>
    <row r="62" spans="1:5" x14ac:dyDescent="0.2">
      <c r="A62" s="22">
        <f ca="1">IFERROR(__xludf.DUMMYFUNCTION("""COMPUTED_VALUE"""),45716)</f>
        <v>45716</v>
      </c>
      <c r="B62" s="23" t="str">
        <f ca="1">IFERROR(__xludf.DUMMYFUNCTION("""COMPUTED_VALUE"""),"UMYWALKA ANYA - WOLNOSTOJĄCA")</f>
        <v>UMYWALKA ANYA - WOLNOSTOJĄCA</v>
      </c>
      <c r="C62" s="23"/>
      <c r="D62" s="24">
        <f ca="1">IFERROR(__xludf.DUMMYFUNCTION("""COMPUTED_VALUE"""),1299)</f>
        <v>1299</v>
      </c>
      <c r="E62" s="25" t="str">
        <f ca="1">IFERROR(__xludf.DUMMYFUNCTION("""COMPUTED_VALUE"""),"REA-U6503")</f>
        <v>REA-U6503</v>
      </c>
    </row>
    <row r="63" spans="1:5" x14ac:dyDescent="0.2">
      <c r="A63" s="22">
        <f ca="1">IFERROR(__xludf.DUMMYFUNCTION("""COMPUTED_VALUE"""),45716)</f>
        <v>45716</v>
      </c>
      <c r="B63" s="23" t="str">
        <f ca="1">IFERROR(__xludf.DUMMYFUNCTION("""COMPUTED_VALUE"""),"UMYWALKA QUEEN WHITE - NABLATOWA")</f>
        <v>UMYWALKA QUEEN WHITE - NABLATOWA</v>
      </c>
      <c r="C63" s="23"/>
      <c r="D63" s="24">
        <f ca="1">IFERROR(__xludf.DUMMYFUNCTION("""COMPUTED_VALUE"""),339)</f>
        <v>339</v>
      </c>
      <c r="E63" s="25" t="str">
        <f ca="1">IFERROR(__xludf.DUMMYFUNCTION("""COMPUTED_VALUE"""),"REA-U1223")</f>
        <v>REA-U1223</v>
      </c>
    </row>
    <row r="64" spans="1:5" x14ac:dyDescent="0.2">
      <c r="A64" s="22">
        <f ca="1">IFERROR(__xludf.DUMMYFUNCTION("""COMPUTED_VALUE"""),45716)</f>
        <v>45716</v>
      </c>
      <c r="B64" s="23" t="str">
        <f ca="1">IFERROR(__xludf.DUMMYFUNCTION("""COMPUTED_VALUE"""),"UMYWALKA VERONA")</f>
        <v>UMYWALKA VERONA</v>
      </c>
      <c r="C64" s="23"/>
      <c r="D64" s="24">
        <f ca="1">IFERROR(__xludf.DUMMYFUNCTION("""COMPUTED_VALUE"""),289)</f>
        <v>289</v>
      </c>
      <c r="E64" s="25" t="str">
        <f ca="1">IFERROR(__xludf.DUMMYFUNCTION("""COMPUTED_VALUE"""),"REA-U3325")</f>
        <v>REA-U3325</v>
      </c>
    </row>
    <row r="65" spans="1:5" x14ac:dyDescent="0.2">
      <c r="A65" s="22">
        <f ca="1">IFERROR(__xludf.DUMMYFUNCTION("""COMPUTED_VALUE"""),45716)</f>
        <v>45716</v>
      </c>
      <c r="B65" s="23" t="str">
        <f ca="1">IFERROR(__xludf.DUMMYFUNCTION("""COMPUTED_VALUE"""),"UMYWALKA AMELIA MARMO SHINY - NABLATOWA")</f>
        <v>UMYWALKA AMELIA MARMO SHINY - NABLATOWA</v>
      </c>
      <c r="C65" s="23"/>
      <c r="D65" s="24">
        <f ca="1">IFERROR(__xludf.DUMMYFUNCTION("""COMPUTED_VALUE"""),319)</f>
        <v>319</v>
      </c>
      <c r="E65" s="25" t="str">
        <f ca="1">IFERROR(__xludf.DUMMYFUNCTION("""COMPUTED_VALUE"""),"REA-U8001")</f>
        <v>REA-U8001</v>
      </c>
    </row>
    <row r="66" spans="1:5" x14ac:dyDescent="0.2">
      <c r="A66" s="22">
        <f ca="1">IFERROR(__xludf.DUMMYFUNCTION("""COMPUTED_VALUE"""),45709)</f>
        <v>45709</v>
      </c>
      <c r="B66" s="23" t="str">
        <f ca="1">IFERROR(__xludf.DUMMYFUNCTION("""COMPUTED_VALUE"""),"ZESTAW NATRYSKOWY LUCAS")</f>
        <v>ZESTAW NATRYSKOWY LUCAS</v>
      </c>
      <c r="C66" s="23"/>
      <c r="D66" s="24">
        <f ca="1">IFERROR(__xludf.DUMMYFUNCTION("""COMPUTED_VALUE"""),539)</f>
        <v>539</v>
      </c>
      <c r="E66" s="25" t="str">
        <f ca="1">IFERROR(__xludf.DUMMYFUNCTION("""COMPUTED_VALUE"""),"REA-P0221")</f>
        <v>REA-P0221</v>
      </c>
    </row>
    <row r="67" spans="1:5" x14ac:dyDescent="0.2">
      <c r="A67" s="22">
        <f ca="1">IFERROR(__xludf.DUMMYFUNCTION("""COMPUTED_VALUE"""),45709)</f>
        <v>45709</v>
      </c>
      <c r="B67" s="23" t="str">
        <f ca="1">IFERROR(__xludf.DUMMYFUNCTION("""COMPUTED_VALUE"""),"ZESTAW NATRYSKOWY VIGO")</f>
        <v>ZESTAW NATRYSKOWY VIGO</v>
      </c>
      <c r="C67" s="23"/>
      <c r="D67" s="24">
        <f ca="1">IFERROR(__xludf.DUMMYFUNCTION("""COMPUTED_VALUE"""),489)</f>
        <v>489</v>
      </c>
      <c r="E67" s="25" t="str">
        <f ca="1">IFERROR(__xludf.DUMMYFUNCTION("""COMPUTED_VALUE"""),"REA-P7001")</f>
        <v>REA-P7001</v>
      </c>
    </row>
    <row r="68" spans="1:5" x14ac:dyDescent="0.2">
      <c r="A68" s="22">
        <f ca="1">IFERROR(__xludf.DUMMYFUNCTION("""COMPUTED_VALUE"""),45709)</f>
        <v>45709</v>
      </c>
      <c r="B68" s="23" t="str">
        <f ca="1">IFERROR(__xludf.DUMMYFUNCTION("""COMPUTED_VALUE"""),"ZESTAW NATRYSKOWY JACK ZŁOTY SZCZOTKOWANY")</f>
        <v>ZESTAW NATRYSKOWY JACK ZŁOTY SZCZOTKOWANY</v>
      </c>
      <c r="C68" s="23"/>
      <c r="D68" s="24">
        <f ca="1">IFERROR(__xludf.DUMMYFUNCTION("""COMPUTED_VALUE"""),919)</f>
        <v>919</v>
      </c>
      <c r="E68" s="25" t="str">
        <f ca="1">IFERROR(__xludf.DUMMYFUNCTION("""COMPUTED_VALUE"""),"REA-P7050")</f>
        <v>REA-P7050</v>
      </c>
    </row>
    <row r="69" spans="1:5" x14ac:dyDescent="0.2">
      <c r="A69" s="22">
        <f ca="1">IFERROR(__xludf.DUMMYFUNCTION("""COMPUTED_VALUE"""),45709)</f>
        <v>45709</v>
      </c>
      <c r="B69" s="23" t="str">
        <f ca="1">IFERROR(__xludf.DUMMYFUNCTION("""COMPUTED_VALUE"""),"ZESTAW NATRYSKOWY LUIS CHROM")</f>
        <v>ZESTAW NATRYSKOWY LUIS CHROM</v>
      </c>
      <c r="C69" s="23"/>
      <c r="D69" s="24">
        <f ca="1">IFERROR(__xludf.DUMMYFUNCTION("""COMPUTED_VALUE"""),419)</f>
        <v>419</v>
      </c>
      <c r="E69" s="25" t="str">
        <f ca="1">IFERROR(__xludf.DUMMYFUNCTION("""COMPUTED_VALUE"""),"REA-P7007")</f>
        <v>REA-P7007</v>
      </c>
    </row>
    <row r="70" spans="1:5" x14ac:dyDescent="0.2">
      <c r="A70" s="22">
        <f ca="1">IFERROR(__xludf.DUMMYFUNCTION("""COMPUTED_VALUE"""),45707)</f>
        <v>45707</v>
      </c>
      <c r="B70" s="23" t="str">
        <f ca="1">IFERROR(__xludf.DUMMYFUNCTION("""COMPUTED_VALUE"""),"LUSTRO P11238 LED FOG 70x100cm")</f>
        <v>LUSTRO P11238 LED FOG 70x100cm</v>
      </c>
      <c r="C70" s="23"/>
      <c r="D70" s="24">
        <f ca="1">IFERROR(__xludf.DUMMYFUNCTION("""COMPUTED_VALUE"""),599)</f>
        <v>599</v>
      </c>
      <c r="E70" s="25" t="str">
        <f ca="1">IFERROR(__xludf.DUMMYFUNCTION("""COMPUTED_VALUE"""),"HOM-05516")</f>
        <v>HOM-05516</v>
      </c>
    </row>
    <row r="71" spans="1:5" x14ac:dyDescent="0.2">
      <c r="A71" s="22">
        <f ca="1">IFERROR(__xludf.DUMMYFUNCTION("""COMPUTED_VALUE"""),45707)</f>
        <v>45707</v>
      </c>
      <c r="B71" s="23" t="str">
        <f ca="1">IFERROR(__xludf.DUMMYFUNCTION("""COMPUTED_VALUE"""),"LUSTRO LED FFJ 80CM")</f>
        <v>LUSTRO LED FFJ 80CM</v>
      </c>
      <c r="C71" s="23"/>
      <c r="D71" s="24">
        <f ca="1">IFERROR(__xludf.DUMMYFUNCTION("""COMPUTED_VALUE"""),349)</f>
        <v>349</v>
      </c>
      <c r="E71" s="25" t="str">
        <f ca="1">IFERROR(__xludf.DUMMYFUNCTION("""COMPUTED_VALUE"""),"HOM-02824")</f>
        <v>HOM-02824</v>
      </c>
    </row>
    <row r="72" spans="1:5" x14ac:dyDescent="0.2">
      <c r="A72" s="22">
        <f ca="1">IFERROR(__xludf.DUMMYFUNCTION("""COMPUTED_VALUE"""),45707)</f>
        <v>45707</v>
      </c>
      <c r="B72" s="23" t="str">
        <f ca="1">IFERROR(__xludf.DUMMYFUNCTION("""COMPUTED_VALUE"""),"LUSTRO LED WWA 60X80CM")</f>
        <v>LUSTRO LED WWA 60X80CM</v>
      </c>
      <c r="C72" s="23"/>
      <c r="D72" s="24">
        <f ca="1">IFERROR(__xludf.DUMMYFUNCTION("""COMPUTED_VALUE"""),319)</f>
        <v>319</v>
      </c>
      <c r="E72" s="25" t="str">
        <f ca="1">IFERROR(__xludf.DUMMYFUNCTION("""COMPUTED_VALUE"""),"HOM-06503")</f>
        <v>HOM-06503</v>
      </c>
    </row>
    <row r="73" spans="1:5" x14ac:dyDescent="0.2">
      <c r="A73" s="22">
        <f ca="1">IFERROR(__xludf.DUMMYFUNCTION("""COMPUTED_VALUE"""),45688)</f>
        <v>45688</v>
      </c>
      <c r="B73" s="23" t="str">
        <f ca="1">IFERROR(__xludf.DUMMYFUNCTION("""COMPUTED_VALUE"""),"UMYWALKA KAMILA - WOLNOSTOJĄCA")</f>
        <v>UMYWALKA KAMILA - WOLNOSTOJĄCA</v>
      </c>
      <c r="C73" s="23"/>
      <c r="D73" s="24">
        <f ca="1">IFERROR(__xludf.DUMMYFUNCTION("""COMPUTED_VALUE"""),999)</f>
        <v>999</v>
      </c>
      <c r="E73" s="25" t="str">
        <f ca="1">IFERROR(__xludf.DUMMYFUNCTION("""COMPUTED_VALUE"""),"REA-U5633")</f>
        <v>REA-U5633</v>
      </c>
    </row>
    <row r="74" spans="1:5" x14ac:dyDescent="0.2">
      <c r="A74" s="22">
        <f ca="1">IFERROR(__xludf.DUMMYFUNCTION("""COMPUTED_VALUE"""),45688)</f>
        <v>45688</v>
      </c>
      <c r="B74" s="23" t="str">
        <f ca="1">IFERROR(__xludf.DUMMYFUNCTION("""COMPUTED_VALUE"""),"UMYWALKA INFINITY BLACK/GOLD - NABLATOWA")</f>
        <v>UMYWALKA INFINITY BLACK/GOLD - NABLATOWA</v>
      </c>
      <c r="C74" s="23"/>
      <c r="D74" s="24">
        <f ca="1">IFERROR(__xludf.DUMMYFUNCTION("""COMPUTED_VALUE"""),799)</f>
        <v>799</v>
      </c>
      <c r="E74" s="25" t="str">
        <f ca="1">IFERROR(__xludf.DUMMYFUNCTION("""COMPUTED_VALUE"""),"REA-U3402")</f>
        <v>REA-U3402</v>
      </c>
    </row>
    <row r="75" spans="1:5" x14ac:dyDescent="0.2">
      <c r="A75" s="22">
        <f ca="1">IFERROR(__xludf.DUMMYFUNCTION("""COMPUTED_VALUE"""),45688)</f>
        <v>45688</v>
      </c>
      <c r="B75" s="23" t="str">
        <f ca="1">IFERROR(__xludf.DUMMYFUNCTION("""COMPUTED_VALUE"""),"UMYWALKA INFINITY WHITE/GOLD - NABLATOWA")</f>
        <v>UMYWALKA INFINITY WHITE/GOLD - NABLATOWA</v>
      </c>
      <c r="C75" s="23"/>
      <c r="D75" s="24">
        <f ca="1">IFERROR(__xludf.DUMMYFUNCTION("""COMPUTED_VALUE"""),699)</f>
        <v>699</v>
      </c>
      <c r="E75" s="25" t="str">
        <f ca="1">IFERROR(__xludf.DUMMYFUNCTION("""COMPUTED_VALUE"""),"REA-U3400")</f>
        <v>REA-U3400</v>
      </c>
    </row>
    <row r="76" spans="1:5" x14ac:dyDescent="0.2">
      <c r="A76" s="22">
        <f ca="1">IFERROR(__xludf.DUMMYFUNCTION("""COMPUTED_VALUE"""),45688)</f>
        <v>45688</v>
      </c>
      <c r="B76" s="23" t="str">
        <f ca="1">IFERROR(__xludf.DUMMYFUNCTION("""COMPUTED_VALUE"""),"UMYWALKA DORA STONE - NABLATOWA")</f>
        <v>UMYWALKA DORA STONE - NABLATOWA</v>
      </c>
      <c r="C76" s="23"/>
      <c r="D76" s="24">
        <f ca="1">IFERROR(__xludf.DUMMYFUNCTION("""COMPUTED_VALUE"""),429)</f>
        <v>429</v>
      </c>
      <c r="E76" s="25" t="str">
        <f ca="1">IFERROR(__xludf.DUMMYFUNCTION("""COMPUTED_VALUE"""),"REA-U5066")</f>
        <v>REA-U5066</v>
      </c>
    </row>
    <row r="77" spans="1:5" x14ac:dyDescent="0.2">
      <c r="A77" s="22">
        <f ca="1">IFERROR(__xludf.DUMMYFUNCTION("""COMPUTED_VALUE"""),45688)</f>
        <v>45688</v>
      </c>
      <c r="B77" s="23" t="str">
        <f ca="1">IFERROR(__xludf.DUMMYFUNCTION("""COMPUTED_VALUE"""),"UMYWALKA LARA STONE - NABLATOWA")</f>
        <v>UMYWALKA LARA STONE - NABLATOWA</v>
      </c>
      <c r="C77" s="23"/>
      <c r="D77" s="24">
        <f ca="1">IFERROR(__xludf.DUMMYFUNCTION("""COMPUTED_VALUE"""),349)</f>
        <v>349</v>
      </c>
      <c r="E77" s="25" t="str">
        <f ca="1">IFERROR(__xludf.DUMMYFUNCTION("""COMPUTED_VALUE"""),"REA-U9888")</f>
        <v>REA-U9888</v>
      </c>
    </row>
    <row r="78" spans="1:5" x14ac:dyDescent="0.2">
      <c r="A78" s="22">
        <f ca="1">IFERROR(__xludf.DUMMYFUNCTION("""COMPUTED_VALUE"""),45688)</f>
        <v>45688</v>
      </c>
      <c r="B78" s="23" t="str">
        <f ca="1">IFERROR(__xludf.DUMMYFUNCTION("""COMPUTED_VALUE"""),"UMYWALKA LINDA LAVA - NABLATOWA")</f>
        <v>UMYWALKA LINDA LAVA - NABLATOWA</v>
      </c>
      <c r="C78" s="23"/>
      <c r="D78" s="24">
        <f ca="1">IFERROR(__xludf.DUMMYFUNCTION("""COMPUTED_VALUE"""),359)</f>
        <v>359</v>
      </c>
      <c r="E78" s="25" t="str">
        <f ca="1">IFERROR(__xludf.DUMMYFUNCTION("""COMPUTED_VALUE"""),"REA-U8695")</f>
        <v>REA-U8695</v>
      </c>
    </row>
    <row r="79" spans="1:5" x14ac:dyDescent="0.2">
      <c r="A79" s="22">
        <f ca="1">IFERROR(__xludf.DUMMYFUNCTION("""COMPUTED_VALUE"""),45688)</f>
        <v>45688</v>
      </c>
      <c r="B79" s="23" t="str">
        <f ca="1">IFERROR(__xludf.DUMMYFUNCTION("""COMPUTED_VALUE"""),"UMYWALKA AMELIA WOOD MATT - NABLATOWA")</f>
        <v>UMYWALKA AMELIA WOOD MATT - NABLATOWA</v>
      </c>
      <c r="C79" s="23"/>
      <c r="D79" s="24">
        <f ca="1">IFERROR(__xludf.DUMMYFUNCTION("""COMPUTED_VALUE"""),369)</f>
        <v>369</v>
      </c>
      <c r="E79" s="25" t="str">
        <f ca="1">IFERROR(__xludf.DUMMYFUNCTION("""COMPUTED_VALUE"""),"REA-U5060")</f>
        <v>REA-U5060</v>
      </c>
    </row>
    <row r="80" spans="1:5" x14ac:dyDescent="0.2">
      <c r="A80" s="22">
        <f ca="1">IFERROR(__xludf.DUMMYFUNCTION("""COMPUTED_VALUE"""),45688)</f>
        <v>45688</v>
      </c>
      <c r="B80" s="23" t="str">
        <f ca="1">IFERROR(__xludf.DUMMYFUNCTION("""COMPUTED_VALUE"""),"WC - CARLO MINI TORNADO/DUROPLAST/FLAT/ZM WHITE GO")</f>
        <v>WC - CARLO MINI TORNADO/DUROPLAST/FLAT/ZM WHITE GO</v>
      </c>
      <c r="C80" s="23"/>
      <c r="D80" s="24">
        <f ca="1">IFERROR(__xludf.DUMMYFUNCTION("""COMPUTED_VALUE"""),929)</f>
        <v>929</v>
      </c>
      <c r="E80" s="25" t="str">
        <f ca="1">IFERROR(__xludf.DUMMYFUNCTION("""COMPUTED_VALUE"""),"REA-C4800")</f>
        <v>REA-C4800</v>
      </c>
    </row>
    <row r="81" spans="1:5" x14ac:dyDescent="0.2">
      <c r="A81" s="22">
        <f ca="1">IFERROR(__xludf.DUMMYFUNCTION("""COMPUTED_VALUE"""),45687)</f>
        <v>45687</v>
      </c>
      <c r="B81" s="23" t="str">
        <f ca="1">IFERROR(__xludf.DUMMYFUNCTION("""COMPUTED_VALUE"""),"LUSTRO P11427 LED EGG 50x90cm")</f>
        <v>LUSTRO P11427 LED EGG 50x90cm</v>
      </c>
      <c r="C81" s="23"/>
      <c r="D81" s="24">
        <f ca="1">IFERROR(__xludf.DUMMYFUNCTION("""COMPUTED_VALUE"""),429)</f>
        <v>429</v>
      </c>
      <c r="E81" s="25" t="str">
        <f ca="1">IFERROR(__xludf.DUMMYFUNCTION("""COMPUTED_VALUE"""),"HOM-05522")</f>
        <v>HOM-05522</v>
      </c>
    </row>
    <row r="82" spans="1:5" x14ac:dyDescent="0.2">
      <c r="A82" s="22">
        <f ca="1">IFERROR(__xludf.DUMMYFUNCTION("""COMPUTED_VALUE"""),45687)</f>
        <v>45687</v>
      </c>
      <c r="B82" s="23" t="str">
        <f ca="1">IFERROR(__xludf.DUMMYFUNCTION("""COMPUTED_VALUE"""),"LUSTRO P11430 LED EGJ 60x80cm")</f>
        <v>LUSTRO P11430 LED EGJ 60x80cm</v>
      </c>
      <c r="C82" s="23"/>
      <c r="D82" s="24">
        <f ca="1">IFERROR(__xludf.DUMMYFUNCTION("""COMPUTED_VALUE"""),359)</f>
        <v>359</v>
      </c>
      <c r="E82" s="25" t="str">
        <f ca="1">IFERROR(__xludf.DUMMYFUNCTION("""COMPUTED_VALUE"""),"HOM-05525")</f>
        <v>HOM-05525</v>
      </c>
    </row>
    <row r="83" spans="1:5" x14ac:dyDescent="0.2">
      <c r="A83" s="22">
        <f ca="1">IFERROR(__xludf.DUMMYFUNCTION("""COMPUTED_VALUE"""),45687)</f>
        <v>45687</v>
      </c>
      <c r="B83" s="23" t="str">
        <f ca="1">IFERROR(__xludf.DUMMYFUNCTION("""COMPUTED_VALUE"""),"LUSTRO P11397 LED MMJ MIEDŹ SZCZOTKOWANA 80cm")</f>
        <v>LUSTRO P11397 LED MMJ MIEDŹ SZCZOTKOWANA 80cm</v>
      </c>
      <c r="C83" s="23"/>
      <c r="D83" s="24">
        <f ca="1">IFERROR(__xludf.DUMMYFUNCTION("""COMPUTED_VALUE"""),379)</f>
        <v>379</v>
      </c>
      <c r="E83" s="25" t="str">
        <f ca="1">IFERROR(__xludf.DUMMYFUNCTION("""COMPUTED_VALUE"""),"HOM-05493")</f>
        <v>HOM-05493</v>
      </c>
    </row>
    <row r="84" spans="1:5" x14ac:dyDescent="0.2">
      <c r="A84" s="22">
        <f ca="1">IFERROR(__xludf.DUMMYFUNCTION("""COMPUTED_VALUE"""),45687)</f>
        <v>45687</v>
      </c>
      <c r="B84" s="23" t="str">
        <f ca="1">IFERROR(__xludf.DUMMYFUNCTION("""COMPUTED_VALUE"""),"LUSTRO P11396 LED MMJ MIEDŹ SZCZOTKOWANA 70cm")</f>
        <v>LUSTRO P11396 LED MMJ MIEDŹ SZCZOTKOWANA 70cm</v>
      </c>
      <c r="C84" s="23"/>
      <c r="D84" s="24">
        <f ca="1">IFERROR(__xludf.DUMMYFUNCTION("""COMPUTED_VALUE"""),339)</f>
        <v>339</v>
      </c>
      <c r="E84" s="25" t="str">
        <f ca="1">IFERROR(__xludf.DUMMYFUNCTION("""COMPUTED_VALUE"""),"HOM-05492")</f>
        <v>HOM-05492</v>
      </c>
    </row>
    <row r="85" spans="1:5" x14ac:dyDescent="0.2">
      <c r="A85" s="22">
        <f ca="1">IFERROR(__xludf.DUMMYFUNCTION("""COMPUTED_VALUE"""),45687)</f>
        <v>45687</v>
      </c>
      <c r="B85" s="23" t="str">
        <f ca="1">IFERROR(__xludf.DUMMYFUNCTION("""COMPUTED_VALUE"""),"LUSTRO P11395 LED MMJ BLACK 60cm")</f>
        <v>LUSTRO P11395 LED MMJ BLACK 60cm</v>
      </c>
      <c r="C85" s="23"/>
      <c r="D85" s="24">
        <f ca="1">IFERROR(__xludf.DUMMYFUNCTION("""COMPUTED_VALUE"""),399)</f>
        <v>399</v>
      </c>
      <c r="E85" s="25" t="str">
        <f ca="1">IFERROR(__xludf.DUMMYFUNCTION("""COMPUTED_VALUE"""),"HOM-05512")</f>
        <v>HOM-05512</v>
      </c>
    </row>
    <row r="86" spans="1:5" x14ac:dyDescent="0.2">
      <c r="A86" s="22">
        <f ca="1">IFERROR(__xludf.DUMMYFUNCTION("""COMPUTED_VALUE"""),45687)</f>
        <v>45687</v>
      </c>
      <c r="B86" s="23" t="str">
        <f ca="1">IFERROR(__xludf.DUMMYFUNCTION("""COMPUTED_VALUE"""),"LUSTRO P11394 LED MMJ BLACK 50cm")</f>
        <v>LUSTRO P11394 LED MMJ BLACK 50cm</v>
      </c>
      <c r="C86" s="23"/>
      <c r="D86" s="24">
        <f ca="1">IFERROR(__xludf.DUMMYFUNCTION("""COMPUTED_VALUE"""),359)</f>
        <v>359</v>
      </c>
      <c r="E86" s="25" t="str">
        <f ca="1">IFERROR(__xludf.DUMMYFUNCTION("""COMPUTED_VALUE"""),"HOM-05511")</f>
        <v>HOM-05511</v>
      </c>
    </row>
    <row r="87" spans="1:5" x14ac:dyDescent="0.2">
      <c r="A87" s="22">
        <f ca="1">IFERROR(__xludf.DUMMYFUNCTION("""COMPUTED_VALUE"""),45687)</f>
        <v>45687</v>
      </c>
      <c r="B87" s="23" t="str">
        <f ca="1">IFERROR(__xludf.DUMMYFUNCTION("""COMPUTED_VALUE"""),"LUSTRO P11386 LED CLOUD A 100x60cm")</f>
        <v>LUSTRO P11386 LED CLOUD A 100x60cm</v>
      </c>
      <c r="C87" s="23"/>
      <c r="D87" s="24">
        <f ca="1">IFERROR(__xludf.DUMMYFUNCTION("""COMPUTED_VALUE"""),459)</f>
        <v>459</v>
      </c>
      <c r="E87" s="25" t="str">
        <f ca="1">IFERROR(__xludf.DUMMYFUNCTION("""COMPUTED_VALUE"""),"HOM-05500")</f>
        <v>HOM-05500</v>
      </c>
    </row>
    <row r="88" spans="1:5" x14ac:dyDescent="0.2">
      <c r="A88" s="22">
        <f ca="1">IFERROR(__xludf.DUMMYFUNCTION("""COMPUTED_VALUE"""),45687)</f>
        <v>45687</v>
      </c>
      <c r="B88" s="23" t="str">
        <f ca="1">IFERROR(__xludf.DUMMYFUNCTION("""COMPUTED_VALUE"""),"LUSTRO LED WWA 50X120CM")</f>
        <v>LUSTRO LED WWA 50X120CM</v>
      </c>
      <c r="C88" s="23"/>
      <c r="D88" s="24">
        <f ca="1">IFERROR(__xludf.DUMMYFUNCTION("""COMPUTED_VALUE"""),299)</f>
        <v>299</v>
      </c>
      <c r="E88" s="25" t="str">
        <f ca="1">IFERROR(__xludf.DUMMYFUNCTION("""COMPUTED_VALUE"""),"HOM-06502")</f>
        <v>HOM-06502</v>
      </c>
    </row>
    <row r="89" spans="1:5" x14ac:dyDescent="0.2">
      <c r="A89" s="22">
        <f ca="1">IFERROR(__xludf.DUMMYFUNCTION("""COMPUTED_VALUE"""),45687)</f>
        <v>45687</v>
      </c>
      <c r="B89" s="23" t="str">
        <f ca="1">IFERROR(__xludf.DUMMYFUNCTION("""COMPUTED_VALUE"""),"LUSTRO LED ROUND ACRYL 60CM")</f>
        <v>LUSTRO LED ROUND ACRYL 60CM</v>
      </c>
      <c r="C89" s="23"/>
      <c r="D89" s="24">
        <f ca="1">IFERROR(__xludf.DUMMYFUNCTION("""COMPUTED_VALUE"""),459)</f>
        <v>459</v>
      </c>
      <c r="E89" s="25" t="str">
        <f ca="1">IFERROR(__xludf.DUMMYFUNCTION("""COMPUTED_VALUE"""),"HOM-06509")</f>
        <v>HOM-06509</v>
      </c>
    </row>
    <row r="90" spans="1:5" x14ac:dyDescent="0.2">
      <c r="A90" s="22">
        <f ca="1">IFERROR(__xludf.DUMMYFUNCTION("""COMPUTED_VALUE"""),45687)</f>
        <v>45687</v>
      </c>
      <c r="B90" s="23" t="str">
        <f ca="1">IFERROR(__xludf.DUMMYFUNCTION("""COMPUTED_VALUE"""),"LUSTRO LED PRO SQR 90X60CM")</f>
        <v>LUSTRO LED PRO SQR 90X60CM</v>
      </c>
      <c r="C90" s="23"/>
      <c r="D90" s="24">
        <f ca="1">IFERROR(__xludf.DUMMYFUNCTION("""COMPUTED_VALUE"""),599)</f>
        <v>599</v>
      </c>
      <c r="E90" s="25" t="str">
        <f ca="1">IFERROR(__xludf.DUMMYFUNCTION("""COMPUTED_VALUE"""),"HOM-06508")</f>
        <v>HOM-06508</v>
      </c>
    </row>
    <row r="91" spans="1:5" x14ac:dyDescent="0.2">
      <c r="A91" s="22">
        <f ca="1">IFERROR(__xludf.DUMMYFUNCTION("""COMPUTED_VALUE"""),45687)</f>
        <v>45687</v>
      </c>
      <c r="B91" s="23" t="str">
        <f ca="1">IFERROR(__xludf.DUMMYFUNCTION("""COMPUTED_VALUE"""),"LUSTRO LED OVAL 80X60CM")</f>
        <v>LUSTRO LED OVAL 80X60CM</v>
      </c>
      <c r="C91" s="23"/>
      <c r="D91" s="24">
        <f ca="1">IFERROR(__xludf.DUMMYFUNCTION("""COMPUTED_VALUE"""),459)</f>
        <v>459</v>
      </c>
      <c r="E91" s="25" t="str">
        <f ca="1">IFERROR(__xludf.DUMMYFUNCTION("""COMPUTED_VALUE"""),"HOM-02835")</f>
        <v>HOM-02835</v>
      </c>
    </row>
    <row r="92" spans="1:5" x14ac:dyDescent="0.2">
      <c r="A92" s="22">
        <f ca="1">IFERROR(__xludf.DUMMYFUNCTION("""COMPUTED_VALUE"""),45687)</f>
        <v>45687</v>
      </c>
      <c r="B92" s="23" t="str">
        <f ca="1">IFERROR(__xludf.DUMMYFUNCTION("""COMPUTED_VALUE"""),"LUSTRO LED HZJ 70CM")</f>
        <v>LUSTRO LED HZJ 70CM</v>
      </c>
      <c r="C92" s="23"/>
      <c r="D92" s="24">
        <f ca="1">IFERROR(__xludf.DUMMYFUNCTION("""COMPUTED_VALUE"""),279)</f>
        <v>279</v>
      </c>
      <c r="E92" s="25" t="str">
        <f ca="1">IFERROR(__xludf.DUMMYFUNCTION("""COMPUTED_VALUE"""),"HOM-02827")</f>
        <v>HOM-02827</v>
      </c>
    </row>
    <row r="93" spans="1:5" x14ac:dyDescent="0.2">
      <c r="A93" s="22">
        <f ca="1">IFERROR(__xludf.DUMMYFUNCTION("""COMPUTED_VALUE"""),45687)</f>
        <v>45687</v>
      </c>
      <c r="B93" s="23" t="str">
        <f ca="1">IFERROR(__xludf.DUMMYFUNCTION("""COMPUTED_VALUE"""),"LUSTRO LED HZJ 60CM")</f>
        <v>LUSTRO LED HZJ 60CM</v>
      </c>
      <c r="C93" s="23"/>
      <c r="D93" s="24">
        <f ca="1">IFERROR(__xludf.DUMMYFUNCTION("""COMPUTED_VALUE"""),259)</f>
        <v>259</v>
      </c>
      <c r="E93" s="25" t="str">
        <f ca="1">IFERROR(__xludf.DUMMYFUNCTION("""COMPUTED_VALUE"""),"HOM-02826")</f>
        <v>HOM-02826</v>
      </c>
    </row>
    <row r="94" spans="1:5" x14ac:dyDescent="0.2">
      <c r="A94" s="22">
        <f ca="1">IFERROR(__xludf.DUMMYFUNCTION("""COMPUTED_VALUE"""),45687)</f>
        <v>45687</v>
      </c>
      <c r="B94" s="23" t="str">
        <f ca="1">IFERROR(__xludf.DUMMYFUNCTION("""COMPUTED_VALUE"""),"LUSTRO LED FFJ 80CM")</f>
        <v>LUSTRO LED FFJ 80CM</v>
      </c>
      <c r="C94" s="23"/>
      <c r="D94" s="24">
        <f ca="1">IFERROR(__xludf.DUMMYFUNCTION("""COMPUTED_VALUE"""),349)</f>
        <v>349</v>
      </c>
      <c r="E94" s="25" t="str">
        <f ca="1">IFERROR(__xludf.DUMMYFUNCTION("""COMPUTED_VALUE"""),"HOM-02824")</f>
        <v>HOM-02824</v>
      </c>
    </row>
    <row r="95" spans="1:5" x14ac:dyDescent="0.2">
      <c r="A95" s="22">
        <f ca="1">IFERROR(__xludf.DUMMYFUNCTION("""COMPUTED_VALUE"""),45687)</f>
        <v>45687</v>
      </c>
      <c r="B95" s="23" t="str">
        <f ca="1">IFERROR(__xludf.DUMMYFUNCTION("""COMPUTED_VALUE"""),"LUSTRO LED FFJ 60CM")</f>
        <v>LUSTRO LED FFJ 60CM</v>
      </c>
      <c r="C95" s="23"/>
      <c r="D95" s="24">
        <f ca="1">IFERROR(__xludf.DUMMYFUNCTION("""COMPUTED_VALUE"""),259)</f>
        <v>259</v>
      </c>
      <c r="E95" s="25" t="str">
        <f ca="1">IFERROR(__xludf.DUMMYFUNCTION("""COMPUTED_VALUE"""),"HOM-02837")</f>
        <v>HOM-02837</v>
      </c>
    </row>
    <row r="96" spans="1:5" x14ac:dyDescent="0.2">
      <c r="A96" s="22">
        <f ca="1">IFERROR(__xludf.DUMMYFUNCTION("""COMPUTED_VALUE"""),45687)</f>
        <v>45687</v>
      </c>
      <c r="B96" s="23" t="str">
        <f ca="1">IFERROR(__xludf.DUMMYFUNCTION("""COMPUTED_VALUE"""),"LUSTRO LED BLUETOOTH FFJ 80CM")</f>
        <v>LUSTRO LED BLUETOOTH FFJ 80CM</v>
      </c>
      <c r="C96" s="23"/>
      <c r="D96" s="24">
        <f ca="1">IFERROR(__xludf.DUMMYFUNCTION("""COMPUTED_VALUE"""),559)</f>
        <v>559</v>
      </c>
      <c r="E96" s="25" t="str">
        <f ca="1">IFERROR(__xludf.DUMMYFUNCTION("""COMPUTED_VALUE"""),"HOM-06500")</f>
        <v>HOM-06500</v>
      </c>
    </row>
    <row r="97" spans="1:5" x14ac:dyDescent="0.2">
      <c r="A97" s="22">
        <f ca="1">IFERROR(__xludf.DUMMYFUNCTION("""COMPUTED_VALUE"""),45686)</f>
        <v>45686</v>
      </c>
      <c r="B97" s="23" t="str">
        <f ca="1">IFERROR(__xludf.DUMMYFUNCTION("""COMPUTED_VALUE"""),"ZESTAW NATRYSKOWY MY1902-78C STORM CHROM")</f>
        <v>ZESTAW NATRYSKOWY MY1902-78C STORM CHROM</v>
      </c>
      <c r="C97" s="23"/>
      <c r="D97" s="24">
        <f ca="1">IFERROR(__xludf.DUMMYFUNCTION("""COMPUTED_VALUE"""),669)</f>
        <v>669</v>
      </c>
      <c r="E97" s="25" t="str">
        <f ca="1">IFERROR(__xludf.DUMMYFUNCTION("""COMPUTED_VALUE"""),"REA-P4882")</f>
        <v>REA-P4882</v>
      </c>
    </row>
    <row r="98" spans="1:5" x14ac:dyDescent="0.2">
      <c r="A98" s="22">
        <f ca="1">IFERROR(__xludf.DUMMYFUNCTION("""COMPUTED_VALUE"""),45686)</f>
        <v>45686</v>
      </c>
      <c r="B98" s="23" t="str">
        <f ca="1">IFERROR(__xludf.DUMMYFUNCTION("""COMPUTED_VALUE"""),"ZESTAW NATRYSKOWY MY1902-77C STORM CHROM")</f>
        <v>ZESTAW NATRYSKOWY MY1902-77C STORM CHROM</v>
      </c>
      <c r="C98" s="23"/>
      <c r="D98" s="24">
        <f ca="1">IFERROR(__xludf.DUMMYFUNCTION("""COMPUTED_VALUE"""),559)</f>
        <v>559</v>
      </c>
      <c r="E98" s="25" t="str">
        <f ca="1">IFERROR(__xludf.DUMMYFUNCTION("""COMPUTED_VALUE"""),"REA-P4881")</f>
        <v>REA-P4881</v>
      </c>
    </row>
    <row r="99" spans="1:5" x14ac:dyDescent="0.2">
      <c r="A99" s="22">
        <f ca="1">IFERROR(__xludf.DUMMYFUNCTION("""COMPUTED_VALUE"""),45686)</f>
        <v>45686</v>
      </c>
      <c r="B99" s="23" t="str">
        <f ca="1">IFERROR(__xludf.DUMMYFUNCTION("""COMPUTED_VALUE"""),"BATERIA WANNOWA MY1805-3G BLOOM ZŁOTA")</f>
        <v>BATERIA WANNOWA MY1805-3G BLOOM ZŁOTA</v>
      </c>
      <c r="C99" s="23"/>
      <c r="D99" s="24">
        <f ca="1">IFERROR(__xludf.DUMMYFUNCTION("""COMPUTED_VALUE"""),399)</f>
        <v>399</v>
      </c>
      <c r="E99" s="25" t="str">
        <f ca="1">IFERROR(__xludf.DUMMYFUNCTION("""COMPUTED_VALUE"""),"REA-B6389")</f>
        <v>REA-B6389</v>
      </c>
    </row>
    <row r="100" spans="1:5" x14ac:dyDescent="0.2">
      <c r="A100" s="22">
        <f ca="1">IFERROR(__xludf.DUMMYFUNCTION("""COMPUTED_VALUE"""),45686)</f>
        <v>45686</v>
      </c>
      <c r="B100" s="23" t="str">
        <f ca="1">IFERROR(__xludf.DUMMYFUNCTION("""COMPUTED_VALUE"""),"BATERIA UMYWAL MY1902-2GG STORM ZŁOTA SZCZO NISKA")</f>
        <v>BATERIA UMYWAL MY1902-2GG STORM ZŁOTA SZCZO NISKA</v>
      </c>
      <c r="C100" s="23"/>
      <c r="D100" s="24">
        <f ca="1">IFERROR(__xludf.DUMMYFUNCTION("""COMPUTED_VALUE"""),299)</f>
        <v>299</v>
      </c>
      <c r="E100" s="25" t="str">
        <f ca="1">IFERROR(__xludf.DUMMYFUNCTION("""COMPUTED_VALUE"""),"REA-B7960")</f>
        <v>REA-B7960</v>
      </c>
    </row>
    <row r="101" spans="1:5" x14ac:dyDescent="0.2">
      <c r="A101" s="22">
        <f ca="1">IFERROR(__xludf.DUMMYFUNCTION("""COMPUTED_VALUE"""),45686)</f>
        <v>45686</v>
      </c>
      <c r="B101" s="23" t="str">
        <f ca="1">IFERROR(__xludf.DUMMYFUNCTION("""COMPUTED_VALUE"""),"BATERIA BIDETOWA MY1902-9GG STORM ZŁOTA SZCZOTKOWA")</f>
        <v>BATERIA BIDETOWA MY1902-9GG STORM ZŁOTA SZCZOTKOWA</v>
      </c>
      <c r="C101" s="23"/>
      <c r="D101" s="24">
        <f ca="1">IFERROR(__xludf.DUMMYFUNCTION("""COMPUTED_VALUE"""),289)</f>
        <v>289</v>
      </c>
      <c r="E101" s="25" t="str">
        <f ca="1">IFERROR(__xludf.DUMMYFUNCTION("""COMPUTED_VALUE"""),"REA-B7961")</f>
        <v>REA-B7961</v>
      </c>
    </row>
    <row r="102" spans="1:5" x14ac:dyDescent="0.2">
      <c r="A102" s="22">
        <f ca="1">IFERROR(__xludf.DUMMYFUNCTION("""COMPUTED_VALUE"""),45686)</f>
        <v>45686</v>
      </c>
      <c r="B102" s="23" t="str">
        <f ca="1">IFERROR(__xludf.DUMMYFUNCTION("""COMPUTED_VALUE"""),"BATERIA UMYWA MY1902-21GG STORM ZŁOTA SZCZO WYSOKA")</f>
        <v>BATERIA UMYWA MY1902-21GG STORM ZŁOTA SZCZO WYSOKA</v>
      </c>
      <c r="C102" s="23"/>
      <c r="D102" s="24">
        <f ca="1">IFERROR(__xludf.DUMMYFUNCTION("""COMPUTED_VALUE"""),429)</f>
        <v>429</v>
      </c>
      <c r="E102" s="25" t="str">
        <f ca="1">IFERROR(__xludf.DUMMYFUNCTION("""COMPUTED_VALUE"""),"REA-B7962")</f>
        <v>REA-B7962</v>
      </c>
    </row>
    <row r="103" spans="1:5" x14ac:dyDescent="0.2">
      <c r="A103" s="22">
        <f ca="1">IFERROR(__xludf.DUMMYFUNCTION("""COMPUTED_VALUE"""),45686)</f>
        <v>45686</v>
      </c>
      <c r="B103" s="23" t="str">
        <f ca="1">IFERROR(__xludf.DUMMYFUNCTION("""COMPUTED_VALUE"""),"BATERIA WANNOWA MY1902-3GG STORM ZŁOTA SZCZOTKOWAN")</f>
        <v>BATERIA WANNOWA MY1902-3GG STORM ZŁOTA SZCZOTKOWAN</v>
      </c>
      <c r="C103" s="23"/>
      <c r="D103" s="24">
        <f ca="1">IFERROR(__xludf.DUMMYFUNCTION("""COMPUTED_VALUE"""),499)</f>
        <v>499</v>
      </c>
      <c r="E103" s="25" t="str">
        <f ca="1">IFERROR(__xludf.DUMMYFUNCTION("""COMPUTED_VALUE"""),"REA-B7963")</f>
        <v>REA-B7963</v>
      </c>
    </row>
    <row r="104" spans="1:5" x14ac:dyDescent="0.2">
      <c r="A104" s="22">
        <f ca="1">IFERROR(__xludf.DUMMYFUNCTION("""COMPUTED_VALUE"""),45686)</f>
        <v>45686</v>
      </c>
      <c r="B104" s="23" t="str">
        <f ca="1">IFERROR(__xludf.DUMMYFUNCTION("""COMPUTED_VALUE"""),"ZESTAW NATRYSKOWY MY1902-77GG STORM ZŁOTY SZCZOTKO")</f>
        <v>ZESTAW NATRYSKOWY MY1902-77GG STORM ZŁOTY SZCZOTKO</v>
      </c>
      <c r="C104" s="23"/>
      <c r="D104" s="24">
        <f ca="1">IFERROR(__xludf.DUMMYFUNCTION("""COMPUTED_VALUE"""),699)</f>
        <v>699</v>
      </c>
      <c r="E104" s="25" t="str">
        <f ca="1">IFERROR(__xludf.DUMMYFUNCTION("""COMPUTED_VALUE"""),"REA-P9535")</f>
        <v>REA-P9535</v>
      </c>
    </row>
    <row r="105" spans="1:5" x14ac:dyDescent="0.2">
      <c r="A105" s="22">
        <f ca="1">IFERROR(__xludf.DUMMYFUNCTION("""COMPUTED_VALUE"""),45686)</f>
        <v>45686</v>
      </c>
      <c r="B105" s="23" t="str">
        <f ca="1">IFERROR(__xludf.DUMMYFUNCTION("""COMPUTED_VALUE"""),"ZESTAW NATRYSKOWY MY1902-78GG STORM ZŁOTY SZCZOTKO")</f>
        <v>ZESTAW NATRYSKOWY MY1902-78GG STORM ZŁOTY SZCZOTKO</v>
      </c>
      <c r="C105" s="23"/>
      <c r="D105" s="24">
        <f ca="1">IFERROR(__xludf.DUMMYFUNCTION("""COMPUTED_VALUE"""),829)</f>
        <v>829</v>
      </c>
      <c r="E105" s="25" t="str">
        <f ca="1">IFERROR(__xludf.DUMMYFUNCTION("""COMPUTED_VALUE"""),"REA-P9536")</f>
        <v>REA-P9536</v>
      </c>
    </row>
    <row r="106" spans="1:5" x14ac:dyDescent="0.2">
      <c r="A106" s="22">
        <f ca="1">IFERROR(__xludf.DUMMYFUNCTION("""COMPUTED_VALUE"""),45686)</f>
        <v>45686</v>
      </c>
      <c r="B106" s="23" t="str">
        <f ca="1">IFERROR(__xludf.DUMMYFUNCTION("""COMPUTED_VALUE"""),"ZESTAW NATRYSKOWY MY2021-77G ARGUS ZŁOTY POŁYSK")</f>
        <v>ZESTAW NATRYSKOWY MY2021-77G ARGUS ZŁOTY POŁYSK</v>
      </c>
      <c r="C106" s="23"/>
      <c r="D106" s="24">
        <f ca="1">IFERROR(__xludf.DUMMYFUNCTION("""COMPUTED_VALUE"""),669)</f>
        <v>669</v>
      </c>
      <c r="E106" s="25" t="str">
        <f ca="1">IFERROR(__xludf.DUMMYFUNCTION("""COMPUTED_VALUE"""),"REA-P7840")</f>
        <v>REA-P7840</v>
      </c>
    </row>
    <row r="107" spans="1:5" x14ac:dyDescent="0.2">
      <c r="A107" s="22">
        <f ca="1">IFERROR(__xludf.DUMMYFUNCTION("""COMPUTED_VALUE"""),45686)</f>
        <v>45686</v>
      </c>
      <c r="B107" s="23" t="str">
        <f ca="1">IFERROR(__xludf.DUMMYFUNCTION("""COMPUTED_VALUE"""),"BATERIA UMYWALKOWA MY2061-21GG HASS GOLD WYSOKA")</f>
        <v>BATERIA UMYWALKOWA MY2061-21GG HASS GOLD WYSOKA</v>
      </c>
      <c r="C107" s="23"/>
      <c r="D107" s="24">
        <f ca="1">IFERROR(__xludf.DUMMYFUNCTION("""COMPUTED_VALUE"""),489)</f>
        <v>489</v>
      </c>
      <c r="E107" s="25" t="str">
        <f ca="1">IFERROR(__xludf.DUMMYFUNCTION("""COMPUTED_VALUE"""),"REA-B9971")</f>
        <v>REA-B9971</v>
      </c>
    </row>
    <row r="108" spans="1:5" x14ac:dyDescent="0.2">
      <c r="A108" s="22">
        <f ca="1">IFERROR(__xludf.DUMMYFUNCTION("""COMPUTED_VALUE"""),45686)</f>
        <v>45686</v>
      </c>
      <c r="B108" s="23" t="str">
        <f ca="1">IFERROR(__xludf.DUMMYFUNCTION("""COMPUTED_VALUE"""),"KABINA SOLAR BRUSH COPPER 80x100")</f>
        <v>KABINA SOLAR BRUSH COPPER 80x100</v>
      </c>
      <c r="C108" s="23"/>
      <c r="D108" s="24">
        <f ca="1">IFERROR(__xludf.DUMMYFUNCTION("""COMPUTED_VALUE"""),1319)</f>
        <v>1319</v>
      </c>
      <c r="E108" s="25" t="str">
        <f ca="1">IFERROR(__xludf.DUMMYFUNCTION("""COMPUTED_VALUE"""),"REA-K9513")</f>
        <v>REA-K9513</v>
      </c>
    </row>
    <row r="109" spans="1:5" x14ac:dyDescent="0.2">
      <c r="A109" s="22">
        <f ca="1">IFERROR(__xludf.DUMMYFUNCTION("""COMPUTED_VALUE"""),45686)</f>
        <v>45686</v>
      </c>
      <c r="B109" s="23" t="str">
        <f ca="1">IFERROR(__xludf.DUMMYFUNCTION("""COMPUTED_VALUE"""),"KABINA SOLAR BRUSH COPPER 90x120")</f>
        <v>KABINA SOLAR BRUSH COPPER 90x120</v>
      </c>
      <c r="C109" s="23"/>
      <c r="D109" s="24">
        <f ca="1">IFERROR(__xludf.DUMMYFUNCTION("""COMPUTED_VALUE"""),1469)</f>
        <v>1469</v>
      </c>
      <c r="E109" s="25" t="str">
        <f ca="1">IFERROR(__xludf.DUMMYFUNCTION("""COMPUTED_VALUE"""),"REA-K9514")</f>
        <v>REA-K9514</v>
      </c>
    </row>
    <row r="110" spans="1:5" x14ac:dyDescent="0.2">
      <c r="A110" s="22">
        <f ca="1">IFERROR(__xludf.DUMMYFUNCTION("""COMPUTED_VALUE"""),45686)</f>
        <v>45686</v>
      </c>
      <c r="B110" s="23" t="str">
        <f ca="1">IFERROR(__xludf.DUMMYFUNCTION("""COMPUTED_VALUE"""),"KABINA SOLAR BRUSH COPPER 90x90")</f>
        <v>KABINA SOLAR BRUSH COPPER 90x90</v>
      </c>
      <c r="C110" s="23"/>
      <c r="D110" s="24">
        <f ca="1">IFERROR(__xludf.DUMMYFUNCTION("""COMPUTED_VALUE"""),1319)</f>
        <v>1319</v>
      </c>
      <c r="E110" s="25" t="str">
        <f ca="1">IFERROR(__xludf.DUMMYFUNCTION("""COMPUTED_VALUE"""),"REA-K9512")</f>
        <v>REA-K9512</v>
      </c>
    </row>
    <row r="111" spans="1:5" x14ac:dyDescent="0.2">
      <c r="A111" s="22">
        <f ca="1">IFERROR(__xludf.DUMMYFUNCTION("""COMPUTED_VALUE"""),45686)</f>
        <v>45686</v>
      </c>
      <c r="B111" s="23" t="str">
        <f ca="1">IFERROR(__xludf.DUMMYFUNCTION("""COMPUTED_VALUE"""),"KABINA SOLAR BRUSH GOLD 90x90")</f>
        <v>KABINA SOLAR BRUSH GOLD 90x90</v>
      </c>
      <c r="C111" s="23"/>
      <c r="D111" s="24">
        <f ca="1">IFERROR(__xludf.DUMMYFUNCTION("""COMPUTED_VALUE"""),1299)</f>
        <v>1299</v>
      </c>
      <c r="E111" s="25" t="str">
        <f ca="1">IFERROR(__xludf.DUMMYFUNCTION("""COMPUTED_VALUE"""),"REA-K9500")</f>
        <v>REA-K9500</v>
      </c>
    </row>
    <row r="112" spans="1:5" x14ac:dyDescent="0.2">
      <c r="A112" s="22">
        <f ca="1">IFERROR(__xludf.DUMMYFUNCTION("""COMPUTED_VALUE"""),45686)</f>
        <v>45686</v>
      </c>
      <c r="B112" s="23" t="str">
        <f ca="1">IFERROR(__xludf.DUMMYFUNCTION("""COMPUTED_VALUE"""),"KABINA SOLAR BRUSH GOLD 80x100")</f>
        <v>KABINA SOLAR BRUSH GOLD 80x100</v>
      </c>
      <c r="C112" s="23"/>
      <c r="D112" s="24">
        <f ca="1">IFERROR(__xludf.DUMMYFUNCTION("""COMPUTED_VALUE"""),1299)</f>
        <v>1299</v>
      </c>
      <c r="E112" s="25" t="str">
        <f ca="1">IFERROR(__xludf.DUMMYFUNCTION("""COMPUTED_VALUE"""),"REA-K9509")</f>
        <v>REA-K9509</v>
      </c>
    </row>
    <row r="113" spans="1:5" x14ac:dyDescent="0.2">
      <c r="A113" s="22">
        <f ca="1">IFERROR(__xludf.DUMMYFUNCTION("""COMPUTED_VALUE"""),45686)</f>
        <v>45686</v>
      </c>
      <c r="B113" s="23" t="str">
        <f ca="1">IFERROR(__xludf.DUMMYFUNCTION("""COMPUTED_VALUE"""),"KABINA SOLAR BRUSH GOLD 90x120")</f>
        <v>KABINA SOLAR BRUSH GOLD 90x120</v>
      </c>
      <c r="C113" s="23"/>
      <c r="D113" s="24">
        <f ca="1">IFERROR(__xludf.DUMMYFUNCTION("""COMPUTED_VALUE"""),1449)</f>
        <v>1449</v>
      </c>
      <c r="E113" s="25" t="str">
        <f ca="1">IFERROR(__xludf.DUMMYFUNCTION("""COMPUTED_VALUE"""),"REA-K9511")</f>
        <v>REA-K9511</v>
      </c>
    </row>
    <row r="114" spans="1:5" x14ac:dyDescent="0.2">
      <c r="A114" s="22">
        <f ca="1">IFERROR(__xludf.DUMMYFUNCTION("""COMPUTED_VALUE"""),45686)</f>
        <v>45686</v>
      </c>
      <c r="B114" s="23" t="str">
        <f ca="1">IFERROR(__xludf.DUMMYFUNCTION("""COMPUTED_VALUE"""),"UMYWALKA SUE TRANSPARENT - NABLATOWA ")</f>
        <v xml:space="preserve">UMYWALKA SUE TRANSPARENT - NABLATOWA </v>
      </c>
      <c r="C114" s="23"/>
      <c r="D114" s="24">
        <f ca="1">IFERROR(__xludf.DUMMYFUNCTION("""COMPUTED_VALUE"""),599)</f>
        <v>599</v>
      </c>
      <c r="E114" s="25" t="str">
        <f ca="1">IFERROR(__xludf.DUMMYFUNCTION("""COMPUTED_VALUE"""),"REA-U4702")</f>
        <v>REA-U4702</v>
      </c>
    </row>
    <row r="115" spans="1:5" x14ac:dyDescent="0.2">
      <c r="A115" s="22">
        <f ca="1">IFERROR(__xludf.DUMMYFUNCTION("""COMPUTED_VALUE"""),45686)</f>
        <v>45686</v>
      </c>
      <c r="B115" s="23" t="str">
        <f ca="1">IFERROR(__xludf.DUMMYFUNCTION("""COMPUTED_VALUE"""),"UMYWALKA NICOLE TRANSPARENT  - NABLATOWA")</f>
        <v>UMYWALKA NICOLE TRANSPARENT  - NABLATOWA</v>
      </c>
      <c r="C115" s="23"/>
      <c r="D115" s="24">
        <f ca="1">IFERROR(__xludf.DUMMYFUNCTION("""COMPUTED_VALUE"""),599)</f>
        <v>599</v>
      </c>
      <c r="E115" s="25" t="str">
        <f ca="1">IFERROR(__xludf.DUMMYFUNCTION("""COMPUTED_VALUE"""),"REA-U4701")</f>
        <v>REA-U4701</v>
      </c>
    </row>
    <row r="116" spans="1:5" x14ac:dyDescent="0.2">
      <c r="A116" s="22">
        <f ca="1">IFERROR(__xludf.DUMMYFUNCTION("""COMPUTED_VALUE"""),45686)</f>
        <v>45686</v>
      </c>
      <c r="B116" s="23" t="str">
        <f ca="1">IFERROR(__xludf.DUMMYFUNCTION("""COMPUTED_VALUE"""),"UMYWALKA INFINITY WHITE/GOLD - NABLATOWA")</f>
        <v>UMYWALKA INFINITY WHITE/GOLD - NABLATOWA</v>
      </c>
      <c r="C116" s="23"/>
      <c r="D116" s="24">
        <f ca="1">IFERROR(__xludf.DUMMYFUNCTION("""COMPUTED_VALUE"""),699)</f>
        <v>699</v>
      </c>
      <c r="E116" s="25" t="str">
        <f ca="1">IFERROR(__xludf.DUMMYFUNCTION("""COMPUTED_VALUE"""),"REA-U3400")</f>
        <v>REA-U3400</v>
      </c>
    </row>
    <row r="117" spans="1:5" x14ac:dyDescent="0.2">
      <c r="A117" s="22">
        <f ca="1">IFERROR(__xludf.DUMMYFUNCTION("""COMPUTED_VALUE"""),45686)</f>
        <v>45686</v>
      </c>
      <c r="B117" s="23" t="str">
        <f ca="1">IFERROR(__xludf.DUMMYFUNCTION("""COMPUTED_VALUE"""),"UMYWALKA INFINITY BLACK/GOLD - NABLATOWA")</f>
        <v>UMYWALKA INFINITY BLACK/GOLD - NABLATOWA</v>
      </c>
      <c r="C117" s="23"/>
      <c r="D117" s="24">
        <f ca="1">IFERROR(__xludf.DUMMYFUNCTION("""COMPUTED_VALUE"""),799)</f>
        <v>799</v>
      </c>
      <c r="E117" s="25" t="str">
        <f ca="1">IFERROR(__xludf.DUMMYFUNCTION("""COMPUTED_VALUE"""),"REA-U3402")</f>
        <v>REA-U3402</v>
      </c>
    </row>
    <row r="118" spans="1:5" x14ac:dyDescent="0.2">
      <c r="A118" s="22">
        <f ca="1">IFERROR(__xludf.DUMMYFUNCTION("""COMPUTED_VALUE"""),45686)</f>
        <v>45686</v>
      </c>
      <c r="B118" s="23" t="str">
        <f ca="1">IFERROR(__xludf.DUMMYFUNCTION("""COMPUTED_VALUE"""),"UMYWALKA ESTERA - WOLNOSTOJĄCA")</f>
        <v>UMYWALKA ESTERA - WOLNOSTOJĄCA</v>
      </c>
      <c r="C118" s="23"/>
      <c r="D118" s="24">
        <f ca="1">IFERROR(__xludf.DUMMYFUNCTION("""COMPUTED_VALUE"""),1349)</f>
        <v>1349</v>
      </c>
      <c r="E118" s="25" t="str">
        <f ca="1">IFERROR(__xludf.DUMMYFUNCTION("""COMPUTED_VALUE"""),"REA-U0756")</f>
        <v>REA-U0756</v>
      </c>
    </row>
    <row r="119" spans="1:5" x14ac:dyDescent="0.2">
      <c r="A119" s="22">
        <f ca="1">IFERROR(__xludf.DUMMYFUNCTION("""COMPUTED_VALUE"""),45686)</f>
        <v>45686</v>
      </c>
      <c r="B119" s="23" t="str">
        <f ca="1">IFERROR(__xludf.DUMMYFUNCTION("""COMPUTED_VALUE"""),"UMYWALKA LINDA - NABLATOWA")</f>
        <v>UMYWALKA LINDA - NABLATOWA</v>
      </c>
      <c r="C119" s="23"/>
      <c r="D119" s="24">
        <f ca="1">IFERROR(__xludf.DUMMYFUNCTION("""COMPUTED_VALUE"""),229)</f>
        <v>229</v>
      </c>
      <c r="E119" s="25" t="str">
        <f ca="1">IFERROR(__xludf.DUMMYFUNCTION("""COMPUTED_VALUE"""),"REA-U0462")</f>
        <v>REA-U0462</v>
      </c>
    </row>
    <row r="120" spans="1:5" x14ac:dyDescent="0.2">
      <c r="A120" s="22">
        <f ca="1">IFERROR(__xludf.DUMMYFUNCTION("""COMPUTED_VALUE"""),45686)</f>
        <v>45686</v>
      </c>
      <c r="B120" s="23" t="str">
        <f ca="1">IFERROR(__xludf.DUMMYFUNCTION("""COMPUTED_VALUE"""),"UMYWALKA SOFIA BRUSH GOLD - NABLATOWA")</f>
        <v>UMYWALKA SOFIA BRUSH GOLD - NABLATOWA</v>
      </c>
      <c r="C120" s="23"/>
      <c r="D120" s="24">
        <f ca="1">IFERROR(__xludf.DUMMYFUNCTION("""COMPUTED_VALUE"""),399)</f>
        <v>399</v>
      </c>
      <c r="E120" s="25" t="str">
        <f ca="1">IFERROR(__xludf.DUMMYFUNCTION("""COMPUTED_VALUE"""),"REA-U3697")</f>
        <v>REA-U3697</v>
      </c>
    </row>
    <row r="121" spans="1:5" x14ac:dyDescent="0.2">
      <c r="A121" s="22">
        <f ca="1">IFERROR(__xludf.DUMMYFUNCTION("""COMPUTED_VALUE"""),45686)</f>
        <v>45686</v>
      </c>
      <c r="B121" s="23" t="str">
        <f ca="1">IFERROR(__xludf.DUMMYFUNCTION("""COMPUTED_VALUE"""),"UMYWALKA NADIA GOLD EDGE - NABLATOWA")</f>
        <v>UMYWALKA NADIA GOLD EDGE - NABLATOWA</v>
      </c>
      <c r="C121" s="23"/>
      <c r="D121" s="24">
        <f ca="1">IFERROR(__xludf.DUMMYFUNCTION("""COMPUTED_VALUE"""),499)</f>
        <v>499</v>
      </c>
      <c r="E121" s="25" t="str">
        <f ca="1">IFERROR(__xludf.DUMMYFUNCTION("""COMPUTED_VALUE"""),"REA-U1063")</f>
        <v>REA-U1063</v>
      </c>
    </row>
    <row r="122" spans="1:5" x14ac:dyDescent="0.2">
      <c r="A122" s="22">
        <f ca="1">IFERROR(__xludf.DUMMYFUNCTION("""COMPUTED_VALUE"""),45686)</f>
        <v>45686</v>
      </c>
      <c r="B122" s="23" t="str">
        <f ca="1">IFERROR(__xludf.DUMMYFUNCTION("""COMPUTED_VALUE"""),"UMYWALKA KAMILA - WOLNOSTOJĄCA")</f>
        <v>UMYWALKA KAMILA - WOLNOSTOJĄCA</v>
      </c>
      <c r="C122" s="23"/>
      <c r="D122" s="24">
        <f ca="1">IFERROR(__xludf.DUMMYFUNCTION("""COMPUTED_VALUE"""),999)</f>
        <v>999</v>
      </c>
      <c r="E122" s="25" t="str">
        <f ca="1">IFERROR(__xludf.DUMMYFUNCTION("""COMPUTED_VALUE"""),"REA-U5633")</f>
        <v>REA-U5633</v>
      </c>
    </row>
    <row r="123" spans="1:5" x14ac:dyDescent="0.2">
      <c r="A123" s="22">
        <f ca="1">IFERROR(__xludf.DUMMYFUNCTION("""COMPUTED_VALUE"""),45686)</f>
        <v>45686</v>
      </c>
      <c r="B123" s="23" t="str">
        <f ca="1">IFERROR(__xludf.DUMMYFUNCTION("""COMPUTED_VALUE"""),"UMYWALKA CLEO 81 - NABLATOWA")</f>
        <v>UMYWALKA CLEO 81 - NABLATOWA</v>
      </c>
      <c r="C123" s="23"/>
      <c r="D123" s="24">
        <f ca="1">IFERROR(__xludf.DUMMYFUNCTION("""COMPUTED_VALUE"""),429)</f>
        <v>429</v>
      </c>
      <c r="E123" s="25" t="str">
        <f ca="1">IFERROR(__xludf.DUMMYFUNCTION("""COMPUTED_VALUE"""),"REA-U0563")</f>
        <v>REA-U0563</v>
      </c>
    </row>
    <row r="124" spans="1:5" x14ac:dyDescent="0.2">
      <c r="A124" s="22">
        <f ca="1">IFERROR(__xludf.DUMMYFUNCTION("""COMPUTED_VALUE"""),45686)</f>
        <v>45686</v>
      </c>
      <c r="B124" s="23" t="str">
        <f ca="1">IFERROR(__xludf.DUMMYFUNCTION("""COMPUTED_VALUE"""),"UMYWALKA DORA STONE - NABLATOWA")</f>
        <v>UMYWALKA DORA STONE - NABLATOWA</v>
      </c>
      <c r="C124" s="23"/>
      <c r="D124" s="24">
        <f ca="1">IFERROR(__xludf.DUMMYFUNCTION("""COMPUTED_VALUE"""),429)</f>
        <v>429</v>
      </c>
      <c r="E124" s="25" t="str">
        <f ca="1">IFERROR(__xludf.DUMMYFUNCTION("""COMPUTED_VALUE"""),"REA-U5066")</f>
        <v>REA-U5066</v>
      </c>
    </row>
    <row r="125" spans="1:5" x14ac:dyDescent="0.2">
      <c r="A125" s="22">
        <f ca="1">IFERROR(__xludf.DUMMYFUNCTION("""COMPUTED_VALUE"""),45686)</f>
        <v>45686</v>
      </c>
      <c r="B125" s="23" t="str">
        <f ca="1">IFERROR(__xludf.DUMMYFUNCTION("""COMPUTED_VALUE"""),"UMYWALKA LARA STONE - NABLATOWA")</f>
        <v>UMYWALKA LARA STONE - NABLATOWA</v>
      </c>
      <c r="C125" s="23"/>
      <c r="D125" s="24">
        <f ca="1">IFERROR(__xludf.DUMMYFUNCTION("""COMPUTED_VALUE"""),349)</f>
        <v>349</v>
      </c>
      <c r="E125" s="25" t="str">
        <f ca="1">IFERROR(__xludf.DUMMYFUNCTION("""COMPUTED_VALUE"""),"REA-U9888")</f>
        <v>REA-U9888</v>
      </c>
    </row>
    <row r="126" spans="1:5" x14ac:dyDescent="0.2">
      <c r="A126" s="22">
        <f ca="1">IFERROR(__xludf.DUMMYFUNCTION("""COMPUTED_VALUE"""),45686)</f>
        <v>45686</v>
      </c>
      <c r="B126" s="23" t="str">
        <f ca="1">IFERROR(__xludf.DUMMYFUNCTION("""COMPUTED_VALUE"""),"UMYWALKA LINDA LAVA - NABLATOWA")</f>
        <v>UMYWALKA LINDA LAVA - NABLATOWA</v>
      </c>
      <c r="C126" s="23"/>
      <c r="D126" s="24">
        <f ca="1">IFERROR(__xludf.DUMMYFUNCTION("""COMPUTED_VALUE"""),359)</f>
        <v>359</v>
      </c>
      <c r="E126" s="25" t="str">
        <f ca="1">IFERROR(__xludf.DUMMYFUNCTION("""COMPUTED_VALUE"""),"REA-U8695")</f>
        <v>REA-U8695</v>
      </c>
    </row>
    <row r="127" spans="1:5" x14ac:dyDescent="0.2">
      <c r="A127" s="22">
        <f ca="1">IFERROR(__xludf.DUMMYFUNCTION("""COMPUTED_VALUE"""),45686)</f>
        <v>45686</v>
      </c>
      <c r="B127" s="23" t="str">
        <f ca="1">IFERROR(__xludf.DUMMYFUNCTION("""COMPUTED_VALUE"""),"UMYWALKA AMELIA WOOD MATT - NABLATOWA")</f>
        <v>UMYWALKA AMELIA WOOD MATT - NABLATOWA</v>
      </c>
      <c r="C127" s="23"/>
      <c r="D127" s="24">
        <f ca="1">IFERROR(__xludf.DUMMYFUNCTION("""COMPUTED_VALUE"""),369)</f>
        <v>369</v>
      </c>
      <c r="E127" s="25" t="str">
        <f ca="1">IFERROR(__xludf.DUMMYFUNCTION("""COMPUTED_VALUE"""),"REA-U5060")</f>
        <v>REA-U5060</v>
      </c>
    </row>
    <row r="128" spans="1:5" x14ac:dyDescent="0.2">
      <c r="A128" s="22">
        <f ca="1">IFERROR(__xludf.DUMMYFUNCTION("""COMPUTED_VALUE"""),45686)</f>
        <v>45686</v>
      </c>
      <c r="B128" s="23" t="str">
        <f ca="1">IFERROR(__xludf.DUMMYFUNCTION("""COMPUTED_VALUE"""),"BATERIA UMYWALKOWA LUNGIS CHROM WYSOKA")</f>
        <v>BATERIA UMYWALKOWA LUNGIS CHROM WYSOKA</v>
      </c>
      <c r="C128" s="23"/>
      <c r="D128" s="24">
        <f ca="1">IFERROR(__xludf.DUMMYFUNCTION("""COMPUTED_VALUE"""),249)</f>
        <v>249</v>
      </c>
      <c r="E128" s="25" t="str">
        <f ca="1">IFERROR(__xludf.DUMMYFUNCTION("""COMPUTED_VALUE"""),"REA-B6100")</f>
        <v>REA-B6100</v>
      </c>
    </row>
    <row r="129" spans="1:5" x14ac:dyDescent="0.2">
      <c r="A129" s="22">
        <f ca="1">IFERROR(__xludf.DUMMYFUNCTION("""COMPUTED_VALUE"""),45686)</f>
        <v>45686</v>
      </c>
      <c r="B129" s="23" t="str">
        <f ca="1">IFERROR(__xludf.DUMMYFUNCTION("""COMPUTED_VALUE"""),"BATERIA UMYWALKOWA LUNGIS ZŁOTA SZCZOTKOWA WYSOKA")</f>
        <v>BATERIA UMYWALKOWA LUNGIS ZŁOTA SZCZOTKOWA WYSOKA</v>
      </c>
      <c r="C129" s="23"/>
      <c r="D129" s="24">
        <f ca="1">IFERROR(__xludf.DUMMYFUNCTION("""COMPUTED_VALUE"""),319)</f>
        <v>319</v>
      </c>
      <c r="E129" s="25" t="str">
        <f ca="1">IFERROR(__xludf.DUMMYFUNCTION("""COMPUTED_VALUE"""),"REA-B6101")</f>
        <v>REA-B6101</v>
      </c>
    </row>
    <row r="130" spans="1:5" x14ac:dyDescent="0.2">
      <c r="A130" s="22">
        <f ca="1">IFERROR(__xludf.DUMMYFUNCTION("""COMPUTED_VALUE"""),45686)</f>
        <v>45686</v>
      </c>
      <c r="B130" s="23" t="str">
        <f ca="1">IFERROR(__xludf.DUMMYFUNCTION("""COMPUTED_VALUE"""),"BATERIA UMYWALKOWA LUNGIS TYTAN WYSOKA")</f>
        <v>BATERIA UMYWALKOWA LUNGIS TYTAN WYSOKA</v>
      </c>
      <c r="C130" s="23"/>
      <c r="D130" s="24">
        <f ca="1">IFERROR(__xludf.DUMMYFUNCTION("""COMPUTED_VALUE"""),299)</f>
        <v>299</v>
      </c>
      <c r="E130" s="25" t="str">
        <f ca="1">IFERROR(__xludf.DUMMYFUNCTION("""COMPUTED_VALUE"""),"REA-B6102")</f>
        <v>REA-B6102</v>
      </c>
    </row>
    <row r="131" spans="1:5" x14ac:dyDescent="0.2">
      <c r="A131" s="22">
        <f ca="1">IFERROR(__xludf.DUMMYFUNCTION("""COMPUTED_VALUE"""),45686)</f>
        <v>45686</v>
      </c>
      <c r="B131" s="23" t="str">
        <f ca="1">IFERROR(__xludf.DUMMYFUNCTION("""COMPUTED_VALUE"""),"UMYWALKA BELINDA MINI TRAVERTINE MATT - NABLATOWA")</f>
        <v>UMYWALKA BELINDA MINI TRAVERTINE MATT - NABLATOWA</v>
      </c>
      <c r="C131" s="23"/>
      <c r="D131" s="24">
        <f ca="1">IFERROR(__xludf.DUMMYFUNCTION("""COMPUTED_VALUE"""),249)</f>
        <v>249</v>
      </c>
      <c r="E131" s="25" t="str">
        <f ca="1">IFERROR(__xludf.DUMMYFUNCTION("""COMPUTED_VALUE"""),"REA-U4700")</f>
        <v>REA-U4700</v>
      </c>
    </row>
    <row r="132" spans="1:5" x14ac:dyDescent="0.2">
      <c r="A132" s="22">
        <f ca="1">IFERROR(__xludf.DUMMYFUNCTION("""COMPUTED_VALUE"""),45666)</f>
        <v>45666</v>
      </c>
      <c r="B132" s="23" t="str">
        <f ca="1">IFERROR(__xludf.DUMMYFUNCTION("""COMPUTED_VALUE"""),"BATERIA KUCHENNA ECO FRESH ZŁOTA SZCZOTKOWANA")</f>
        <v>BATERIA KUCHENNA ECO FRESH ZŁOTA SZCZOTKOWANA</v>
      </c>
      <c r="C132" s="23"/>
      <c r="D132" s="24">
        <f ca="1">IFERROR(__xludf.DUMMYFUNCTION("""COMPUTED_VALUE"""),349)</f>
        <v>349</v>
      </c>
      <c r="E132" s="25" t="str">
        <f ca="1">IFERROR(__xludf.DUMMYFUNCTION("""COMPUTED_VALUE"""),"REA-B7596")</f>
        <v>REA-B7596</v>
      </c>
    </row>
    <row r="133" spans="1:5" x14ac:dyDescent="0.2">
      <c r="A133" s="22">
        <f ca="1">IFERROR(__xludf.DUMMYFUNCTION("""COMPUTED_VALUE"""),45666)</f>
        <v>45666</v>
      </c>
      <c r="B133" s="23" t="str">
        <f ca="1">IFERROR(__xludf.DUMMYFUNCTION("""COMPUTED_VALUE"""),"ZLEWOZMYWAK LEO 40 BRUSH SS")</f>
        <v>ZLEWOZMYWAK LEO 40 BRUSH SS</v>
      </c>
      <c r="C133" s="23"/>
      <c r="D133" s="24">
        <f ca="1">IFERROR(__xludf.DUMMYFUNCTION("""COMPUTED_VALUE"""),349)</f>
        <v>349</v>
      </c>
      <c r="E133" s="25" t="str">
        <f ca="1">IFERROR(__xludf.DUMMYFUNCTION("""COMPUTED_VALUE"""),"ZLE-06000")</f>
        <v>ZLE-06000</v>
      </c>
    </row>
    <row r="134" spans="1:5" x14ac:dyDescent="0.2">
      <c r="A134" s="22">
        <f ca="1">IFERROR(__xludf.DUMMYFUNCTION("""COMPUTED_VALUE"""),45666)</f>
        <v>45666</v>
      </c>
      <c r="B134" s="23" t="str">
        <f ca="1">IFERROR(__xludf.DUMMYFUNCTION("""COMPUTED_VALUE"""),"ZLEWOZMYWAK LEO 40 BRUSH GOLD")</f>
        <v>ZLEWOZMYWAK LEO 40 BRUSH GOLD</v>
      </c>
      <c r="C134" s="23"/>
      <c r="D134" s="24">
        <f ca="1">IFERROR(__xludf.DUMMYFUNCTION("""COMPUTED_VALUE"""),409)</f>
        <v>409</v>
      </c>
      <c r="E134" s="25" t="str">
        <f ca="1">IFERROR(__xludf.DUMMYFUNCTION("""COMPUTED_VALUE"""),"ZLE-06001")</f>
        <v>ZLE-06001</v>
      </c>
    </row>
    <row r="135" spans="1:5" x14ac:dyDescent="0.2">
      <c r="A135" s="22">
        <f ca="1">IFERROR(__xludf.DUMMYFUNCTION("""COMPUTED_VALUE"""),45666)</f>
        <v>45666</v>
      </c>
      <c r="B135" s="23" t="str">
        <f ca="1">IFERROR(__xludf.DUMMYFUNCTION("""COMPUTED_VALUE"""),"ZLEWOZMYWAK LEO 40 BLACK")</f>
        <v>ZLEWOZMYWAK LEO 40 BLACK</v>
      </c>
      <c r="C135" s="23"/>
      <c r="D135" s="24">
        <f ca="1">IFERROR(__xludf.DUMMYFUNCTION("""COMPUTED_VALUE"""),359)</f>
        <v>359</v>
      </c>
      <c r="E135" s="25" t="str">
        <f ca="1">IFERROR(__xludf.DUMMYFUNCTION("""COMPUTED_VALUE"""),"ZLE-06002")</f>
        <v>ZLE-06002</v>
      </c>
    </row>
    <row r="136" spans="1:5" x14ac:dyDescent="0.2">
      <c r="A136" s="22">
        <f ca="1">IFERROR(__xludf.DUMMYFUNCTION("""COMPUTED_VALUE"""),45666)</f>
        <v>45666</v>
      </c>
      <c r="B136" s="23" t="str">
        <f ca="1">IFERROR(__xludf.DUMMYFUNCTION("""COMPUTED_VALUE"""),"ZLEWOZMYWAK LEO 50 BRUSH SS")</f>
        <v>ZLEWOZMYWAK LEO 50 BRUSH SS</v>
      </c>
      <c r="C136" s="23"/>
      <c r="D136" s="24">
        <f ca="1">IFERROR(__xludf.DUMMYFUNCTION("""COMPUTED_VALUE"""),389)</f>
        <v>389</v>
      </c>
      <c r="E136" s="25" t="str">
        <f ca="1">IFERROR(__xludf.DUMMYFUNCTION("""COMPUTED_VALUE"""),"ZLE-06003")</f>
        <v>ZLE-06003</v>
      </c>
    </row>
    <row r="137" spans="1:5" x14ac:dyDescent="0.2">
      <c r="A137" s="22">
        <f ca="1">IFERROR(__xludf.DUMMYFUNCTION("""COMPUTED_VALUE"""),45666)</f>
        <v>45666</v>
      </c>
      <c r="B137" s="23" t="str">
        <f ca="1">IFERROR(__xludf.DUMMYFUNCTION("""COMPUTED_VALUE"""),"ZLEWOZMYWAK LEO 50 BRUSH GOLD")</f>
        <v>ZLEWOZMYWAK LEO 50 BRUSH GOLD</v>
      </c>
      <c r="C137" s="23"/>
      <c r="D137" s="24">
        <f ca="1">IFERROR(__xludf.DUMMYFUNCTION("""COMPUTED_VALUE"""),429)</f>
        <v>429</v>
      </c>
      <c r="E137" s="25" t="str">
        <f ca="1">IFERROR(__xludf.DUMMYFUNCTION("""COMPUTED_VALUE"""),"ZLE-06004")</f>
        <v>ZLE-06004</v>
      </c>
    </row>
    <row r="138" spans="1:5" x14ac:dyDescent="0.2">
      <c r="A138" s="22">
        <f ca="1">IFERROR(__xludf.DUMMYFUNCTION("""COMPUTED_VALUE"""),45666)</f>
        <v>45666</v>
      </c>
      <c r="B138" s="23" t="str">
        <f ca="1">IFERROR(__xludf.DUMMYFUNCTION("""COMPUTED_VALUE"""),"ZLEWOZMYWAK LEO 50 BLACK")</f>
        <v>ZLEWOZMYWAK LEO 50 BLACK</v>
      </c>
      <c r="C138" s="23"/>
      <c r="D138" s="24">
        <f ca="1">IFERROR(__xludf.DUMMYFUNCTION("""COMPUTED_VALUE"""),399)</f>
        <v>399</v>
      </c>
      <c r="E138" s="25" t="str">
        <f ca="1">IFERROR(__xludf.DUMMYFUNCTION("""COMPUTED_VALUE"""),"ZLE-06005")</f>
        <v>ZLE-06005</v>
      </c>
    </row>
    <row r="139" spans="1:5" x14ac:dyDescent="0.2">
      <c r="A139" s="22">
        <f ca="1">IFERROR(__xludf.DUMMYFUNCTION("""COMPUTED_VALUE"""),45666)</f>
        <v>45666</v>
      </c>
      <c r="B139" s="23" t="str">
        <f ca="1">IFERROR(__xludf.DUMMYFUNCTION("""COMPUTED_VALUE"""),"ZLEWOZMYWAK LIAM BRUSH SS")</f>
        <v>ZLEWOZMYWAK LIAM BRUSH SS</v>
      </c>
      <c r="C139" s="23"/>
      <c r="D139" s="24">
        <f ca="1">IFERROR(__xludf.DUMMYFUNCTION("""COMPUTED_VALUE"""),429)</f>
        <v>429</v>
      </c>
      <c r="E139" s="25" t="str">
        <f ca="1">IFERROR(__xludf.DUMMYFUNCTION("""COMPUTED_VALUE"""),"ZLE-06006")</f>
        <v>ZLE-06006</v>
      </c>
    </row>
    <row r="140" spans="1:5" x14ac:dyDescent="0.2">
      <c r="A140" s="22">
        <f ca="1">IFERROR(__xludf.DUMMYFUNCTION("""COMPUTED_VALUE"""),45666)</f>
        <v>45666</v>
      </c>
      <c r="B140" s="23" t="str">
        <f ca="1">IFERROR(__xludf.DUMMYFUNCTION("""COMPUTED_VALUE"""),"ZLEWOZMYWAK LIAM BRUSH GOLD")</f>
        <v>ZLEWOZMYWAK LIAM BRUSH GOLD</v>
      </c>
      <c r="C140" s="23"/>
      <c r="D140" s="24">
        <f ca="1">IFERROR(__xludf.DUMMYFUNCTION("""COMPUTED_VALUE"""),469)</f>
        <v>469</v>
      </c>
      <c r="E140" s="25" t="str">
        <f ca="1">IFERROR(__xludf.DUMMYFUNCTION("""COMPUTED_VALUE"""),"ZLE-06007")</f>
        <v>ZLE-06007</v>
      </c>
    </row>
    <row r="141" spans="1:5" x14ac:dyDescent="0.2">
      <c r="A141" s="22">
        <f ca="1">IFERROR(__xludf.DUMMYFUNCTION("""COMPUTED_VALUE"""),45666)</f>
        <v>45666</v>
      </c>
      <c r="B141" s="23" t="str">
        <f ca="1">IFERROR(__xludf.DUMMYFUNCTION("""COMPUTED_VALUE"""),"ZLEWOZMYWAK LIAM BLACK")</f>
        <v>ZLEWOZMYWAK LIAM BLACK</v>
      </c>
      <c r="C141" s="23"/>
      <c r="D141" s="24">
        <f ca="1">IFERROR(__xludf.DUMMYFUNCTION("""COMPUTED_VALUE"""),439)</f>
        <v>439</v>
      </c>
      <c r="E141" s="25" t="str">
        <f ca="1">IFERROR(__xludf.DUMMYFUNCTION("""COMPUTED_VALUE"""),"ZLE-06008")</f>
        <v>ZLE-06008</v>
      </c>
    </row>
    <row r="142" spans="1:5" x14ac:dyDescent="0.2">
      <c r="A142" s="22">
        <f ca="1">IFERROR(__xludf.DUMMYFUNCTION("""COMPUTED_VALUE"""),45666)</f>
        <v>45666</v>
      </c>
      <c r="B142" s="23" t="str">
        <f ca="1">IFERROR(__xludf.DUMMYFUNCTION("""COMPUTED_VALUE"""),"ZLEWOZMYWAK PAUL BRUSH SS")</f>
        <v>ZLEWOZMYWAK PAUL BRUSH SS</v>
      </c>
      <c r="C142" s="23"/>
      <c r="D142" s="24">
        <f ca="1">IFERROR(__xludf.DUMMYFUNCTION("""COMPUTED_VALUE"""),539)</f>
        <v>539</v>
      </c>
      <c r="E142" s="25" t="str">
        <f ca="1">IFERROR(__xludf.DUMMYFUNCTION("""COMPUTED_VALUE"""),"ZLE-06009")</f>
        <v>ZLE-06009</v>
      </c>
    </row>
    <row r="143" spans="1:5" x14ac:dyDescent="0.2">
      <c r="A143" s="22">
        <f ca="1">IFERROR(__xludf.DUMMYFUNCTION("""COMPUTED_VALUE"""),45666)</f>
        <v>45666</v>
      </c>
      <c r="B143" s="23" t="str">
        <f ca="1">IFERROR(__xludf.DUMMYFUNCTION("""COMPUTED_VALUE"""),"ZLEWOZMYWAK PAUL BRUSH GOLD")</f>
        <v>ZLEWOZMYWAK PAUL BRUSH GOLD</v>
      </c>
      <c r="C143" s="23"/>
      <c r="D143" s="24">
        <f ca="1">IFERROR(__xludf.DUMMYFUNCTION("""COMPUTED_VALUE"""),579)</f>
        <v>579</v>
      </c>
      <c r="E143" s="25" t="str">
        <f ca="1">IFERROR(__xludf.DUMMYFUNCTION("""COMPUTED_VALUE"""),"ZLE-06010")</f>
        <v>ZLE-06010</v>
      </c>
    </row>
    <row r="144" spans="1:5" x14ac:dyDescent="0.2">
      <c r="A144" s="22">
        <f ca="1">IFERROR(__xludf.DUMMYFUNCTION("""COMPUTED_VALUE"""),45666)</f>
        <v>45666</v>
      </c>
      <c r="B144" s="23" t="str">
        <f ca="1">IFERROR(__xludf.DUMMYFUNCTION("""COMPUTED_VALUE"""),"ZLEWOZMYWAK PAUL BLACK")</f>
        <v>ZLEWOZMYWAK PAUL BLACK</v>
      </c>
      <c r="C144" s="23"/>
      <c r="D144" s="24">
        <f ca="1">IFERROR(__xludf.DUMMYFUNCTION("""COMPUTED_VALUE"""),549)</f>
        <v>549</v>
      </c>
      <c r="E144" s="25" t="str">
        <f ca="1">IFERROR(__xludf.DUMMYFUNCTION("""COMPUTED_VALUE"""),"ZLE-06011")</f>
        <v>ZLE-06011</v>
      </c>
    </row>
    <row r="145" spans="1:5" x14ac:dyDescent="0.2">
      <c r="A145" s="22">
        <f ca="1">IFERROR(__xludf.DUMMYFUNCTION("""COMPUTED_VALUE"""),45666)</f>
        <v>45666</v>
      </c>
      <c r="B145" s="23" t="str">
        <f ca="1">IFERROR(__xludf.DUMMYFUNCTION("""COMPUTED_VALUE"""),"ZLEWOZMYWAK FIN BRUSH SS")</f>
        <v>ZLEWOZMYWAK FIN BRUSH SS</v>
      </c>
      <c r="C145" s="23"/>
      <c r="D145" s="24">
        <f ca="1">IFERROR(__xludf.DUMMYFUNCTION("""COMPUTED_VALUE"""),579)</f>
        <v>579</v>
      </c>
      <c r="E145" s="25" t="str">
        <f ca="1">IFERROR(__xludf.DUMMYFUNCTION("""COMPUTED_VALUE"""),"ZLE-06012")</f>
        <v>ZLE-06012</v>
      </c>
    </row>
    <row r="146" spans="1:5" x14ac:dyDescent="0.2">
      <c r="A146" s="22">
        <f ca="1">IFERROR(__xludf.DUMMYFUNCTION("""COMPUTED_VALUE"""),45666)</f>
        <v>45666</v>
      </c>
      <c r="B146" s="23" t="str">
        <f ca="1">IFERROR(__xludf.DUMMYFUNCTION("""COMPUTED_VALUE"""),"ZLEWOZMYWAK FIN BRUSH GOLD")</f>
        <v>ZLEWOZMYWAK FIN BRUSH GOLD</v>
      </c>
      <c r="C146" s="23"/>
      <c r="D146" s="24">
        <f ca="1">IFERROR(__xludf.DUMMYFUNCTION("""COMPUTED_VALUE"""),619)</f>
        <v>619</v>
      </c>
      <c r="E146" s="25" t="str">
        <f ca="1">IFERROR(__xludf.DUMMYFUNCTION("""COMPUTED_VALUE"""),"ZLE-06013")</f>
        <v>ZLE-06013</v>
      </c>
    </row>
    <row r="147" spans="1:5" x14ac:dyDescent="0.2">
      <c r="A147" s="22">
        <f ca="1">IFERROR(__xludf.DUMMYFUNCTION("""COMPUTED_VALUE"""),45666)</f>
        <v>45666</v>
      </c>
      <c r="B147" s="23" t="str">
        <f ca="1">IFERROR(__xludf.DUMMYFUNCTION("""COMPUTED_VALUE"""),"ZLEWOZMYWAK FIN BLACK")</f>
        <v>ZLEWOZMYWAK FIN BLACK</v>
      </c>
      <c r="C147" s="23"/>
      <c r="D147" s="24">
        <f ca="1">IFERROR(__xludf.DUMMYFUNCTION("""COMPUTED_VALUE"""),589)</f>
        <v>589</v>
      </c>
      <c r="E147" s="25" t="str">
        <f ca="1">IFERROR(__xludf.DUMMYFUNCTION("""COMPUTED_VALUE"""),"ZLE-06014")</f>
        <v>ZLE-06014</v>
      </c>
    </row>
    <row r="148" spans="1:5" x14ac:dyDescent="0.2">
      <c r="A148" s="22">
        <f ca="1">IFERROR(__xludf.DUMMYFUNCTION("""COMPUTED_VALUE"""),45666)</f>
        <v>45666</v>
      </c>
      <c r="B148" s="23" t="str">
        <f ca="1">IFERROR(__xludf.DUMMYFUNCTION("""COMPUTED_VALUE"""),"ZESTAW NATRYSKOWY KARL TYTAN")</f>
        <v>ZESTAW NATRYSKOWY KARL TYTAN</v>
      </c>
      <c r="C148" s="23"/>
      <c r="D148" s="24">
        <f ca="1">IFERROR(__xludf.DUMMYFUNCTION("""COMPUTED_VALUE"""),1179)</f>
        <v>1179</v>
      </c>
      <c r="E148" s="25" t="str">
        <f ca="1">IFERROR(__xludf.DUMMYFUNCTION("""COMPUTED_VALUE"""),"REA-P4880")</f>
        <v>REA-P4880</v>
      </c>
    </row>
    <row r="149" spans="1:5" x14ac:dyDescent="0.2">
      <c r="A149" s="22">
        <f ca="1">IFERROR(__xludf.DUMMYFUNCTION("""COMPUTED_VALUE"""),45666)</f>
        <v>45666</v>
      </c>
      <c r="B149" s="23" t="str">
        <f ca="1">IFERROR(__xludf.DUMMYFUNCTION("""COMPUTED_VALUE"""),"ZESTAW NATRYSKOWY BARI TYTAN")</f>
        <v>ZESTAW NATRYSKOWY BARI TYTAN</v>
      </c>
      <c r="C149" s="23"/>
      <c r="D149" s="24">
        <f ca="1">IFERROR(__xludf.DUMMYFUNCTION("""COMPUTED_VALUE"""),799)</f>
        <v>799</v>
      </c>
      <c r="E149" s="25" t="str">
        <f ca="1">IFERROR(__xludf.DUMMYFUNCTION("""COMPUTED_VALUE"""),"REA-P0890")</f>
        <v>REA-P0890</v>
      </c>
    </row>
    <row r="150" spans="1:5" x14ac:dyDescent="0.2">
      <c r="A150" s="22">
        <f ca="1">IFERROR(__xludf.DUMMYFUNCTION("""COMPUTED_VALUE"""),45666)</f>
        <v>45666</v>
      </c>
      <c r="B150" s="23" t="str">
        <f ca="1">IFERROR(__xludf.DUMMYFUNCTION("""COMPUTED_VALUE"""),"ZESTAW NATRYSKOWY BARI CZARNY")</f>
        <v>ZESTAW NATRYSKOWY BARI CZARNY</v>
      </c>
      <c r="C150" s="23"/>
      <c r="D150" s="24">
        <f ca="1">IFERROR(__xludf.DUMMYFUNCTION("""COMPUTED_VALUE"""),759)</f>
        <v>759</v>
      </c>
      <c r="E150" s="25" t="str">
        <f ca="1">IFERROR(__xludf.DUMMYFUNCTION("""COMPUTED_VALUE"""),"REA-P0891")</f>
        <v>REA-P0891</v>
      </c>
    </row>
    <row r="151" spans="1:5" x14ac:dyDescent="0.2">
      <c r="A151" s="22">
        <f ca="1">IFERROR(__xludf.DUMMYFUNCTION("""COMPUTED_VALUE"""),45666)</f>
        <v>45666</v>
      </c>
      <c r="B151" s="23" t="str">
        <f ca="1">IFERROR(__xludf.DUMMYFUNCTION("""COMPUTED_VALUE"""),"ZESTAW NATRYSKOWY BARI BIAŁY")</f>
        <v>ZESTAW NATRYSKOWY BARI BIAŁY</v>
      </c>
      <c r="C151" s="23"/>
      <c r="D151" s="24">
        <f ca="1">IFERROR(__xludf.DUMMYFUNCTION("""COMPUTED_VALUE"""),759)</f>
        <v>759</v>
      </c>
      <c r="E151" s="25" t="str">
        <f ca="1">IFERROR(__xludf.DUMMYFUNCTION("""COMPUTED_VALUE"""),"REA-P0895")</f>
        <v>REA-P0895</v>
      </c>
    </row>
    <row r="152" spans="1:5" x14ac:dyDescent="0.2">
      <c r="A152" s="22">
        <f ca="1">IFERROR(__xludf.DUMMYFUNCTION("""COMPUTED_VALUE"""),45666)</f>
        <v>45666</v>
      </c>
      <c r="B152" s="23" t="str">
        <f ca="1">IFERROR(__xludf.DUMMYFUNCTION("""COMPUTED_VALUE"""),"ZESTAW NATRYSKOWY PEDRO TYTAN")</f>
        <v>ZESTAW NATRYSKOWY PEDRO TYTAN</v>
      </c>
      <c r="C152" s="23"/>
      <c r="D152" s="24">
        <f ca="1">IFERROR(__xludf.DUMMYFUNCTION("""COMPUTED_VALUE"""),1099)</f>
        <v>1099</v>
      </c>
      <c r="E152" s="25" t="str">
        <f ca="1">IFERROR(__xludf.DUMMYFUNCTION("""COMPUTED_VALUE"""),"REA-P0896")</f>
        <v>REA-P0896</v>
      </c>
    </row>
    <row r="153" spans="1:5" x14ac:dyDescent="0.2">
      <c r="A153" s="22">
        <f ca="1">IFERROR(__xludf.DUMMYFUNCTION("""COMPUTED_VALUE"""),45666)</f>
        <v>45666</v>
      </c>
      <c r="B153" s="23" t="str">
        <f ca="1">IFERROR(__xludf.DUMMYFUNCTION("""COMPUTED_VALUE"""),"ZESTAW NATRYSKOWY PEDRO CZARNY")</f>
        <v>ZESTAW NATRYSKOWY PEDRO CZARNY</v>
      </c>
      <c r="C153" s="23"/>
      <c r="D153" s="24">
        <f ca="1">IFERROR(__xludf.DUMMYFUNCTION("""COMPUTED_VALUE"""),1059)</f>
        <v>1059</v>
      </c>
      <c r="E153" s="25" t="str">
        <f ca="1">IFERROR(__xludf.DUMMYFUNCTION("""COMPUTED_VALUE"""),"REA-P0897")</f>
        <v>REA-P0897</v>
      </c>
    </row>
    <row r="154" spans="1:5" x14ac:dyDescent="0.2">
      <c r="A154" s="22">
        <f ca="1">IFERROR(__xludf.DUMMYFUNCTION("""COMPUTED_VALUE"""),45666)</f>
        <v>45666</v>
      </c>
      <c r="B154" s="23" t="str">
        <f ca="1">IFERROR(__xludf.DUMMYFUNCTION("""COMPUTED_VALUE"""),"WANNA CAPRI 160")</f>
        <v>WANNA CAPRI 160</v>
      </c>
      <c r="C154" s="23"/>
      <c r="D154" s="24">
        <f ca="1">IFERROR(__xludf.DUMMYFUNCTION("""COMPUTED_VALUE"""),3199)</f>
        <v>3199</v>
      </c>
      <c r="E154" s="25" t="str">
        <f ca="1">IFERROR(__xludf.DUMMYFUNCTION("""COMPUTED_VALUE"""),"REA-W9803")</f>
        <v>REA-W9803</v>
      </c>
    </row>
    <row r="155" spans="1:5" x14ac:dyDescent="0.2">
      <c r="A155" s="22">
        <f ca="1">IFERROR(__xludf.DUMMYFUNCTION("""COMPUTED_VALUE"""),45666)</f>
        <v>45666</v>
      </c>
      <c r="B155" s="23" t="str">
        <f ca="1">IFERROR(__xludf.DUMMYFUNCTION("""COMPUTED_VALUE"""),"ODPŁYW NEOX PRO MIEDŹ SZCZOTKOWANA 600")</f>
        <v>ODPŁYW NEOX PRO MIEDŹ SZCZOTKOWANA 600</v>
      </c>
      <c r="C155" s="23"/>
      <c r="D155" s="24">
        <f ca="1">IFERROR(__xludf.DUMMYFUNCTION("""COMPUTED_VALUE"""),289)</f>
        <v>289</v>
      </c>
      <c r="E155" s="25" t="str">
        <f ca="1">IFERROR(__xludf.DUMMYFUNCTION("""COMPUTED_VALUE"""),"REA-G4800")</f>
        <v>REA-G4800</v>
      </c>
    </row>
    <row r="156" spans="1:5" x14ac:dyDescent="0.2">
      <c r="A156" s="22">
        <f ca="1">IFERROR(__xludf.DUMMYFUNCTION("""COMPUTED_VALUE"""),45666)</f>
        <v>45666</v>
      </c>
      <c r="B156" s="23" t="str">
        <f ca="1">IFERROR(__xludf.DUMMYFUNCTION("""COMPUTED_VALUE"""),"ODPŁYW NEOX PRO MIEDŹ SZCZOTKOWANA 700")</f>
        <v>ODPŁYW NEOX PRO MIEDŹ SZCZOTKOWANA 700</v>
      </c>
      <c r="C156" s="23"/>
      <c r="D156" s="24">
        <f ca="1">IFERROR(__xludf.DUMMYFUNCTION("""COMPUTED_VALUE"""),309)</f>
        <v>309</v>
      </c>
      <c r="E156" s="25" t="str">
        <f ca="1">IFERROR(__xludf.DUMMYFUNCTION("""COMPUTED_VALUE"""),"REA-G4801")</f>
        <v>REA-G4801</v>
      </c>
    </row>
    <row r="157" spans="1:5" x14ac:dyDescent="0.2">
      <c r="A157" s="22">
        <f ca="1">IFERROR(__xludf.DUMMYFUNCTION("""COMPUTED_VALUE"""),45666)</f>
        <v>45666</v>
      </c>
      <c r="B157" s="23" t="str">
        <f ca="1">IFERROR(__xludf.DUMMYFUNCTION("""COMPUTED_VALUE"""),"ODPŁYW NEOX PRO MIEDŹ SZCZOTKOWANA 800")</f>
        <v>ODPŁYW NEOX PRO MIEDŹ SZCZOTKOWANA 800</v>
      </c>
      <c r="C157" s="23"/>
      <c r="D157" s="24">
        <f ca="1">IFERROR(__xludf.DUMMYFUNCTION("""COMPUTED_VALUE"""),319)</f>
        <v>319</v>
      </c>
      <c r="E157" s="25" t="str">
        <f ca="1">IFERROR(__xludf.DUMMYFUNCTION("""COMPUTED_VALUE"""),"REA-G4802")</f>
        <v>REA-G4802</v>
      </c>
    </row>
    <row r="158" spans="1:5" x14ac:dyDescent="0.2">
      <c r="A158" s="22">
        <f ca="1">IFERROR(__xludf.DUMMYFUNCTION("""COMPUTED_VALUE"""),45666)</f>
        <v>45666</v>
      </c>
      <c r="B158" s="23" t="str">
        <f ca="1">IFERROR(__xludf.DUMMYFUNCTION("""COMPUTED_VALUE"""),"ODPŁYW NEOX PRO MIEDŹ SZCZOTKOWANA 900")</f>
        <v>ODPŁYW NEOX PRO MIEDŹ SZCZOTKOWANA 900</v>
      </c>
      <c r="C158" s="23"/>
      <c r="D158" s="24">
        <f ca="1">IFERROR(__xludf.DUMMYFUNCTION("""COMPUTED_VALUE"""),339)</f>
        <v>339</v>
      </c>
      <c r="E158" s="25" t="str">
        <f ca="1">IFERROR(__xludf.DUMMYFUNCTION("""COMPUTED_VALUE"""),"REA-G4803")</f>
        <v>REA-G4803</v>
      </c>
    </row>
    <row r="159" spans="1:5" x14ac:dyDescent="0.2">
      <c r="A159" s="22">
        <f ca="1">IFERROR(__xludf.DUMMYFUNCTION("""COMPUTED_VALUE"""),45666)</f>
        <v>45666</v>
      </c>
      <c r="B159" s="23" t="str">
        <f ca="1">IFERROR(__xludf.DUMMYFUNCTION("""COMPUTED_VALUE"""),"ODPŁYW NEOX PRO MIEDŹ SZCZOTKOWANA 1000")</f>
        <v>ODPŁYW NEOX PRO MIEDŹ SZCZOTKOWANA 1000</v>
      </c>
      <c r="C159" s="23"/>
      <c r="D159" s="24">
        <f ca="1">IFERROR(__xludf.DUMMYFUNCTION("""COMPUTED_VALUE"""),369)</f>
        <v>369</v>
      </c>
      <c r="E159" s="25" t="str">
        <f ca="1">IFERROR(__xludf.DUMMYFUNCTION("""COMPUTED_VALUE"""),"REA-G4804")</f>
        <v>REA-G4804</v>
      </c>
    </row>
    <row r="160" spans="1:5" x14ac:dyDescent="0.2">
      <c r="A160" s="22">
        <f ca="1">IFERROR(__xludf.DUMMYFUNCTION("""COMPUTED_VALUE"""),45666)</f>
        <v>45666</v>
      </c>
      <c r="B160" s="23" t="str">
        <f ca="1">IFERROR(__xludf.DUMMYFUNCTION("""COMPUTED_VALUE"""),"ODPŁYW NEOX SLIM PRO MIEDŹ SZCZOTKOWANA 600")</f>
        <v>ODPŁYW NEOX SLIM PRO MIEDŹ SZCZOTKOWANA 600</v>
      </c>
      <c r="C160" s="23"/>
      <c r="D160" s="24">
        <f ca="1">IFERROR(__xludf.DUMMYFUNCTION("""COMPUTED_VALUE"""),279)</f>
        <v>279</v>
      </c>
      <c r="E160" s="25" t="str">
        <f ca="1">IFERROR(__xludf.DUMMYFUNCTION("""COMPUTED_VALUE"""),"REA-G4805")</f>
        <v>REA-G4805</v>
      </c>
    </row>
    <row r="161" spans="1:5" x14ac:dyDescent="0.2">
      <c r="A161" s="22">
        <f ca="1">IFERROR(__xludf.DUMMYFUNCTION("""COMPUTED_VALUE"""),45666)</f>
        <v>45666</v>
      </c>
      <c r="B161" s="23" t="str">
        <f ca="1">IFERROR(__xludf.DUMMYFUNCTION("""COMPUTED_VALUE"""),"ODPŁYW NEOX SLIM PRO MIEDŹ SZCZOTKOWANA 700")</f>
        <v>ODPŁYW NEOX SLIM PRO MIEDŹ SZCZOTKOWANA 700</v>
      </c>
      <c r="C161" s="23"/>
      <c r="D161" s="24">
        <f ca="1">IFERROR(__xludf.DUMMYFUNCTION("""COMPUTED_VALUE"""),299)</f>
        <v>299</v>
      </c>
      <c r="E161" s="25" t="str">
        <f ca="1">IFERROR(__xludf.DUMMYFUNCTION("""COMPUTED_VALUE"""),"REA-G4806")</f>
        <v>REA-G4806</v>
      </c>
    </row>
    <row r="162" spans="1:5" x14ac:dyDescent="0.2">
      <c r="A162" s="22">
        <f ca="1">IFERROR(__xludf.DUMMYFUNCTION("""COMPUTED_VALUE"""),45666)</f>
        <v>45666</v>
      </c>
      <c r="B162" s="23" t="str">
        <f ca="1">IFERROR(__xludf.DUMMYFUNCTION("""COMPUTED_VALUE"""),"ODPŁYW NEOX SLIM PRO MIEDŹ SZCZOTKOWANA 800")</f>
        <v>ODPŁYW NEOX SLIM PRO MIEDŹ SZCZOTKOWANA 800</v>
      </c>
      <c r="C162" s="23"/>
      <c r="D162" s="24">
        <f ca="1">IFERROR(__xludf.DUMMYFUNCTION("""COMPUTED_VALUE"""),309)</f>
        <v>309</v>
      </c>
      <c r="E162" s="25" t="str">
        <f ca="1">IFERROR(__xludf.DUMMYFUNCTION("""COMPUTED_VALUE"""),"REA-G4807")</f>
        <v>REA-G4807</v>
      </c>
    </row>
    <row r="163" spans="1:5" x14ac:dyDescent="0.2">
      <c r="A163" s="22">
        <f ca="1">IFERROR(__xludf.DUMMYFUNCTION("""COMPUTED_VALUE"""),45666)</f>
        <v>45666</v>
      </c>
      <c r="B163" s="23" t="str">
        <f ca="1">IFERROR(__xludf.DUMMYFUNCTION("""COMPUTED_VALUE"""),"ODPŁYW NEOX SLIM PRO MIEDŹ SZCZOTKOWANA 900")</f>
        <v>ODPŁYW NEOX SLIM PRO MIEDŹ SZCZOTKOWANA 900</v>
      </c>
      <c r="C163" s="23"/>
      <c r="D163" s="24">
        <f ca="1">IFERROR(__xludf.DUMMYFUNCTION("""COMPUTED_VALUE"""),329)</f>
        <v>329</v>
      </c>
      <c r="E163" s="25" t="str">
        <f ca="1">IFERROR(__xludf.DUMMYFUNCTION("""COMPUTED_VALUE"""),"REA-G4808")</f>
        <v>REA-G4808</v>
      </c>
    </row>
    <row r="164" spans="1:5" x14ac:dyDescent="0.2">
      <c r="A164" s="22">
        <f ca="1">IFERROR(__xludf.DUMMYFUNCTION("""COMPUTED_VALUE"""),45666)</f>
        <v>45666</v>
      </c>
      <c r="B164" s="23" t="str">
        <f ca="1">IFERROR(__xludf.DUMMYFUNCTION("""COMPUTED_VALUE"""),"ODPŁYW NEOX SLIM PRO MIEDŹ SZCZOTKOWANA 1000")</f>
        <v>ODPŁYW NEOX SLIM PRO MIEDŹ SZCZOTKOWANA 1000</v>
      </c>
      <c r="C164" s="23"/>
      <c r="D164" s="24">
        <f ca="1">IFERROR(__xludf.DUMMYFUNCTION("""COMPUTED_VALUE"""),359)</f>
        <v>359</v>
      </c>
      <c r="E164" s="25" t="str">
        <f ca="1">IFERROR(__xludf.DUMMYFUNCTION("""COMPUTED_VALUE"""),"REA-G4809")</f>
        <v>REA-G4809</v>
      </c>
    </row>
    <row r="165" spans="1:5" x14ac:dyDescent="0.2">
      <c r="A165" s="22">
        <f ca="1">IFERROR(__xludf.DUMMYFUNCTION("""COMPUTED_VALUE"""),45666)</f>
        <v>45666</v>
      </c>
      <c r="B165" s="23" t="str">
        <f ca="1">IFERROR(__xludf.DUMMYFUNCTION("""COMPUTED_VALUE"""),"ODPŁYW NEOX SLIM PRO SZCZOTKOWANY 700")</f>
        <v>ODPŁYW NEOX SLIM PRO SZCZOTKOWANY 700</v>
      </c>
      <c r="C165" s="23"/>
      <c r="D165" s="24">
        <f ca="1">IFERROR(__xludf.DUMMYFUNCTION("""COMPUTED_VALUE"""),229)</f>
        <v>229</v>
      </c>
      <c r="E165" s="25" t="str">
        <f ca="1">IFERROR(__xludf.DUMMYFUNCTION("""COMPUTED_VALUE"""),"REA-G4810")</f>
        <v>REA-G4810</v>
      </c>
    </row>
    <row r="166" spans="1:5" x14ac:dyDescent="0.2">
      <c r="A166" s="22">
        <f ca="1">IFERROR(__xludf.DUMMYFUNCTION("""COMPUTED_VALUE"""),45666)</f>
        <v>45666</v>
      </c>
      <c r="B166" s="23" t="str">
        <f ca="1">IFERROR(__xludf.DUMMYFUNCTION("""COMPUTED_VALUE"""),"ODPŁYW NEOX SLIM PRO SZCZOTKOWANY 900")</f>
        <v>ODPŁYW NEOX SLIM PRO SZCZOTKOWANY 900</v>
      </c>
      <c r="C166" s="23"/>
      <c r="D166" s="24">
        <f ca="1">IFERROR(__xludf.DUMMYFUNCTION("""COMPUTED_VALUE"""),249)</f>
        <v>249</v>
      </c>
      <c r="E166" s="25" t="str">
        <f ca="1">IFERROR(__xludf.DUMMYFUNCTION("""COMPUTED_VALUE"""),"REA-G4811")</f>
        <v>REA-G4811</v>
      </c>
    </row>
    <row r="167" spans="1:5" x14ac:dyDescent="0.2">
      <c r="A167" s="22">
        <f ca="1">IFERROR(__xludf.DUMMYFUNCTION("""COMPUTED_VALUE"""),45666)</f>
        <v>45666</v>
      </c>
      <c r="B167" s="23" t="str">
        <f ca="1">IFERROR(__xludf.DUMMYFUNCTION("""COMPUTED_VALUE"""),"PÓŁKA ŁAZIENKOWA SF01-450 BRUSH")</f>
        <v>PÓŁKA ŁAZIENKOWA SF01-450 BRUSH</v>
      </c>
      <c r="C167" s="23"/>
      <c r="D167" s="24">
        <f ca="1">IFERROR(__xludf.DUMMYFUNCTION("""COMPUTED_VALUE"""),139)</f>
        <v>139</v>
      </c>
      <c r="E167" s="25" t="str">
        <f ca="1">IFERROR(__xludf.DUMMYFUNCTION("""COMPUTED_VALUE"""),"REA-47000")</f>
        <v>REA-47000</v>
      </c>
    </row>
    <row r="168" spans="1:5" x14ac:dyDescent="0.2">
      <c r="A168" s="22">
        <f ca="1">IFERROR(__xludf.DUMMYFUNCTION("""COMPUTED_VALUE"""),45666)</f>
        <v>45666</v>
      </c>
      <c r="B168" s="23" t="str">
        <f ca="1">IFERROR(__xludf.DUMMYFUNCTION("""COMPUTED_VALUE"""),"PÓŁKA ŁAZIENKOWA SF02-600 BRUSH")</f>
        <v>PÓŁKA ŁAZIENKOWA SF02-600 BRUSH</v>
      </c>
      <c r="C168" s="23"/>
      <c r="D168" s="24">
        <f ca="1">IFERROR(__xludf.DUMMYFUNCTION("""COMPUTED_VALUE"""),149)</f>
        <v>149</v>
      </c>
      <c r="E168" s="25" t="str">
        <f ca="1">IFERROR(__xludf.DUMMYFUNCTION("""COMPUTED_VALUE"""),"REA-47001")</f>
        <v>REA-47001</v>
      </c>
    </row>
    <row r="169" spans="1:5" x14ac:dyDescent="0.2">
      <c r="A169" s="22">
        <f ca="1">IFERROR(__xludf.DUMMYFUNCTION("""COMPUTED_VALUE"""),45666)</f>
        <v>45666</v>
      </c>
      <c r="B169" s="23" t="str">
        <f ca="1">IFERROR(__xludf.DUMMYFUNCTION("""COMPUTED_VALUE"""),"PÓŁKA ŁAZIENKOWA SF03-450 BRUSH")</f>
        <v>PÓŁKA ŁAZIENKOWA SF03-450 BRUSH</v>
      </c>
      <c r="C169" s="23"/>
      <c r="D169" s="24">
        <f ca="1">IFERROR(__xludf.DUMMYFUNCTION("""COMPUTED_VALUE"""),119)</f>
        <v>119</v>
      </c>
      <c r="E169" s="25" t="str">
        <f ca="1">IFERROR(__xludf.DUMMYFUNCTION("""COMPUTED_VALUE"""),"REA-47002")</f>
        <v>REA-47002</v>
      </c>
    </row>
    <row r="170" spans="1:5" x14ac:dyDescent="0.2">
      <c r="A170" s="22">
        <f ca="1">IFERROR(__xludf.DUMMYFUNCTION("""COMPUTED_VALUE"""),45666)</f>
        <v>45666</v>
      </c>
      <c r="B170" s="23" t="str">
        <f ca="1">IFERROR(__xludf.DUMMYFUNCTION("""COMPUTED_VALUE"""),"PÓŁKA ŁAZIENKOWA SF03-600 BRUSH")</f>
        <v>PÓŁKA ŁAZIENKOWA SF03-600 BRUSH</v>
      </c>
      <c r="C170" s="23"/>
      <c r="D170" s="24">
        <f ca="1">IFERROR(__xludf.DUMMYFUNCTION("""COMPUTED_VALUE"""),139)</f>
        <v>139</v>
      </c>
      <c r="E170" s="25" t="str">
        <f ca="1">IFERROR(__xludf.DUMMYFUNCTION("""COMPUTED_VALUE"""),"REA-47003")</f>
        <v>REA-47003</v>
      </c>
    </row>
    <row r="171" spans="1:5" x14ac:dyDescent="0.2">
      <c r="A171" s="22">
        <f ca="1">IFERROR(__xludf.DUMMYFUNCTION("""COMPUTED_VALUE"""),45666)</f>
        <v>45666</v>
      </c>
      <c r="B171" s="23" t="str">
        <f ca="1">IFERROR(__xludf.DUMMYFUNCTION("""COMPUTED_VALUE"""),"PÓŁKA ŁAZIENKOWA SF04-600 BRUSH")</f>
        <v>PÓŁKA ŁAZIENKOWA SF04-600 BRUSH</v>
      </c>
      <c r="C171" s="23"/>
      <c r="D171" s="24">
        <f ca="1">IFERROR(__xludf.DUMMYFUNCTION("""COMPUTED_VALUE"""),139)</f>
        <v>139</v>
      </c>
      <c r="E171" s="25" t="str">
        <f ca="1">IFERROR(__xludf.DUMMYFUNCTION("""COMPUTED_VALUE"""),"REA-47004")</f>
        <v>REA-47004</v>
      </c>
    </row>
    <row r="172" spans="1:5" x14ac:dyDescent="0.2">
      <c r="A172" s="22">
        <f ca="1">IFERROR(__xludf.DUMMYFUNCTION("""COMPUTED_VALUE"""),45666)</f>
        <v>45666</v>
      </c>
      <c r="B172" s="23" t="str">
        <f ca="1">IFERROR(__xludf.DUMMYFUNCTION("""COMPUTED_VALUE"""),"PÓŁKA ŁAZIENKOWA SF07 BRUSH")</f>
        <v>PÓŁKA ŁAZIENKOWA SF07 BRUSH</v>
      </c>
      <c r="C172" s="23"/>
      <c r="D172" s="24">
        <f ca="1">IFERROR(__xludf.DUMMYFUNCTION("""COMPUTED_VALUE"""),139)</f>
        <v>139</v>
      </c>
      <c r="E172" s="25" t="str">
        <f ca="1">IFERROR(__xludf.DUMMYFUNCTION("""COMPUTED_VALUE"""),"REA-47005")</f>
        <v>REA-47005</v>
      </c>
    </row>
    <row r="173" spans="1:5" x14ac:dyDescent="0.2">
      <c r="A173" s="22">
        <f ca="1">IFERROR(__xludf.DUMMYFUNCTION("""COMPUTED_VALUE"""),45666)</f>
        <v>45666</v>
      </c>
      <c r="B173" s="23" t="str">
        <f ca="1">IFERROR(__xludf.DUMMYFUNCTION("""COMPUTED_VALUE"""),"PÓŁKA PODTYNKOWA 07 30x30x10 ZŁOTY SZCZOTKOWANY")</f>
        <v>PÓŁKA PODTYNKOWA 07 30x30x10 ZŁOTY SZCZOTKOWANY</v>
      </c>
      <c r="C173" s="23"/>
      <c r="D173" s="24">
        <f ca="1">IFERROR(__xludf.DUMMYFUNCTION("""COMPUTED_VALUE"""),339)</f>
        <v>339</v>
      </c>
      <c r="E173" s="25" t="str">
        <f ca="1">IFERROR(__xludf.DUMMYFUNCTION("""COMPUTED_VALUE"""),"REA-05606")</f>
        <v>REA-05606</v>
      </c>
    </row>
    <row r="174" spans="1:5" x14ac:dyDescent="0.2">
      <c r="A174" s="22">
        <f ca="1">IFERROR(__xludf.DUMMYFUNCTION("""COMPUTED_VALUE"""),45666)</f>
        <v>45666</v>
      </c>
      <c r="B174" s="23" t="str">
        <f ca="1">IFERROR(__xludf.DUMMYFUNCTION("""COMPUTED_VALUE"""),"PÓŁKA PODTYNKOWA 04 30x30x10 CZARNA")</f>
        <v>PÓŁKA PODTYNKOWA 04 30x30x10 CZARNA</v>
      </c>
      <c r="C174" s="23"/>
      <c r="D174" s="24">
        <f ca="1">IFERROR(__xludf.DUMMYFUNCTION("""COMPUTED_VALUE"""),289)</f>
        <v>289</v>
      </c>
      <c r="E174" s="25" t="str">
        <f ca="1">IFERROR(__xludf.DUMMYFUNCTION("""COMPUTED_VALUE"""),"REA-05603")</f>
        <v>REA-05603</v>
      </c>
    </row>
    <row r="175" spans="1:5" x14ac:dyDescent="0.2">
      <c r="A175" s="22">
        <f ca="1">IFERROR(__xludf.DUMMYFUNCTION("""COMPUTED_VALUE"""),45666)</f>
        <v>45666</v>
      </c>
      <c r="B175" s="23" t="str">
        <f ca="1">IFERROR(__xludf.DUMMYFUNCTION("""COMPUTED_VALUE"""),"WANNA CAPRI 170")</f>
        <v>WANNA CAPRI 170</v>
      </c>
      <c r="C175" s="23"/>
      <c r="D175" s="24">
        <f ca="1">IFERROR(__xludf.DUMMYFUNCTION("""COMPUTED_VALUE"""),3259)</f>
        <v>3259</v>
      </c>
      <c r="E175" s="25" t="str">
        <f ca="1">IFERROR(__xludf.DUMMYFUNCTION("""COMPUTED_VALUE"""),"REA-W9801")</f>
        <v>REA-W9801</v>
      </c>
    </row>
    <row r="176" spans="1:5" x14ac:dyDescent="0.2">
      <c r="A176" s="22">
        <f ca="1">IFERROR(__xludf.DUMMYFUNCTION("""COMPUTED_VALUE"""),45666)</f>
        <v>45666</v>
      </c>
      <c r="B176" s="23" t="str">
        <f ca="1">IFERROR(__xludf.DUMMYFUNCTION("""COMPUTED_VALUE"""),"ŚCIANKA PRYSZNICOWA AERO 80 GOLD")</f>
        <v>ŚCIANKA PRYSZNICOWA AERO 80 GOLD</v>
      </c>
      <c r="C176" s="23"/>
      <c r="D176" s="24">
        <f ca="1">IFERROR(__xludf.DUMMYFUNCTION("""COMPUTED_VALUE"""),969)</f>
        <v>969</v>
      </c>
      <c r="E176" s="25" t="str">
        <f ca="1">IFERROR(__xludf.DUMMYFUNCTION("""COMPUTED_VALUE"""),"REA-K8439")</f>
        <v>REA-K8439</v>
      </c>
    </row>
    <row r="177" spans="1:5" x14ac:dyDescent="0.2">
      <c r="A177" s="22">
        <f ca="1">IFERROR(__xludf.DUMMYFUNCTION("""COMPUTED_VALUE"""),45666)</f>
        <v>45666</v>
      </c>
      <c r="B177" s="23" t="str">
        <f ca="1">IFERROR(__xludf.DUMMYFUNCTION("""COMPUTED_VALUE"""),"ŚCIANKA PRYSZNICOWA AERO 80 CHROM ""N""")</f>
        <v>ŚCIANKA PRYSZNICOWA AERO 80 CHROM "N"</v>
      </c>
      <c r="C177" s="23"/>
      <c r="D177" s="24">
        <f ca="1">IFERROR(__xludf.DUMMYFUNCTION("""COMPUTED_VALUE"""),759)</f>
        <v>759</v>
      </c>
      <c r="E177" s="25" t="str">
        <f ca="1">IFERROR(__xludf.DUMMYFUNCTION("""COMPUTED_VALUE"""),"REA-K7552")</f>
        <v>REA-K7552</v>
      </c>
    </row>
    <row r="178" spans="1:5" x14ac:dyDescent="0.2">
      <c r="A178" s="22">
        <f ca="1">IFERROR(__xludf.DUMMYFUNCTION("""COMPUTED_VALUE"""),45666)</f>
        <v>45666</v>
      </c>
      <c r="B178" s="23" t="str">
        <f ca="1">IFERROR(__xludf.DUMMYFUNCTION("""COMPUTED_VALUE"""),"ŚCIANKA PRYSZNICOWA AERO 90 CHROM ""N""")</f>
        <v>ŚCIANKA PRYSZNICOWA AERO 90 CHROM "N"</v>
      </c>
      <c r="C178" s="23"/>
      <c r="D178" s="24">
        <f ca="1">IFERROR(__xludf.DUMMYFUNCTION("""COMPUTED_VALUE"""),799)</f>
        <v>799</v>
      </c>
      <c r="E178" s="25" t="str">
        <f ca="1">IFERROR(__xludf.DUMMYFUNCTION("""COMPUTED_VALUE"""),"REA-K7553")</f>
        <v>REA-K7553</v>
      </c>
    </row>
    <row r="179" spans="1:5" x14ac:dyDescent="0.2">
      <c r="A179" s="22">
        <f ca="1">IFERROR(__xludf.DUMMYFUNCTION("""COMPUTED_VALUE"""),45666)</f>
        <v>45666</v>
      </c>
      <c r="B179" s="23" t="str">
        <f ca="1">IFERROR(__xludf.DUMMYFUNCTION("""COMPUTED_VALUE"""),"ŚCIANKA PRYSZNICOWA AERO 120 CHROM ""N""")</f>
        <v>ŚCIANKA PRYSZNICOWA AERO 120 CHROM "N"</v>
      </c>
      <c r="C179" s="23"/>
      <c r="D179" s="24">
        <f ca="1">IFERROR(__xludf.DUMMYFUNCTION("""COMPUTED_VALUE"""),929)</f>
        <v>929</v>
      </c>
      <c r="E179" s="25" t="str">
        <f ca="1">IFERROR(__xludf.DUMMYFUNCTION("""COMPUTED_VALUE"""),"REA-K7550")</f>
        <v>REA-K7550</v>
      </c>
    </row>
    <row r="180" spans="1:5" x14ac:dyDescent="0.2">
      <c r="A180" s="22">
        <f ca="1">IFERROR(__xludf.DUMMYFUNCTION("""COMPUTED_VALUE"""),45666)</f>
        <v>45666</v>
      </c>
      <c r="B180" s="23" t="str">
        <f ca="1">IFERROR(__xludf.DUMMYFUNCTION("""COMPUTED_VALUE"""),"ŚCIANKA PRYSZNICOWA CORTIS 120 BLACK")</f>
        <v>ŚCIANKA PRYSZNICOWA CORTIS 120 BLACK</v>
      </c>
      <c r="C180" s="23"/>
      <c r="D180" s="24">
        <f ca="1">IFERROR(__xludf.DUMMYFUNCTION("""COMPUTED_VALUE"""),1119)</f>
        <v>1119</v>
      </c>
      <c r="E180" s="25" t="str">
        <f ca="1">IFERROR(__xludf.DUMMYFUNCTION("""COMPUTED_VALUE"""),"REA-K8880")</f>
        <v>REA-K8880</v>
      </c>
    </row>
    <row r="181" spans="1:5" x14ac:dyDescent="0.2">
      <c r="A181" s="22">
        <f ca="1">IFERROR(__xludf.DUMMYFUNCTION("""COMPUTED_VALUE"""),45666)</f>
        <v>45666</v>
      </c>
      <c r="B181" s="23" t="str">
        <f ca="1">IFERROR(__xludf.DUMMYFUNCTION("""COMPUTED_VALUE"""),"ŚCIANKA PRYSZNICOWA CORTIS 100 GOLD")</f>
        <v>ŚCIANKA PRYSZNICOWA CORTIS 100 GOLD</v>
      </c>
      <c r="C181" s="23"/>
      <c r="D181" s="24">
        <f ca="1">IFERROR(__xludf.DUMMYFUNCTION("""COMPUTED_VALUE"""),1179)</f>
        <v>1179</v>
      </c>
      <c r="E181" s="25" t="str">
        <f ca="1">IFERROR(__xludf.DUMMYFUNCTION("""COMPUTED_VALUE"""),"REA-K8484")</f>
        <v>REA-K8484</v>
      </c>
    </row>
    <row r="182" spans="1:5" x14ac:dyDescent="0.2">
      <c r="A182" s="22">
        <f ca="1">IFERROR(__xludf.DUMMYFUNCTION("""COMPUTED_VALUE"""),45666)</f>
        <v>45666</v>
      </c>
      <c r="B182" s="23" t="str">
        <f ca="1">IFERROR(__xludf.DUMMYFUNCTION("""COMPUTED_VALUE"""),"ŚCIANKA PRYSZNICOWA CORTIS 100")</f>
        <v>ŚCIANKA PRYSZNICOWA CORTIS 100</v>
      </c>
      <c r="C182" s="23"/>
      <c r="D182" s="24">
        <f ca="1">IFERROR(__xludf.DUMMYFUNCTION("""COMPUTED_VALUE"""),1029)</f>
        <v>1029</v>
      </c>
      <c r="E182" s="25" t="str">
        <f ca="1">IFERROR(__xludf.DUMMYFUNCTION("""COMPUTED_VALUE"""),"REA-K7210")</f>
        <v>REA-K7210</v>
      </c>
    </row>
    <row r="183" spans="1:5" x14ac:dyDescent="0.2">
      <c r="A183" s="22">
        <f ca="1">IFERROR(__xludf.DUMMYFUNCTION("""COMPUTED_VALUE"""),45666)</f>
        <v>45666</v>
      </c>
      <c r="B183" s="23" t="str">
        <f ca="1">IFERROR(__xludf.DUMMYFUNCTION("""COMPUTED_VALUE"""),"KABINA SOLAR L.GOLD 90X120")</f>
        <v>KABINA SOLAR L.GOLD 90X120</v>
      </c>
      <c r="C183" s="23"/>
      <c r="D183" s="24">
        <f ca="1">IFERROR(__xludf.DUMMYFUNCTION("""COMPUTED_VALUE"""),1449)</f>
        <v>1449</v>
      </c>
      <c r="E183" s="25" t="str">
        <f ca="1">IFERROR(__xludf.DUMMYFUNCTION("""COMPUTED_VALUE"""),"REA-K4902")</f>
        <v>REA-K4902</v>
      </c>
    </row>
    <row r="184" spans="1:5" x14ac:dyDescent="0.2">
      <c r="A184" s="22">
        <f ca="1">IFERROR(__xludf.DUMMYFUNCTION("""COMPUTED_VALUE"""),45666)</f>
        <v>45666</v>
      </c>
      <c r="B184" s="23" t="str">
        <f ca="1">IFERROR(__xludf.DUMMYFUNCTION("""COMPUTED_VALUE"""),"PARAWAN STAŁY LAGOS FIX 80")</f>
        <v>PARAWAN STAŁY LAGOS FIX 80</v>
      </c>
      <c r="C184" s="23"/>
      <c r="D184" s="24">
        <f ca="1">IFERROR(__xludf.DUMMYFUNCTION("""COMPUTED_VALUE"""),389)</f>
        <v>389</v>
      </c>
      <c r="E184" s="25" t="str">
        <f ca="1">IFERROR(__xludf.DUMMYFUNCTION("""COMPUTED_VALUE"""),"REA-K7390")</f>
        <v>REA-K7390</v>
      </c>
    </row>
    <row r="185" spans="1:5" x14ac:dyDescent="0.2">
      <c r="A185" s="22">
        <f ca="1">IFERROR(__xludf.DUMMYFUNCTION("""COMPUTED_VALUE"""),45666)</f>
        <v>45666</v>
      </c>
      <c r="B185" s="23" t="str">
        <f ca="1">IFERROR(__xludf.DUMMYFUNCTION("""COMPUTED_VALUE"""),"MODUŁ KABINY FOLD N2 90")</f>
        <v>MODUŁ KABINY FOLD N2 90</v>
      </c>
      <c r="C185" s="23"/>
      <c r="D185" s="24">
        <f ca="1">IFERROR(__xludf.DUMMYFUNCTION("""COMPUTED_VALUE"""),859)</f>
        <v>859</v>
      </c>
      <c r="E185" s="25" t="str">
        <f ca="1">IFERROR(__xludf.DUMMYFUNCTION("""COMPUTED_VALUE"""),"REA-K7442")</f>
        <v>REA-K7442</v>
      </c>
    </row>
    <row r="186" spans="1:5" x14ac:dyDescent="0.2">
      <c r="A186" s="22">
        <f ca="1">IFERROR(__xludf.DUMMYFUNCTION("""COMPUTED_VALUE"""),45666)</f>
        <v>45666</v>
      </c>
      <c r="B186" s="23" t="str">
        <f ca="1">IFERROR(__xludf.DUMMYFUNCTION("""COMPUTED_VALUE"""),"MODUŁ KABINY FOLD N2 80")</f>
        <v>MODUŁ KABINY FOLD N2 80</v>
      </c>
      <c r="C186" s="23"/>
      <c r="D186" s="24">
        <f ca="1">IFERROR(__xludf.DUMMYFUNCTION("""COMPUTED_VALUE"""),790)</f>
        <v>790</v>
      </c>
      <c r="E186" s="25" t="str">
        <f ca="1">IFERROR(__xludf.DUMMYFUNCTION("""COMPUTED_VALUE"""),"REA-K7443")</f>
        <v>REA-K7443</v>
      </c>
    </row>
    <row r="187" spans="1:5" x14ac:dyDescent="0.2">
      <c r="A187" s="22">
        <f ca="1">IFERROR(__xludf.DUMMYFUNCTION("""COMPUTED_VALUE"""),45666)</f>
        <v>45666</v>
      </c>
      <c r="B187" s="23" t="str">
        <f ca="1">IFERROR(__xludf.DUMMYFUNCTION("""COMPUTED_VALUE"""),"MODUŁ KABINY FOLD N2 120")</f>
        <v>MODUŁ KABINY FOLD N2 120</v>
      </c>
      <c r="C187" s="23"/>
      <c r="D187" s="24">
        <f ca="1">IFERROR(__xludf.DUMMYFUNCTION("""COMPUTED_VALUE"""),920)</f>
        <v>920</v>
      </c>
      <c r="E187" s="25" t="str">
        <f ca="1">IFERROR(__xludf.DUMMYFUNCTION("""COMPUTED_VALUE"""),"REA-K7437")</f>
        <v>REA-K7437</v>
      </c>
    </row>
    <row r="188" spans="1:5" x14ac:dyDescent="0.2">
      <c r="A188" s="22">
        <f ca="1">IFERROR(__xludf.DUMMYFUNCTION("""COMPUTED_VALUE"""),45666)</f>
        <v>45666</v>
      </c>
      <c r="B188" s="23" t="str">
        <f ca="1">IFERROR(__xludf.DUMMYFUNCTION("""COMPUTED_VALUE"""),"DRZWI PRYSZNICOWE RAPID SLIDE GOLD 150")</f>
        <v>DRZWI PRYSZNICOWE RAPID SLIDE GOLD 150</v>
      </c>
      <c r="C188" s="23"/>
      <c r="D188" s="24">
        <f ca="1">IFERROR(__xludf.DUMMYFUNCTION("""COMPUTED_VALUE"""),1279)</f>
        <v>1279</v>
      </c>
      <c r="E188" s="25" t="str">
        <f ca="1">IFERROR(__xludf.DUMMYFUNCTION("""COMPUTED_VALUE"""),"REA-K5617")</f>
        <v>REA-K5617</v>
      </c>
    </row>
    <row r="189" spans="1:5" x14ac:dyDescent="0.2">
      <c r="A189" s="22">
        <f ca="1">IFERROR(__xludf.DUMMYFUNCTION("""COMPUTED_VALUE"""),45666)</f>
        <v>45666</v>
      </c>
      <c r="B189" s="23" t="str">
        <f ca="1">IFERROR(__xludf.DUMMYFUNCTION("""COMPUTED_VALUE"""),"DRZWI PRYSZNICOWE RAPID SLIDE CHROM 150")</f>
        <v>DRZWI PRYSZNICOWE RAPID SLIDE CHROM 150</v>
      </c>
      <c r="C189" s="23"/>
      <c r="D189" s="24">
        <f ca="1">IFERROR(__xludf.DUMMYFUNCTION("""COMPUTED_VALUE"""),999)</f>
        <v>999</v>
      </c>
      <c r="E189" s="25" t="str">
        <f ca="1">IFERROR(__xludf.DUMMYFUNCTION("""COMPUTED_VALUE"""),"REA-K5605")</f>
        <v>REA-K5605</v>
      </c>
    </row>
    <row r="190" spans="1:5" x14ac:dyDescent="0.2">
      <c r="A190" s="22">
        <f ca="1">IFERROR(__xludf.DUMMYFUNCTION("""COMPUTED_VALUE"""),45666)</f>
        <v>45666</v>
      </c>
      <c r="B190" s="23" t="str">
        <f ca="1">IFERROR(__xludf.DUMMYFUNCTION("""COMPUTED_VALUE"""),"DRZWI PRYSZNICOWE RAPID SLIDE CHROM 100")</f>
        <v>DRZWI PRYSZNICOWE RAPID SLIDE CHROM 100</v>
      </c>
      <c r="C190" s="23"/>
      <c r="D190" s="24">
        <f ca="1">IFERROR(__xludf.DUMMYFUNCTION("""COMPUTED_VALUE"""),839)</f>
        <v>839</v>
      </c>
      <c r="E190" s="25" t="str">
        <f ca="1">IFERROR(__xludf.DUMMYFUNCTION("""COMPUTED_VALUE"""),"REA-K5600")</f>
        <v>REA-K5600</v>
      </c>
    </row>
    <row r="191" spans="1:5" x14ac:dyDescent="0.2">
      <c r="A191" s="22">
        <f ca="1">IFERROR(__xludf.DUMMYFUNCTION("""COMPUTED_VALUE"""),38340)</f>
        <v>38340</v>
      </c>
      <c r="B191" s="23" t="str">
        <f ca="1">IFERROR(__xludf.DUMMYFUNCTION("""COMPUTED_VALUE"""),"BATERIA UMYWALKOWA JS-B348G ARGON ZŁOTA NISKA")</f>
        <v>BATERIA UMYWALKOWA JS-B348G ARGON ZŁOTA NISKA</v>
      </c>
      <c r="C191" s="23"/>
      <c r="D191" s="24">
        <f ca="1">IFERROR(__xludf.DUMMYFUNCTION("""COMPUTED_VALUE"""),279)</f>
        <v>279</v>
      </c>
      <c r="E191" s="25" t="str">
        <f ca="1">IFERROR(__xludf.DUMMYFUNCTION("""COMPUTED_VALUE"""),"REA-B7800")</f>
        <v>REA-B7800</v>
      </c>
    </row>
    <row r="192" spans="1:5" x14ac:dyDescent="0.2">
      <c r="A192" s="22">
        <f ca="1">IFERROR(__xludf.DUMMYFUNCTION("""COMPUTED_VALUE"""),38340)</f>
        <v>38340</v>
      </c>
      <c r="B192" s="23" t="str">
        <f ca="1">IFERROR(__xludf.DUMMYFUNCTION("""COMPUTED_VALUE"""),"BATERIA UMYWALKOW JS-B348BG ARGON ZŁOTA SZCZ NISKA")</f>
        <v>BATERIA UMYWALKOW JS-B348BG ARGON ZŁOTA SZCZ NISKA</v>
      </c>
      <c r="C192" s="23"/>
      <c r="D192" s="24">
        <f ca="1">IFERROR(__xludf.DUMMYFUNCTION("""COMPUTED_VALUE"""),299)</f>
        <v>299</v>
      </c>
      <c r="E192" s="25" t="str">
        <f ca="1">IFERROR(__xludf.DUMMYFUNCTION("""COMPUTED_VALUE"""),"REA-B7801")</f>
        <v>REA-B7801</v>
      </c>
    </row>
    <row r="193" spans="1:5" x14ac:dyDescent="0.2">
      <c r="A193" s="22">
        <f ca="1">IFERROR(__xludf.DUMMYFUNCTION("""COMPUTED_VALUE"""),38340)</f>
        <v>38340</v>
      </c>
      <c r="B193" s="23" t="str">
        <f ca="1">IFERROR(__xludf.DUMMYFUNCTION("""COMPUTED_VALUE"""),"BATERIA UMYWALKOWA JS-B348-1G ARGON ZŁOTA WYSOKA")</f>
        <v>BATERIA UMYWALKOWA JS-B348-1G ARGON ZŁOTA WYSOKA</v>
      </c>
      <c r="C193" s="23"/>
      <c r="D193" s="24">
        <f ca="1">IFERROR(__xludf.DUMMYFUNCTION("""COMPUTED_VALUE"""),329)</f>
        <v>329</v>
      </c>
      <c r="E193" s="25" t="str">
        <f ca="1">IFERROR(__xludf.DUMMYFUNCTION("""COMPUTED_VALUE"""),"REA-B7803")</f>
        <v>REA-B7803</v>
      </c>
    </row>
    <row r="194" spans="1:5" x14ac:dyDescent="0.2">
      <c r="A194" s="22">
        <f ca="1">IFERROR(__xludf.DUMMYFUNCTION("""COMPUTED_VALUE"""),38340)</f>
        <v>38340</v>
      </c>
      <c r="B194" s="23" t="str">
        <f ca="1">IFERROR(__xludf.DUMMYFUNCTION("""COMPUTED_VALUE"""),"BATERIA UMYWAL JS-B348-1BG ARGON ZŁOTA SZCZ WYSOKA")</f>
        <v>BATERIA UMYWAL JS-B348-1BG ARGON ZŁOTA SZCZ WYSOKA</v>
      </c>
      <c r="C194" s="23"/>
      <c r="D194" s="24">
        <f ca="1">IFERROR(__xludf.DUMMYFUNCTION("""COMPUTED_VALUE"""),359)</f>
        <v>359</v>
      </c>
      <c r="E194" s="25" t="str">
        <f ca="1">IFERROR(__xludf.DUMMYFUNCTION("""COMPUTED_VALUE"""),"REA-B7802")</f>
        <v>REA-B7802</v>
      </c>
    </row>
    <row r="195" spans="1:5" x14ac:dyDescent="0.2">
      <c r="A195" s="22">
        <f ca="1">IFERROR(__xludf.DUMMYFUNCTION("""COMPUTED_VALUE"""),38340)</f>
        <v>38340</v>
      </c>
      <c r="B195" s="23" t="str">
        <f ca="1">IFERROR(__xludf.DUMMYFUNCTION("""COMPUTED_VALUE"""),"BATERIA WANNOWA JS-B34803G ARGON ZŁOTA")</f>
        <v>BATERIA WANNOWA JS-B34803G ARGON ZŁOTA</v>
      </c>
      <c r="C195" s="23"/>
      <c r="D195" s="24">
        <f ca="1">IFERROR(__xludf.DUMMYFUNCTION("""COMPUTED_VALUE"""),529)</f>
        <v>529</v>
      </c>
      <c r="E195" s="25" t="str">
        <f ca="1">IFERROR(__xludf.DUMMYFUNCTION("""COMPUTED_VALUE"""),"REA-B7805")</f>
        <v>REA-B7805</v>
      </c>
    </row>
    <row r="196" spans="1:5" x14ac:dyDescent="0.2">
      <c r="A196" s="22">
        <f ca="1">IFERROR(__xludf.DUMMYFUNCTION("""COMPUTED_VALUE"""),38340)</f>
        <v>38340</v>
      </c>
      <c r="B196" s="23" t="str">
        <f ca="1">IFERROR(__xludf.DUMMYFUNCTION("""COMPUTED_VALUE"""),"BATERIA WANNOWA JS-B34803BG ARGON ZŁOTA SZCZOTKOWA")</f>
        <v>BATERIA WANNOWA JS-B34803BG ARGON ZŁOTA SZCZOTKOWA</v>
      </c>
      <c r="C196" s="23"/>
      <c r="D196" s="24">
        <f ca="1">IFERROR(__xludf.DUMMYFUNCTION("""COMPUTED_VALUE"""),559)</f>
        <v>559</v>
      </c>
      <c r="E196" s="25" t="str">
        <f ca="1">IFERROR(__xludf.DUMMYFUNCTION("""COMPUTED_VALUE"""),"REA-B7804")</f>
        <v>REA-B7804</v>
      </c>
    </row>
    <row r="197" spans="1:5" x14ac:dyDescent="0.2">
      <c r="A197" s="22">
        <f ca="1">IFERROR(__xludf.DUMMYFUNCTION("""COMPUTED_VALUE"""),38340)</f>
        <v>38340</v>
      </c>
      <c r="B197" s="23" t="str">
        <f ca="1">IFERROR(__xludf.DUMMYFUNCTION("""COMPUTED_VALUE"""),"BATERIA PRYSZNICOWA JS-B34804G ARGON ZŁOTA")</f>
        <v>BATERIA PRYSZNICOWA JS-B34804G ARGON ZŁOTA</v>
      </c>
      <c r="C197" s="23"/>
      <c r="D197" s="24">
        <f ca="1">IFERROR(__xludf.DUMMYFUNCTION("""COMPUTED_VALUE"""),379)</f>
        <v>379</v>
      </c>
      <c r="E197" s="25" t="str">
        <f ca="1">IFERROR(__xludf.DUMMYFUNCTION("""COMPUTED_VALUE"""),"REA-B7807")</f>
        <v>REA-B7807</v>
      </c>
    </row>
    <row r="198" spans="1:5" x14ac:dyDescent="0.2">
      <c r="A198" s="22">
        <f ca="1">IFERROR(__xludf.DUMMYFUNCTION("""COMPUTED_VALUE"""),38340)</f>
        <v>38340</v>
      </c>
      <c r="B198" s="23" t="str">
        <f ca="1">IFERROR(__xludf.DUMMYFUNCTION("""COMPUTED_VALUE"""),"BATERIA PRYSZNICOWA JS-B34804BG ARGON ZŁOTA SZCZOT")</f>
        <v>BATERIA PRYSZNICOWA JS-B34804BG ARGON ZŁOTA SZCZOT</v>
      </c>
      <c r="C198" s="23"/>
      <c r="D198" s="24">
        <f ca="1">IFERROR(__xludf.DUMMYFUNCTION("""COMPUTED_VALUE"""),399)</f>
        <v>399</v>
      </c>
      <c r="E198" s="25" t="str">
        <f ca="1">IFERROR(__xludf.DUMMYFUNCTION("""COMPUTED_VALUE"""),"REA-B7806")</f>
        <v>REA-B7806</v>
      </c>
    </row>
    <row r="199" spans="1:5" x14ac:dyDescent="0.2">
      <c r="A199" s="22">
        <f ca="1">IFERROR(__xludf.DUMMYFUNCTION("""COMPUTED_VALUE"""),38340)</f>
        <v>38340</v>
      </c>
      <c r="B199" s="23" t="str">
        <f ca="1">IFERROR(__xludf.DUMMYFUNCTION("""COMPUTED_VALUE"""),"BATERIA UMYWALKOWA PODTYNKO JS-622704G ARGON ZŁOTA")</f>
        <v>BATERIA UMYWALKOWA PODTYNKO JS-622704G ARGON ZŁOTA</v>
      </c>
      <c r="C199" s="23"/>
      <c r="D199" s="24">
        <f ca="1">IFERROR(__xludf.DUMMYFUNCTION("""COMPUTED_VALUE"""),389)</f>
        <v>389</v>
      </c>
      <c r="E199" s="25" t="str">
        <f ca="1">IFERROR(__xludf.DUMMYFUNCTION("""COMPUTED_VALUE"""),"REA-B7809")</f>
        <v>REA-B7809</v>
      </c>
    </row>
    <row r="200" spans="1:5" x14ac:dyDescent="0.2">
      <c r="A200" s="22">
        <f ca="1">IFERROR(__xludf.DUMMYFUNCTION("""COMPUTED_VALUE"""),38340)</f>
        <v>38340</v>
      </c>
      <c r="B200" s="23" t="str">
        <f ca="1">IFERROR(__xludf.DUMMYFUNCTION("""COMPUTED_VALUE"""),"BATERIA UMYW PODTY JS-622704-1BG ARGON ZŁOTA SZCZO")</f>
        <v>BATERIA UMYW PODTY JS-622704-1BG ARGON ZŁOTA SZCZO</v>
      </c>
      <c r="C200" s="23"/>
      <c r="D200" s="24">
        <f ca="1">IFERROR(__xludf.DUMMYFUNCTION("""COMPUTED_VALUE"""),399)</f>
        <v>399</v>
      </c>
      <c r="E200" s="25" t="str">
        <f ca="1">IFERROR(__xludf.DUMMYFUNCTION("""COMPUTED_VALUE"""),"REA-B7808")</f>
        <v>REA-B7808</v>
      </c>
    </row>
    <row r="201" spans="1:5" x14ac:dyDescent="0.2">
      <c r="A201" s="22">
        <f ca="1">IFERROR(__xludf.DUMMYFUNCTION("""COMPUTED_VALUE"""),38340)</f>
        <v>38340</v>
      </c>
      <c r="B201" s="23" t="str">
        <f ca="1">IFERROR(__xludf.DUMMYFUNCTION("""COMPUTED_VALUE"""),"ZESTAW NATRYSKOWY JS-622711BG ARGON ZŁOTY SZCZOTKO")</f>
        <v>ZESTAW NATRYSKOWY JS-622711BG ARGON ZŁOTY SZCZOTKO</v>
      </c>
      <c r="C201" s="23"/>
      <c r="D201" s="24">
        <f ca="1">IFERROR(__xludf.DUMMYFUNCTION("""COMPUTED_VALUE"""),999)</f>
        <v>999</v>
      </c>
      <c r="E201" s="25" t="str">
        <f ca="1">IFERROR(__xludf.DUMMYFUNCTION("""COMPUTED_VALUE"""),"REA-P7810")</f>
        <v>REA-P7810</v>
      </c>
    </row>
    <row r="202" spans="1:5" x14ac:dyDescent="0.2">
      <c r="A202" s="22">
        <f ca="1">IFERROR(__xludf.DUMMYFUNCTION("""COMPUTED_VALUE"""),38340)</f>
        <v>38340</v>
      </c>
      <c r="B202" s="23" t="str">
        <f ca="1">IFERROR(__xludf.DUMMYFUNCTION("""COMPUTED_VALUE"""),"UMYWALKA BELINDA COPPER BRUSH - NABLATOWA")</f>
        <v>UMYWALKA BELINDA COPPER BRUSH - NABLATOWA</v>
      </c>
      <c r="C202" s="23"/>
      <c r="D202" s="24">
        <f ca="1">IFERROR(__xludf.DUMMYFUNCTION("""COMPUTED_VALUE"""),479)</f>
        <v>479</v>
      </c>
      <c r="E202" s="25" t="str">
        <f ca="1">IFERROR(__xludf.DUMMYFUNCTION("""COMPUTED_VALUE"""),"REA-U6384")</f>
        <v>REA-U6384</v>
      </c>
    </row>
    <row r="203" spans="1:5" x14ac:dyDescent="0.2">
      <c r="A203" s="22">
        <f ca="1">IFERROR(__xludf.DUMMYFUNCTION("""COMPUTED_VALUE"""),38340)</f>
        <v>38340</v>
      </c>
      <c r="B203" s="23" t="str">
        <f ca="1">IFERROR(__xludf.DUMMYFUNCTION("""COMPUTED_VALUE"""),"UMYWALKA AURA 61 BEIGE SHINY - NABLATOWA")</f>
        <v>UMYWALKA AURA 61 BEIGE SHINY - NABLATOWA</v>
      </c>
      <c r="C203" s="23"/>
      <c r="D203" s="24">
        <f ca="1">IFERROR(__xludf.DUMMYFUNCTION("""COMPUTED_VALUE"""),399)</f>
        <v>399</v>
      </c>
      <c r="E203" s="25" t="str">
        <f ca="1">IFERROR(__xludf.DUMMYFUNCTION("""COMPUTED_VALUE"""),"REA-U6381")</f>
        <v>REA-U6381</v>
      </c>
    </row>
    <row r="204" spans="1:5" x14ac:dyDescent="0.2">
      <c r="A204" s="22">
        <f ca="1">IFERROR(__xludf.DUMMYFUNCTION("""COMPUTED_VALUE"""),38340)</f>
        <v>38340</v>
      </c>
      <c r="B204" s="23" t="str">
        <f ca="1">IFERROR(__xludf.DUMMYFUNCTION("""COMPUTED_VALUE"""),"UMYWALKA AURA 61 ECRU SHINY - NABLATOWA")</f>
        <v>UMYWALKA AURA 61 ECRU SHINY - NABLATOWA</v>
      </c>
      <c r="C204" s="23"/>
      <c r="D204" s="24">
        <f ca="1">IFERROR(__xludf.DUMMYFUNCTION("""COMPUTED_VALUE"""),399)</f>
        <v>399</v>
      </c>
      <c r="E204" s="25" t="str">
        <f ca="1">IFERROR(__xludf.DUMMYFUNCTION("""COMPUTED_VALUE"""),"REA-U4589")</f>
        <v>REA-U4589</v>
      </c>
    </row>
    <row r="205" spans="1:5" x14ac:dyDescent="0.2">
      <c r="A205" s="22">
        <f ca="1">IFERROR(__xludf.DUMMYFUNCTION("""COMPUTED_VALUE"""),38340)</f>
        <v>38340</v>
      </c>
      <c r="B205" s="23" t="str">
        <f ca="1">IFERROR(__xludf.DUMMYFUNCTION("""COMPUTED_VALUE"""),"UMYWALKA CLEO 61 COPPER BRUSH/BLACK - NABLATOWA")</f>
        <v>UMYWALKA CLEO 61 COPPER BRUSH/BLACK - NABLATOWA</v>
      </c>
      <c r="C205" s="23"/>
      <c r="D205" s="24">
        <f ca="1">IFERROR(__xludf.DUMMYFUNCTION("""COMPUTED_VALUE"""),439)</f>
        <v>439</v>
      </c>
      <c r="E205" s="25" t="str">
        <f ca="1">IFERROR(__xludf.DUMMYFUNCTION("""COMPUTED_VALUE"""),"REA-U6383")</f>
        <v>REA-U6383</v>
      </c>
    </row>
    <row r="206" spans="1:5" x14ac:dyDescent="0.2">
      <c r="A206" s="22">
        <f ca="1">IFERROR(__xludf.DUMMYFUNCTION("""COMPUTED_VALUE"""),38340)</f>
        <v>38340</v>
      </c>
      <c r="B206" s="23" t="str">
        <f ca="1">IFERROR(__xludf.DUMMYFUNCTION("""COMPUTED_VALUE"""),"UMYWALKA SAMI BEIGE SHINY - NABLATOWA")</f>
        <v>UMYWALKA SAMI BEIGE SHINY - NABLATOWA</v>
      </c>
      <c r="C206" s="23"/>
      <c r="D206" s="24">
        <f ca="1">IFERROR(__xludf.DUMMYFUNCTION("""COMPUTED_VALUE"""),299)</f>
        <v>299</v>
      </c>
      <c r="E206" s="25" t="str">
        <f ca="1">IFERROR(__xludf.DUMMYFUNCTION("""COMPUTED_VALUE"""),"REA-U6382")</f>
        <v>REA-U6382</v>
      </c>
    </row>
    <row r="207" spans="1:5" x14ac:dyDescent="0.2">
      <c r="A207" s="22">
        <f ca="1">IFERROR(__xludf.DUMMYFUNCTION("""COMPUTED_VALUE"""),38340)</f>
        <v>38340</v>
      </c>
      <c r="B207" s="23" t="str">
        <f ca="1">IFERROR(__xludf.DUMMYFUNCTION("""COMPUTED_VALUE"""),"UMYWALKA SAMI ECRU SHINY - NABLATOWA")</f>
        <v>UMYWALKA SAMI ECRU SHINY - NABLATOWA</v>
      </c>
      <c r="C207" s="23"/>
      <c r="D207" s="24">
        <f ca="1">IFERROR(__xludf.DUMMYFUNCTION("""COMPUTED_VALUE"""),299)</f>
        <v>299</v>
      </c>
      <c r="E207" s="25" t="str">
        <f ca="1">IFERROR(__xludf.DUMMYFUNCTION("""COMPUTED_VALUE"""),"REA-U4590")</f>
        <v>REA-U4590</v>
      </c>
    </row>
    <row r="208" spans="1:5" x14ac:dyDescent="0.2">
      <c r="A208" s="22">
        <f ca="1">IFERROR(__xludf.DUMMYFUNCTION("""COMPUTED_VALUE"""),38340)</f>
        <v>38340</v>
      </c>
      <c r="B208" s="23" t="str">
        <f ca="1">IFERROR(__xludf.DUMMYFUNCTION("""COMPUTED_VALUE"""),"UMYWALKA LISA BEIGE SHINY - NABLATOWA")</f>
        <v>UMYWALKA LISA BEIGE SHINY - NABLATOWA</v>
      </c>
      <c r="C208" s="23"/>
      <c r="D208" s="24">
        <f ca="1">IFERROR(__xludf.DUMMYFUNCTION("""COMPUTED_VALUE"""),329)</f>
        <v>329</v>
      </c>
      <c r="E208" s="25" t="str">
        <f ca="1">IFERROR(__xludf.DUMMYFUNCTION("""COMPUTED_VALUE"""),"REA-U6380")</f>
        <v>REA-U6380</v>
      </c>
    </row>
    <row r="209" spans="1:5" x14ac:dyDescent="0.2">
      <c r="A209" s="22">
        <f ca="1">IFERROR(__xludf.DUMMYFUNCTION("""COMPUTED_VALUE"""),38340)</f>
        <v>38340</v>
      </c>
      <c r="B209" s="23" t="str">
        <f ca="1">IFERROR(__xludf.DUMMYFUNCTION("""COMPUTED_VALUE"""),"UMYWALKA LISA ECRU SHINY - NABLATOWA")</f>
        <v>UMYWALKA LISA ECRU SHINY - NABLATOWA</v>
      </c>
      <c r="C209" s="23"/>
      <c r="D209" s="24">
        <f ca="1">IFERROR(__xludf.DUMMYFUNCTION("""COMPUTED_VALUE"""),329)</f>
        <v>329</v>
      </c>
      <c r="E209" s="25" t="str">
        <f ca="1">IFERROR(__xludf.DUMMYFUNCTION("""COMPUTED_VALUE"""),"REA-U4591")</f>
        <v>REA-U4591</v>
      </c>
    </row>
    <row r="210" spans="1:5" x14ac:dyDescent="0.2">
      <c r="A210" s="22">
        <f ca="1">IFERROR(__xludf.DUMMYFUNCTION("""COMPUTED_VALUE"""),38340)</f>
        <v>38340</v>
      </c>
      <c r="B210" s="23" t="str">
        <f ca="1">IFERROR(__xludf.DUMMYFUNCTION("""COMPUTED_VALUE"""),"WANNA KORFU 170")</f>
        <v>WANNA KORFU 170</v>
      </c>
      <c r="C210" s="23"/>
      <c r="D210" s="24">
        <f ca="1">IFERROR(__xludf.DUMMYFUNCTION("""COMPUTED_VALUE"""),2999)</f>
        <v>2999</v>
      </c>
      <c r="E210" s="25" t="str">
        <f ca="1">IFERROR(__xludf.DUMMYFUNCTION("""COMPUTED_VALUE"""),"REA-W5690")</f>
        <v>REA-W5690</v>
      </c>
    </row>
    <row r="211" spans="1:5" x14ac:dyDescent="0.2">
      <c r="A211" s="22">
        <f ca="1">IFERROR(__xludf.DUMMYFUNCTION("""COMPUTED_VALUE"""),45645)</f>
        <v>45645</v>
      </c>
      <c r="B211" s="23" t="str">
        <f ca="1">IFERROR(__xludf.DUMMYFUNCTION("""COMPUTED_VALUE"""),"WANNA SPARTA 175")</f>
        <v>WANNA SPARTA 175</v>
      </c>
      <c r="C211" s="23"/>
      <c r="D211" s="24">
        <f ca="1">IFERROR(__xludf.DUMMYFUNCTION("""COMPUTED_VALUE"""),3290)</f>
        <v>3290</v>
      </c>
      <c r="E211" s="25" t="str">
        <f ca="1">IFERROR(__xludf.DUMMYFUNCTION("""COMPUTED_VALUE"""),"REA-W1101")</f>
        <v>REA-W1101</v>
      </c>
    </row>
    <row r="212" spans="1:5" x14ac:dyDescent="0.2">
      <c r="A212" s="22">
        <f ca="1">IFERROR(__xludf.DUMMYFUNCTION("""COMPUTED_VALUE"""),45639)</f>
        <v>45639</v>
      </c>
      <c r="B212" s="23" t="str">
        <f ca="1">IFERROR(__xludf.DUMMYFUNCTION("""COMPUTED_VALUE"""),"BATERIA REA CLEVER BLACK")</f>
        <v>BATERIA REA CLEVER BLACK</v>
      </c>
      <c r="C212" s="23"/>
      <c r="D212" s="24">
        <f ca="1">IFERROR(__xludf.DUMMYFUNCTION("""COMPUTED_VALUE"""),149)</f>
        <v>149</v>
      </c>
      <c r="E212" s="25" t="str">
        <f ca="1">IFERROR(__xludf.DUMMYFUNCTION("""COMPUTED_VALUE"""),"REA-B5698")</f>
        <v>REA-B5698</v>
      </c>
    </row>
    <row r="213" spans="1:5" x14ac:dyDescent="0.2">
      <c r="A213" s="22">
        <f ca="1">IFERROR(__xludf.DUMMYFUNCTION("""COMPUTED_VALUE"""),45639)</f>
        <v>45639</v>
      </c>
      <c r="B213" s="23" t="str">
        <f ca="1">IFERROR(__xludf.DUMMYFUNCTION("""COMPUTED_VALUE"""),"BATERIA WANNOWA JS-702303N CLIF NIKIEL SZCZOTKOWAN")</f>
        <v>BATERIA WANNOWA JS-702303N CLIF NIKIEL SZCZOTKOWAN</v>
      </c>
      <c r="C213" s="23"/>
      <c r="D213" s="24">
        <f ca="1">IFERROR(__xludf.DUMMYFUNCTION("""COMPUTED_VALUE"""),399)</f>
        <v>399</v>
      </c>
      <c r="E213" s="25" t="str">
        <f ca="1">IFERROR(__xludf.DUMMYFUNCTION("""COMPUTED_VALUE"""),"REA-B6874")</f>
        <v>REA-B6874</v>
      </c>
    </row>
    <row r="214" spans="1:5" x14ac:dyDescent="0.2">
      <c r="A214" s="22">
        <f ca="1">IFERROR(__xludf.DUMMYFUNCTION("""COMPUTED_VALUE"""),45639)</f>
        <v>45639</v>
      </c>
      <c r="B214" s="23" t="str">
        <f ca="1">IFERROR(__xludf.DUMMYFUNCTION("""COMPUTED_VALUE"""),"BATERIA UMYW JS-B253BG LEVEL ZŁOTA SZCZO NISKA")</f>
        <v>BATERIA UMYW JS-B253BG LEVEL ZŁOTA SZCZO NISKA</v>
      </c>
      <c r="C214" s="23"/>
      <c r="D214" s="24">
        <f ca="1">IFERROR(__xludf.DUMMYFUNCTION("""COMPUTED_VALUE"""),259)</f>
        <v>259</v>
      </c>
      <c r="E214" s="25" t="str">
        <f ca="1">IFERROR(__xludf.DUMMYFUNCTION("""COMPUTED_VALUE"""),"REA-B6218")</f>
        <v>REA-B6218</v>
      </c>
    </row>
    <row r="215" spans="1:5" x14ac:dyDescent="0.2">
      <c r="A215" s="22">
        <f ca="1">IFERROR(__xludf.DUMMYFUNCTION("""COMPUTED_VALUE"""),45639)</f>
        <v>45639</v>
      </c>
      <c r="B215" s="23" t="str">
        <f ca="1">IFERROR(__xludf.DUMMYFUNCTION("""COMPUTED_VALUE"""),"BATERIA JS-B801-1 SPOT CHROM WYSOKA")</f>
        <v>BATERIA JS-B801-1 SPOT CHROM WYSOKA</v>
      </c>
      <c r="C215" s="23"/>
      <c r="D215" s="24">
        <f ca="1">IFERROR(__xludf.DUMMYFUNCTION("""COMPUTED_VALUE"""),269)</f>
        <v>269</v>
      </c>
      <c r="E215" s="25" t="str">
        <f ca="1">IFERROR(__xludf.DUMMYFUNCTION("""COMPUTED_VALUE"""),"REA-B2011")</f>
        <v>REA-B2011</v>
      </c>
    </row>
    <row r="216" spans="1:5" x14ac:dyDescent="0.2">
      <c r="A216" s="22">
        <f ca="1">IFERROR(__xludf.DUMMYFUNCTION("""COMPUTED_VALUE"""),45639)</f>
        <v>45639</v>
      </c>
      <c r="B216" s="23" t="str">
        <f ca="1">IFERROR(__xludf.DUMMYFUNCTION("""COMPUTED_VALUE"""),"BATERIA JS-620901-1G BERG GOLD WYSOKA")</f>
        <v>BATERIA JS-620901-1G BERG GOLD WYSOKA</v>
      </c>
      <c r="C216" s="23"/>
      <c r="D216" s="24">
        <f ca="1">IFERROR(__xludf.DUMMYFUNCTION("""COMPUTED_VALUE"""),399)</f>
        <v>399</v>
      </c>
      <c r="E216" s="25" t="str">
        <f ca="1">IFERROR(__xludf.DUMMYFUNCTION("""COMPUTED_VALUE"""),"REA-B2042")</f>
        <v>REA-B2042</v>
      </c>
    </row>
    <row r="217" spans="1:5" x14ac:dyDescent="0.2">
      <c r="A217" s="22">
        <f ca="1">IFERROR(__xludf.DUMMYFUNCTION("""COMPUTED_VALUE"""),45639)</f>
        <v>45639</v>
      </c>
      <c r="B217" s="23" t="str">
        <f ca="1">IFERROR(__xludf.DUMMYFUNCTION("""COMPUTED_VALUE"""),"UMYWALKA ARIS MARBLE - WOLNOSTOJĄCA")</f>
        <v>UMYWALKA ARIS MARBLE - WOLNOSTOJĄCA</v>
      </c>
      <c r="C217" s="23"/>
      <c r="D217" s="24">
        <f ca="1">IFERROR(__xludf.DUMMYFUNCTION("""COMPUTED_VALUE"""),1499)</f>
        <v>1499</v>
      </c>
      <c r="E217" s="25" t="str">
        <f ca="1">IFERROR(__xludf.DUMMYFUNCTION("""COMPUTED_VALUE"""),"REA-U6906")</f>
        <v>REA-U6906</v>
      </c>
    </row>
    <row r="218" spans="1:5" x14ac:dyDescent="0.2">
      <c r="A218" s="22">
        <f ca="1">IFERROR(__xludf.DUMMYFUNCTION("""COMPUTED_VALUE"""),45639)</f>
        <v>45639</v>
      </c>
      <c r="B218" s="23" t="str">
        <f ca="1">IFERROR(__xludf.DUMMYFUNCTION("""COMPUTED_VALUE"""),"UMYWALKA DARIA - WOLNOSTOJĄCA")</f>
        <v>UMYWALKA DARIA - WOLNOSTOJĄCA</v>
      </c>
      <c r="C218" s="23"/>
      <c r="D218" s="24">
        <f ca="1">IFERROR(__xludf.DUMMYFUNCTION("""COMPUTED_VALUE"""),999)</f>
        <v>999</v>
      </c>
      <c r="E218" s="25" t="str">
        <f ca="1">IFERROR(__xludf.DUMMYFUNCTION("""COMPUTED_VALUE"""),"REA-U9900")</f>
        <v>REA-U9900</v>
      </c>
    </row>
    <row r="219" spans="1:5" x14ac:dyDescent="0.2">
      <c r="A219" s="22">
        <f ca="1">IFERROR(__xludf.DUMMYFUNCTION("""COMPUTED_VALUE"""),45639)</f>
        <v>45639</v>
      </c>
      <c r="B219" s="23" t="str">
        <f ca="1">IFERROR(__xludf.DUMMYFUNCTION("""COMPUTED_VALUE"""),"UMYWALKA RITA SLIM - WOLNOSTOJĄCA")</f>
        <v>UMYWALKA RITA SLIM - WOLNOSTOJĄCA</v>
      </c>
      <c r="C219" s="23"/>
      <c r="D219" s="24">
        <f ca="1">IFERROR(__xludf.DUMMYFUNCTION("""COMPUTED_VALUE"""),919)</f>
        <v>919</v>
      </c>
      <c r="E219" s="25" t="str">
        <f ca="1">IFERROR(__xludf.DUMMYFUNCTION("""COMPUTED_VALUE"""),"REA-U9901")</f>
        <v>REA-U9901</v>
      </c>
    </row>
    <row r="220" spans="1:5" x14ac:dyDescent="0.2">
      <c r="A220" s="22">
        <f ca="1">IFERROR(__xludf.DUMMYFUNCTION("""COMPUTED_VALUE"""),45639)</f>
        <v>45639</v>
      </c>
      <c r="B220" s="23" t="str">
        <f ca="1">IFERROR(__xludf.DUMMYFUNCTION("""COMPUTED_VALUE"""),"UMYWALKA ARIS - WOLNOSTOJĄCA")</f>
        <v>UMYWALKA ARIS - WOLNOSTOJĄCA</v>
      </c>
      <c r="C220" s="23"/>
      <c r="D220" s="24">
        <f ca="1">IFERROR(__xludf.DUMMYFUNCTION("""COMPUTED_VALUE"""),999)</f>
        <v>999</v>
      </c>
      <c r="E220" s="25" t="str">
        <f ca="1">IFERROR(__xludf.DUMMYFUNCTION("""COMPUTED_VALUE"""),"REA-U5637")</f>
        <v>REA-U5637</v>
      </c>
    </row>
    <row r="221" spans="1:5" x14ac:dyDescent="0.2">
      <c r="A221" s="22">
        <f ca="1">IFERROR(__xludf.DUMMYFUNCTION("""COMPUTED_VALUE"""),45639)</f>
        <v>45639</v>
      </c>
      <c r="B221" s="23" t="str">
        <f ca="1">IFERROR(__xludf.DUMMYFUNCTION("""COMPUTED_VALUE"""),"UMYWALKA AGNES - WOLNOSTOJĄCA")</f>
        <v>UMYWALKA AGNES - WOLNOSTOJĄCA</v>
      </c>
      <c r="C221" s="23"/>
      <c r="D221" s="24">
        <f ca="1">IFERROR(__xludf.DUMMYFUNCTION("""COMPUTED_VALUE"""),999)</f>
        <v>999</v>
      </c>
      <c r="E221" s="25" t="str">
        <f ca="1">IFERROR(__xludf.DUMMYFUNCTION("""COMPUTED_VALUE"""),"REA-U9906")</f>
        <v>REA-U9906</v>
      </c>
    </row>
    <row r="222" spans="1:5" x14ac:dyDescent="0.2">
      <c r="A222" s="22">
        <f ca="1">IFERROR(__xludf.DUMMYFUNCTION("""COMPUTED_VALUE"""),45639)</f>
        <v>45639</v>
      </c>
      <c r="B222" s="23" t="str">
        <f ca="1">IFERROR(__xludf.DUMMYFUNCTION("""COMPUTED_VALUE"""),"BRODZIK SAVOY 80*100*6cm + SYFON")</f>
        <v>BRODZIK SAVOY 80*100*6cm + SYFON</v>
      </c>
      <c r="C222" s="23"/>
      <c r="D222" s="24">
        <f ca="1">IFERROR(__xludf.DUMMYFUNCTION("""COMPUTED_VALUE"""),439)</f>
        <v>439</v>
      </c>
      <c r="E222" s="25" t="str">
        <f ca="1">IFERROR(__xludf.DUMMYFUNCTION("""COMPUTED_VALUE"""),"REA-K5332")</f>
        <v>REA-K5332</v>
      </c>
    </row>
    <row r="223" spans="1:5" x14ac:dyDescent="0.2">
      <c r="A223" s="22">
        <f ca="1">IFERROR(__xludf.DUMMYFUNCTION("""COMPUTED_VALUE"""),45639)</f>
        <v>45639</v>
      </c>
      <c r="B223" s="23" t="str">
        <f ca="1">IFERROR(__xludf.DUMMYFUNCTION("""COMPUTED_VALUE"""),"BRODZIK SAVOY 80*80*6cm + SYFON")</f>
        <v>BRODZIK SAVOY 80*80*6cm + SYFON</v>
      </c>
      <c r="C223" s="23"/>
      <c r="D223" s="24">
        <f ca="1">IFERROR(__xludf.DUMMYFUNCTION("""COMPUTED_VALUE"""),399)</f>
        <v>399</v>
      </c>
      <c r="E223" s="25" t="str">
        <f ca="1">IFERROR(__xludf.DUMMYFUNCTION("""COMPUTED_VALUE"""),"REA-K1906")</f>
        <v>REA-K1906</v>
      </c>
    </row>
    <row r="224" spans="1:5" x14ac:dyDescent="0.2">
      <c r="A224" s="22">
        <f ca="1">IFERROR(__xludf.DUMMYFUNCTION("""COMPUTED_VALUE"""),45639)</f>
        <v>45639</v>
      </c>
      <c r="B224" s="23" t="str">
        <f ca="1">IFERROR(__xludf.DUMMYFUNCTION("""COMPUTED_VALUE"""),"WC - CARLO MINI RIMLESS DUROPLAST/FLAT/ZM BLACK")</f>
        <v>WC - CARLO MINI RIMLESS DUROPLAST/FLAT/ZM BLACK</v>
      </c>
      <c r="C224" s="23"/>
      <c r="D224" s="24">
        <f ca="1">IFERROR(__xludf.DUMMYFUNCTION("""COMPUTED_VALUE"""),999)</f>
        <v>999</v>
      </c>
      <c r="E224" s="25" t="str">
        <f ca="1">IFERROR(__xludf.DUMMYFUNCTION("""COMPUTED_VALUE"""),"REA-C8936")</f>
        <v>REA-C8936</v>
      </c>
    </row>
    <row r="225" spans="1:5" x14ac:dyDescent="0.2">
      <c r="A225" s="22">
        <f ca="1">IFERROR(__xludf.DUMMYFUNCTION("""COMPUTED_VALUE"""),45639)</f>
        <v>45639</v>
      </c>
      <c r="B225" s="23" t="str">
        <f ca="1">IFERROR(__xludf.DUMMYFUNCTION("""COMPUTED_VALUE"""),"KOREK KLIK-KLAK UNIWERSALNY MIEDŹ")</f>
        <v>KOREK KLIK-KLAK UNIWERSALNY MIEDŹ</v>
      </c>
      <c r="C225" s="23"/>
      <c r="D225" s="24">
        <f ca="1">IFERROR(__xludf.DUMMYFUNCTION("""COMPUTED_VALUE"""),99)</f>
        <v>99</v>
      </c>
      <c r="E225" s="25" t="str">
        <f ca="1">IFERROR(__xludf.DUMMYFUNCTION("""COMPUTED_VALUE"""),"REA-A5698")</f>
        <v>REA-A5698</v>
      </c>
    </row>
    <row r="226" spans="1:5" x14ac:dyDescent="0.2">
      <c r="A226" s="22">
        <f ca="1">IFERROR(__xludf.DUMMYFUNCTION("""COMPUTED_VALUE"""),45639)</f>
        <v>45639</v>
      </c>
      <c r="B226" s="23" t="str">
        <f ca="1">IFERROR(__xludf.DUMMYFUNCTION("""COMPUTED_VALUE"""),"ZESTAW NATRYSKOWY MY1902-77GG STORM ZŁOTY SZCZOTKO")</f>
        <v>ZESTAW NATRYSKOWY MY1902-77GG STORM ZŁOTY SZCZOTKO</v>
      </c>
      <c r="C226" s="23"/>
      <c r="D226" s="24">
        <f ca="1">IFERROR(__xludf.DUMMYFUNCTION("""COMPUTED_VALUE"""),699)</f>
        <v>699</v>
      </c>
      <c r="E226" s="25" t="str">
        <f ca="1">IFERROR(__xludf.DUMMYFUNCTION("""COMPUTED_VALUE"""),"REA-P9535")</f>
        <v>REA-P9535</v>
      </c>
    </row>
    <row r="227" spans="1:5" x14ac:dyDescent="0.2">
      <c r="A227" s="22">
        <f ca="1">IFERROR(__xludf.DUMMYFUNCTION("""COMPUTED_VALUE"""),45639)</f>
        <v>45639</v>
      </c>
      <c r="B227" s="23" t="str">
        <f ca="1">IFERROR(__xludf.DUMMYFUNCTION("""COMPUTED_VALUE"""),"ZESTAW NATRYSKOWY MY1902-78GG STORM ZŁOTY SZCZOTKO")</f>
        <v>ZESTAW NATRYSKOWY MY1902-78GG STORM ZŁOTY SZCZOTKO</v>
      </c>
      <c r="C227" s="23"/>
      <c r="D227" s="24">
        <f ca="1">IFERROR(__xludf.DUMMYFUNCTION("""COMPUTED_VALUE"""),829)</f>
        <v>829</v>
      </c>
      <c r="E227" s="25" t="str">
        <f ca="1">IFERROR(__xludf.DUMMYFUNCTION("""COMPUTED_VALUE"""),"REA-P9536")</f>
        <v>REA-P9536</v>
      </c>
    </row>
    <row r="228" spans="1:5" x14ac:dyDescent="0.2">
      <c r="A228" s="22">
        <f ca="1">IFERROR(__xludf.DUMMYFUNCTION("""COMPUTED_VALUE"""),45639)</f>
        <v>45639</v>
      </c>
      <c r="B228" s="23" t="str">
        <f ca="1">IFERROR(__xludf.DUMMYFUNCTION("""COMPUTED_VALUE"""),"BATERIA BIDETOWA MY1902-9C STORM CHROM")</f>
        <v>BATERIA BIDETOWA MY1902-9C STORM CHROM</v>
      </c>
      <c r="C228" s="23"/>
      <c r="D228" s="24">
        <f ca="1">IFERROR(__xludf.DUMMYFUNCTION("""COMPUTED_VALUE"""),239)</f>
        <v>239</v>
      </c>
      <c r="E228" s="25" t="str">
        <f ca="1">IFERROR(__xludf.DUMMYFUNCTION("""COMPUTED_VALUE"""),"REA-B8039")</f>
        <v>REA-B8039</v>
      </c>
    </row>
    <row r="229" spans="1:5" x14ac:dyDescent="0.2">
      <c r="A229" s="22">
        <f ca="1">IFERROR(__xludf.DUMMYFUNCTION("""COMPUTED_VALUE"""),45639)</f>
        <v>45639</v>
      </c>
      <c r="B229" s="23" t="str">
        <f ca="1">IFERROR(__xludf.DUMMYFUNCTION("""COMPUTED_VALUE"""),"BATERIA KUCHENNA ECO FRESH CZARNA")</f>
        <v>BATERIA KUCHENNA ECO FRESH CZARNA</v>
      </c>
      <c r="C229" s="23"/>
      <c r="D229" s="24">
        <f ca="1">IFERROR(__xludf.DUMMYFUNCTION("""COMPUTED_VALUE"""),289)</f>
        <v>289</v>
      </c>
      <c r="E229" s="25" t="str">
        <f ca="1">IFERROR(__xludf.DUMMYFUNCTION("""COMPUTED_VALUE"""),"REA-B7564")</f>
        <v>REA-B7564</v>
      </c>
    </row>
    <row r="230" spans="1:5" x14ac:dyDescent="0.2">
      <c r="A230" s="22">
        <f ca="1">IFERROR(__xludf.DUMMYFUNCTION("""COMPUTED_VALUE"""),45639)</f>
        <v>45639</v>
      </c>
      <c r="B230" s="23" t="str">
        <f ca="1">IFERROR(__xludf.DUMMYFUNCTION("""COMPUTED_VALUE"""),"BATERIA KUCHENNA ECO FRESH NIKIEL SZCZOTKOWANY")</f>
        <v>BATERIA KUCHENNA ECO FRESH NIKIEL SZCZOTKOWANY</v>
      </c>
      <c r="C230" s="23"/>
      <c r="D230" s="24">
        <f ca="1">IFERROR(__xludf.DUMMYFUNCTION("""COMPUTED_VALUE"""),259)</f>
        <v>259</v>
      </c>
      <c r="E230" s="25" t="str">
        <f ca="1">IFERROR(__xludf.DUMMYFUNCTION("""COMPUTED_VALUE"""),"REA-B7563")</f>
        <v>REA-B7563</v>
      </c>
    </row>
    <row r="231" spans="1:5" x14ac:dyDescent="0.2">
      <c r="A231" s="22">
        <f ca="1">IFERROR(__xludf.DUMMYFUNCTION("""COMPUTED_VALUE"""),45639)</f>
        <v>45639</v>
      </c>
      <c r="B231" s="23" t="str">
        <f ca="1">IFERROR(__xludf.DUMMYFUNCTION("""COMPUTED_VALUE"""),"BATERIA UMYWALKOWA MY2021-2C ARGUS CHROME NISKA")</f>
        <v>BATERIA UMYWALKOWA MY2021-2C ARGUS CHROME NISKA</v>
      </c>
      <c r="C231" s="23"/>
      <c r="D231" s="24">
        <f ca="1">IFERROR(__xludf.DUMMYFUNCTION("""COMPUTED_VALUE"""),249)</f>
        <v>249</v>
      </c>
      <c r="E231" s="25" t="str">
        <f ca="1">IFERROR(__xludf.DUMMYFUNCTION("""COMPUTED_VALUE"""),"REA-B6208")</f>
        <v>REA-B6208</v>
      </c>
    </row>
    <row r="232" spans="1:5" x14ac:dyDescent="0.2">
      <c r="A232" s="22">
        <f ca="1">IFERROR(__xludf.DUMMYFUNCTION("""COMPUTED_VALUE"""),45639)</f>
        <v>45639</v>
      </c>
      <c r="B232" s="23" t="str">
        <f ca="1">IFERROR(__xludf.DUMMYFUNCTION("""COMPUTED_VALUE"""),"ZESTAW NATRYSKOWY MY2021-77GG ARGUS ZŁOTY SZCZOTKO")</f>
        <v>ZESTAW NATRYSKOWY MY2021-77GG ARGUS ZŁOTY SZCZOTKO</v>
      </c>
      <c r="C232" s="23"/>
      <c r="D232" s="24">
        <f ca="1">IFERROR(__xludf.DUMMYFUNCTION("""COMPUTED_VALUE"""),699)</f>
        <v>699</v>
      </c>
      <c r="E232" s="25" t="str">
        <f ca="1">IFERROR(__xludf.DUMMYFUNCTION("""COMPUTED_VALUE"""),"REA-P7841")</f>
        <v>REA-P7841</v>
      </c>
    </row>
    <row r="233" spans="1:5" x14ac:dyDescent="0.2">
      <c r="A233" s="22">
        <f ca="1">IFERROR(__xludf.DUMMYFUNCTION("""COMPUTED_VALUE"""),45639)</f>
        <v>45639</v>
      </c>
      <c r="B233" s="23" t="str">
        <f ca="1">IFERROR(__xludf.DUMMYFUNCTION("""COMPUTED_VALUE"""),"BATERIA UMY MY2021-2GG ARGUS ZŁOTA SZCZOTK NISKA")</f>
        <v>BATERIA UMY MY2021-2GG ARGUS ZŁOTA SZCZOTK NISKA</v>
      </c>
      <c r="C233" s="23"/>
      <c r="D233" s="24">
        <f ca="1">IFERROR(__xludf.DUMMYFUNCTION("""COMPUTED_VALUE"""),329)</f>
        <v>329</v>
      </c>
      <c r="E233" s="25" t="str">
        <f ca="1">IFERROR(__xludf.DUMMYFUNCTION("""COMPUTED_VALUE"""),"REA-B6410")</f>
        <v>REA-B6410</v>
      </c>
    </row>
    <row r="234" spans="1:5" x14ac:dyDescent="0.2">
      <c r="A234" s="22">
        <f ca="1">IFERROR(__xludf.DUMMYFUNCTION("""COMPUTED_VALUE"""),45639)</f>
        <v>45639</v>
      </c>
      <c r="B234" s="23" t="str">
        <f ca="1">IFERROR(__xludf.DUMMYFUNCTION("""COMPUTED_VALUE"""),"BATERIA WANNOWA MY2021-3GG ARGUS ZŁOTA SZCZOTKOWAN")</f>
        <v>BATERIA WANNOWA MY2021-3GG ARGUS ZŁOTA SZCZOTKOWAN</v>
      </c>
      <c r="C234" s="23"/>
      <c r="D234" s="24">
        <f ca="1">IFERROR(__xludf.DUMMYFUNCTION("""COMPUTED_VALUE"""),419)</f>
        <v>419</v>
      </c>
      <c r="E234" s="25" t="str">
        <f ca="1">IFERROR(__xludf.DUMMYFUNCTION("""COMPUTED_VALUE"""),"REA-B6414")</f>
        <v>REA-B6414</v>
      </c>
    </row>
    <row r="235" spans="1:5" x14ac:dyDescent="0.2">
      <c r="A235" s="22">
        <f ca="1">IFERROR(__xludf.DUMMYFUNCTION("""COMPUTED_VALUE"""),45639)</f>
        <v>45639</v>
      </c>
      <c r="B235" s="23" t="str">
        <f ca="1">IFERROR(__xludf.DUMMYFUNCTION("""COMPUTED_VALUE"""),"ZESTAW NATRYSKOWY MY2021-77B ARGUS CZARNY")</f>
        <v>ZESTAW NATRYSKOWY MY2021-77B ARGUS CZARNY</v>
      </c>
      <c r="C235" s="23"/>
      <c r="D235" s="24">
        <f ca="1">IFERROR(__xludf.DUMMYFUNCTION("""COMPUTED_VALUE"""),559)</f>
        <v>559</v>
      </c>
      <c r="E235" s="25" t="str">
        <f ca="1">IFERROR(__xludf.DUMMYFUNCTION("""COMPUTED_VALUE"""),"REA-P2389")</f>
        <v>REA-P2389</v>
      </c>
    </row>
    <row r="236" spans="1:5" x14ac:dyDescent="0.2">
      <c r="A236" s="22">
        <f ca="1">IFERROR(__xludf.DUMMYFUNCTION("""COMPUTED_VALUE"""),45639)</f>
        <v>45639</v>
      </c>
      <c r="B236" s="23" t="str">
        <f ca="1">IFERROR(__xludf.DUMMYFUNCTION("""COMPUTED_VALUE"""),"BATERIA UMYWALKOWA MY2021-2B ARGUS BLACK NISKA")</f>
        <v>BATERIA UMYWALKOWA MY2021-2B ARGUS BLACK NISKA</v>
      </c>
      <c r="C236" s="23"/>
      <c r="D236" s="24">
        <f ca="1">IFERROR(__xludf.DUMMYFUNCTION("""COMPUTED_VALUE"""),229)</f>
        <v>229</v>
      </c>
      <c r="E236" s="25" t="str">
        <f ca="1">IFERROR(__xludf.DUMMYFUNCTION("""COMPUTED_VALUE"""),"REA-B6210")</f>
        <v>REA-B6210</v>
      </c>
    </row>
    <row r="237" spans="1:5" x14ac:dyDescent="0.2">
      <c r="A237" s="22">
        <f ca="1">IFERROR(__xludf.DUMMYFUNCTION("""COMPUTED_VALUE"""),45639)</f>
        <v>45639</v>
      </c>
      <c r="B237" s="23" t="str">
        <f ca="1">IFERROR(__xludf.DUMMYFUNCTION("""COMPUTED_VALUE"""),"BATERIA UMYWALKOWA MY1902-21H STORM GUN SZARY WYSOK")</f>
        <v>BATERIA UMYWALKOWA MY1902-21H STORM GUN SZARY WYSOK</v>
      </c>
      <c r="C237" s="23"/>
      <c r="D237" s="24">
        <f ca="1">IFERROR(__xludf.DUMMYFUNCTION("""COMPUTED_VALUE"""),449)</f>
        <v>449</v>
      </c>
      <c r="E237" s="25" t="str">
        <f ca="1">IFERROR(__xludf.DUMMYFUNCTION("""COMPUTED_VALUE"""),"REA-B4584")</f>
        <v>REA-B4584</v>
      </c>
    </row>
    <row r="238" spans="1:5" x14ac:dyDescent="0.2">
      <c r="A238" s="22">
        <f ca="1">IFERROR(__xludf.DUMMYFUNCTION("""COMPUTED_VALUE"""),45639)</f>
        <v>45639</v>
      </c>
      <c r="B238" s="23" t="str">
        <f ca="1">IFERROR(__xludf.DUMMYFUNCTION("""COMPUTED_VALUE"""),"BATERIA UMYWALKOWA MY1902-21B STORM BLACK WYSOKA")</f>
        <v>BATERIA UMYWALKOWA MY1902-21B STORM BLACK WYSOKA</v>
      </c>
      <c r="C238" s="23"/>
      <c r="D238" s="24">
        <f ca="1">IFERROR(__xludf.DUMMYFUNCTION("""COMPUTED_VALUE"""),359)</f>
        <v>359</v>
      </c>
      <c r="E238" s="25" t="str">
        <f ca="1">IFERROR(__xludf.DUMMYFUNCTION("""COMPUTED_VALUE"""),"REA-B9988")</f>
        <v>REA-B9988</v>
      </c>
    </row>
    <row r="239" spans="1:5" x14ac:dyDescent="0.2">
      <c r="A239" s="22">
        <f ca="1">IFERROR(__xludf.DUMMYFUNCTION("""COMPUTED_VALUE"""),45639)</f>
        <v>45639</v>
      </c>
      <c r="B239" s="23" t="str">
        <f ca="1">IFERROR(__xludf.DUMMYFUNCTION("""COMPUTED_VALUE"""),"BATERIA UMYWALKOWA MY1902-2B STORM BLACK NISKA")</f>
        <v>BATERIA UMYWALKOWA MY1902-2B STORM BLACK NISKA</v>
      </c>
      <c r="C239" s="23"/>
      <c r="D239" s="24">
        <f ca="1">IFERROR(__xludf.DUMMYFUNCTION("""COMPUTED_VALUE"""),279)</f>
        <v>279</v>
      </c>
      <c r="E239" s="25" t="str">
        <f ca="1">IFERROR(__xludf.DUMMYFUNCTION("""COMPUTED_VALUE"""),"REA-B9986")</f>
        <v>REA-B9986</v>
      </c>
    </row>
    <row r="240" spans="1:5" x14ac:dyDescent="0.2">
      <c r="A240" s="22">
        <f ca="1">IFERROR(__xludf.DUMMYFUNCTION("""COMPUTED_VALUE"""),45639)</f>
        <v>45639</v>
      </c>
      <c r="B240" s="23" t="str">
        <f ca="1">IFERROR(__xludf.DUMMYFUNCTION("""COMPUTED_VALUE"""),"BATERIA UMYWALKOWA MY1902-21C STORM CHROME WYSOKA")</f>
        <v>BATERIA UMYWALKOWA MY1902-21C STORM CHROME WYSOKA</v>
      </c>
      <c r="C240" s="23"/>
      <c r="D240" s="24">
        <f ca="1">IFERROR(__xludf.DUMMYFUNCTION("""COMPUTED_VALUE"""),359)</f>
        <v>359</v>
      </c>
      <c r="E240" s="25" t="str">
        <f ca="1">IFERROR(__xludf.DUMMYFUNCTION("""COMPUTED_VALUE"""),"REA-B6203")</f>
        <v>REA-B6203</v>
      </c>
    </row>
    <row r="241" spans="1:5" x14ac:dyDescent="0.2">
      <c r="A241" s="22">
        <f ca="1">IFERROR(__xludf.DUMMYFUNCTION("""COMPUTED_VALUE"""),45639)</f>
        <v>45639</v>
      </c>
      <c r="B241" s="23" t="str">
        <f ca="1">IFERROR(__xludf.DUMMYFUNCTION("""COMPUTED_VALUE"""),"ZESTAW NATRYSKOWY MY1902-78G STORM ZŁOTY")</f>
        <v>ZESTAW NATRYSKOWY MY1902-78G STORM ZŁOTY</v>
      </c>
      <c r="C241" s="23"/>
      <c r="D241" s="24">
        <f ca="1">IFERROR(__xludf.DUMMYFUNCTION("""COMPUTED_VALUE"""),769)</f>
        <v>769</v>
      </c>
      <c r="E241" s="25" t="str">
        <f ca="1">IFERROR(__xludf.DUMMYFUNCTION("""COMPUTED_VALUE"""),"REA-P9531")</f>
        <v>REA-P9531</v>
      </c>
    </row>
    <row r="242" spans="1:5" x14ac:dyDescent="0.2">
      <c r="A242" s="22">
        <f ca="1">IFERROR(__xludf.DUMMYFUNCTION("""COMPUTED_VALUE"""),45639)</f>
        <v>45639</v>
      </c>
      <c r="B242" s="23" t="str">
        <f ca="1">IFERROR(__xludf.DUMMYFUNCTION("""COMPUTED_VALUE"""),"BATERIA UMYWALKOWA MY1902-21G STORM GOLD WYSOKA")</f>
        <v>BATERIA UMYWALKOWA MY1902-21G STORM GOLD WYSOKA</v>
      </c>
      <c r="C242" s="23"/>
      <c r="D242" s="24">
        <f ca="1">IFERROR(__xludf.DUMMYFUNCTION("""COMPUTED_VALUE"""),419)</f>
        <v>419</v>
      </c>
      <c r="E242" s="25" t="str">
        <f ca="1">IFERROR(__xludf.DUMMYFUNCTION("""COMPUTED_VALUE"""),"REA-B9983")</f>
        <v>REA-B9983</v>
      </c>
    </row>
    <row r="243" spans="1:5" x14ac:dyDescent="0.2">
      <c r="A243" s="22">
        <f ca="1">IFERROR(__xludf.DUMMYFUNCTION("""COMPUTED_VALUE"""),45639)</f>
        <v>45639</v>
      </c>
      <c r="B243" s="23" t="str">
        <f ca="1">IFERROR(__xludf.DUMMYFUNCTION("""COMPUTED_VALUE"""),"BATERIA UMYWALKOWA MY1902-2G STORM GOLD NISKA")</f>
        <v>BATERIA UMYWALKOWA MY1902-2G STORM GOLD NISKA</v>
      </c>
      <c r="C243" s="23"/>
      <c r="D243" s="24">
        <f ca="1">IFERROR(__xludf.DUMMYFUNCTION("""COMPUTED_VALUE"""),299)</f>
        <v>299</v>
      </c>
      <c r="E243" s="25" t="str">
        <f ca="1">IFERROR(__xludf.DUMMYFUNCTION("""COMPUTED_VALUE"""),"REA-B9981")</f>
        <v>REA-B9981</v>
      </c>
    </row>
    <row r="244" spans="1:5" x14ac:dyDescent="0.2">
      <c r="A244" s="22">
        <f ca="1">IFERROR(__xludf.DUMMYFUNCTION("""COMPUTED_VALUE"""),45639)</f>
        <v>45639</v>
      </c>
      <c r="B244" s="23" t="str">
        <f ca="1">IFERROR(__xludf.DUMMYFUNCTION("""COMPUTED_VALUE"""),"BATERIA UMYWALK MY1806-21BG POLO BLACK GOLD WYSOKA")</f>
        <v>BATERIA UMYWALK MY1806-21BG POLO BLACK GOLD WYSOKA</v>
      </c>
      <c r="C244" s="23"/>
      <c r="D244" s="24">
        <f ca="1">IFERROR(__xludf.DUMMYFUNCTION("""COMPUTED_VALUE"""),299)</f>
        <v>299</v>
      </c>
      <c r="E244" s="25" t="str">
        <f ca="1">IFERROR(__xludf.DUMMYFUNCTION("""COMPUTED_VALUE"""),"REA-B9978")</f>
        <v>REA-B9978</v>
      </c>
    </row>
    <row r="245" spans="1:5" x14ac:dyDescent="0.2">
      <c r="A245" s="22">
        <f ca="1">IFERROR(__xludf.DUMMYFUNCTION("""COMPUTED_VALUE"""),45639)</f>
        <v>45639</v>
      </c>
      <c r="B245" s="23" t="str">
        <f ca="1">IFERROR(__xludf.DUMMYFUNCTION("""COMPUTED_VALUE"""),"BATERIA UMYWALK MY1806-2CW POLO CHROME/WHITE NISKA")</f>
        <v>BATERIA UMYWALK MY1806-2CW POLO CHROME/WHITE NISKA</v>
      </c>
      <c r="C245" s="23"/>
      <c r="D245" s="24">
        <f ca="1">IFERROR(__xludf.DUMMYFUNCTION("""COMPUTED_VALUE"""),239)</f>
        <v>239</v>
      </c>
      <c r="E245" s="25" t="str">
        <f ca="1">IFERROR(__xludf.DUMMYFUNCTION("""COMPUTED_VALUE"""),"REA-B9941")</f>
        <v>REA-B9941</v>
      </c>
    </row>
    <row r="246" spans="1:5" x14ac:dyDescent="0.2">
      <c r="A246" s="22">
        <f ca="1">IFERROR(__xludf.DUMMYFUNCTION("""COMPUTED_VALUE"""),45639)</f>
        <v>45639</v>
      </c>
      <c r="B246" s="23" t="str">
        <f ca="1">IFERROR(__xludf.DUMMYFUNCTION("""COMPUTED_VALUE"""),"ZESTAW NATRYSKOWY AVALON ZŁOTY")</f>
        <v>ZESTAW NATRYSKOWY AVALON ZŁOTY</v>
      </c>
      <c r="C246" s="23"/>
      <c r="D246" s="24">
        <f ca="1">IFERROR(__xludf.DUMMYFUNCTION("""COMPUTED_VALUE"""),899)</f>
        <v>899</v>
      </c>
      <c r="E246" s="25" t="str">
        <f ca="1">IFERROR(__xludf.DUMMYFUNCTION("""COMPUTED_VALUE"""),"REA-P8812")</f>
        <v>REA-P8812</v>
      </c>
    </row>
    <row r="247" spans="1:5" x14ac:dyDescent="0.2">
      <c r="A247" s="22">
        <f ca="1">IFERROR(__xludf.DUMMYFUNCTION("""COMPUTED_VALUE"""),45639)</f>
        <v>45639</v>
      </c>
      <c r="B247" s="23" t="str">
        <f ca="1">IFERROR(__xludf.DUMMYFUNCTION("""COMPUTED_VALUE"""),"BATERIA BIDETOWA AVALON ZŁOTA")</f>
        <v>BATERIA BIDETOWA AVALON ZŁOTA</v>
      </c>
      <c r="C247" s="23"/>
      <c r="D247" s="24">
        <f ca="1">IFERROR(__xludf.DUMMYFUNCTION("""COMPUTED_VALUE"""),279)</f>
        <v>279</v>
      </c>
      <c r="E247" s="25" t="str">
        <f ca="1">IFERROR(__xludf.DUMMYFUNCTION("""COMPUTED_VALUE"""),"REA-B1125")</f>
        <v>REA-B1125</v>
      </c>
    </row>
    <row r="248" spans="1:5" x14ac:dyDescent="0.2">
      <c r="A248" s="22">
        <f ca="1">IFERROR(__xludf.DUMMYFUNCTION("""COMPUTED_VALUE"""),45639)</f>
        <v>45639</v>
      </c>
      <c r="B248" s="23" t="str">
        <f ca="1">IFERROR(__xludf.DUMMYFUNCTION("""COMPUTED_VALUE"""),"BATERIA UMYWALKOWA AVALON ZŁOTA WYSOKA")</f>
        <v>BATERIA UMYWALKOWA AVALON ZŁOTA WYSOKA</v>
      </c>
      <c r="C248" s="23"/>
      <c r="D248" s="24">
        <f ca="1">IFERROR(__xludf.DUMMYFUNCTION("""COMPUTED_VALUE"""),399)</f>
        <v>399</v>
      </c>
      <c r="E248" s="25" t="str">
        <f ca="1">IFERROR(__xludf.DUMMYFUNCTION("""COMPUTED_VALUE"""),"REA-B1127")</f>
        <v>REA-B1127</v>
      </c>
    </row>
    <row r="249" spans="1:5" x14ac:dyDescent="0.2">
      <c r="A249" s="22">
        <f ca="1">IFERROR(__xludf.DUMMYFUNCTION("""COMPUTED_VALUE"""),45639)</f>
        <v>45639</v>
      </c>
      <c r="B249" s="23" t="str">
        <f ca="1">IFERROR(__xludf.DUMMYFUNCTION("""COMPUTED_VALUE"""),"BATERIA UMYWALKOWA AVALON ZŁOTA NISKA")</f>
        <v>BATERIA UMYWALKOWA AVALON ZŁOTA NISKA</v>
      </c>
      <c r="C249" s="23"/>
      <c r="D249" s="24">
        <f ca="1">IFERROR(__xludf.DUMMYFUNCTION("""COMPUTED_VALUE"""),279)</f>
        <v>279</v>
      </c>
      <c r="E249" s="25" t="str">
        <f ca="1">IFERROR(__xludf.DUMMYFUNCTION("""COMPUTED_VALUE"""),"REA-B1118")</f>
        <v>REA-B1118</v>
      </c>
    </row>
    <row r="250" spans="1:5" x14ac:dyDescent="0.2">
      <c r="A250" s="22">
        <f ca="1">IFERROR(__xludf.DUMMYFUNCTION("""COMPUTED_VALUE"""),45632)</f>
        <v>45632</v>
      </c>
      <c r="B250" s="23" t="str">
        <f ca="1">IFERROR(__xludf.DUMMYFUNCTION("""COMPUTED_VALUE"""),"ZESTAW NATR PODTYNKOWY LUNGO GRIP ZŁOTY SZCZ + BOX")</f>
        <v>ZESTAW NATR PODTYNKOWY LUNGO GRIP ZŁOTY SZCZ + BOX</v>
      </c>
      <c r="C250" s="23"/>
      <c r="D250" s="24">
        <f ca="1">IFERROR(__xludf.DUMMYFUNCTION("""COMPUTED_VALUE"""),999)</f>
        <v>999</v>
      </c>
      <c r="E250" s="25" t="str">
        <f ca="1">IFERROR(__xludf.DUMMYFUNCTION("""COMPUTED_VALUE"""),"REA-P8950")</f>
        <v>REA-P8950</v>
      </c>
    </row>
    <row r="251" spans="1:5" x14ac:dyDescent="0.2">
      <c r="A251" s="22">
        <f ca="1">IFERROR(__xludf.DUMMYFUNCTION("""COMPUTED_VALUE"""),45632)</f>
        <v>45632</v>
      </c>
      <c r="B251" s="23" t="str">
        <f ca="1">IFERROR(__xludf.DUMMYFUNCTION("""COMPUTED_VALUE"""),"BATERIA UMYWALKOWA LUNGO GRIP ZŁOTA SZCZOT NISKA")</f>
        <v>BATERIA UMYWALKOWA LUNGO GRIP ZŁOTA SZCZOT NISKA</v>
      </c>
      <c r="C251" s="23"/>
      <c r="D251" s="24">
        <f ca="1">IFERROR(__xludf.DUMMYFUNCTION("""COMPUTED_VALUE"""),259)</f>
        <v>259</v>
      </c>
      <c r="E251" s="25" t="str">
        <f ca="1">IFERROR(__xludf.DUMMYFUNCTION("""COMPUTED_VALUE"""),"REA-B6950")</f>
        <v>REA-B6950</v>
      </c>
    </row>
    <row r="252" spans="1:5" x14ac:dyDescent="0.2">
      <c r="A252" s="22">
        <f ca="1">IFERROR(__xludf.DUMMYFUNCTION("""COMPUTED_VALUE"""),45632)</f>
        <v>45632</v>
      </c>
      <c r="B252" s="23" t="str">
        <f ca="1">IFERROR(__xludf.DUMMYFUNCTION("""COMPUTED_VALUE"""),"ZESTAW NATRYSKOWY PODTYNKOWY LUNGO GRIP TYTAN+ BOX")</f>
        <v>ZESTAW NATRYSKOWY PODTYNKOWY LUNGO GRIP TYTAN+ BOX</v>
      </c>
      <c r="C252" s="23"/>
      <c r="D252" s="24">
        <f ca="1">IFERROR(__xludf.DUMMYFUNCTION("""COMPUTED_VALUE"""),999)</f>
        <v>999</v>
      </c>
      <c r="E252" s="25" t="str">
        <f ca="1">IFERROR(__xludf.DUMMYFUNCTION("""COMPUTED_VALUE"""),"REA-P8958")</f>
        <v>REA-P8958</v>
      </c>
    </row>
    <row r="253" spans="1:5" x14ac:dyDescent="0.2">
      <c r="A253" s="22">
        <f ca="1">IFERROR(__xludf.DUMMYFUNCTION("""COMPUTED_VALUE"""),45632)</f>
        <v>45632</v>
      </c>
      <c r="B253" s="23" t="str">
        <f ca="1">IFERROR(__xludf.DUMMYFUNCTION("""COMPUTED_VALUE"""),"BATERIA UMYWALKOWA LUNGO GRIP ZŁOTA SZCZOT WYSOKA")</f>
        <v>BATERIA UMYWALKOWA LUNGO GRIP ZŁOTA SZCZOT WYSOKA</v>
      </c>
      <c r="C253" s="23"/>
      <c r="D253" s="24">
        <f ca="1">IFERROR(__xludf.DUMMYFUNCTION("""COMPUTED_VALUE"""),299)</f>
        <v>299</v>
      </c>
      <c r="E253" s="25" t="str">
        <f ca="1">IFERROR(__xludf.DUMMYFUNCTION("""COMPUTED_VALUE"""),"REA-B6896")</f>
        <v>REA-B6896</v>
      </c>
    </row>
    <row r="254" spans="1:5" x14ac:dyDescent="0.2">
      <c r="A254" s="22">
        <f ca="1">IFERROR(__xludf.DUMMYFUNCTION("""COMPUTED_VALUE"""),45632)</f>
        <v>45632</v>
      </c>
      <c r="B254" s="23" t="str">
        <f ca="1">IFERROR(__xludf.DUMMYFUNCTION("""COMPUTED_VALUE"""),"ZESTAW NATRYSKOWY PODTYN LUNGO ZŁOTY SZCZO TERMOST")</f>
        <v>ZESTAW NATRYSKOWY PODTYN LUNGO ZŁOTY SZCZO TERMOST</v>
      </c>
      <c r="C254" s="23"/>
      <c r="D254" s="24">
        <f ca="1">IFERROR(__xludf.DUMMYFUNCTION("""COMPUTED_VALUE"""),1239)</f>
        <v>1239</v>
      </c>
      <c r="E254" s="25" t="str">
        <f ca="1">IFERROR(__xludf.DUMMYFUNCTION("""COMPUTED_VALUE"""),"REA-P8551")</f>
        <v>REA-P8551</v>
      </c>
    </row>
    <row r="255" spans="1:5" x14ac:dyDescent="0.2">
      <c r="A255" s="22">
        <f ca="1">IFERROR(__xludf.DUMMYFUNCTION("""COMPUTED_VALUE"""),45632)</f>
        <v>45632</v>
      </c>
      <c r="B255" s="23" t="str">
        <f ca="1">IFERROR(__xludf.DUMMYFUNCTION("""COMPUTED_VALUE"""),"ZESTAW NATRYSKOWY OVAL BLACK + ECO BOX")</f>
        <v>ZESTAW NATRYSKOWY OVAL BLACK + ECO BOX</v>
      </c>
      <c r="C255" s="23"/>
      <c r="D255" s="24">
        <f ca="1">IFERROR(__xludf.DUMMYFUNCTION("""COMPUTED_VALUE"""),799)</f>
        <v>799</v>
      </c>
      <c r="E255" s="25" t="str">
        <f ca="1">IFERROR(__xludf.DUMMYFUNCTION("""COMPUTED_VALUE"""),"REA-P8467")</f>
        <v>REA-P8467</v>
      </c>
    </row>
    <row r="256" spans="1:5" x14ac:dyDescent="0.2">
      <c r="A256" s="22">
        <f ca="1">IFERROR(__xludf.DUMMYFUNCTION("""COMPUTED_VALUE"""),45632)</f>
        <v>45632</v>
      </c>
      <c r="B256" s="23" t="str">
        <f ca="1">IFERROR(__xludf.DUMMYFUNCTION("""COMPUTED_VALUE"""),"BATERIA UMYWALKOWA LUNGO ART L.GOLD WYSOKA")</f>
        <v>BATERIA UMYWALKOWA LUNGO ART L.GOLD WYSOKA</v>
      </c>
      <c r="C256" s="23"/>
      <c r="D256" s="24">
        <f ca="1">IFERROR(__xludf.DUMMYFUNCTION("""COMPUTED_VALUE"""),359)</f>
        <v>359</v>
      </c>
      <c r="E256" s="25" t="str">
        <f ca="1">IFERROR(__xludf.DUMMYFUNCTION("""COMPUTED_VALUE"""),"REA-B8821")</f>
        <v>REA-B8821</v>
      </c>
    </row>
    <row r="257" spans="1:5" x14ac:dyDescent="0.2">
      <c r="A257" s="22">
        <f ca="1">IFERROR(__xludf.DUMMYFUNCTION("""COMPUTED_VALUE"""),45632)</f>
        <v>45632</v>
      </c>
      <c r="B257" s="23" t="str">
        <f ca="1">IFERROR(__xludf.DUMMYFUNCTION("""COMPUTED_VALUE"""),"BATERIA JS-620901B BERG BLACK NISKA")</f>
        <v>BATERIA JS-620901B BERG BLACK NISKA</v>
      </c>
      <c r="C257" s="23"/>
      <c r="D257" s="24">
        <f ca="1">IFERROR(__xludf.DUMMYFUNCTION("""COMPUTED_VALUE"""),189)</f>
        <v>189</v>
      </c>
      <c r="E257" s="25" t="str">
        <f ca="1">IFERROR(__xludf.DUMMYFUNCTION("""COMPUTED_VALUE"""),"REA-B2038")</f>
        <v>REA-B2038</v>
      </c>
    </row>
    <row r="258" spans="1:5" x14ac:dyDescent="0.2">
      <c r="A258" s="22">
        <f ca="1">IFERROR(__xludf.DUMMYFUNCTION("""COMPUTED_VALUE"""),45632)</f>
        <v>45632</v>
      </c>
      <c r="B258" s="23" t="str">
        <f ca="1">IFERROR(__xludf.DUMMYFUNCTION("""COMPUTED_VALUE"""),"BATERIA JS-620903G WANNOWA BERG GOLD")</f>
        <v>BATERIA JS-620903G WANNOWA BERG GOLD</v>
      </c>
      <c r="C258" s="23"/>
      <c r="D258" s="24">
        <f ca="1">IFERROR(__xludf.DUMMYFUNCTION("""COMPUTED_VALUE"""),389)</f>
        <v>389</v>
      </c>
      <c r="E258" s="25" t="str">
        <f ca="1">IFERROR(__xludf.DUMMYFUNCTION("""COMPUTED_VALUE"""),"REA-B2043")</f>
        <v>REA-B2043</v>
      </c>
    </row>
    <row r="259" spans="1:5" x14ac:dyDescent="0.2">
      <c r="A259" s="22">
        <f ca="1">IFERROR(__xludf.DUMMYFUNCTION("""COMPUTED_VALUE"""),45632)</f>
        <v>45632</v>
      </c>
      <c r="B259" s="23" t="str">
        <f ca="1">IFERROR(__xludf.DUMMYFUNCTION("""COMPUTED_VALUE"""),"BATERIA JS-620901-1G BERG GOLD WYSOKA")</f>
        <v>BATERIA JS-620901-1G BERG GOLD WYSOKA</v>
      </c>
      <c r="C259" s="23"/>
      <c r="D259" s="24">
        <f ca="1">IFERROR(__xludf.DUMMYFUNCTION("""COMPUTED_VALUE"""),399)</f>
        <v>399</v>
      </c>
      <c r="E259" s="25" t="str">
        <f ca="1">IFERROR(__xludf.DUMMYFUNCTION("""COMPUTED_VALUE"""),"REA-B2042")</f>
        <v>REA-B2042</v>
      </c>
    </row>
    <row r="260" spans="1:5" x14ac:dyDescent="0.2">
      <c r="A260" s="22">
        <f ca="1">IFERROR(__xludf.DUMMYFUNCTION("""COMPUTED_VALUE"""),45632)</f>
        <v>45632</v>
      </c>
      <c r="B260" s="23" t="str">
        <f ca="1">IFERROR(__xludf.DUMMYFUNCTION("""COMPUTED_VALUE"""),"BATERIA JS-634901-1 VIRAL CHROM WYSOKA")</f>
        <v>BATERIA JS-634901-1 VIRAL CHROM WYSOKA</v>
      </c>
      <c r="C260" s="23"/>
      <c r="D260" s="24">
        <f ca="1">IFERROR(__xludf.DUMMYFUNCTION("""COMPUTED_VALUE"""),249)</f>
        <v>249</v>
      </c>
      <c r="E260" s="25" t="str">
        <f ca="1">IFERROR(__xludf.DUMMYFUNCTION("""COMPUTED_VALUE"""),"REA-B2020")</f>
        <v>REA-B2020</v>
      </c>
    </row>
    <row r="261" spans="1:5" x14ac:dyDescent="0.2">
      <c r="A261" s="22">
        <f ca="1">IFERROR(__xludf.DUMMYFUNCTION("""COMPUTED_VALUE"""),45632)</f>
        <v>45632</v>
      </c>
      <c r="B261" s="23" t="str">
        <f ca="1">IFERROR(__xludf.DUMMYFUNCTION("""COMPUTED_VALUE"""),"BATERIA JS-634901RGB VIRAL BLACK/ROSE GOLD NISKA")</f>
        <v>BATERIA JS-634901RGB VIRAL BLACK/ROSE GOLD NISKA</v>
      </c>
      <c r="C261" s="23"/>
      <c r="D261" s="24">
        <f ca="1">IFERROR(__xludf.DUMMYFUNCTION("""COMPUTED_VALUE"""),199)</f>
        <v>199</v>
      </c>
      <c r="E261" s="25" t="str">
        <f ca="1">IFERROR(__xludf.DUMMYFUNCTION("""COMPUTED_VALUE"""),"REA-B2025")</f>
        <v>REA-B2025</v>
      </c>
    </row>
    <row r="262" spans="1:5" x14ac:dyDescent="0.2">
      <c r="A262" s="22">
        <f ca="1">IFERROR(__xludf.DUMMYFUNCTION("""COMPUTED_VALUE"""),45632)</f>
        <v>45632</v>
      </c>
      <c r="B262" s="23" t="str">
        <f ca="1">IFERROR(__xludf.DUMMYFUNCTION("""COMPUTED_VALUE"""),"BATERIA JS-634901-1G VIRAL GOLD WYSOKA")</f>
        <v>BATERIA JS-634901-1G VIRAL GOLD WYSOKA</v>
      </c>
      <c r="C262" s="23"/>
      <c r="D262" s="24">
        <f ca="1">IFERROR(__xludf.DUMMYFUNCTION("""COMPUTED_VALUE"""),229)</f>
        <v>229</v>
      </c>
      <c r="E262" s="25" t="str">
        <f ca="1">IFERROR(__xludf.DUMMYFUNCTION("""COMPUTED_VALUE"""),"REA-B2023")</f>
        <v>REA-B2023</v>
      </c>
    </row>
    <row r="263" spans="1:5" x14ac:dyDescent="0.2">
      <c r="A263" s="22">
        <f ca="1">IFERROR(__xludf.DUMMYFUNCTION("""COMPUTED_VALUE"""),45632)</f>
        <v>45632</v>
      </c>
      <c r="B263" s="23" t="str">
        <f ca="1">IFERROR(__xludf.DUMMYFUNCTION("""COMPUTED_VALUE"""),"BATERIA JS-634901-1RGB VIRAL BLACK/ROSE GOLD WYSOK")</f>
        <v>BATERIA JS-634901-1RGB VIRAL BLACK/ROSE GOLD WYSOK</v>
      </c>
      <c r="C263" s="23"/>
      <c r="D263" s="24">
        <f ca="1">IFERROR(__xludf.DUMMYFUNCTION("""COMPUTED_VALUE"""),219)</f>
        <v>219</v>
      </c>
      <c r="E263" s="25" t="str">
        <f ca="1">IFERROR(__xludf.DUMMYFUNCTION("""COMPUTED_VALUE"""),"REA-B2026")</f>
        <v>REA-B2026</v>
      </c>
    </row>
    <row r="264" spans="1:5" x14ac:dyDescent="0.2">
      <c r="A264" s="22">
        <f ca="1">IFERROR(__xludf.DUMMYFUNCTION("""COMPUTED_VALUE"""),45632)</f>
        <v>45632</v>
      </c>
      <c r="B264" s="23" t="str">
        <f ca="1">IFERROR(__xludf.DUMMYFUNCTION("""COMPUTED_VALUE"""),"BATERIA WANNOWA PODŁOGOWA ST004 CLARK CHROM")</f>
        <v>BATERIA WANNOWA PODŁOGOWA ST004 CLARK CHROM</v>
      </c>
      <c r="C264" s="23"/>
      <c r="D264" s="24">
        <f ca="1">IFERROR(__xludf.DUMMYFUNCTION("""COMPUTED_VALUE"""),799)</f>
        <v>799</v>
      </c>
      <c r="E264" s="25" t="str">
        <f ca="1">IFERROR(__xludf.DUMMYFUNCTION("""COMPUTED_VALUE"""),"REA-B5301")</f>
        <v>REA-B5301</v>
      </c>
    </row>
    <row r="265" spans="1:5" x14ac:dyDescent="0.2">
      <c r="A265" s="22">
        <f ca="1">IFERROR(__xludf.DUMMYFUNCTION("""COMPUTED_VALUE"""),45632)</f>
        <v>45632</v>
      </c>
      <c r="B265" s="23" t="str">
        <f ca="1">IFERROR(__xludf.DUMMYFUNCTION("""COMPUTED_VALUE"""),"BATERIA WANNOWA PODŁOGOWA ST004 CLARK CZARNA")</f>
        <v>BATERIA WANNOWA PODŁOGOWA ST004 CLARK CZARNA</v>
      </c>
      <c r="C265" s="23"/>
      <c r="D265" s="24">
        <f ca="1">IFERROR(__xludf.DUMMYFUNCTION("""COMPUTED_VALUE"""),899)</f>
        <v>899</v>
      </c>
      <c r="E265" s="25" t="str">
        <f ca="1">IFERROR(__xludf.DUMMYFUNCTION("""COMPUTED_VALUE"""),"REA-B5300")</f>
        <v>REA-B5300</v>
      </c>
    </row>
    <row r="266" spans="1:5" x14ac:dyDescent="0.2">
      <c r="A266" s="22">
        <f ca="1">IFERROR(__xludf.DUMMYFUNCTION("""COMPUTED_VALUE"""),45632)</f>
        <v>45632</v>
      </c>
      <c r="B266" s="23" t="str">
        <f ca="1">IFERROR(__xludf.DUMMYFUNCTION("""COMPUTED_VALUE"""),"BATERIA WANNOWA PODŁOGOWA ST004 CLARK CZARNA")</f>
        <v>BATERIA WANNOWA PODŁOGOWA ST004 CLARK CZARNA</v>
      </c>
      <c r="C266" s="23"/>
      <c r="D266" s="24">
        <f ca="1">IFERROR(__xludf.DUMMYFUNCTION("""COMPUTED_VALUE"""),899)</f>
        <v>899</v>
      </c>
      <c r="E266" s="25" t="str">
        <f ca="1">IFERROR(__xludf.DUMMYFUNCTION("""COMPUTED_VALUE"""),"REA-B5300")</f>
        <v>REA-B5300</v>
      </c>
    </row>
    <row r="267" spans="1:5" x14ac:dyDescent="0.2">
      <c r="A267" s="22">
        <f ca="1">IFERROR(__xludf.DUMMYFUNCTION("""COMPUTED_VALUE"""),45632)</f>
        <v>45632</v>
      </c>
      <c r="B267" s="23" t="str">
        <f ca="1">IFERROR(__xludf.DUMMYFUNCTION("""COMPUTED_VALUE"""),"BATERIA WANNOWA PODŁOGOWA ST004 CLARK CHROM")</f>
        <v>BATERIA WANNOWA PODŁOGOWA ST004 CLARK CHROM</v>
      </c>
      <c r="C267" s="23"/>
      <c r="D267" s="24">
        <f ca="1">IFERROR(__xludf.DUMMYFUNCTION("""COMPUTED_VALUE"""),799)</f>
        <v>799</v>
      </c>
      <c r="E267" s="25" t="str">
        <f ca="1">IFERROR(__xludf.DUMMYFUNCTION("""COMPUTED_VALUE"""),"REA-B5301")</f>
        <v>REA-B5301</v>
      </c>
    </row>
    <row r="268" spans="1:5" x14ac:dyDescent="0.2">
      <c r="A268" s="22">
        <f ca="1">IFERROR(__xludf.DUMMYFUNCTION("""COMPUTED_VALUE"""),45632)</f>
        <v>45632</v>
      </c>
      <c r="B268" s="23" t="str">
        <f ca="1">IFERROR(__xludf.DUMMYFUNCTION("""COMPUTED_VALUE"""),"BATERIA WANNOWA PODŁOGOWA ST005 TERY CHROM")</f>
        <v>BATERIA WANNOWA PODŁOGOWA ST005 TERY CHROM</v>
      </c>
      <c r="C268" s="23"/>
      <c r="D268" s="24">
        <f ca="1">IFERROR(__xludf.DUMMYFUNCTION("""COMPUTED_VALUE"""),799)</f>
        <v>799</v>
      </c>
      <c r="E268" s="25" t="str">
        <f ca="1">IFERROR(__xludf.DUMMYFUNCTION("""COMPUTED_VALUE"""),"REA-B5305")</f>
        <v>REA-B5305</v>
      </c>
    </row>
    <row r="269" spans="1:5" x14ac:dyDescent="0.2">
      <c r="A269" s="22">
        <f ca="1">IFERROR(__xludf.DUMMYFUNCTION("""COMPUTED_VALUE"""),45632)</f>
        <v>45632</v>
      </c>
      <c r="B269" s="23" t="str">
        <f ca="1">IFERROR(__xludf.DUMMYFUNCTION("""COMPUTED_VALUE"""),"BATERIA WANNOWA PODŁOGOWA ST005 TERY ZŁOTA")</f>
        <v>BATERIA WANNOWA PODŁOGOWA ST005 TERY ZŁOTA</v>
      </c>
      <c r="C269" s="23"/>
      <c r="D269" s="24">
        <f ca="1">IFERROR(__xludf.DUMMYFUNCTION("""COMPUTED_VALUE"""),899)</f>
        <v>899</v>
      </c>
      <c r="E269" s="25" t="str">
        <f ca="1">IFERROR(__xludf.DUMMYFUNCTION("""COMPUTED_VALUE"""),"REA-B5306")</f>
        <v>REA-B5306</v>
      </c>
    </row>
    <row r="270" spans="1:5" x14ac:dyDescent="0.2">
      <c r="A270" s="22">
        <f ca="1">IFERROR(__xludf.DUMMYFUNCTION("""COMPUTED_VALUE"""),45632)</f>
        <v>45632</v>
      </c>
      <c r="B270" s="23" t="str">
        <f ca="1">IFERROR(__xludf.DUMMYFUNCTION("""COMPUTED_VALUE"""),"BATERIA WANNOWA PODŁOGOWA ST005 TERY ZŁOTA SZCZOTK")</f>
        <v>BATERIA WANNOWA PODŁOGOWA ST005 TERY ZŁOTA SZCZOTK</v>
      </c>
      <c r="C270" s="23"/>
      <c r="D270" s="24">
        <f ca="1">IFERROR(__xludf.DUMMYFUNCTION("""COMPUTED_VALUE"""),999)</f>
        <v>999</v>
      </c>
      <c r="E270" s="25" t="str">
        <f ca="1">IFERROR(__xludf.DUMMYFUNCTION("""COMPUTED_VALUE"""),"REA-B5307")</f>
        <v>REA-B5307</v>
      </c>
    </row>
    <row r="271" spans="1:5" x14ac:dyDescent="0.2">
      <c r="A271" s="22">
        <f ca="1">IFERROR(__xludf.DUMMYFUNCTION("""COMPUTED_VALUE"""),45632)</f>
        <v>45632</v>
      </c>
      <c r="B271" s="23" t="str">
        <f ca="1">IFERROR(__xludf.DUMMYFUNCTION("""COMPUTED_VALUE"""),"BATERIA JS-B253G LEVEL GOLD NISKA")</f>
        <v>BATERIA JS-B253G LEVEL GOLD NISKA</v>
      </c>
      <c r="C271" s="23"/>
      <c r="D271" s="24">
        <f ca="1">IFERROR(__xludf.DUMMYFUNCTION("""COMPUTED_VALUE"""),159)</f>
        <v>159</v>
      </c>
      <c r="E271" s="25" t="str">
        <f ca="1">IFERROR(__xludf.DUMMYFUNCTION("""COMPUTED_VALUE"""),"REA-B2044")</f>
        <v>REA-B2044</v>
      </c>
    </row>
    <row r="272" spans="1:5" x14ac:dyDescent="0.2">
      <c r="A272" s="22">
        <f ca="1">IFERROR(__xludf.DUMMYFUNCTION("""COMPUTED_VALUE"""),45632)</f>
        <v>45632</v>
      </c>
      <c r="B272" s="23" t="str">
        <f ca="1">IFERROR(__xludf.DUMMYFUNCTION("""COMPUTED_VALUE"""),"BATERIA JS-B253B LEVEL BLACK NISKA")</f>
        <v>BATERIA JS-B253B LEVEL BLACK NISKA</v>
      </c>
      <c r="C272" s="23"/>
      <c r="D272" s="24">
        <f ca="1">IFERROR(__xludf.DUMMYFUNCTION("""COMPUTED_VALUE"""),149)</f>
        <v>149</v>
      </c>
      <c r="E272" s="25" t="str">
        <f ca="1">IFERROR(__xludf.DUMMYFUNCTION("""COMPUTED_VALUE"""),"REA-B2046")</f>
        <v>REA-B2046</v>
      </c>
    </row>
    <row r="273" spans="1:5" x14ac:dyDescent="0.2">
      <c r="A273" s="22">
        <f ca="1">IFERROR(__xludf.DUMMYFUNCTION("""COMPUTED_VALUE"""),45632)</f>
        <v>45632</v>
      </c>
      <c r="B273" s="23" t="str">
        <f ca="1">IFERROR(__xludf.DUMMYFUNCTION("""COMPUTED_VALUE"""),"BATERIA JS-B253-1B LEVEL BLACK WYSOKA")</f>
        <v>BATERIA JS-B253-1B LEVEL BLACK WYSOKA</v>
      </c>
      <c r="C273" s="23"/>
      <c r="D273" s="24">
        <f ca="1">IFERROR(__xludf.DUMMYFUNCTION("""COMPUTED_VALUE"""),199)</f>
        <v>199</v>
      </c>
      <c r="E273" s="25" t="str">
        <f ca="1">IFERROR(__xludf.DUMMYFUNCTION("""COMPUTED_VALUE"""),"REA-B2047")</f>
        <v>REA-B2047</v>
      </c>
    </row>
    <row r="274" spans="1:5" x14ac:dyDescent="0.2">
      <c r="A274" s="22">
        <f ca="1">IFERROR(__xludf.DUMMYFUNCTION("""COMPUTED_VALUE"""),45632)</f>
        <v>45632</v>
      </c>
      <c r="B274" s="23" t="str">
        <f ca="1">IFERROR(__xludf.DUMMYFUNCTION("""COMPUTED_VALUE"""),"BATERIA JS-B253-1G LEVEL GOLD WYSOKA")</f>
        <v>BATERIA JS-B253-1G LEVEL GOLD WYSOKA</v>
      </c>
      <c r="C274" s="23"/>
      <c r="D274" s="24">
        <f ca="1">IFERROR(__xludf.DUMMYFUNCTION("""COMPUTED_VALUE"""),199)</f>
        <v>199</v>
      </c>
      <c r="E274" s="25" t="str">
        <f ca="1">IFERROR(__xludf.DUMMYFUNCTION("""COMPUTED_VALUE"""),"REA-B2045")</f>
        <v>REA-B2045</v>
      </c>
    </row>
    <row r="275" spans="1:5" x14ac:dyDescent="0.2">
      <c r="A275" s="22">
        <f ca="1">IFERROR(__xludf.DUMMYFUNCTION("""COMPUTED_VALUE"""),45632)</f>
        <v>45632</v>
      </c>
      <c r="B275" s="23" t="str">
        <f ca="1">IFERROR(__xludf.DUMMYFUNCTION("""COMPUTED_VALUE"""),"BATERIA PRYSZNICOWA JS-701304B FOSS CZARNA")</f>
        <v>BATERIA PRYSZNICOWA JS-701304B FOSS CZARNA</v>
      </c>
      <c r="C275" s="23"/>
      <c r="D275" s="24">
        <f ca="1">IFERROR(__xludf.DUMMYFUNCTION("""COMPUTED_VALUE"""),199)</f>
        <v>199</v>
      </c>
      <c r="E275" s="25" t="str">
        <f ca="1">IFERROR(__xludf.DUMMYFUNCTION("""COMPUTED_VALUE"""),"REA-B5110")</f>
        <v>REA-B5110</v>
      </c>
    </row>
    <row r="276" spans="1:5" x14ac:dyDescent="0.2">
      <c r="A276" s="22">
        <f ca="1">IFERROR(__xludf.DUMMYFUNCTION("""COMPUTED_VALUE"""),45632)</f>
        <v>45632</v>
      </c>
      <c r="B276" s="23" t="str">
        <f ca="1">IFERROR(__xludf.DUMMYFUNCTION("""COMPUTED_VALUE"""),"BATERIA WANNOWA JS-701303B FOSS CZARNA")</f>
        <v>BATERIA WANNOWA JS-701303B FOSS CZARNA</v>
      </c>
      <c r="C276" s="23"/>
      <c r="D276" s="24">
        <f ca="1">IFERROR(__xludf.DUMMYFUNCTION("""COMPUTED_VALUE"""),299)</f>
        <v>299</v>
      </c>
      <c r="E276" s="25" t="str">
        <f ca="1">IFERROR(__xludf.DUMMYFUNCTION("""COMPUTED_VALUE"""),"REA-B5099")</f>
        <v>REA-B5099</v>
      </c>
    </row>
    <row r="277" spans="1:5" x14ac:dyDescent="0.2">
      <c r="A277" s="22">
        <f ca="1">IFERROR(__xludf.DUMMYFUNCTION("""COMPUTED_VALUE"""),45632)</f>
        <v>45632</v>
      </c>
      <c r="B277" s="23" t="str">
        <f ca="1">IFERROR(__xludf.DUMMYFUNCTION("""COMPUTED_VALUE"""),"KABINA AXIN 90X90 CHROM")</f>
        <v>KABINA AXIN 90X90 CHROM</v>
      </c>
      <c r="C277" s="23"/>
      <c r="D277" s="24">
        <f ca="1">IFERROR(__xludf.DUMMYFUNCTION("""COMPUTED_VALUE"""),999)</f>
        <v>999</v>
      </c>
      <c r="E277" s="25" t="str">
        <f ca="1">IFERROR(__xludf.DUMMYFUNCTION("""COMPUTED_VALUE"""),"REA-K8779")</f>
        <v>REA-K8779</v>
      </c>
    </row>
    <row r="278" spans="1:5" x14ac:dyDescent="0.2">
      <c r="A278" s="22">
        <f ca="1">IFERROR(__xludf.DUMMYFUNCTION("""COMPUTED_VALUE"""),45632)</f>
        <v>45632</v>
      </c>
      <c r="B278" s="23" t="str">
        <f ca="1">IFERROR(__xludf.DUMMYFUNCTION("""COMPUTED_VALUE"""),"KABINA AXIN 80X80 CHROM")</f>
        <v>KABINA AXIN 80X80 CHROM</v>
      </c>
      <c r="C278" s="23"/>
      <c r="D278" s="24">
        <f ca="1">IFERROR(__xludf.DUMMYFUNCTION("""COMPUTED_VALUE"""),959)</f>
        <v>959</v>
      </c>
      <c r="E278" s="25" t="str">
        <f ca="1">IFERROR(__xludf.DUMMYFUNCTION("""COMPUTED_VALUE"""),"REA-K8778")</f>
        <v>REA-K8778</v>
      </c>
    </row>
    <row r="279" spans="1:5" x14ac:dyDescent="0.2">
      <c r="A279" s="22">
        <f ca="1">IFERROR(__xludf.DUMMYFUNCTION("""COMPUTED_VALUE"""),45632)</f>
        <v>45632</v>
      </c>
      <c r="B279" s="23" t="str">
        <f ca="1">IFERROR(__xludf.DUMMYFUNCTION("""COMPUTED_VALUE"""),"ODPŁYW NEO ULTRA SLIM PRO SZCZOTKOWANY 800")</f>
        <v>ODPŁYW NEO ULTRA SLIM PRO SZCZOTKOWANY 800</v>
      </c>
      <c r="C279" s="23"/>
      <c r="D279" s="24">
        <f ca="1">IFERROR(__xludf.DUMMYFUNCTION("""COMPUTED_VALUE"""),179)</f>
        <v>179</v>
      </c>
      <c r="E279" s="25" t="str">
        <f ca="1">IFERROR(__xludf.DUMMYFUNCTION("""COMPUTED_VALUE"""),"REA-G9802")</f>
        <v>REA-G9802</v>
      </c>
    </row>
    <row r="280" spans="1:5" x14ac:dyDescent="0.2">
      <c r="A280" s="22">
        <f ca="1">IFERROR(__xludf.DUMMYFUNCTION("""COMPUTED_VALUE"""),45632)</f>
        <v>45632</v>
      </c>
      <c r="B280" s="23" t="str">
        <f ca="1">IFERROR(__xludf.DUMMYFUNCTION("""COMPUTED_VALUE"""),"ODPŁYW NEO ULTRA SLIM PRO ZŁOTY SZCZOTKOWANY 700")</f>
        <v>ODPŁYW NEO ULTRA SLIM PRO ZŁOTY SZCZOTKOWANY 700</v>
      </c>
      <c r="C280" s="23"/>
      <c r="D280" s="24">
        <f ca="1">IFERROR(__xludf.DUMMYFUNCTION("""COMPUTED_VALUE"""),199)</f>
        <v>199</v>
      </c>
      <c r="E280" s="25" t="str">
        <f ca="1">IFERROR(__xludf.DUMMYFUNCTION("""COMPUTED_VALUE"""),"REA-G9804")</f>
        <v>REA-G9804</v>
      </c>
    </row>
    <row r="281" spans="1:5" x14ac:dyDescent="0.2">
      <c r="A281" s="22">
        <f ca="1">IFERROR(__xludf.DUMMYFUNCTION("""COMPUTED_VALUE"""),45632)</f>
        <v>45632</v>
      </c>
      <c r="B281" s="23" t="str">
        <f ca="1">IFERROR(__xludf.DUMMYFUNCTION("""COMPUTED_VALUE"""),"ODPŁYW NEO ULTRA SLIM PRO SZCZOTKOWANY 700")</f>
        <v>ODPŁYW NEO ULTRA SLIM PRO SZCZOTKOWANY 700</v>
      </c>
      <c r="C281" s="23"/>
      <c r="D281" s="24">
        <f ca="1">IFERROR(__xludf.DUMMYFUNCTION("""COMPUTED_VALUE"""),169)</f>
        <v>169</v>
      </c>
      <c r="E281" s="25" t="str">
        <f ca="1">IFERROR(__xludf.DUMMYFUNCTION("""COMPUTED_VALUE"""),"REA-G9801")</f>
        <v>REA-G9801</v>
      </c>
    </row>
    <row r="282" spans="1:5" x14ac:dyDescent="0.2">
      <c r="A282" s="22">
        <f ca="1">IFERROR(__xludf.DUMMYFUNCTION("""COMPUTED_VALUE"""),45632)</f>
        <v>45632</v>
      </c>
      <c r="B282" s="23" t="str">
        <f ca="1">IFERROR(__xludf.DUMMYFUNCTION("""COMPUTED_VALUE"""),"ODPŁYW NEO ULTRA SLIM PRO ZŁOTY SZCZOTKOWANY 600")</f>
        <v>ODPŁYW NEO ULTRA SLIM PRO ZŁOTY SZCZOTKOWANY 600</v>
      </c>
      <c r="C282" s="23"/>
      <c r="D282" s="24">
        <f ca="1">IFERROR(__xludf.DUMMYFUNCTION("""COMPUTED_VALUE"""),189)</f>
        <v>189</v>
      </c>
      <c r="E282" s="25" t="str">
        <f ca="1">IFERROR(__xludf.DUMMYFUNCTION("""COMPUTED_VALUE"""),"REA-G9803")</f>
        <v>REA-G9803</v>
      </c>
    </row>
    <row r="283" spans="1:5" x14ac:dyDescent="0.2">
      <c r="A283" s="22">
        <f ca="1">IFERROR(__xludf.DUMMYFUNCTION("""COMPUTED_VALUE"""),45632)</f>
        <v>45632</v>
      </c>
      <c r="B283" s="23" t="str">
        <f ca="1">IFERROR(__xludf.DUMMYFUNCTION("""COMPUTED_VALUE"""),"ODPŁYW NEO ULTRA SLIM PRO SZCZOTKOWANY 600")</f>
        <v>ODPŁYW NEO ULTRA SLIM PRO SZCZOTKOWANY 600</v>
      </c>
      <c r="C283" s="23"/>
      <c r="D283" s="24">
        <f ca="1">IFERROR(__xludf.DUMMYFUNCTION("""COMPUTED_VALUE"""),159)</f>
        <v>159</v>
      </c>
      <c r="E283" s="25" t="str">
        <f ca="1">IFERROR(__xludf.DUMMYFUNCTION("""COMPUTED_VALUE"""),"REA-G9800")</f>
        <v>REA-G9800</v>
      </c>
    </row>
    <row r="284" spans="1:5" x14ac:dyDescent="0.2">
      <c r="A284" s="22">
        <f ca="1">IFERROR(__xludf.DUMMYFUNCTION("""COMPUTED_VALUE"""),45632)</f>
        <v>45632</v>
      </c>
      <c r="B284" s="23" t="str">
        <f ca="1">IFERROR(__xludf.DUMMYFUNCTION("""COMPUTED_VALUE"""),"DRZWI PRYSZNICOWE SOLAR L.GOLD 120")</f>
        <v>DRZWI PRYSZNICOWE SOLAR L.GOLD 120</v>
      </c>
      <c r="C284" s="23"/>
      <c r="D284" s="24">
        <f ca="1">IFERROR(__xludf.DUMMYFUNCTION("""COMPUTED_VALUE"""),999)</f>
        <v>999</v>
      </c>
      <c r="E284" s="25" t="str">
        <f ca="1">IFERROR(__xludf.DUMMYFUNCTION("""COMPUTED_VALUE"""),"REA-K6548")</f>
        <v>REA-K6548</v>
      </c>
    </row>
    <row r="285" spans="1:5" x14ac:dyDescent="0.2">
      <c r="A285" s="22">
        <f ca="1">IFERROR(__xludf.DUMMYFUNCTION("""COMPUTED_VALUE"""),45632)</f>
        <v>45632</v>
      </c>
      <c r="B285" s="23" t="str">
        <f ca="1">IFERROR(__xludf.DUMMYFUNCTION("""COMPUTED_VALUE"""),"KABINA FARGO L.GOLD 80X100 U")</f>
        <v>KABINA FARGO L.GOLD 80X100 U</v>
      </c>
      <c r="C285" s="23"/>
      <c r="D285" s="24">
        <f ca="1">IFERROR(__xludf.DUMMYFUNCTION("""COMPUTED_VALUE"""),1999)</f>
        <v>1999</v>
      </c>
      <c r="E285" s="25" t="str">
        <f ca="1">IFERROR(__xludf.DUMMYFUNCTION("""COMPUTED_VALUE"""),"REA-K4907")</f>
        <v>REA-K4907</v>
      </c>
    </row>
    <row r="286" spans="1:5" x14ac:dyDescent="0.2">
      <c r="A286" s="22">
        <f ca="1">IFERROR(__xludf.DUMMYFUNCTION("""COMPUTED_VALUE"""),45632)</f>
        <v>45632</v>
      </c>
      <c r="B286" s="23" t="str">
        <f ca="1">IFERROR(__xludf.DUMMYFUNCTION("""COMPUTED_VALUE"""),"UMYWALKA DAFNE 70 - WPUSZCZANA")</f>
        <v>UMYWALKA DAFNE 70 - WPUSZCZANA</v>
      </c>
      <c r="C286" s="23"/>
      <c r="D286" s="24">
        <f ca="1">IFERROR(__xludf.DUMMYFUNCTION("""COMPUTED_VALUE"""),299)</f>
        <v>299</v>
      </c>
      <c r="E286" s="25" t="str">
        <f ca="1">IFERROR(__xludf.DUMMYFUNCTION("""COMPUTED_VALUE"""),"REA-U0190")</f>
        <v>REA-U0190</v>
      </c>
    </row>
    <row r="287" spans="1:5" x14ac:dyDescent="0.2">
      <c r="A287" s="22">
        <f ca="1">IFERROR(__xludf.DUMMYFUNCTION("""COMPUTED_VALUE"""),45632)</f>
        <v>45632</v>
      </c>
      <c r="B287" s="23" t="str">
        <f ca="1">IFERROR(__xludf.DUMMYFUNCTION("""COMPUTED_VALUE"""),"DRZWI PRYSZNICOWE RAPID FOLD GOLD 80")</f>
        <v>DRZWI PRYSZNICOWE RAPID FOLD GOLD 80</v>
      </c>
      <c r="C287" s="23"/>
      <c r="D287" s="24">
        <f ca="1">IFERROR(__xludf.DUMMYFUNCTION("""COMPUTED_VALUE"""),899)</f>
        <v>899</v>
      </c>
      <c r="E287" s="25" t="str">
        <f ca="1">IFERROR(__xludf.DUMMYFUNCTION("""COMPUTED_VALUE"""),"REA-K4128")</f>
        <v>REA-K4128</v>
      </c>
    </row>
    <row r="288" spans="1:5" x14ac:dyDescent="0.2">
      <c r="A288" s="22">
        <f ca="1">IFERROR(__xludf.DUMMYFUNCTION("""COMPUTED_VALUE"""),45632)</f>
        <v>45632</v>
      </c>
      <c r="B288" s="23" t="str">
        <f ca="1">IFERROR(__xludf.DUMMYFUNCTION("""COMPUTED_VALUE"""),"DRZWI PRYSZNICOWE RAPID FOLD GOLD 90")</f>
        <v>DRZWI PRYSZNICOWE RAPID FOLD GOLD 90</v>
      </c>
      <c r="C288" s="23"/>
      <c r="D288" s="24">
        <f ca="1">IFERROR(__xludf.DUMMYFUNCTION("""COMPUTED_VALUE"""),959)</f>
        <v>959</v>
      </c>
      <c r="E288" s="25" t="str">
        <f ca="1">IFERROR(__xludf.DUMMYFUNCTION("""COMPUTED_VALUE"""),"REA-K4129")</f>
        <v>REA-K4129</v>
      </c>
    </row>
    <row r="289" spans="1:5" x14ac:dyDescent="0.2">
      <c r="A289" s="22">
        <f ca="1">IFERROR(__xludf.DUMMYFUNCTION("""COMPUTED_VALUE"""),45632)</f>
        <v>45632</v>
      </c>
      <c r="B289" s="23" t="str">
        <f ca="1">IFERROR(__xludf.DUMMYFUNCTION("""COMPUTED_VALUE"""),"DRZWI PRYSZNICOWE RAPID FOLD GOLD 100")</f>
        <v>DRZWI PRYSZNICOWE RAPID FOLD GOLD 100</v>
      </c>
      <c r="C289" s="23"/>
      <c r="D289" s="24">
        <f ca="1">IFERROR(__xludf.DUMMYFUNCTION("""COMPUTED_VALUE"""),999)</f>
        <v>999</v>
      </c>
      <c r="E289" s="25" t="str">
        <f ca="1">IFERROR(__xludf.DUMMYFUNCTION("""COMPUTED_VALUE"""),"REA-K4130")</f>
        <v>REA-K4130</v>
      </c>
    </row>
    <row r="290" spans="1:5" x14ac:dyDescent="0.2">
      <c r="A290" s="22">
        <f ca="1">IFERROR(__xludf.DUMMYFUNCTION("""COMPUTED_VALUE"""),45632)</f>
        <v>45632</v>
      </c>
      <c r="B290" s="23" t="str">
        <f ca="1">IFERROR(__xludf.DUMMYFUNCTION("""COMPUTED_VALUE"""),"DRZWI PRYSZNICOWE RAPID SLIDE GOLD 100")</f>
        <v>DRZWI PRYSZNICOWE RAPID SLIDE GOLD 100</v>
      </c>
      <c r="C290" s="23"/>
      <c r="D290" s="24">
        <f ca="1">IFERROR(__xludf.DUMMYFUNCTION("""COMPUTED_VALUE"""),899)</f>
        <v>899</v>
      </c>
      <c r="E290" s="25" t="str">
        <f ca="1">IFERROR(__xludf.DUMMYFUNCTION("""COMPUTED_VALUE"""),"REA-K5611")</f>
        <v>REA-K5611</v>
      </c>
    </row>
    <row r="291" spans="1:5" x14ac:dyDescent="0.2">
      <c r="A291" s="22">
        <f ca="1">IFERROR(__xludf.DUMMYFUNCTION("""COMPUTED_VALUE"""),45632)</f>
        <v>45632</v>
      </c>
      <c r="B291" s="23" t="str">
        <f ca="1">IFERROR(__xludf.DUMMYFUNCTION("""COMPUTED_VALUE"""),"DRZWI PRYSZNICOWE RAPID SLIDE GOLD 110")</f>
        <v>DRZWI PRYSZNICOWE RAPID SLIDE GOLD 110</v>
      </c>
      <c r="C291" s="23"/>
      <c r="D291" s="24">
        <f ca="1">IFERROR(__xludf.DUMMYFUNCTION("""COMPUTED_VALUE"""),959)</f>
        <v>959</v>
      </c>
      <c r="E291" s="25" t="str">
        <f ca="1">IFERROR(__xludf.DUMMYFUNCTION("""COMPUTED_VALUE"""),"REA-K5613")</f>
        <v>REA-K5613</v>
      </c>
    </row>
    <row r="292" spans="1:5" x14ac:dyDescent="0.2">
      <c r="A292" s="22">
        <f ca="1">IFERROR(__xludf.DUMMYFUNCTION("""COMPUTED_VALUE"""),45632)</f>
        <v>45632</v>
      </c>
      <c r="B292" s="23" t="str">
        <f ca="1">IFERROR(__xludf.DUMMYFUNCTION("""COMPUTED_VALUE"""),"DRZWI PRYSZNICOWE RAPID SLIDE GOLD 120")</f>
        <v>DRZWI PRYSZNICOWE RAPID SLIDE GOLD 120</v>
      </c>
      <c r="C292" s="23"/>
      <c r="D292" s="24">
        <f ca="1">IFERROR(__xludf.DUMMYFUNCTION("""COMPUTED_VALUE"""),999)</f>
        <v>999</v>
      </c>
      <c r="E292" s="25" t="str">
        <f ca="1">IFERROR(__xludf.DUMMYFUNCTION("""COMPUTED_VALUE"""),"REA-K5614")</f>
        <v>REA-K5614</v>
      </c>
    </row>
    <row r="293" spans="1:5" x14ac:dyDescent="0.2">
      <c r="A293" s="22">
        <f ca="1">IFERROR(__xludf.DUMMYFUNCTION("""COMPUTED_VALUE"""),45632)</f>
        <v>45632</v>
      </c>
      <c r="B293" s="23" t="str">
        <f ca="1">IFERROR(__xludf.DUMMYFUNCTION("""COMPUTED_VALUE"""),"DRZWI PRYSZNICOWE RAPID SLIDE GOLD 130")</f>
        <v>DRZWI PRYSZNICOWE RAPID SLIDE GOLD 130</v>
      </c>
      <c r="C293" s="23"/>
      <c r="D293" s="24">
        <f ca="1">IFERROR(__xludf.DUMMYFUNCTION("""COMPUTED_VALUE"""),1029)</f>
        <v>1029</v>
      </c>
      <c r="E293" s="25" t="str">
        <f ca="1">IFERROR(__xludf.DUMMYFUNCTION("""COMPUTED_VALUE"""),"REA-K5615")</f>
        <v>REA-K5615</v>
      </c>
    </row>
    <row r="294" spans="1:5" x14ac:dyDescent="0.2">
      <c r="A294" s="22">
        <f ca="1">IFERROR(__xludf.DUMMYFUNCTION("""COMPUTED_VALUE"""),45632)</f>
        <v>45632</v>
      </c>
      <c r="B294" s="23" t="str">
        <f ca="1">IFERROR(__xludf.DUMMYFUNCTION("""COMPUTED_VALUE"""),"DRZWI PRYSZNICOWE RAPID SLIDE GOLD 140")</f>
        <v>DRZWI PRYSZNICOWE RAPID SLIDE GOLD 140</v>
      </c>
      <c r="C294" s="23"/>
      <c r="D294" s="24">
        <f ca="1">IFERROR(__xludf.DUMMYFUNCTION("""COMPUTED_VALUE"""),1059)</f>
        <v>1059</v>
      </c>
      <c r="E294" s="25" t="str">
        <f ca="1">IFERROR(__xludf.DUMMYFUNCTION("""COMPUTED_VALUE"""),"REA-K5616")</f>
        <v>REA-K5616</v>
      </c>
    </row>
    <row r="295" spans="1:5" x14ac:dyDescent="0.2">
      <c r="A295" s="22">
        <f ca="1">IFERROR(__xludf.DUMMYFUNCTION("""COMPUTED_VALUE"""),45632)</f>
        <v>45632</v>
      </c>
      <c r="B295" s="23" t="str">
        <f ca="1">IFERROR(__xludf.DUMMYFUNCTION("""COMPUTED_VALUE"""),"KABINA HUGO BLACK 80x80")</f>
        <v>KABINA HUGO BLACK 80x80</v>
      </c>
      <c r="C295" s="23"/>
      <c r="D295" s="24">
        <f ca="1">IFERROR(__xludf.DUMMYFUNCTION("""COMPUTED_VALUE"""),1899)</f>
        <v>1899</v>
      </c>
      <c r="E295" s="25" t="str">
        <f ca="1">IFERROR(__xludf.DUMMYFUNCTION("""COMPUTED_VALUE"""),"REA-K6600")</f>
        <v>REA-K6600</v>
      </c>
    </row>
    <row r="296" spans="1:5" x14ac:dyDescent="0.2">
      <c r="A296" s="22">
        <f ca="1">IFERROR(__xludf.DUMMYFUNCTION("""COMPUTED_VALUE"""),45632)</f>
        <v>45632</v>
      </c>
      <c r="B296" s="23" t="str">
        <f ca="1">IFERROR(__xludf.DUMMYFUNCTION("""COMPUTED_VALUE"""),"KABINA HUGO BLACK 100x100")</f>
        <v>KABINA HUGO BLACK 100x100</v>
      </c>
      <c r="C296" s="23"/>
      <c r="D296" s="24">
        <f ca="1">IFERROR(__xludf.DUMMYFUNCTION("""COMPUTED_VALUE"""),1799)</f>
        <v>1799</v>
      </c>
      <c r="E296" s="25" t="str">
        <f ca="1">IFERROR(__xludf.DUMMYFUNCTION("""COMPUTED_VALUE"""),"REA-K6602")</f>
        <v>REA-K6602</v>
      </c>
    </row>
    <row r="297" spans="1:5" x14ac:dyDescent="0.2">
      <c r="A297" s="22">
        <f ca="1">IFERROR(__xludf.DUMMYFUNCTION("""COMPUTED_VALUE"""),45632)</f>
        <v>45632</v>
      </c>
      <c r="B297" s="23" t="str">
        <f ca="1">IFERROR(__xludf.DUMMYFUNCTION("""COMPUTED_VALUE"""),"KABINA HUGO BLACK 90x90")</f>
        <v>KABINA HUGO BLACK 90x90</v>
      </c>
      <c r="C297" s="23"/>
      <c r="D297" s="24">
        <f ca="1">IFERROR(__xludf.DUMMYFUNCTION("""COMPUTED_VALUE"""),1999)</f>
        <v>1999</v>
      </c>
      <c r="E297" s="25" t="str">
        <f ca="1">IFERROR(__xludf.DUMMYFUNCTION("""COMPUTED_VALUE"""),"REA-K6601")</f>
        <v>REA-K6601</v>
      </c>
    </row>
    <row r="298" spans="1:5" x14ac:dyDescent="0.2">
      <c r="A298" s="22">
        <f ca="1">IFERROR(__xludf.DUMMYFUNCTION("""COMPUTED_VALUE"""),45632)</f>
        <v>45632</v>
      </c>
      <c r="B298" s="23" t="str">
        <f ca="1">IFERROR(__xludf.DUMMYFUNCTION("""COMPUTED_VALUE"""),"ZESTAW NATRYSKOWY TOM CHROM")</f>
        <v>ZESTAW NATRYSKOWY TOM CHROM</v>
      </c>
      <c r="C298" s="23"/>
      <c r="D298" s="24">
        <f ca="1">IFERROR(__xludf.DUMMYFUNCTION("""COMPUTED_VALUE"""),679)</f>
        <v>679</v>
      </c>
      <c r="E298" s="25" t="str">
        <f ca="1">IFERROR(__xludf.DUMMYFUNCTION("""COMPUTED_VALUE"""),"REA-P7100")</f>
        <v>REA-P7100</v>
      </c>
    </row>
    <row r="299" spans="1:5" x14ac:dyDescent="0.2">
      <c r="A299" s="22">
        <f ca="1">IFERROR(__xludf.DUMMYFUNCTION("""COMPUTED_VALUE"""),45632)</f>
        <v>45632</v>
      </c>
      <c r="B299" s="23" t="str">
        <f ca="1">IFERROR(__xludf.DUMMYFUNCTION("""COMPUTED_VALUE"""),"ZESTAW NATRYSKOWY TOM ZŁOTY SZCZOTKOWANY")</f>
        <v>ZESTAW NATRYSKOWY TOM ZŁOTY SZCZOTKOWANY</v>
      </c>
      <c r="C299" s="23"/>
      <c r="D299" s="24">
        <f ca="1">IFERROR(__xludf.DUMMYFUNCTION("""COMPUTED_VALUE"""),839)</f>
        <v>839</v>
      </c>
      <c r="E299" s="25" t="str">
        <f ca="1">IFERROR(__xludf.DUMMYFUNCTION("""COMPUTED_VALUE"""),"REA-P5004")</f>
        <v>REA-P5004</v>
      </c>
    </row>
    <row r="300" spans="1:5" x14ac:dyDescent="0.2">
      <c r="A300" s="22">
        <f ca="1">IFERROR(__xludf.DUMMYFUNCTION("""COMPUTED_VALUE"""),45632)</f>
        <v>45632</v>
      </c>
      <c r="B300" s="23" t="str">
        <f ca="1">IFERROR(__xludf.DUMMYFUNCTION("""COMPUTED_VALUE"""),"ZESTAW NATRYSKOWY TOM BLACK")</f>
        <v>ZESTAW NATRYSKOWY TOM BLACK</v>
      </c>
      <c r="C300" s="23"/>
      <c r="D300" s="24">
        <f ca="1">IFERROR(__xludf.DUMMYFUNCTION("""COMPUTED_VALUE"""),699)</f>
        <v>699</v>
      </c>
      <c r="E300" s="25" t="str">
        <f ca="1">IFERROR(__xludf.DUMMYFUNCTION("""COMPUTED_VALUE"""),"REA-P7101")</f>
        <v>REA-P7101</v>
      </c>
    </row>
    <row r="301" spans="1:5" x14ac:dyDescent="0.2">
      <c r="A301" s="22">
        <f ca="1">IFERROR(__xludf.DUMMYFUNCTION("""COMPUTED_VALUE"""),45632)</f>
        <v>45632</v>
      </c>
      <c r="B301" s="23" t="str">
        <f ca="1">IFERROR(__xludf.DUMMYFUNCTION("""COMPUTED_VALUE"""),"ZESTAW NATRYSKOWY BLISS BLACK")</f>
        <v>ZESTAW NATRYSKOWY BLISS BLACK</v>
      </c>
      <c r="C301" s="23"/>
      <c r="D301" s="24">
        <f ca="1">IFERROR(__xludf.DUMMYFUNCTION("""COMPUTED_VALUE"""),619)</f>
        <v>619</v>
      </c>
      <c r="E301" s="25" t="str">
        <f ca="1">IFERROR(__xludf.DUMMYFUNCTION("""COMPUTED_VALUE"""),"REA-P8804")</f>
        <v>REA-P8804</v>
      </c>
    </row>
    <row r="302" spans="1:5" x14ac:dyDescent="0.2">
      <c r="A302" s="22">
        <f ca="1">IFERROR(__xludf.DUMMYFUNCTION("""COMPUTED_VALUE"""),45632)</f>
        <v>45632</v>
      </c>
      <c r="B302" s="23" t="str">
        <f ca="1">IFERROR(__xludf.DUMMYFUNCTION("""COMPUTED_VALUE"""),"ZESTAW NATRYSKOWY LUIS GOLD")</f>
        <v>ZESTAW NATRYSKOWY LUIS GOLD</v>
      </c>
      <c r="C302" s="23"/>
      <c r="D302" s="24">
        <f ca="1">IFERROR(__xludf.DUMMYFUNCTION("""COMPUTED_VALUE"""),499)</f>
        <v>499</v>
      </c>
      <c r="E302" s="25" t="str">
        <f ca="1">IFERROR(__xludf.DUMMYFUNCTION("""COMPUTED_VALUE"""),"REA-P7006")</f>
        <v>REA-P7006</v>
      </c>
    </row>
    <row r="303" spans="1:5" x14ac:dyDescent="0.2">
      <c r="A303" s="22">
        <f ca="1">IFERROR(__xludf.DUMMYFUNCTION("""COMPUTED_VALUE"""),45632)</f>
        <v>45632</v>
      </c>
      <c r="B303" s="23" t="str">
        <f ca="1">IFERROR(__xludf.DUMMYFUNCTION("""COMPUTED_VALUE"""),"WANNA OLIMPIA 150")</f>
        <v>WANNA OLIMPIA 150</v>
      </c>
      <c r="C303" s="23"/>
      <c r="D303" s="24">
        <f ca="1">IFERROR(__xludf.DUMMYFUNCTION("""COMPUTED_VALUE"""),3599)</f>
        <v>3599</v>
      </c>
      <c r="E303" s="25" t="str">
        <f ca="1">IFERROR(__xludf.DUMMYFUNCTION("""COMPUTED_VALUE"""),"REA-W0634")</f>
        <v>REA-W0634</v>
      </c>
    </row>
    <row r="304" spans="1:5" x14ac:dyDescent="0.2">
      <c r="A304" s="22">
        <f ca="1">IFERROR(__xludf.DUMMYFUNCTION("""COMPUTED_VALUE"""),45632)</f>
        <v>45632</v>
      </c>
      <c r="B304" s="23" t="str">
        <f ca="1">IFERROR(__xludf.DUMMYFUNCTION("""COMPUTED_VALUE"""),"WANNA OLIMPIA 170")</f>
        <v>WANNA OLIMPIA 170</v>
      </c>
      <c r="C304" s="23"/>
      <c r="D304" s="24">
        <f ca="1">IFERROR(__xludf.DUMMYFUNCTION("""COMPUTED_VALUE"""),3699)</f>
        <v>3699</v>
      </c>
      <c r="E304" s="25" t="str">
        <f ca="1">IFERROR(__xludf.DUMMYFUNCTION("""COMPUTED_VALUE"""),"REA-W0633")</f>
        <v>REA-W0633</v>
      </c>
    </row>
    <row r="305" spans="1:5" x14ac:dyDescent="0.2">
      <c r="A305" s="22">
        <f ca="1">IFERROR(__xludf.DUMMYFUNCTION("""COMPUTED_VALUE"""),45632)</f>
        <v>45632</v>
      </c>
      <c r="B305" s="23" t="str">
        <f ca="1">IFERROR(__xludf.DUMMYFUNCTION("""COMPUTED_VALUE"""),"WANNA VENETA 170")</f>
        <v>WANNA VENETA 170</v>
      </c>
      <c r="C305" s="23"/>
      <c r="D305" s="24">
        <f ca="1">IFERROR(__xludf.DUMMYFUNCTION("""COMPUTED_VALUE"""),3999)</f>
        <v>3999</v>
      </c>
      <c r="E305" s="25" t="str">
        <f ca="1">IFERROR(__xludf.DUMMYFUNCTION("""COMPUTED_VALUE"""),"REA-W0254")</f>
        <v>REA-W0254</v>
      </c>
    </row>
    <row r="306" spans="1:5" x14ac:dyDescent="0.2">
      <c r="A306" s="22">
        <f ca="1">IFERROR(__xludf.DUMMYFUNCTION("""COMPUTED_VALUE"""),45632)</f>
        <v>45632</v>
      </c>
      <c r="B306" s="23" t="str">
        <f ca="1">IFERROR(__xludf.DUMMYFUNCTION("""COMPUTED_VALUE"""),"WANNA SPARTA 175")</f>
        <v>WANNA SPARTA 175</v>
      </c>
      <c r="C306" s="23"/>
      <c r="D306" s="24">
        <f ca="1">IFERROR(__xludf.DUMMYFUNCTION("""COMPUTED_VALUE"""),3290)</f>
        <v>3290</v>
      </c>
      <c r="E306" s="25" t="str">
        <f ca="1">IFERROR(__xludf.DUMMYFUNCTION("""COMPUTED_VALUE"""),"REA-W1101")</f>
        <v>REA-W1101</v>
      </c>
    </row>
    <row r="307" spans="1:5" x14ac:dyDescent="0.2">
      <c r="A307" s="22">
        <f ca="1">IFERROR(__xludf.DUMMYFUNCTION("""COMPUTED_VALUE"""),45632)</f>
        <v>45632</v>
      </c>
      <c r="B307" s="23" t="str">
        <f ca="1">IFERROR(__xludf.DUMMYFUNCTION("""COMPUTED_VALUE"""),"WANNA MILANO 170")</f>
        <v>WANNA MILANO 170</v>
      </c>
      <c r="C307" s="23"/>
      <c r="D307" s="24">
        <f ca="1">IFERROR(__xludf.DUMMYFUNCTION("""COMPUTED_VALUE"""),3349)</f>
        <v>3349</v>
      </c>
      <c r="E307" s="25" t="str">
        <f ca="1">IFERROR(__xludf.DUMMYFUNCTION("""COMPUTED_VALUE"""),"REA-W2001")</f>
        <v>REA-W2001</v>
      </c>
    </row>
    <row r="308" spans="1:5" x14ac:dyDescent="0.2">
      <c r="A308" s="22">
        <f ca="1">IFERROR(__xludf.DUMMYFUNCTION("""COMPUTED_VALUE"""),45632)</f>
        <v>45632</v>
      </c>
      <c r="B308" s="23" t="str">
        <f ca="1">IFERROR(__xludf.DUMMYFUNCTION("""COMPUTED_VALUE"""),"WANNA MILANO 150")</f>
        <v>WANNA MILANO 150</v>
      </c>
      <c r="C308" s="23"/>
      <c r="D308" s="24">
        <f ca="1">IFERROR(__xludf.DUMMYFUNCTION("""COMPUTED_VALUE"""),3299)</f>
        <v>3299</v>
      </c>
      <c r="E308" s="25" t="str">
        <f ca="1">IFERROR(__xludf.DUMMYFUNCTION("""COMPUTED_VALUE"""),"REA-W2000")</f>
        <v>REA-W2000</v>
      </c>
    </row>
    <row r="309" spans="1:5" x14ac:dyDescent="0.2">
      <c r="A309" s="22">
        <f ca="1">IFERROR(__xludf.DUMMYFUNCTION("""COMPUTED_VALUE"""),45632)</f>
        <v>45632</v>
      </c>
      <c r="B309" s="23" t="str">
        <f ca="1">IFERROR(__xludf.DUMMYFUNCTION("""COMPUTED_VALUE"""),"WANNA SYDNEY 160 LEWA")</f>
        <v>WANNA SYDNEY 160 LEWA</v>
      </c>
      <c r="C309" s="23"/>
      <c r="D309" s="24">
        <f ca="1">IFERROR(__xludf.DUMMYFUNCTION("""COMPUTED_VALUE"""),3399)</f>
        <v>3399</v>
      </c>
      <c r="E309" s="25" t="str">
        <f ca="1">IFERROR(__xludf.DUMMYFUNCTION("""COMPUTED_VALUE"""),"REA-W8800")</f>
        <v>REA-W8800</v>
      </c>
    </row>
    <row r="310" spans="1:5" x14ac:dyDescent="0.2">
      <c r="A310" s="22">
        <f ca="1">IFERROR(__xludf.DUMMYFUNCTION("""COMPUTED_VALUE"""),45632)</f>
        <v>45632</v>
      </c>
      <c r="B310" s="23" t="str">
        <f ca="1">IFERROR(__xludf.DUMMYFUNCTION("""COMPUTED_VALUE"""),"WANNA SYDNEY 160 PRAWA")</f>
        <v>WANNA SYDNEY 160 PRAWA</v>
      </c>
      <c r="C310" s="23"/>
      <c r="D310" s="24">
        <f ca="1">IFERROR(__xludf.DUMMYFUNCTION("""COMPUTED_VALUE"""),3399)</f>
        <v>3399</v>
      </c>
      <c r="E310" s="25" t="str">
        <f ca="1">IFERROR(__xludf.DUMMYFUNCTION("""COMPUTED_VALUE"""),"REA-W8801")</f>
        <v>REA-W8801</v>
      </c>
    </row>
    <row r="311" spans="1:5" x14ac:dyDescent="0.2">
      <c r="A311" s="22">
        <f ca="1">IFERROR(__xludf.DUMMYFUNCTION("""COMPUTED_VALUE"""),45632)</f>
        <v>45632</v>
      </c>
      <c r="B311" s="23" t="str">
        <f ca="1">IFERROR(__xludf.DUMMYFUNCTION("""COMPUTED_VALUE"""),"WANNA SYDNEY 170 LEWA")</f>
        <v>WANNA SYDNEY 170 LEWA</v>
      </c>
      <c r="C311" s="23"/>
      <c r="D311" s="24">
        <f ca="1">IFERROR(__xludf.DUMMYFUNCTION("""COMPUTED_VALUE"""),3499)</f>
        <v>3499</v>
      </c>
      <c r="E311" s="25" t="str">
        <f ca="1">IFERROR(__xludf.DUMMYFUNCTION("""COMPUTED_VALUE"""),"REA-W8802")</f>
        <v>REA-W8802</v>
      </c>
    </row>
    <row r="312" spans="1:5" x14ac:dyDescent="0.2">
      <c r="A312" s="22">
        <f ca="1">IFERROR(__xludf.DUMMYFUNCTION("""COMPUTED_VALUE"""),45632)</f>
        <v>45632</v>
      </c>
      <c r="B312" s="23" t="str">
        <f ca="1">IFERROR(__xludf.DUMMYFUNCTION("""COMPUTED_VALUE"""),"WANNA SYDNEY 170 PRAWA")</f>
        <v>WANNA SYDNEY 170 PRAWA</v>
      </c>
      <c r="C312" s="23"/>
      <c r="D312" s="24">
        <f ca="1">IFERROR(__xludf.DUMMYFUNCTION("""COMPUTED_VALUE"""),3499)</f>
        <v>3499</v>
      </c>
      <c r="E312" s="25" t="str">
        <f ca="1">IFERROR(__xludf.DUMMYFUNCTION("""COMPUTED_VALUE"""),"REA-W8803")</f>
        <v>REA-W8803</v>
      </c>
    </row>
    <row r="313" spans="1:5" x14ac:dyDescent="0.2">
      <c r="A313" s="22">
        <f ca="1">IFERROR(__xludf.DUMMYFUNCTION("""COMPUTED_VALUE"""),45632)</f>
        <v>45632</v>
      </c>
      <c r="B313" s="23" t="str">
        <f ca="1">IFERROR(__xludf.DUMMYFUNCTION("""COMPUTED_VALUE"""),"WANNA CORSO 170")</f>
        <v>WANNA CORSO 170</v>
      </c>
      <c r="C313" s="23"/>
      <c r="D313" s="24">
        <f ca="1">IFERROR(__xludf.DUMMYFUNCTION("""COMPUTED_VALUE"""),3689)</f>
        <v>3689</v>
      </c>
      <c r="E313" s="25" t="str">
        <f ca="1">IFERROR(__xludf.DUMMYFUNCTION("""COMPUTED_VALUE"""),"REA-W9802")</f>
        <v>REA-W9802</v>
      </c>
    </row>
    <row r="314" spans="1:5" x14ac:dyDescent="0.2">
      <c r="A314" s="22">
        <f ca="1">IFERROR(__xludf.DUMMYFUNCTION("""COMPUTED_VALUE"""),45632)</f>
        <v>45632</v>
      </c>
      <c r="B314" s="23" t="str">
        <f ca="1">IFERROR(__xludf.DUMMYFUNCTION("""COMPUTED_VALUE"""),"UMYWALKA VERONA")</f>
        <v>UMYWALKA VERONA</v>
      </c>
      <c r="C314" s="23"/>
      <c r="D314" s="24">
        <f ca="1">IFERROR(__xludf.DUMMYFUNCTION("""COMPUTED_VALUE"""),289)</f>
        <v>289</v>
      </c>
      <c r="E314" s="25" t="str">
        <f ca="1">IFERROR(__xludf.DUMMYFUNCTION("""COMPUTED_VALUE"""),"REA-U3325")</f>
        <v>REA-U3325</v>
      </c>
    </row>
    <row r="315" spans="1:5" x14ac:dyDescent="0.2">
      <c r="A315" s="22">
        <f ca="1">IFERROR(__xludf.DUMMYFUNCTION("""COMPUTED_VALUE"""),45628)</f>
        <v>45628</v>
      </c>
      <c r="B315" s="23" t="str">
        <f ca="1">IFERROR(__xludf.DUMMYFUNCTION("""COMPUTED_VALUE"""),"ODPŁYW NEOX PRO ZŁOTY 600")</f>
        <v>ODPŁYW NEOX PRO ZŁOTY 600</v>
      </c>
      <c r="C315" s="23"/>
      <c r="D315" s="24">
        <f ca="1">IFERROR(__xludf.DUMMYFUNCTION("""COMPUTED_VALUE"""),239)</f>
        <v>239</v>
      </c>
      <c r="E315" s="25" t="str">
        <f ca="1">IFERROR(__xludf.DUMMYFUNCTION("""COMPUTED_VALUE"""),"REA-G2743")</f>
        <v>REA-G2743</v>
      </c>
    </row>
    <row r="316" spans="1:5" x14ac:dyDescent="0.2">
      <c r="A316" s="22">
        <f ca="1">IFERROR(__xludf.DUMMYFUNCTION("""COMPUTED_VALUE"""),45628)</f>
        <v>45628</v>
      </c>
      <c r="B316" s="23" t="str">
        <f ca="1">IFERROR(__xludf.DUMMYFUNCTION("""COMPUTED_VALUE"""),"ODPŁYW NEOX PRO ZŁOTY 700")</f>
        <v>ODPŁYW NEOX PRO ZŁOTY 700</v>
      </c>
      <c r="C316" s="23"/>
      <c r="D316" s="24">
        <f ca="1">IFERROR(__xludf.DUMMYFUNCTION("""COMPUTED_VALUE"""),259)</f>
        <v>259</v>
      </c>
      <c r="E316" s="25" t="str">
        <f ca="1">IFERROR(__xludf.DUMMYFUNCTION("""COMPUTED_VALUE"""),"REA-G2742")</f>
        <v>REA-G2742</v>
      </c>
    </row>
    <row r="317" spans="1:5" x14ac:dyDescent="0.2">
      <c r="A317" s="22">
        <f ca="1">IFERROR(__xludf.DUMMYFUNCTION("""COMPUTED_VALUE"""),45628)</f>
        <v>45628</v>
      </c>
      <c r="B317" s="23" t="str">
        <f ca="1">IFERROR(__xludf.DUMMYFUNCTION("""COMPUTED_VALUE"""),"ODPŁYW NEOX PRO ZŁOTY 800")</f>
        <v>ODPŁYW NEOX PRO ZŁOTY 800</v>
      </c>
      <c r="C317" s="23"/>
      <c r="D317" s="24">
        <f ca="1">IFERROR(__xludf.DUMMYFUNCTION("""COMPUTED_VALUE"""),279)</f>
        <v>279</v>
      </c>
      <c r="E317" s="25" t="str">
        <f ca="1">IFERROR(__xludf.DUMMYFUNCTION("""COMPUTED_VALUE"""),"REA-G2740")</f>
        <v>REA-G2740</v>
      </c>
    </row>
    <row r="318" spans="1:5" x14ac:dyDescent="0.2">
      <c r="A318" s="22">
        <f ca="1">IFERROR(__xludf.DUMMYFUNCTION("""COMPUTED_VALUE"""),45628)</f>
        <v>45628</v>
      </c>
      <c r="B318" s="23" t="str">
        <f ca="1">IFERROR(__xludf.DUMMYFUNCTION("""COMPUTED_VALUE"""),"ODPŁYW NEOX PRO ZŁOTY 900")</f>
        <v>ODPŁYW NEOX PRO ZŁOTY 900</v>
      </c>
      <c r="C318" s="23"/>
      <c r="D318" s="24">
        <f ca="1">IFERROR(__xludf.DUMMYFUNCTION("""COMPUTED_VALUE"""),299)</f>
        <v>299</v>
      </c>
      <c r="E318" s="25" t="str">
        <f ca="1">IFERROR(__xludf.DUMMYFUNCTION("""COMPUTED_VALUE"""),"REA-G2739")</f>
        <v>REA-G2739</v>
      </c>
    </row>
    <row r="319" spans="1:5" x14ac:dyDescent="0.2">
      <c r="A319" s="22">
        <f ca="1">IFERROR(__xludf.DUMMYFUNCTION("""COMPUTED_VALUE"""),45628)</f>
        <v>45628</v>
      </c>
      <c r="B319" s="23" t="str">
        <f ca="1">IFERROR(__xludf.DUMMYFUNCTION("""COMPUTED_VALUE"""),"ODPŁYW NEOX PRO ZŁOTY 1000")</f>
        <v>ODPŁYW NEOX PRO ZŁOTY 1000</v>
      </c>
      <c r="C319" s="23"/>
      <c r="D319" s="24">
        <f ca="1">IFERROR(__xludf.DUMMYFUNCTION("""COMPUTED_VALUE"""),319)</f>
        <v>319</v>
      </c>
      <c r="E319" s="25" t="str">
        <f ca="1">IFERROR(__xludf.DUMMYFUNCTION("""COMPUTED_VALUE"""),"REA-G2738")</f>
        <v>REA-G2738</v>
      </c>
    </row>
    <row r="320" spans="1:5" x14ac:dyDescent="0.2">
      <c r="A320" s="22">
        <f ca="1">IFERROR(__xludf.DUMMYFUNCTION("""COMPUTED_VALUE"""),45628)</f>
        <v>45628</v>
      </c>
      <c r="B320" s="23" t="str">
        <f ca="1">IFERROR(__xludf.DUMMYFUNCTION("""COMPUTED_VALUE"""),"ODPŁYW NEOX PRO CZARNY 500")</f>
        <v>ODPŁYW NEOX PRO CZARNY 500</v>
      </c>
      <c r="C320" s="23"/>
      <c r="D320" s="24">
        <f ca="1">IFERROR(__xludf.DUMMYFUNCTION("""COMPUTED_VALUE"""),199)</f>
        <v>199</v>
      </c>
      <c r="E320" s="25" t="str">
        <f ca="1">IFERROR(__xludf.DUMMYFUNCTION("""COMPUTED_VALUE"""),"REA-G2741")</f>
        <v>REA-G2741</v>
      </c>
    </row>
    <row r="321" spans="1:5" x14ac:dyDescent="0.2">
      <c r="A321" s="22">
        <f ca="1">IFERROR(__xludf.DUMMYFUNCTION("""COMPUTED_VALUE"""),45628)</f>
        <v>45628</v>
      </c>
      <c r="B321" s="23" t="str">
        <f ca="1">IFERROR(__xludf.DUMMYFUNCTION("""COMPUTED_VALUE"""),"ODPŁYW NEOX SLIM PRO CZARNY 500")</f>
        <v>ODPŁYW NEOX SLIM PRO CZARNY 500</v>
      </c>
      <c r="C321" s="23"/>
      <c r="D321" s="24">
        <f ca="1">IFERROR(__xludf.DUMMYFUNCTION("""COMPUTED_VALUE"""),179)</f>
        <v>179</v>
      </c>
      <c r="E321" s="25" t="str">
        <f ca="1">IFERROR(__xludf.DUMMYFUNCTION("""COMPUTED_VALUE"""),"REA-G2744")</f>
        <v>REA-G2744</v>
      </c>
    </row>
    <row r="322" spans="1:5" x14ac:dyDescent="0.2">
      <c r="A322" s="22">
        <f ca="1">IFERROR(__xludf.DUMMYFUNCTION("""COMPUTED_VALUE"""),45618)</f>
        <v>45618</v>
      </c>
      <c r="B322" s="23" t="str">
        <f ca="1">IFERROR(__xludf.DUMMYFUNCTION("""COMPUTED_VALUE"""),"UMYWALKA VANDA 61 - NABLATOWA")</f>
        <v>UMYWALKA VANDA 61 - NABLATOWA</v>
      </c>
      <c r="C322" s="23"/>
      <c r="D322" s="24">
        <f ca="1">IFERROR(__xludf.DUMMYFUNCTION("""COMPUTED_VALUE"""),319)</f>
        <v>319</v>
      </c>
      <c r="E322" s="25" t="str">
        <f ca="1">IFERROR(__xludf.DUMMYFUNCTION("""COMPUTED_VALUE"""),"REA-U6526")</f>
        <v>REA-U6526</v>
      </c>
    </row>
    <row r="323" spans="1:5" x14ac:dyDescent="0.2">
      <c r="A323" s="22">
        <f ca="1">IFERROR(__xludf.DUMMYFUNCTION("""COMPUTED_VALUE"""),45618)</f>
        <v>45618</v>
      </c>
      <c r="B323" s="23" t="str">
        <f ca="1">IFERROR(__xludf.DUMMYFUNCTION("""COMPUTED_VALUE"""),"UMYWALKA FREJA - NABLATOWA")</f>
        <v>UMYWALKA FREJA - NABLATOWA</v>
      </c>
      <c r="C323" s="23"/>
      <c r="D323" s="24">
        <f ca="1">IFERROR(__xludf.DUMMYFUNCTION("""COMPUTED_VALUE"""),269)</f>
        <v>269</v>
      </c>
      <c r="E323" s="25" t="str">
        <f ca="1">IFERROR(__xludf.DUMMYFUNCTION("""COMPUTED_VALUE"""),"REA-U6616")</f>
        <v>REA-U6616</v>
      </c>
    </row>
    <row r="324" spans="1:5" x14ac:dyDescent="0.2">
      <c r="A324" s="22">
        <f ca="1">IFERROR(__xludf.DUMMYFUNCTION("""COMPUTED_VALUE"""),45618)</f>
        <v>45618</v>
      </c>
      <c r="B324" s="23" t="str">
        <f ca="1">IFERROR(__xludf.DUMMYFUNCTION("""COMPUTED_VALUE"""),"UMYWALKA AURA 42 - NABLATOWA")</f>
        <v>UMYWALKA AURA 42 - NABLATOWA</v>
      </c>
      <c r="C324" s="23"/>
      <c r="D324" s="24">
        <f ca="1">IFERROR(__xludf.DUMMYFUNCTION("""COMPUTED_VALUE"""),199)</f>
        <v>199</v>
      </c>
      <c r="E324" s="25" t="str">
        <f ca="1">IFERROR(__xludf.DUMMYFUNCTION("""COMPUTED_VALUE"""),"REA-U6617")</f>
        <v>REA-U6617</v>
      </c>
    </row>
    <row r="325" spans="1:5" x14ac:dyDescent="0.2">
      <c r="A325" s="22">
        <f ca="1">IFERROR(__xludf.DUMMYFUNCTION("""COMPUTED_VALUE"""),45618)</f>
        <v>45618</v>
      </c>
      <c r="B325" s="23" t="str">
        <f ca="1">IFERROR(__xludf.DUMMYFUNCTION("""COMPUTED_VALUE"""),"UMYWALKA AURA 61 SHINY AIAX - NABLATOWA")</f>
        <v>UMYWALKA AURA 61 SHINY AIAX - NABLATOWA</v>
      </c>
      <c r="C325" s="23"/>
      <c r="D325" s="24">
        <f ca="1">IFERROR(__xludf.DUMMYFUNCTION("""COMPUTED_VALUE"""),389)</f>
        <v>389</v>
      </c>
      <c r="E325" s="25" t="str">
        <f ca="1">IFERROR(__xludf.DUMMYFUNCTION("""COMPUTED_VALUE"""),"REA-U6623")</f>
        <v>REA-U6623</v>
      </c>
    </row>
    <row r="326" spans="1:5" x14ac:dyDescent="0.2">
      <c r="A326" s="22">
        <f ca="1">IFERROR(__xludf.DUMMYFUNCTION("""COMPUTED_VALUE"""),45618)</f>
        <v>45618</v>
      </c>
      <c r="B326" s="23" t="str">
        <f ca="1">IFERROR(__xludf.DUMMYFUNCTION("""COMPUTED_VALUE"""),"UMYWALKA AURA 61 L.BLUE SHINY - NABLATOWA")</f>
        <v>UMYWALKA AURA 61 L.BLUE SHINY - NABLATOWA</v>
      </c>
      <c r="C326" s="23"/>
      <c r="D326" s="24">
        <f ca="1">IFERROR(__xludf.DUMMYFUNCTION("""COMPUTED_VALUE"""),399)</f>
        <v>399</v>
      </c>
      <c r="E326" s="25" t="str">
        <f ca="1">IFERROR(__xludf.DUMMYFUNCTION("""COMPUTED_VALUE"""),"REA-U6618")</f>
        <v>REA-U6618</v>
      </c>
    </row>
    <row r="327" spans="1:5" x14ac:dyDescent="0.2">
      <c r="A327" s="22">
        <f ca="1">IFERROR(__xludf.DUMMYFUNCTION("""COMPUTED_VALUE"""),45618)</f>
        <v>45618</v>
      </c>
      <c r="B327" s="23" t="str">
        <f ca="1">IFERROR(__xludf.DUMMYFUNCTION("""COMPUTED_VALUE"""),"UMYWALKA CLEO 71 - NABLATOWA")</f>
        <v>UMYWALKA CLEO 71 - NABLATOWA</v>
      </c>
      <c r="C327" s="23"/>
      <c r="D327" s="24">
        <f ca="1">IFERROR(__xludf.DUMMYFUNCTION("""COMPUTED_VALUE"""),369)</f>
        <v>369</v>
      </c>
      <c r="E327" s="25" t="str">
        <f ca="1">IFERROR(__xludf.DUMMYFUNCTION("""COMPUTED_VALUE"""),"REA-U6215")</f>
        <v>REA-U6215</v>
      </c>
    </row>
    <row r="328" spans="1:5" x14ac:dyDescent="0.2">
      <c r="A328" s="22">
        <f ca="1">IFERROR(__xludf.DUMMYFUNCTION("""COMPUTED_VALUE"""),45618)</f>
        <v>45618</v>
      </c>
      <c r="B328" s="23" t="str">
        <f ca="1">IFERROR(__xludf.DUMMYFUNCTION("""COMPUTED_VALUE"""),"UMYWALKA SAMI L.BLUE SHINY - NABLATOWA")</f>
        <v>UMYWALKA SAMI L.BLUE SHINY - NABLATOWA</v>
      </c>
      <c r="C328" s="23"/>
      <c r="D328" s="24">
        <f ca="1">IFERROR(__xludf.DUMMYFUNCTION("""COMPUTED_VALUE"""),299)</f>
        <v>299</v>
      </c>
      <c r="E328" s="25" t="str">
        <f ca="1">IFERROR(__xludf.DUMMYFUNCTION("""COMPUTED_VALUE"""),"REA-U6619")</f>
        <v>REA-U6619</v>
      </c>
    </row>
    <row r="329" spans="1:5" x14ac:dyDescent="0.2">
      <c r="A329" s="22">
        <f ca="1">IFERROR(__xludf.DUMMYFUNCTION("""COMPUTED_VALUE"""),45618)</f>
        <v>45618</v>
      </c>
      <c r="B329" s="23" t="str">
        <f ca="1">IFERROR(__xludf.DUMMYFUNCTION("""COMPUTED_VALUE"""),"UMYWALKA LISA L.BLUE SHINY - NABLATOWA")</f>
        <v>UMYWALKA LISA L.BLUE SHINY - NABLATOWA</v>
      </c>
      <c r="C329" s="23"/>
      <c r="D329" s="24">
        <f ca="1">IFERROR(__xludf.DUMMYFUNCTION("""COMPUTED_VALUE"""),329)</f>
        <v>329</v>
      </c>
      <c r="E329" s="25" t="str">
        <f ca="1">IFERROR(__xludf.DUMMYFUNCTION("""COMPUTED_VALUE"""),"REA-U6620")</f>
        <v>REA-U6620</v>
      </c>
    </row>
    <row r="330" spans="1:5" x14ac:dyDescent="0.2">
      <c r="A330" s="22">
        <f ca="1">IFERROR(__xludf.DUMMYFUNCTION("""COMPUTED_VALUE"""),45618)</f>
        <v>45618</v>
      </c>
      <c r="B330" s="23" t="str">
        <f ca="1">IFERROR(__xludf.DUMMYFUNCTION("""COMPUTED_VALUE"""),"UMYWALKA FIORELLA - NABLATOWA")</f>
        <v>UMYWALKA FIORELLA - NABLATOWA</v>
      </c>
      <c r="C330" s="23"/>
      <c r="D330" s="24">
        <f ca="1">IFERROR(__xludf.DUMMYFUNCTION("""COMPUTED_VALUE"""),299)</f>
        <v>299</v>
      </c>
      <c r="E330" s="25" t="str">
        <f ca="1">IFERROR(__xludf.DUMMYFUNCTION("""COMPUTED_VALUE"""),"REA-U6621")</f>
        <v>REA-U6621</v>
      </c>
    </row>
    <row r="331" spans="1:5" x14ac:dyDescent="0.2">
      <c r="A331" s="22">
        <f ca="1">IFERROR(__xludf.DUMMYFUNCTION("""COMPUTED_VALUE"""),45618)</f>
        <v>45618</v>
      </c>
      <c r="B331" s="23" t="str">
        <f ca="1">IFERROR(__xludf.DUMMYFUNCTION("""COMPUTED_VALUE"""),"UMYWALKA RONDA - NABLATOWA")</f>
        <v>UMYWALKA RONDA - NABLATOWA</v>
      </c>
      <c r="C331" s="23"/>
      <c r="D331" s="24">
        <f ca="1">IFERROR(__xludf.DUMMYFUNCTION("""COMPUTED_VALUE"""),299)</f>
        <v>299</v>
      </c>
      <c r="E331" s="25" t="str">
        <f ca="1">IFERROR(__xludf.DUMMYFUNCTION("""COMPUTED_VALUE"""),"REA-U6622")</f>
        <v>REA-U6622</v>
      </c>
    </row>
    <row r="332" spans="1:5" x14ac:dyDescent="0.2">
      <c r="A332" s="22">
        <f ca="1">IFERROR(__xludf.DUMMYFUNCTION("""COMPUTED_VALUE"""),45618)</f>
        <v>45618</v>
      </c>
      <c r="B332" s="23" t="str">
        <f ca="1">IFERROR(__xludf.DUMMYFUNCTION("""COMPUTED_VALUE"""),"UMYWALKA WILMA RUSTIC - NABLATOWA")</f>
        <v>UMYWALKA WILMA RUSTIC - NABLATOWA</v>
      </c>
      <c r="C332" s="23"/>
      <c r="D332" s="24">
        <f ca="1">IFERROR(__xludf.DUMMYFUNCTION("""COMPUTED_VALUE"""),439)</f>
        <v>439</v>
      </c>
      <c r="E332" s="25" t="str">
        <f ca="1">IFERROR(__xludf.DUMMYFUNCTION("""COMPUTED_VALUE"""),"REA-U3305")</f>
        <v>REA-U3305</v>
      </c>
    </row>
    <row r="333" spans="1:5" x14ac:dyDescent="0.2">
      <c r="A333" s="22">
        <f ca="1">IFERROR(__xludf.DUMMYFUNCTION("""COMPUTED_VALUE"""),45618)</f>
        <v>45618</v>
      </c>
      <c r="B333" s="23" t="str">
        <f ca="1">IFERROR(__xludf.DUMMYFUNCTION("""COMPUTED_VALUE"""),"WC - CARLO MINI RIML DUR/FLAT/ZM GOLD BRUSH/BLACK")</f>
        <v>WC - CARLO MINI RIML DUR/FLAT/ZM GOLD BRUSH/BLACK</v>
      </c>
      <c r="C333" s="23"/>
      <c r="D333" s="24">
        <f ca="1">IFERROR(__xludf.DUMMYFUNCTION("""COMPUTED_VALUE"""),1449)</f>
        <v>1449</v>
      </c>
      <c r="E333" s="25" t="str">
        <f ca="1">IFERROR(__xludf.DUMMYFUNCTION("""COMPUTED_VALUE"""),"REA-C3300")</f>
        <v>REA-C3300</v>
      </c>
    </row>
    <row r="334" spans="1:5" x14ac:dyDescent="0.2">
      <c r="A334" s="22">
        <f ca="1">IFERROR(__xludf.DUMMYFUNCTION("""COMPUTED_VALUE"""),45618)</f>
        <v>45618</v>
      </c>
      <c r="B334" s="23" t="str">
        <f ca="1">IFERROR(__xludf.DUMMYFUNCTION("""COMPUTED_VALUE"""),"WC - CARLO RIMLESS DUROPLAST/FLAT/ZM BRUSH GOLD")</f>
        <v>WC - CARLO RIMLESS DUROPLAST/FLAT/ZM BRUSH GOLD</v>
      </c>
      <c r="C334" s="23"/>
      <c r="D334" s="24">
        <f ca="1">IFERROR(__xludf.DUMMYFUNCTION("""COMPUTED_VALUE"""),1399)</f>
        <v>1399</v>
      </c>
      <c r="E334" s="25" t="str">
        <f ca="1">IFERROR(__xludf.DUMMYFUNCTION("""COMPUTED_VALUE"""),"REA-C6942")</f>
        <v>REA-C6942</v>
      </c>
    </row>
    <row r="335" spans="1:5" x14ac:dyDescent="0.2">
      <c r="A335" s="22">
        <f ca="1">IFERROR(__xludf.DUMMYFUNCTION("""COMPUTED_VALUE"""),45618)</f>
        <v>45618</v>
      </c>
      <c r="B335" s="23" t="str">
        <f ca="1">IFERROR(__xludf.DUMMYFUNCTION("""COMPUTED_VALUE"""),"ODPŁYW NEOX SLIM PRO ZŁOTY SZCZOTKOWANY 1000")</f>
        <v>ODPŁYW NEOX SLIM PRO ZŁOTY SZCZOTKOWANY 1000</v>
      </c>
      <c r="C335" s="23"/>
      <c r="D335" s="24">
        <f ca="1">IFERROR(__xludf.DUMMYFUNCTION("""COMPUTED_VALUE"""),309)</f>
        <v>309</v>
      </c>
      <c r="E335" s="25" t="str">
        <f ca="1">IFERROR(__xludf.DUMMYFUNCTION("""COMPUTED_VALUE"""),"REA-G6990")</f>
        <v>REA-G6990</v>
      </c>
    </row>
    <row r="336" spans="1:5" x14ac:dyDescent="0.2">
      <c r="A336" s="22">
        <f ca="1">IFERROR(__xludf.DUMMYFUNCTION("""COMPUTED_VALUE"""),45618)</f>
        <v>45618</v>
      </c>
      <c r="B336" s="23" t="str">
        <f ca="1">IFERROR(__xludf.DUMMYFUNCTION("""COMPUTED_VALUE"""),"ODPŁYW NEOX PRO ZŁOTY SZCZOTKOWANY 1000")</f>
        <v>ODPŁYW NEOX PRO ZŁOTY SZCZOTKOWANY 1000</v>
      </c>
      <c r="C336" s="23"/>
      <c r="D336" s="24">
        <f ca="1">IFERROR(__xludf.DUMMYFUNCTION("""COMPUTED_VALUE"""),349)</f>
        <v>349</v>
      </c>
      <c r="E336" s="25" t="str">
        <f ca="1">IFERROR(__xludf.DUMMYFUNCTION("""COMPUTED_VALUE"""),"REA-G2850")</f>
        <v>REA-G2850</v>
      </c>
    </row>
    <row r="337" spans="1:5" x14ac:dyDescent="0.2">
      <c r="A337" s="22">
        <f ca="1">IFERROR(__xludf.DUMMYFUNCTION("""COMPUTED_VALUE"""),45618)</f>
        <v>45618</v>
      </c>
      <c r="B337" s="23" t="str">
        <f ca="1">IFERROR(__xludf.DUMMYFUNCTION("""COMPUTED_VALUE"""),"KABINA MONTANA BRUSH GOLD 90x90")</f>
        <v>KABINA MONTANA BRUSH GOLD 90x90</v>
      </c>
      <c r="C337" s="23"/>
      <c r="D337" s="24">
        <f ca="1">IFERROR(__xludf.DUMMYFUNCTION("""COMPUTED_VALUE"""),1479)</f>
        <v>1479</v>
      </c>
      <c r="E337" s="25" t="str">
        <f ca="1">IFERROR(__xludf.DUMMYFUNCTION("""COMPUTED_VALUE"""),"REA-K6636")</f>
        <v>REA-K6636</v>
      </c>
    </row>
    <row r="338" spans="1:5" x14ac:dyDescent="0.2">
      <c r="A338" s="22">
        <f ca="1">IFERROR(__xludf.DUMMYFUNCTION("""COMPUTED_VALUE"""),45618)</f>
        <v>45618</v>
      </c>
      <c r="B338" s="23" t="str">
        <f ca="1">IFERROR(__xludf.DUMMYFUNCTION("""COMPUTED_VALUE"""),"KABINA MONTANA BRUSH GOLD 80x100")</f>
        <v>KABINA MONTANA BRUSH GOLD 80x100</v>
      </c>
      <c r="C338" s="23"/>
      <c r="D338" s="24">
        <f ca="1">IFERROR(__xludf.DUMMYFUNCTION("""COMPUTED_VALUE"""),1499)</f>
        <v>1499</v>
      </c>
      <c r="E338" s="25" t="str">
        <f ca="1">IFERROR(__xludf.DUMMYFUNCTION("""COMPUTED_VALUE"""),"REA-K6635")</f>
        <v>REA-K6635</v>
      </c>
    </row>
    <row r="339" spans="1:5" x14ac:dyDescent="0.2">
      <c r="A339" s="22">
        <f ca="1">IFERROR(__xludf.DUMMYFUNCTION("""COMPUTED_VALUE"""),45618)</f>
        <v>45618</v>
      </c>
      <c r="B339" s="23" t="str">
        <f ca="1">IFERROR(__xludf.DUMMYFUNCTION("""COMPUTED_VALUE"""),"WANNA FERRANO 180")</f>
        <v>WANNA FERRANO 180</v>
      </c>
      <c r="C339" s="23"/>
      <c r="D339" s="24">
        <f ca="1">IFERROR(__xludf.DUMMYFUNCTION("""COMPUTED_VALUE"""),2939)</f>
        <v>2939</v>
      </c>
      <c r="E339" s="25" t="str">
        <f ca="1">IFERROR(__xludf.DUMMYFUNCTION("""COMPUTED_VALUE"""),"REA-W0098")</f>
        <v>REA-W0098</v>
      </c>
    </row>
    <row r="340" spans="1:5" x14ac:dyDescent="0.2">
      <c r="A340" s="22">
        <f ca="1">IFERROR(__xludf.DUMMYFUNCTION("""COMPUTED_VALUE"""),45618)</f>
        <v>45618</v>
      </c>
      <c r="B340" s="23" t="str">
        <f ca="1">IFERROR(__xludf.DUMMYFUNCTION("""COMPUTED_VALUE"""),"WANNA FERRANO 150")</f>
        <v>WANNA FERRANO 150</v>
      </c>
      <c r="C340" s="23"/>
      <c r="D340" s="24">
        <f ca="1">IFERROR(__xludf.DUMMYFUNCTION("""COMPUTED_VALUE"""),2739)</f>
        <v>2739</v>
      </c>
      <c r="E340" s="25" t="str">
        <f ca="1">IFERROR(__xludf.DUMMYFUNCTION("""COMPUTED_VALUE"""),"REA-W0099")</f>
        <v>REA-W0099</v>
      </c>
    </row>
    <row r="341" spans="1:5" x14ac:dyDescent="0.2">
      <c r="A341" s="22">
        <f ca="1">IFERROR(__xludf.DUMMYFUNCTION("""COMPUTED_VALUE"""),45618)</f>
        <v>45618</v>
      </c>
      <c r="B341" s="23" t="str">
        <f ca="1">IFERROR(__xludf.DUMMYFUNCTION("""COMPUTED_VALUE"""),"DRZWI PRYSZNICOWE MONTANA BRUSH GOLD 100")</f>
        <v>DRZWI PRYSZNICOWE MONTANA BRUSH GOLD 100</v>
      </c>
      <c r="C341" s="23"/>
      <c r="D341" s="24">
        <f ca="1">IFERROR(__xludf.DUMMYFUNCTION("""COMPUTED_VALUE"""),1099)</f>
        <v>1099</v>
      </c>
      <c r="E341" s="25" t="str">
        <f ca="1">IFERROR(__xludf.DUMMYFUNCTION("""COMPUTED_VALUE"""),"REA-K2507")</f>
        <v>REA-K2507</v>
      </c>
    </row>
    <row r="342" spans="1:5" x14ac:dyDescent="0.2">
      <c r="A342" s="22">
        <f ca="1">IFERROR(__xludf.DUMMYFUNCTION("""COMPUTED_VALUE"""),45618)</f>
        <v>45618</v>
      </c>
      <c r="B342" s="23" t="str">
        <f ca="1">IFERROR(__xludf.DUMMYFUNCTION("""COMPUTED_VALUE"""),"DRZWI PRYSZNICOWE MONTANA BRUSH GOLD 110")</f>
        <v>DRZWI PRYSZNICOWE MONTANA BRUSH GOLD 110</v>
      </c>
      <c r="C342" s="23"/>
      <c r="D342" s="24">
        <f ca="1">IFERROR(__xludf.DUMMYFUNCTION("""COMPUTED_VALUE"""),1149)</f>
        <v>1149</v>
      </c>
      <c r="E342" s="25" t="str">
        <f ca="1">IFERROR(__xludf.DUMMYFUNCTION("""COMPUTED_VALUE"""),"REA-K2505")</f>
        <v>REA-K2505</v>
      </c>
    </row>
    <row r="343" spans="1:5" x14ac:dyDescent="0.2">
      <c r="A343" s="22">
        <f ca="1">IFERROR(__xludf.DUMMYFUNCTION("""COMPUTED_VALUE"""),45618)</f>
        <v>45618</v>
      </c>
      <c r="B343" s="23" t="str">
        <f ca="1">IFERROR(__xludf.DUMMYFUNCTION("""COMPUTED_VALUE"""),"DRZWI PRYSZNICOWE MONTANA BRUSH GOLD 120")</f>
        <v>DRZWI PRYSZNICOWE MONTANA BRUSH GOLD 120</v>
      </c>
      <c r="C343" s="23"/>
      <c r="D343" s="24">
        <f ca="1">IFERROR(__xludf.DUMMYFUNCTION("""COMPUTED_VALUE"""),1189)</f>
        <v>1189</v>
      </c>
      <c r="E343" s="25" t="str">
        <f ca="1">IFERROR(__xludf.DUMMYFUNCTION("""COMPUTED_VALUE"""),"REA-K2508")</f>
        <v>REA-K2508</v>
      </c>
    </row>
    <row r="344" spans="1:5" x14ac:dyDescent="0.2">
      <c r="A344" s="22">
        <f ca="1">IFERROR(__xludf.DUMMYFUNCTION("""COMPUTED_VALUE"""),45618)</f>
        <v>45618</v>
      </c>
      <c r="B344" s="23" t="str">
        <f ca="1">IFERROR(__xludf.DUMMYFUNCTION("""COMPUTED_VALUE"""),"DRZWI PRYSZNICOWE MONTANA BRUSH GOLD 130")</f>
        <v>DRZWI PRYSZNICOWE MONTANA BRUSH GOLD 130</v>
      </c>
      <c r="C344" s="23"/>
      <c r="D344" s="24">
        <f ca="1">IFERROR(__xludf.DUMMYFUNCTION("""COMPUTED_VALUE"""),1239)</f>
        <v>1239</v>
      </c>
      <c r="E344" s="25" t="str">
        <f ca="1">IFERROR(__xludf.DUMMYFUNCTION("""COMPUTED_VALUE"""),"REA-K2504")</f>
        <v>REA-K2504</v>
      </c>
    </row>
    <row r="345" spans="1:5" x14ac:dyDescent="0.2">
      <c r="A345" s="22">
        <f ca="1">IFERROR(__xludf.DUMMYFUNCTION("""COMPUTED_VALUE"""),45618)</f>
        <v>45618</v>
      </c>
      <c r="B345" s="23" t="str">
        <f ca="1">IFERROR(__xludf.DUMMYFUNCTION("""COMPUTED_VALUE"""),"DRZWI PRYSZNICOWE MONTANA BRUSH GOLD 140")</f>
        <v>DRZWI PRYSZNICOWE MONTANA BRUSH GOLD 140</v>
      </c>
      <c r="C345" s="23"/>
      <c r="D345" s="24">
        <f ca="1">IFERROR(__xludf.DUMMYFUNCTION("""COMPUTED_VALUE"""),1279)</f>
        <v>1279</v>
      </c>
      <c r="E345" s="25" t="str">
        <f ca="1">IFERROR(__xludf.DUMMYFUNCTION("""COMPUTED_VALUE"""),"REA-K2499")</f>
        <v>REA-K2499</v>
      </c>
    </row>
    <row r="346" spans="1:5" x14ac:dyDescent="0.2">
      <c r="A346" s="22">
        <f ca="1">IFERROR(__xludf.DUMMYFUNCTION("""COMPUTED_VALUE"""),45618)</f>
        <v>45618</v>
      </c>
      <c r="B346" s="23" t="str">
        <f ca="1">IFERROR(__xludf.DUMMYFUNCTION("""COMPUTED_VALUE"""),"LISTWA MAGNETYCZNA MONTANA BRUSH GOLD")</f>
        <v>LISTWA MAGNETYCZNA MONTANA BRUSH GOLD</v>
      </c>
      <c r="C346" s="23"/>
      <c r="D346" s="24">
        <f ca="1">IFERROR(__xludf.DUMMYFUNCTION("""COMPUTED_VALUE"""),130)</f>
        <v>130</v>
      </c>
      <c r="E346" s="25" t="str">
        <f ca="1">IFERROR(__xludf.DUMMYFUNCTION("""COMPUTED_VALUE"""),"REA-K6388")</f>
        <v>REA-K6388</v>
      </c>
    </row>
    <row r="347" spans="1:5" x14ac:dyDescent="0.2">
      <c r="A347" s="22">
        <f ca="1">IFERROR(__xludf.DUMMYFUNCTION("""COMPUTED_VALUE"""),45618)</f>
        <v>45618</v>
      </c>
      <c r="B347" s="23" t="str">
        <f ca="1">IFERROR(__xludf.DUMMYFUNCTION("""COMPUTED_VALUE"""),"ŚCIANKA MONTANA BRUSH GOLD 100")</f>
        <v>ŚCIANKA MONTANA BRUSH GOLD 100</v>
      </c>
      <c r="C347" s="23"/>
      <c r="D347" s="24">
        <f ca="1">IFERROR(__xludf.DUMMYFUNCTION("""COMPUTED_VALUE"""),580)</f>
        <v>580</v>
      </c>
      <c r="E347" s="25" t="str">
        <f ca="1">IFERROR(__xludf.DUMMYFUNCTION("""COMPUTED_VALUE"""),"REA-K6632")</f>
        <v>REA-K6632</v>
      </c>
    </row>
    <row r="348" spans="1:5" x14ac:dyDescent="0.2">
      <c r="A348" s="22">
        <f ca="1">IFERROR(__xludf.DUMMYFUNCTION("""COMPUTED_VALUE"""),45618)</f>
        <v>45618</v>
      </c>
      <c r="B348" s="23" t="str">
        <f ca="1">IFERROR(__xludf.DUMMYFUNCTION("""COMPUTED_VALUE"""),"ŚCIANKA MONTANA BRUSH GOLD 80")</f>
        <v>ŚCIANKA MONTANA BRUSH GOLD 80</v>
      </c>
      <c r="C348" s="23"/>
      <c r="D348" s="24">
        <f ca="1">IFERROR(__xludf.DUMMYFUNCTION("""COMPUTED_VALUE"""),530)</f>
        <v>530</v>
      </c>
      <c r="E348" s="25" t="str">
        <f ca="1">IFERROR(__xludf.DUMMYFUNCTION("""COMPUTED_VALUE"""),"REA-K6633")</f>
        <v>REA-K6633</v>
      </c>
    </row>
    <row r="349" spans="1:5" x14ac:dyDescent="0.2">
      <c r="A349" s="22">
        <f ca="1">IFERROR(__xludf.DUMMYFUNCTION("""COMPUTED_VALUE"""),45618)</f>
        <v>45618</v>
      </c>
      <c r="B349" s="23" t="str">
        <f ca="1">IFERROR(__xludf.DUMMYFUNCTION("""COMPUTED_VALUE"""),"ŚCIANKA MONTANA BRUSH GOLD 90")</f>
        <v>ŚCIANKA MONTANA BRUSH GOLD 90</v>
      </c>
      <c r="C349" s="23"/>
      <c r="D349" s="24">
        <f ca="1">IFERROR(__xludf.DUMMYFUNCTION("""COMPUTED_VALUE"""),550)</f>
        <v>550</v>
      </c>
      <c r="E349" s="25" t="str">
        <f ca="1">IFERROR(__xludf.DUMMYFUNCTION("""COMPUTED_VALUE"""),"REA-K6634")</f>
        <v>REA-K6634</v>
      </c>
    </row>
    <row r="350" spans="1:5" x14ac:dyDescent="0.2">
      <c r="A350" s="22">
        <f ca="1">IFERROR(__xludf.DUMMYFUNCTION("""COMPUTED_VALUE"""),45602)</f>
        <v>45602</v>
      </c>
      <c r="B350" s="23" t="str">
        <f ca="1">IFERROR(__xludf.DUMMYFUNCTION("""COMPUTED_VALUE"""),"DRZWI PRYSZNICOWE RAPID SWING GOLD 90")</f>
        <v>DRZWI PRYSZNICOWE RAPID SWING GOLD 90</v>
      </c>
      <c r="C350" s="23"/>
      <c r="D350" s="24">
        <f ca="1">IFERROR(__xludf.DUMMYFUNCTION("""COMPUTED_VALUE"""),1169)</f>
        <v>1169</v>
      </c>
      <c r="E350" s="25" t="str">
        <f ca="1">IFERROR(__xludf.DUMMYFUNCTION("""COMPUTED_VALUE"""),"REA-K5618")</f>
        <v>REA-K5618</v>
      </c>
    </row>
    <row r="351" spans="1:5" x14ac:dyDescent="0.2">
      <c r="A351" s="22">
        <f ca="1">IFERROR(__xludf.DUMMYFUNCTION("""COMPUTED_VALUE"""),45602)</f>
        <v>45602</v>
      </c>
      <c r="B351" s="23" t="str">
        <f ca="1">IFERROR(__xludf.DUMMYFUNCTION("""COMPUTED_VALUE"""),"DRZWI PRYSZNICOWE RAPID SWING GOLD 100")</f>
        <v>DRZWI PRYSZNICOWE RAPID SWING GOLD 100</v>
      </c>
      <c r="C351" s="23"/>
      <c r="D351" s="24">
        <f ca="1">IFERROR(__xludf.DUMMYFUNCTION("""COMPUTED_VALUE"""),1199)</f>
        <v>1199</v>
      </c>
      <c r="E351" s="25" t="str">
        <f ca="1">IFERROR(__xludf.DUMMYFUNCTION("""COMPUTED_VALUE"""),"REA-K5619")</f>
        <v>REA-K5619</v>
      </c>
    </row>
    <row r="352" spans="1:5" x14ac:dyDescent="0.2">
      <c r="A352" s="22">
        <f ca="1">IFERROR(__xludf.DUMMYFUNCTION("""COMPUTED_VALUE"""),45602)</f>
        <v>45602</v>
      </c>
      <c r="B352" s="23" t="str">
        <f ca="1">IFERROR(__xludf.DUMMYFUNCTION("""COMPUTED_VALUE"""),"DRZWI PRYSZNICOWE RAPID SLIDE GOLD 150")</f>
        <v>DRZWI PRYSZNICOWE RAPID SLIDE GOLD 150</v>
      </c>
      <c r="C352" s="23"/>
      <c r="D352" s="24">
        <f ca="1">IFERROR(__xludf.DUMMYFUNCTION("""COMPUTED_VALUE"""),1279)</f>
        <v>1279</v>
      </c>
      <c r="E352" s="25" t="str">
        <f ca="1">IFERROR(__xludf.DUMMYFUNCTION("""COMPUTED_VALUE"""),"REA-K5617")</f>
        <v>REA-K5617</v>
      </c>
    </row>
    <row r="353" spans="1:5" x14ac:dyDescent="0.2">
      <c r="A353" s="22">
        <f ca="1">IFERROR(__xludf.DUMMYFUNCTION("""COMPUTED_VALUE"""),45602)</f>
        <v>45602</v>
      </c>
      <c r="B353" s="23" t="str">
        <f ca="1">IFERROR(__xludf.DUMMYFUNCTION("""COMPUTED_VALUE"""),"DRZWI PRYSZNICOWE RAPID SLIDE GOLD BRUSH 110")</f>
        <v>DRZWI PRYSZNICOWE RAPID SLIDE GOLD BRUSH 110</v>
      </c>
      <c r="C353" s="23"/>
      <c r="D353" s="24">
        <f ca="1">IFERROR(__xludf.DUMMYFUNCTION("""COMPUTED_VALUE"""),1189)</f>
        <v>1189</v>
      </c>
      <c r="E353" s="25" t="str">
        <f ca="1">IFERROR(__xludf.DUMMYFUNCTION("""COMPUTED_VALUE"""),"REA-K4708")</f>
        <v>REA-K4708</v>
      </c>
    </row>
    <row r="354" spans="1:5" x14ac:dyDescent="0.2">
      <c r="A354" s="22">
        <f ca="1">IFERROR(__xludf.DUMMYFUNCTION("""COMPUTED_VALUE"""),45602)</f>
        <v>45602</v>
      </c>
      <c r="B354" s="23" t="str">
        <f ca="1">IFERROR(__xludf.DUMMYFUNCTION("""COMPUTED_VALUE"""),"DRZWI PRYSZNICOWE RAPID SWING GOLD BRUSH 90")</f>
        <v>DRZWI PRYSZNICOWE RAPID SWING GOLD BRUSH 90</v>
      </c>
      <c r="C354" s="23"/>
      <c r="D354" s="24">
        <f ca="1">IFERROR(__xludf.DUMMYFUNCTION("""COMPUTED_VALUE"""),1179)</f>
        <v>1179</v>
      </c>
      <c r="E354" s="25" t="str">
        <f ca="1">IFERROR(__xludf.DUMMYFUNCTION("""COMPUTED_VALUE"""),"REA-K2502")</f>
        <v>REA-K2502</v>
      </c>
    </row>
    <row r="355" spans="1:5" x14ac:dyDescent="0.2">
      <c r="A355" s="22">
        <f ca="1">IFERROR(__xludf.DUMMYFUNCTION("""COMPUTED_VALUE"""),45602)</f>
        <v>45602</v>
      </c>
      <c r="B355" s="23" t="str">
        <f ca="1">IFERROR(__xludf.DUMMYFUNCTION("""COMPUTED_VALUE"""),"DRZWI PRYSZNICOWE RAPID SWING GOLD BRUSH 100")</f>
        <v>DRZWI PRYSZNICOWE RAPID SWING GOLD BRUSH 100</v>
      </c>
      <c r="C355" s="23"/>
      <c r="D355" s="24">
        <f ca="1">IFERROR(__xludf.DUMMYFUNCTION("""COMPUTED_VALUE"""),1199)</f>
        <v>1199</v>
      </c>
      <c r="E355" s="25" t="str">
        <f ca="1">IFERROR(__xludf.DUMMYFUNCTION("""COMPUTED_VALUE"""),"REA-K2503")</f>
        <v>REA-K2503</v>
      </c>
    </row>
    <row r="356" spans="1:5" x14ac:dyDescent="0.2">
      <c r="A356" s="22">
        <f ca="1">IFERROR(__xludf.DUMMYFUNCTION("""COMPUTED_VALUE"""),45602)</f>
        <v>45602</v>
      </c>
      <c r="B356" s="23" t="str">
        <f ca="1">IFERROR(__xludf.DUMMYFUNCTION("""COMPUTED_VALUE"""),"DRZWI PRYSZNICOWE RAPID SWING CHROM 100")</f>
        <v>DRZWI PRYSZNICOWE RAPID SWING CHROM 100</v>
      </c>
      <c r="C356" s="23"/>
      <c r="D356" s="24">
        <f ca="1">IFERROR(__xludf.DUMMYFUNCTION("""COMPUTED_VALUE"""),919)</f>
        <v>919</v>
      </c>
      <c r="E356" s="25" t="str">
        <f ca="1">IFERROR(__xludf.DUMMYFUNCTION("""COMPUTED_VALUE"""),"REA-K5607")</f>
        <v>REA-K5607</v>
      </c>
    </row>
    <row r="357" spans="1:5" x14ac:dyDescent="0.2">
      <c r="A357" s="22">
        <f ca="1">IFERROR(__xludf.DUMMYFUNCTION("""COMPUTED_VALUE"""),45602)</f>
        <v>45602</v>
      </c>
      <c r="B357" s="23" t="str">
        <f ca="1">IFERROR(__xludf.DUMMYFUNCTION("""COMPUTED_VALUE"""),"DRZWI PRYSZNICOWE RAPID SLIDE CHROM 140")</f>
        <v>DRZWI PRYSZNICOWE RAPID SLIDE CHROM 140</v>
      </c>
      <c r="C357" s="23"/>
      <c r="D357" s="24">
        <f ca="1">IFERROR(__xludf.DUMMYFUNCTION("""COMPUTED_VALUE"""),979)</f>
        <v>979</v>
      </c>
      <c r="E357" s="25" t="str">
        <f ca="1">IFERROR(__xludf.DUMMYFUNCTION("""COMPUTED_VALUE"""),"REA-K5604")</f>
        <v>REA-K5604</v>
      </c>
    </row>
    <row r="358" spans="1:5" x14ac:dyDescent="0.2">
      <c r="A358" s="22">
        <f ca="1">IFERROR(__xludf.DUMMYFUNCTION("""COMPUTED_VALUE"""),45602)</f>
        <v>45602</v>
      </c>
      <c r="B358" s="23" t="str">
        <f ca="1">IFERROR(__xludf.DUMMYFUNCTION("""COMPUTED_VALUE"""),"DRZWI PRYSZNICOWE RAPID SLIDE CHROM 150")</f>
        <v>DRZWI PRYSZNICOWE RAPID SLIDE CHROM 150</v>
      </c>
      <c r="C358" s="23"/>
      <c r="D358" s="24">
        <f ca="1">IFERROR(__xludf.DUMMYFUNCTION("""COMPUTED_VALUE"""),999)</f>
        <v>999</v>
      </c>
      <c r="E358" s="25" t="str">
        <f ca="1">IFERROR(__xludf.DUMMYFUNCTION("""COMPUTED_VALUE"""),"REA-K5605")</f>
        <v>REA-K5605</v>
      </c>
    </row>
    <row r="359" spans="1:5" x14ac:dyDescent="0.2">
      <c r="A359" s="22">
        <f ca="1">IFERROR(__xludf.DUMMYFUNCTION("""COMPUTED_VALUE"""),45602)</f>
        <v>45602</v>
      </c>
      <c r="B359" s="23" t="str">
        <f ca="1">IFERROR(__xludf.DUMMYFUNCTION("""COMPUTED_VALUE"""),"DRZWI PRYSZNICOWE RAPID SLIDE CHROM 110")</f>
        <v>DRZWI PRYSZNICOWE RAPID SLIDE CHROM 110</v>
      </c>
      <c r="C359" s="23"/>
      <c r="D359" s="24">
        <f ca="1">IFERROR(__xludf.DUMMYFUNCTION("""COMPUTED_VALUE"""),899)</f>
        <v>899</v>
      </c>
      <c r="E359" s="25" t="str">
        <f ca="1">IFERROR(__xludf.DUMMYFUNCTION("""COMPUTED_VALUE"""),"REA-K5601")</f>
        <v>REA-K5601</v>
      </c>
    </row>
    <row r="360" spans="1:5" x14ac:dyDescent="0.2">
      <c r="A360" s="22">
        <f ca="1">IFERROR(__xludf.DUMMYFUNCTION("""COMPUTED_VALUE"""),45602)</f>
        <v>45602</v>
      </c>
      <c r="B360" s="23" t="str">
        <f ca="1">IFERROR(__xludf.DUMMYFUNCTION("""COMPUTED_VALUE"""),"DRZWI PRYSZNICOWE RAPID SLIDE 100")</f>
        <v>DRZWI PRYSZNICOWE RAPID SLIDE 100</v>
      </c>
      <c r="C360" s="23"/>
      <c r="D360" s="24">
        <f ca="1">IFERROR(__xludf.DUMMYFUNCTION("""COMPUTED_VALUE"""),899)</f>
        <v>899</v>
      </c>
      <c r="E360" s="25" t="str">
        <f ca="1">IFERROR(__xludf.DUMMYFUNCTION("""COMPUTED_VALUE"""),"REA-K6400")</f>
        <v>REA-K6400</v>
      </c>
    </row>
    <row r="361" spans="1:5" x14ac:dyDescent="0.2">
      <c r="A361" s="22">
        <f ca="1">IFERROR(__xludf.DUMMYFUNCTION("""COMPUTED_VALUE"""),45602)</f>
        <v>45602</v>
      </c>
      <c r="B361" s="23" t="str">
        <f ca="1">IFERROR(__xludf.DUMMYFUNCTION("""COMPUTED_VALUE"""),"DRZWI PRYSZNICOWE RAPID SLIDE 110")</f>
        <v>DRZWI PRYSZNICOWE RAPID SLIDE 110</v>
      </c>
      <c r="C361" s="23"/>
      <c r="D361" s="24">
        <f ca="1">IFERROR(__xludf.DUMMYFUNCTION("""COMPUTED_VALUE"""),939)</f>
        <v>939</v>
      </c>
      <c r="E361" s="25" t="str">
        <f ca="1">IFERROR(__xludf.DUMMYFUNCTION("""COMPUTED_VALUE"""),"REA-K6401")</f>
        <v>REA-K6401</v>
      </c>
    </row>
    <row r="362" spans="1:5" x14ac:dyDescent="0.2">
      <c r="A362" s="22">
        <f ca="1">IFERROR(__xludf.DUMMYFUNCTION("""COMPUTED_VALUE"""),45602)</f>
        <v>45602</v>
      </c>
      <c r="B362" s="23" t="str">
        <f ca="1">IFERROR(__xludf.DUMMYFUNCTION("""COMPUTED_VALUE"""),"DRZWI PRYSZNICOWE RAPID SLIDE 120")</f>
        <v>DRZWI PRYSZNICOWE RAPID SLIDE 120</v>
      </c>
      <c r="C362" s="23"/>
      <c r="D362" s="24">
        <f ca="1">IFERROR(__xludf.DUMMYFUNCTION("""COMPUTED_VALUE"""),969)</f>
        <v>969</v>
      </c>
      <c r="E362" s="25" t="str">
        <f ca="1">IFERROR(__xludf.DUMMYFUNCTION("""COMPUTED_VALUE"""),"REA-K6402")</f>
        <v>REA-K6402</v>
      </c>
    </row>
    <row r="363" spans="1:5" x14ac:dyDescent="0.2">
      <c r="A363" s="22">
        <f ca="1">IFERROR(__xludf.DUMMYFUNCTION("""COMPUTED_VALUE"""),45602)</f>
        <v>45602</v>
      </c>
      <c r="B363" s="23" t="str">
        <f ca="1">IFERROR(__xludf.DUMMYFUNCTION("""COMPUTED_VALUE"""),"DRZWI PRYSZNICOWE RAPID SLIDE 130")</f>
        <v>DRZWI PRYSZNICOWE RAPID SLIDE 130</v>
      </c>
      <c r="C363" s="23"/>
      <c r="D363" s="24">
        <f ca="1">IFERROR(__xludf.DUMMYFUNCTION("""COMPUTED_VALUE"""),999)</f>
        <v>999</v>
      </c>
      <c r="E363" s="25" t="str">
        <f ca="1">IFERROR(__xludf.DUMMYFUNCTION("""COMPUTED_VALUE"""),"REA-K6403")</f>
        <v>REA-K6403</v>
      </c>
    </row>
    <row r="364" spans="1:5" x14ac:dyDescent="0.2">
      <c r="A364" s="22">
        <f ca="1">IFERROR(__xludf.DUMMYFUNCTION("""COMPUTED_VALUE"""),45602)</f>
        <v>45602</v>
      </c>
      <c r="B364" s="23" t="str">
        <f ca="1">IFERROR(__xludf.DUMMYFUNCTION("""COMPUTED_VALUE"""),"DRZWI PRYSZNICOWE RAPID SLIDE 140")</f>
        <v>DRZWI PRYSZNICOWE RAPID SLIDE 140</v>
      </c>
      <c r="C364" s="23"/>
      <c r="D364" s="24">
        <f ca="1">IFERROR(__xludf.DUMMYFUNCTION("""COMPUTED_VALUE"""),1049)</f>
        <v>1049</v>
      </c>
      <c r="E364" s="25" t="str">
        <f ca="1">IFERROR(__xludf.DUMMYFUNCTION("""COMPUTED_VALUE"""),"REA-K6404")</f>
        <v>REA-K6404</v>
      </c>
    </row>
    <row r="365" spans="1:5" x14ac:dyDescent="0.2">
      <c r="A365" s="22">
        <f ca="1">IFERROR(__xludf.DUMMYFUNCTION("""COMPUTED_VALUE"""),45602)</f>
        <v>45602</v>
      </c>
      <c r="B365" s="23" t="str">
        <f ca="1">IFERROR(__xludf.DUMMYFUNCTION("""COMPUTED_VALUE"""),"DRZWI PRYSZNICOWE RAPID SLIDE 150")</f>
        <v>DRZWI PRYSZNICOWE RAPID SLIDE 150</v>
      </c>
      <c r="C365" s="23"/>
      <c r="D365" s="24">
        <f ca="1">IFERROR(__xludf.DUMMYFUNCTION("""COMPUTED_VALUE"""),1069)</f>
        <v>1069</v>
      </c>
      <c r="E365" s="25" t="str">
        <f ca="1">IFERROR(__xludf.DUMMYFUNCTION("""COMPUTED_VALUE"""),"REA-K6405")</f>
        <v>REA-K6405</v>
      </c>
    </row>
    <row r="366" spans="1:5" x14ac:dyDescent="0.2">
      <c r="A366" s="22">
        <f ca="1">IFERROR(__xludf.DUMMYFUNCTION("""COMPUTED_VALUE"""),45602)</f>
        <v>45602</v>
      </c>
      <c r="B366" s="23" t="str">
        <f ca="1">IFERROR(__xludf.DUMMYFUNCTION("""COMPUTED_VALUE"""),"DRZWI PRYSZNICOWE RAPID SLIDE 160")</f>
        <v>DRZWI PRYSZNICOWE RAPID SLIDE 160</v>
      </c>
      <c r="C366" s="23"/>
      <c r="D366" s="24">
        <f ca="1">IFERROR(__xludf.DUMMYFUNCTION("""COMPUTED_VALUE"""),1099)</f>
        <v>1099</v>
      </c>
      <c r="E366" s="25" t="str">
        <f ca="1">IFERROR(__xludf.DUMMYFUNCTION("""COMPUTED_VALUE"""),"REA-K6406")</f>
        <v>REA-K6406</v>
      </c>
    </row>
    <row r="367" spans="1:5" x14ac:dyDescent="0.2">
      <c r="A367" s="22">
        <f ca="1">IFERROR(__xludf.DUMMYFUNCTION("""COMPUTED_VALUE"""),45602)</f>
        <v>45602</v>
      </c>
      <c r="B367" s="23" t="str">
        <f ca="1">IFERROR(__xludf.DUMMYFUNCTION("""COMPUTED_VALUE"""),"WANNA FERRANO 170")</f>
        <v>WANNA FERRANO 170</v>
      </c>
      <c r="C367" s="23"/>
      <c r="D367" s="24">
        <f ca="1">IFERROR(__xludf.DUMMYFUNCTION("""COMPUTED_VALUE"""),2869)</f>
        <v>2869</v>
      </c>
      <c r="E367" s="25" t="str">
        <f ca="1">IFERROR(__xludf.DUMMYFUNCTION("""COMPUTED_VALUE"""),"REA-W0106")</f>
        <v>REA-W0106</v>
      </c>
    </row>
    <row r="368" spans="1:5" x14ac:dyDescent="0.2">
      <c r="A368" s="22">
        <f ca="1">IFERROR(__xludf.DUMMYFUNCTION("""COMPUTED_VALUE"""),45602)</f>
        <v>45602</v>
      </c>
      <c r="B368" s="23" t="str">
        <f ca="1">IFERROR(__xludf.DUMMYFUNCTION("""COMPUTED_VALUE"""),"UMYWALKA CLAUDIA- NABLATOWA")</f>
        <v>UMYWALKA CLAUDIA- NABLATOWA</v>
      </c>
      <c r="C368" s="23"/>
      <c r="D368" s="24">
        <f ca="1">IFERROR(__xludf.DUMMYFUNCTION("""COMPUTED_VALUE"""),279)</f>
        <v>279</v>
      </c>
      <c r="E368" s="25" t="str">
        <f ca="1">IFERROR(__xludf.DUMMYFUNCTION("""COMPUTED_VALUE"""),"REA-U6644")</f>
        <v>REA-U6644</v>
      </c>
    </row>
    <row r="369" spans="1:5" x14ac:dyDescent="0.2">
      <c r="A369" s="22">
        <f ca="1">IFERROR(__xludf.DUMMYFUNCTION("""COMPUTED_VALUE"""),45602)</f>
        <v>45602</v>
      </c>
      <c r="B369" s="23" t="str">
        <f ca="1">IFERROR(__xludf.DUMMYFUNCTION("""COMPUTED_VALUE"""),"UMYWALKA ANYA LAVA MATT - WOLNOSTOJĄCA")</f>
        <v>UMYWALKA ANYA LAVA MATT - WOLNOSTOJĄCA</v>
      </c>
      <c r="C369" s="23"/>
      <c r="D369" s="24">
        <f ca="1">IFERROR(__xludf.DUMMYFUNCTION("""COMPUTED_VALUE"""),1499)</f>
        <v>1499</v>
      </c>
      <c r="E369" s="25" t="str">
        <f ca="1">IFERROR(__xludf.DUMMYFUNCTION("""COMPUTED_VALUE"""),"REA-U5803")</f>
        <v>REA-U5803</v>
      </c>
    </row>
    <row r="370" spans="1:5" x14ac:dyDescent="0.2">
      <c r="A370" s="22">
        <f ca="1">IFERROR(__xludf.DUMMYFUNCTION("""COMPUTED_VALUE"""),45593)</f>
        <v>45593</v>
      </c>
      <c r="B370" s="23" t="str">
        <f ca="1">IFERROR(__xludf.DUMMYFUNCTION("""COMPUTED_VALUE"""),"DRZWI PRYSZNICOWE ALEX GOLD BRUSH 100")</f>
        <v>DRZWI PRYSZNICOWE ALEX GOLD BRUSH 100</v>
      </c>
      <c r="C370" s="23"/>
      <c r="D370" s="24">
        <f ca="1">IFERROR(__xludf.DUMMYFUNCTION("""COMPUTED_VALUE"""),1099)</f>
        <v>1099</v>
      </c>
      <c r="E370" s="25" t="str">
        <f ca="1">IFERROR(__xludf.DUMMYFUNCTION("""COMPUTED_VALUE"""),"REA-K2500")</f>
        <v>REA-K2500</v>
      </c>
    </row>
    <row r="371" spans="1:5" x14ac:dyDescent="0.2">
      <c r="A371" s="22">
        <f ca="1">IFERROR(__xludf.DUMMYFUNCTION("""COMPUTED_VALUE"""),45593)</f>
        <v>45593</v>
      </c>
      <c r="B371" s="23" t="str">
        <f ca="1">IFERROR(__xludf.DUMMYFUNCTION("""COMPUTED_VALUE"""),"DRZWI PRYSZNICOWE ALEX BRUSH GOLD 90")</f>
        <v>DRZWI PRYSZNICOWE ALEX BRUSH GOLD 90</v>
      </c>
      <c r="C371" s="23"/>
      <c r="D371" s="24">
        <f ca="1">IFERROR(__xludf.DUMMYFUNCTION("""COMPUTED_VALUE"""),1079)</f>
        <v>1079</v>
      </c>
      <c r="E371" s="25" t="str">
        <f ca="1">IFERROR(__xludf.DUMMYFUNCTION("""COMPUTED_VALUE"""),"REA-K2506")</f>
        <v>REA-K2506</v>
      </c>
    </row>
    <row r="372" spans="1:5" x14ac:dyDescent="0.2">
      <c r="A372" s="22">
        <f ca="1">IFERROR(__xludf.DUMMYFUNCTION("""COMPUTED_VALUE"""),45593)</f>
        <v>45593</v>
      </c>
      <c r="B372" s="23" t="str">
        <f ca="1">IFERROR(__xludf.DUMMYFUNCTION("""COMPUTED_VALUE"""),"DRZWI PRYSZNICOWE RAPID FOLD 100")</f>
        <v>DRZWI PRYSZNICOWE RAPID FOLD 100</v>
      </c>
      <c r="C372" s="23"/>
      <c r="D372" s="24">
        <f ca="1">IFERROR(__xludf.DUMMYFUNCTION("""COMPUTED_VALUE"""),1019)</f>
        <v>1019</v>
      </c>
      <c r="E372" s="25" t="str">
        <f ca="1">IFERROR(__xludf.DUMMYFUNCTION("""COMPUTED_VALUE"""),"REA-K6420")</f>
        <v>REA-K6420</v>
      </c>
    </row>
    <row r="373" spans="1:5" x14ac:dyDescent="0.2">
      <c r="A373" s="22">
        <f ca="1">IFERROR(__xludf.DUMMYFUNCTION("""COMPUTED_VALUE"""),45593)</f>
        <v>45593</v>
      </c>
      <c r="B373" s="23" t="str">
        <f ca="1">IFERROR(__xludf.DUMMYFUNCTION("""COMPUTED_VALUE"""),"BATERIA UMYWALKOWA LUNGO GRIP TYTAN WYSOKA")</f>
        <v>BATERIA UMYWALKOWA LUNGO GRIP TYTAN WYSOKA</v>
      </c>
      <c r="C373" s="23"/>
      <c r="D373" s="24">
        <f ca="1">IFERROR(__xludf.DUMMYFUNCTION("""COMPUTED_VALUE"""),299)</f>
        <v>299</v>
      </c>
      <c r="E373" s="25" t="str">
        <f ca="1">IFERROR(__xludf.DUMMYFUNCTION("""COMPUTED_VALUE"""),"REA-B8779")</f>
        <v>REA-B8779</v>
      </c>
    </row>
    <row r="374" spans="1:5" x14ac:dyDescent="0.2">
      <c r="A374" s="22">
        <f ca="1">IFERROR(__xludf.DUMMYFUNCTION("""COMPUTED_VALUE"""),45593)</f>
        <v>45593</v>
      </c>
      <c r="B374" s="23" t="str">
        <f ca="1">IFERROR(__xludf.DUMMYFUNCTION("""COMPUTED_VALUE"""),"BATERIA UMYWALKOWA LUNGO GRIP TYTAN NISKA")</f>
        <v>BATERIA UMYWALKOWA LUNGO GRIP TYTAN NISKA</v>
      </c>
      <c r="C374" s="23"/>
      <c r="D374" s="24">
        <f ca="1">IFERROR(__xludf.DUMMYFUNCTION("""COMPUTED_VALUE"""),259)</f>
        <v>259</v>
      </c>
      <c r="E374" s="25" t="str">
        <f ca="1">IFERROR(__xludf.DUMMYFUNCTION("""COMPUTED_VALUE"""),"REA-B8778")</f>
        <v>REA-B8778</v>
      </c>
    </row>
    <row r="375" spans="1:5" x14ac:dyDescent="0.2">
      <c r="A375" s="22"/>
      <c r="B375" s="23" t="str">
        <f ca="1">IFERROR(__xludf.DUMMYFUNCTION("""COMPUTED_VALUE"""),"WC - CARLO MINI TORNADO/DUROPLAST/SLIM/ZM")</f>
        <v>WC - CARLO MINI TORNADO/DUROPLAST/SLIM/ZM</v>
      </c>
      <c r="C375" s="23"/>
      <c r="D375" s="24">
        <f ca="1">IFERROR(__xludf.DUMMYFUNCTION("""COMPUTED_VALUE"""),669)</f>
        <v>669</v>
      </c>
      <c r="E375" s="25" t="str">
        <f ca="1">IFERROR(__xludf.DUMMYFUNCTION("""COMPUTED_VALUE"""),"REA-C1259")</f>
        <v>REA-C1259</v>
      </c>
    </row>
    <row r="376" spans="1:5" x14ac:dyDescent="0.2">
      <c r="A376" s="22"/>
      <c r="B376" s="23" t="str">
        <f ca="1">IFERROR(__xludf.DUMMYFUNCTION("""COMPUTED_VALUE"""),"UMYWALKA ARCHI 75 - NABLATOWA")</f>
        <v>UMYWALKA ARCHI 75 - NABLATOWA</v>
      </c>
      <c r="C376" s="23"/>
      <c r="D376" s="24">
        <f ca="1">IFERROR(__xludf.DUMMYFUNCTION("""COMPUTED_VALUE"""),849)</f>
        <v>849</v>
      </c>
      <c r="E376" s="25" t="str">
        <f ca="1">IFERROR(__xludf.DUMMYFUNCTION("""COMPUTED_VALUE"""),"REA-U4300")</f>
        <v>REA-U4300</v>
      </c>
    </row>
    <row r="377" spans="1:5" x14ac:dyDescent="0.2">
      <c r="A377" s="22"/>
      <c r="B377" s="23" t="str">
        <f ca="1">IFERROR(__xludf.DUMMYFUNCTION("""COMPUTED_VALUE"""),"UMYWALKA ARCHI 90 - NABLATOWA")</f>
        <v>UMYWALKA ARCHI 90 - NABLATOWA</v>
      </c>
      <c r="C377" s="23"/>
      <c r="D377" s="24">
        <f ca="1">IFERROR(__xludf.DUMMYFUNCTION("""COMPUTED_VALUE"""),979)</f>
        <v>979</v>
      </c>
      <c r="E377" s="25" t="str">
        <f ca="1">IFERROR(__xludf.DUMMYFUNCTION("""COMPUTED_VALUE"""),"REA-U4301")</f>
        <v>REA-U4301</v>
      </c>
    </row>
    <row r="378" spans="1:5" x14ac:dyDescent="0.2">
      <c r="A378" s="22"/>
      <c r="B378" s="23" t="str">
        <f ca="1">IFERROR(__xludf.DUMMYFUNCTION("""COMPUTED_VALUE"""),"UMYWALKA DOLCE - WOLNOSTOJĄCA")</f>
        <v>UMYWALKA DOLCE - WOLNOSTOJĄCA</v>
      </c>
      <c r="C378" s="23"/>
      <c r="D378" s="24">
        <f ca="1">IFERROR(__xludf.DUMMYFUNCTION("""COMPUTED_VALUE"""),2269)</f>
        <v>2269</v>
      </c>
      <c r="E378" s="25" t="str">
        <f ca="1">IFERROR(__xludf.DUMMYFUNCTION("""COMPUTED_VALUE"""),"REA-U4302")</f>
        <v>REA-U4302</v>
      </c>
    </row>
    <row r="379" spans="1:5" x14ac:dyDescent="0.2">
      <c r="A379" s="22"/>
      <c r="B379" s="23" t="str">
        <f ca="1">IFERROR(__xludf.DUMMYFUNCTION("""COMPUTED_VALUE"""),"UMYWALKA ARCHI 75 GREY MATT - NABLATOWA")</f>
        <v>UMYWALKA ARCHI 75 GREY MATT - NABLATOWA</v>
      </c>
      <c r="C379" s="23"/>
      <c r="D379" s="24">
        <f ca="1">IFERROR(__xludf.DUMMYFUNCTION("""COMPUTED_VALUE"""),1039)</f>
        <v>1039</v>
      </c>
      <c r="E379" s="25" t="str">
        <f ca="1">IFERROR(__xludf.DUMMYFUNCTION("""COMPUTED_VALUE"""),"REA-U4303")</f>
        <v>REA-U4303</v>
      </c>
    </row>
    <row r="380" spans="1:5" x14ac:dyDescent="0.2">
      <c r="A380" s="22"/>
      <c r="B380" s="23" t="str">
        <f ca="1">IFERROR(__xludf.DUMMYFUNCTION("""COMPUTED_VALUE"""),"UMYWALKA ARCHI 90 GREY MATT - NABLATOWA")</f>
        <v>UMYWALKA ARCHI 90 GREY MATT - NABLATOWA</v>
      </c>
      <c r="C380" s="23"/>
      <c r="D380" s="24">
        <f ca="1">IFERROR(__xludf.DUMMYFUNCTION("""COMPUTED_VALUE"""),1229)</f>
        <v>1229</v>
      </c>
      <c r="E380" s="25" t="str">
        <f ca="1">IFERROR(__xludf.DUMMYFUNCTION("""COMPUTED_VALUE"""),"REA-U4304")</f>
        <v>REA-U4304</v>
      </c>
    </row>
    <row r="381" spans="1:5" x14ac:dyDescent="0.2">
      <c r="A381" s="22"/>
      <c r="B381" s="23" t="str">
        <f ca="1">IFERROR(__xludf.DUMMYFUNCTION("""COMPUTED_VALUE"""),"UMYWALKA IRIS 71 - NABLATOWA")</f>
        <v>UMYWALKA IRIS 71 - NABLATOWA</v>
      </c>
      <c r="C381" s="23"/>
      <c r="D381" s="24">
        <f ca="1">IFERROR(__xludf.DUMMYFUNCTION("""COMPUTED_VALUE"""),619)</f>
        <v>619</v>
      </c>
      <c r="E381" s="25" t="str">
        <f ca="1">IFERROR(__xludf.DUMMYFUNCTION("""COMPUTED_VALUE"""),"REA-U4305")</f>
        <v>REA-U4305</v>
      </c>
    </row>
    <row r="382" spans="1:5" x14ac:dyDescent="0.2">
      <c r="A382" s="22"/>
      <c r="B382" s="23" t="str">
        <f ca="1">IFERROR(__xludf.DUMMYFUNCTION("""COMPUTED_VALUE"""),"UMYWALKA IRIS 71 GREY MATT - NABLATOWA")</f>
        <v>UMYWALKA IRIS 71 GREY MATT - NABLATOWA</v>
      </c>
      <c r="C382" s="23"/>
      <c r="D382" s="24">
        <f ca="1">IFERROR(__xludf.DUMMYFUNCTION("""COMPUTED_VALUE"""),739)</f>
        <v>739</v>
      </c>
      <c r="E382" s="25" t="str">
        <f ca="1">IFERROR(__xludf.DUMMYFUNCTION("""COMPUTED_VALUE"""),"REA-U4306")</f>
        <v>REA-U4306</v>
      </c>
    </row>
    <row r="383" spans="1:5" x14ac:dyDescent="0.2">
      <c r="A383" s="22"/>
      <c r="B383" s="23" t="str">
        <f ca="1">IFERROR(__xludf.DUMMYFUNCTION("""COMPUTED_VALUE"""),"UMYWALKA SELINA- NABLATOWA")</f>
        <v>UMYWALKA SELINA- NABLATOWA</v>
      </c>
      <c r="C383" s="23"/>
      <c r="D383" s="24">
        <f ca="1">IFERROR(__xludf.DUMMYFUNCTION("""COMPUTED_VALUE"""),279)</f>
        <v>279</v>
      </c>
      <c r="E383" s="25" t="str">
        <f ca="1">IFERROR(__xludf.DUMMYFUNCTION("""COMPUTED_VALUE"""),"REA-U6945")</f>
        <v>REA-U6945</v>
      </c>
    </row>
    <row r="384" spans="1:5" x14ac:dyDescent="0.2">
      <c r="A384" s="22"/>
      <c r="B384" s="23" t="str">
        <f ca="1">IFERROR(__xludf.DUMMYFUNCTION("""COMPUTED_VALUE"""),"UMYWALKA AURA 61 BRUSH GOLD/WHITE - NABLATOWA")</f>
        <v>UMYWALKA AURA 61 BRUSH GOLD/WHITE - NABLATOWA</v>
      </c>
      <c r="C384" s="23"/>
      <c r="D384" s="24">
        <f ca="1">IFERROR(__xludf.DUMMYFUNCTION("""COMPUTED_VALUE"""),539)</f>
        <v>539</v>
      </c>
      <c r="E384" s="25" t="str">
        <f ca="1">IFERROR(__xludf.DUMMYFUNCTION("""COMPUTED_VALUE"""),"REA-U6900")</f>
        <v>REA-U6900</v>
      </c>
    </row>
    <row r="385" spans="1:5" x14ac:dyDescent="0.2">
      <c r="A385" s="22">
        <f ca="1">IFERROR(__xludf.DUMMYFUNCTION("""COMPUTED_VALUE"""),45575)</f>
        <v>45575</v>
      </c>
      <c r="B385" s="23" t="str">
        <f ca="1">IFERROR(__xludf.DUMMYFUNCTION("""COMPUTED_VALUE"""),"UMYWALKA BELINDA GOLD BRUSH/WHITE- NABLATOWA")</f>
        <v>UMYWALKA BELINDA GOLD BRUSH/WHITE- NABLATOWA</v>
      </c>
      <c r="C385" s="23"/>
      <c r="D385" s="24">
        <f ca="1">IFERROR(__xludf.DUMMYFUNCTION("""COMPUTED_VALUE"""),439)</f>
        <v>439</v>
      </c>
      <c r="E385" s="25" t="str">
        <f ca="1">IFERROR(__xludf.DUMMYFUNCTION("""COMPUTED_VALUE"""),"REA-U7422")</f>
        <v>REA-U7422</v>
      </c>
    </row>
    <row r="386" spans="1:5" x14ac:dyDescent="0.2">
      <c r="A386" s="22">
        <f ca="1">IFERROR(__xludf.DUMMYFUNCTION("""COMPUTED_VALUE"""),45575)</f>
        <v>45575</v>
      </c>
      <c r="B386" s="23" t="str">
        <f ca="1">IFERROR(__xludf.DUMMYFUNCTION("""COMPUTED_VALUE"""),"DRZWI PRYSZNICOWE HUGO GOLD SZCZOTKOWANY 80")</f>
        <v>DRZWI PRYSZNICOWE HUGO GOLD SZCZOTKOWANY 80</v>
      </c>
      <c r="C386" s="23"/>
      <c r="D386" s="24">
        <f ca="1">IFERROR(__xludf.DUMMYFUNCTION("""COMPUTED_VALUE"""),1199)</f>
        <v>1199</v>
      </c>
      <c r="E386" s="25" t="str">
        <f ca="1">IFERROR(__xludf.DUMMYFUNCTION("""COMPUTED_VALUE"""),"REA-K8410")</f>
        <v>REA-K8410</v>
      </c>
    </row>
    <row r="387" spans="1:5" x14ac:dyDescent="0.2">
      <c r="A387" s="22">
        <f ca="1">IFERROR(__xludf.DUMMYFUNCTION("""COMPUTED_VALUE"""),45575)</f>
        <v>45575</v>
      </c>
      <c r="B387" s="23" t="str">
        <f ca="1">IFERROR(__xludf.DUMMYFUNCTION("""COMPUTED_VALUE"""),"DRZWI HUGO GOLD SZCZOTKOWANY 80 +LISTWA")</f>
        <v>DRZWI HUGO GOLD SZCZOTKOWANY 80 +LISTWA</v>
      </c>
      <c r="C387" s="23"/>
      <c r="D387" s="24">
        <f ca="1">IFERROR(__xludf.DUMMYFUNCTION("""COMPUTED_VALUE"""),1379)</f>
        <v>1379</v>
      </c>
      <c r="E387" s="26"/>
    </row>
    <row r="388" spans="1:5" x14ac:dyDescent="0.2">
      <c r="A388" s="22">
        <f ca="1">IFERROR(__xludf.DUMMYFUNCTION("""COMPUTED_VALUE"""),45575)</f>
        <v>45575</v>
      </c>
      <c r="B388" s="23" t="str">
        <f ca="1">IFERROR(__xludf.DUMMYFUNCTION("""COMPUTED_VALUE"""),"DRZWI PRYSZNICOWE HUGO GOLD SZCZOTKOWANY 90")</f>
        <v>DRZWI PRYSZNICOWE HUGO GOLD SZCZOTKOWANY 90</v>
      </c>
      <c r="C388" s="23"/>
      <c r="D388" s="24">
        <f ca="1">IFERROR(__xludf.DUMMYFUNCTION("""COMPUTED_VALUE"""),1239)</f>
        <v>1239</v>
      </c>
      <c r="E388" s="25" t="str">
        <f ca="1">IFERROR(__xludf.DUMMYFUNCTION("""COMPUTED_VALUE"""),"REA-K8411")</f>
        <v>REA-K8411</v>
      </c>
    </row>
    <row r="389" spans="1:5" x14ac:dyDescent="0.2">
      <c r="A389" s="22">
        <f ca="1">IFERROR(__xludf.DUMMYFUNCTION("""COMPUTED_VALUE"""),45575)</f>
        <v>45575</v>
      </c>
      <c r="B389" s="23" t="str">
        <f ca="1">IFERROR(__xludf.DUMMYFUNCTION("""COMPUTED_VALUE"""),"DRZWI HUGO GOLD SZCZOTKOWANY 90+LISTWA")</f>
        <v>DRZWI HUGO GOLD SZCZOTKOWANY 90+LISTWA</v>
      </c>
      <c r="C389" s="23"/>
      <c r="D389" s="24">
        <f ca="1">IFERROR(__xludf.DUMMYFUNCTION("""COMPUTED_VALUE"""),1419)</f>
        <v>1419</v>
      </c>
      <c r="E389" s="26"/>
    </row>
    <row r="390" spans="1:5" x14ac:dyDescent="0.2">
      <c r="A390" s="22">
        <f ca="1">IFERROR(__xludf.DUMMYFUNCTION("""COMPUTED_VALUE"""),45575)</f>
        <v>45575</v>
      </c>
      <c r="B390" s="23" t="str">
        <f ca="1">IFERROR(__xludf.DUMMYFUNCTION("""COMPUTED_VALUE"""),"DRZWI PRYSZNICOWE HUGO BLACK 80")</f>
        <v>DRZWI PRYSZNICOWE HUGO BLACK 80</v>
      </c>
      <c r="C390" s="23"/>
      <c r="D390" s="24">
        <f ca="1">IFERROR(__xludf.DUMMYFUNCTION("""COMPUTED_VALUE"""),1069)</f>
        <v>1069</v>
      </c>
      <c r="E390" s="25" t="str">
        <f ca="1">IFERROR(__xludf.DUMMYFUNCTION("""COMPUTED_VALUE"""),"REA-K6603")</f>
        <v>REA-K6603</v>
      </c>
    </row>
    <row r="391" spans="1:5" x14ac:dyDescent="0.2">
      <c r="A391" s="22">
        <f ca="1">IFERROR(__xludf.DUMMYFUNCTION("""COMPUTED_VALUE"""),45575)</f>
        <v>45575</v>
      </c>
      <c r="B391" s="23" t="str">
        <f ca="1">IFERROR(__xludf.DUMMYFUNCTION("""COMPUTED_VALUE"""),"DRZWI PRYSZNICOWE HUGO BLACK 80+ ADAPTER")</f>
        <v>DRZWI PRYSZNICOWE HUGO BLACK 80+ ADAPTER</v>
      </c>
      <c r="C391" s="23"/>
      <c r="D391" s="24">
        <f ca="1">IFERROR(__xludf.DUMMYFUNCTION("""COMPUTED_VALUE"""),1269)</f>
        <v>1269</v>
      </c>
      <c r="E391" s="26"/>
    </row>
    <row r="392" spans="1:5" x14ac:dyDescent="0.2">
      <c r="A392" s="22">
        <f ca="1">IFERROR(__xludf.DUMMYFUNCTION("""COMPUTED_VALUE"""),45575)</f>
        <v>45575</v>
      </c>
      <c r="B392" s="23" t="str">
        <f ca="1">IFERROR(__xludf.DUMMYFUNCTION("""COMPUTED_VALUE"""),"DRZWI PRYSZNICOWE HUGO BLACK 90")</f>
        <v>DRZWI PRYSZNICOWE HUGO BLACK 90</v>
      </c>
      <c r="C392" s="23"/>
      <c r="D392" s="24">
        <f ca="1">IFERROR(__xludf.DUMMYFUNCTION("""COMPUTED_VALUE"""),1099)</f>
        <v>1099</v>
      </c>
      <c r="E392" s="25" t="str">
        <f ca="1">IFERROR(__xludf.DUMMYFUNCTION("""COMPUTED_VALUE"""),"REA-K6604")</f>
        <v>REA-K6604</v>
      </c>
    </row>
    <row r="393" spans="1:5" x14ac:dyDescent="0.2">
      <c r="A393" s="22">
        <f ca="1">IFERROR(__xludf.DUMMYFUNCTION("""COMPUTED_VALUE"""),45575)</f>
        <v>45575</v>
      </c>
      <c r="B393" s="23" t="str">
        <f ca="1">IFERROR(__xludf.DUMMYFUNCTION("""COMPUTED_VALUE"""),"DRZWI PRYSZNICOWE HUGO BLACK 90 + ADAPTER")</f>
        <v>DRZWI PRYSZNICOWE HUGO BLACK 90 + ADAPTER</v>
      </c>
      <c r="C393" s="23"/>
      <c r="D393" s="24">
        <f ca="1">IFERROR(__xludf.DUMMYFUNCTION("""COMPUTED_VALUE"""),1299)</f>
        <v>1299</v>
      </c>
      <c r="E393" s="26"/>
    </row>
    <row r="394" spans="1:5" x14ac:dyDescent="0.2">
      <c r="A394" s="22">
        <f ca="1">IFERROR(__xludf.DUMMYFUNCTION("""COMPUTED_VALUE"""),45575)</f>
        <v>45575</v>
      </c>
      <c r="B394" s="23" t="str">
        <f ca="1">IFERROR(__xludf.DUMMYFUNCTION("""COMPUTED_VALUE"""),"KABINA HUGO GOLD SZCZOTKOWANY 90x90")</f>
        <v>KABINA HUGO GOLD SZCZOTKOWANY 90x90</v>
      </c>
      <c r="C394" s="23"/>
      <c r="D394" s="24">
        <f ca="1">IFERROR(__xludf.DUMMYFUNCTION("""COMPUTED_VALUE"""),2059)</f>
        <v>2059</v>
      </c>
      <c r="E394" s="25" t="str">
        <f ca="1">IFERROR(__xludf.DUMMYFUNCTION("""COMPUTED_VALUE"""),"REA-K6609")</f>
        <v>REA-K6609</v>
      </c>
    </row>
    <row r="395" spans="1:5" x14ac:dyDescent="0.2">
      <c r="A395" s="22">
        <f ca="1">IFERROR(__xludf.DUMMYFUNCTION("""COMPUTED_VALUE"""),45575)</f>
        <v>45575</v>
      </c>
      <c r="B395" s="23" t="str">
        <f ca="1">IFERROR(__xludf.DUMMYFUNCTION("""COMPUTED_VALUE"""),"ŚCIANKA PRYSZNICOWA BLER 80")</f>
        <v>ŚCIANKA PRYSZNICOWA BLER 80</v>
      </c>
      <c r="C395" s="23"/>
      <c r="D395" s="24">
        <f ca="1">IFERROR(__xludf.DUMMYFUNCTION("""COMPUTED_VALUE"""),799)</f>
        <v>799</v>
      </c>
      <c r="E395" s="25" t="str">
        <f ca="1">IFERROR(__xludf.DUMMYFUNCTION("""COMPUTED_VALUE"""),"REA-K7637")</f>
        <v>REA-K7637</v>
      </c>
    </row>
    <row r="396" spans="1:5" x14ac:dyDescent="0.2">
      <c r="A396" s="22">
        <f ca="1">IFERROR(__xludf.DUMMYFUNCTION("""COMPUTED_VALUE"""),45575)</f>
        <v>45575</v>
      </c>
      <c r="B396" s="23" t="str">
        <f ca="1">IFERROR(__xludf.DUMMYFUNCTION("""COMPUTED_VALUE"""),"ŚCIANKA PRYSZNICOWA BLER 90")</f>
        <v>ŚCIANKA PRYSZNICOWA BLER 90</v>
      </c>
      <c r="C396" s="23"/>
      <c r="D396" s="24">
        <f ca="1">IFERROR(__xludf.DUMMYFUNCTION("""COMPUTED_VALUE"""),839)</f>
        <v>839</v>
      </c>
      <c r="E396" s="25" t="str">
        <f ca="1">IFERROR(__xludf.DUMMYFUNCTION("""COMPUTED_VALUE"""),"REA-K7638")</f>
        <v>REA-K7638</v>
      </c>
    </row>
    <row r="397" spans="1:5" x14ac:dyDescent="0.2">
      <c r="A397" s="22">
        <f ca="1">IFERROR(__xludf.DUMMYFUNCTION("""COMPUTED_VALUE"""),45575)</f>
        <v>45575</v>
      </c>
      <c r="B397" s="23" t="str">
        <f ca="1">IFERROR(__xludf.DUMMYFUNCTION("""COMPUTED_VALUE"""),"ŚCIANKA PRYSZNICOWA BLER 100")</f>
        <v>ŚCIANKA PRYSZNICOWA BLER 100</v>
      </c>
      <c r="C397" s="23"/>
      <c r="D397" s="24">
        <f ca="1">IFERROR(__xludf.DUMMYFUNCTION("""COMPUTED_VALUE"""),899)</f>
        <v>899</v>
      </c>
      <c r="E397" s="25" t="str">
        <f ca="1">IFERROR(__xludf.DUMMYFUNCTION("""COMPUTED_VALUE"""),"REA-K7634")</f>
        <v>REA-K7634</v>
      </c>
    </row>
    <row r="398" spans="1:5" x14ac:dyDescent="0.2">
      <c r="A398" s="22">
        <f ca="1">IFERROR(__xludf.DUMMYFUNCTION("""COMPUTED_VALUE"""),45575)</f>
        <v>45575</v>
      </c>
      <c r="B398" s="23" t="str">
        <f ca="1">IFERROR(__xludf.DUMMYFUNCTION("""COMPUTED_VALUE"""),"ŚCIANKA PRYSZNICOWA BLER 110")</f>
        <v>ŚCIANKA PRYSZNICOWA BLER 110</v>
      </c>
      <c r="C398" s="23"/>
      <c r="D398" s="24">
        <f ca="1">IFERROR(__xludf.DUMMYFUNCTION("""COMPUTED_VALUE"""),949)</f>
        <v>949</v>
      </c>
      <c r="E398" s="25" t="str">
        <f ca="1">IFERROR(__xludf.DUMMYFUNCTION("""COMPUTED_VALUE"""),"REA-K7630")</f>
        <v>REA-K7630</v>
      </c>
    </row>
    <row r="399" spans="1:5" x14ac:dyDescent="0.2">
      <c r="A399" s="22">
        <f ca="1">IFERROR(__xludf.DUMMYFUNCTION("""COMPUTED_VALUE"""),45575)</f>
        <v>45575</v>
      </c>
      <c r="B399" s="23" t="str">
        <f ca="1">IFERROR(__xludf.DUMMYFUNCTION("""COMPUTED_VALUE"""),"ŚCIANKA PRYSZNICOWA BLER 120")</f>
        <v>ŚCIANKA PRYSZNICOWA BLER 120</v>
      </c>
      <c r="C399" s="23"/>
      <c r="D399" s="24">
        <f ca="1">IFERROR(__xludf.DUMMYFUNCTION("""COMPUTED_VALUE"""),999)</f>
        <v>999</v>
      </c>
      <c r="E399" s="25" t="str">
        <f ca="1">IFERROR(__xludf.DUMMYFUNCTION("""COMPUTED_VALUE"""),"REA-K7631")</f>
        <v>REA-K7631</v>
      </c>
    </row>
    <row r="400" spans="1:5" x14ac:dyDescent="0.2">
      <c r="A400" s="22">
        <f ca="1">IFERROR(__xludf.DUMMYFUNCTION("""COMPUTED_VALUE"""),45575)</f>
        <v>45575</v>
      </c>
      <c r="B400" s="23" t="str">
        <f ca="1">IFERROR(__xludf.DUMMYFUNCTION("""COMPUTED_VALUE"""),"STELAŻ PODTYNKOWY WC")</f>
        <v>STELAŻ PODTYNKOWY WC</v>
      </c>
      <c r="C400" s="23"/>
      <c r="D400" s="24">
        <f ca="1">IFERROR(__xludf.DUMMYFUNCTION("""COMPUTED_VALUE"""),650)</f>
        <v>650</v>
      </c>
      <c r="E400" s="25" t="str">
        <f ca="1">IFERROR(__xludf.DUMMYFUNCTION("""COMPUTED_VALUE"""),"REA-E0009")</f>
        <v>REA-E0009</v>
      </c>
    </row>
    <row r="401" spans="1:5" x14ac:dyDescent="0.2">
      <c r="A401" s="22">
        <f ca="1">IFERROR(__xludf.DUMMYFUNCTION("""COMPUTED_VALUE"""),45575)</f>
        <v>45575</v>
      </c>
      <c r="B401" s="23" t="str">
        <f ca="1">IFERROR(__xludf.DUMMYFUNCTION("""COMPUTED_VALUE"""),"BATERIA UMYWALKOWA RUSTICO ZŁOTA ANTYCZNA WYSOKA")</f>
        <v>BATERIA UMYWALKOWA RUSTICO ZŁOTA ANTYCZNA WYSOKA</v>
      </c>
      <c r="C401" s="23"/>
      <c r="D401" s="24">
        <f ca="1">IFERROR(__xludf.DUMMYFUNCTION("""COMPUTED_VALUE"""),349)</f>
        <v>349</v>
      </c>
      <c r="E401" s="25" t="str">
        <f ca="1">IFERROR(__xludf.DUMMYFUNCTION("""COMPUTED_VALUE"""),"REA-B5521")</f>
        <v>REA-B5521</v>
      </c>
    </row>
    <row r="402" spans="1:5" x14ac:dyDescent="0.2">
      <c r="A402" s="22">
        <f ca="1">IFERROR(__xludf.DUMMYFUNCTION("""COMPUTED_VALUE"""),45575)</f>
        <v>45575</v>
      </c>
      <c r="B402" s="23" t="str">
        <f ca="1">IFERROR(__xludf.DUMMYFUNCTION("""COMPUTED_VALUE"""),"BATERIA UMYWALKOWA  RETRO OLD BLACK")</f>
        <v>BATERIA UMYWALKOWA  RETRO OLD BLACK</v>
      </c>
      <c r="C402" s="23"/>
      <c r="D402" s="24">
        <f ca="1">IFERROR(__xludf.DUMMYFUNCTION("""COMPUTED_VALUE"""),299)</f>
        <v>299</v>
      </c>
      <c r="E402" s="25" t="str">
        <f ca="1">IFERROR(__xludf.DUMMYFUNCTION("""COMPUTED_VALUE"""),"REA-B0225")</f>
        <v>REA-B0225</v>
      </c>
    </row>
    <row r="403" spans="1:5" x14ac:dyDescent="0.2">
      <c r="A403" s="22">
        <f ca="1">IFERROR(__xludf.DUMMYFUNCTION("""COMPUTED_VALUE"""),45575)</f>
        <v>45575</v>
      </c>
      <c r="B403" s="23" t="str">
        <f ca="1">IFERROR(__xludf.DUMMYFUNCTION("""COMPUTED_VALUE"""),"BATERIA UMYWALKOWA GRAF BLACK WYSOKA")</f>
        <v>BATERIA UMYWALKOWA GRAF BLACK WYSOKA</v>
      </c>
      <c r="C403" s="23"/>
      <c r="D403" s="24">
        <f ca="1">IFERROR(__xludf.DUMMYFUNCTION("""COMPUTED_VALUE"""),149)</f>
        <v>149</v>
      </c>
      <c r="E403" s="25" t="str">
        <f ca="1">IFERROR(__xludf.DUMMYFUNCTION("""COMPUTED_VALUE"""),"REA-B8665")</f>
        <v>REA-B8665</v>
      </c>
    </row>
    <row r="404" spans="1:5" x14ac:dyDescent="0.2">
      <c r="A404" s="22">
        <f ca="1">IFERROR(__xludf.DUMMYFUNCTION("""COMPUTED_VALUE"""),45575)</f>
        <v>45575</v>
      </c>
      <c r="B404" s="23" t="str">
        <f ca="1">IFERROR(__xludf.DUMMYFUNCTION("""COMPUTED_VALUE"""),"BATERIA WANNOWA RIVEN GOLD")</f>
        <v>BATERIA WANNOWA RIVEN GOLD</v>
      </c>
      <c r="C404" s="23"/>
      <c r="D404" s="24">
        <f ca="1">IFERROR(__xludf.DUMMYFUNCTION("""COMPUTED_VALUE"""),499)</f>
        <v>499</v>
      </c>
      <c r="E404" s="25" t="str">
        <f ca="1">IFERROR(__xludf.DUMMYFUNCTION("""COMPUTED_VALUE"""),"REA-B0497")</f>
        <v>REA-B0497</v>
      </c>
    </row>
    <row r="405" spans="1:5" x14ac:dyDescent="0.2">
      <c r="A405" s="22">
        <f ca="1">IFERROR(__xludf.DUMMYFUNCTION("""COMPUTED_VALUE"""),45575)</f>
        <v>45575</v>
      </c>
      <c r="B405" s="23" t="str">
        <f ca="1">IFERROR(__xludf.DUMMYFUNCTION("""COMPUTED_VALUE"""),"BATERIA PODŁOGOWA UMYWALKOWA ORTIS BLACK")</f>
        <v>BATERIA PODŁOGOWA UMYWALKOWA ORTIS BLACK</v>
      </c>
      <c r="C405" s="23"/>
      <c r="D405" s="24">
        <f ca="1">IFERROR(__xludf.DUMMYFUNCTION("""COMPUTED_VALUE"""),559)</f>
        <v>559</v>
      </c>
      <c r="E405" s="25" t="str">
        <f ca="1">IFERROR(__xludf.DUMMYFUNCTION("""COMPUTED_VALUE"""),"REA-B4891")</f>
        <v>REA-B4891</v>
      </c>
    </row>
    <row r="406" spans="1:5" x14ac:dyDescent="0.2">
      <c r="A406" s="22">
        <f ca="1">IFERROR(__xludf.DUMMYFUNCTION("""COMPUTED_VALUE"""),45573)</f>
        <v>45573</v>
      </c>
      <c r="B406" s="23" t="str">
        <f ca="1">IFERROR(__xludf.DUMMYFUNCTION("""COMPUTED_VALUE"""),"UMYWALKA NADIA 60 WHITE MATT - NABLATOWA")</f>
        <v>UMYWALKA NADIA 60 WHITE MATT - NABLATOWA</v>
      </c>
      <c r="C406" s="23"/>
      <c r="D406" s="24">
        <f ca="1">IFERROR(__xludf.DUMMYFUNCTION("""COMPUTED_VALUE"""),489)</f>
        <v>489</v>
      </c>
      <c r="E406" s="25" t="str">
        <f ca="1">IFERROR(__xludf.DUMMYFUNCTION("""COMPUTED_VALUE"""),"REA-U9657")</f>
        <v>REA-U9657</v>
      </c>
    </row>
    <row r="407" spans="1:5" x14ac:dyDescent="0.2">
      <c r="A407" s="22">
        <f ca="1">IFERROR(__xludf.DUMMYFUNCTION("""COMPUTED_VALUE"""),45573)</f>
        <v>45573</v>
      </c>
      <c r="B407" s="23" t="str">
        <f ca="1">IFERROR(__xludf.DUMMYFUNCTION("""COMPUTED_VALUE"""),"UMYWALKA NADIA 60 BLACK STONE MATT - NABLATOWA")</f>
        <v>UMYWALKA NADIA 60 BLACK STONE MATT - NABLATOWA</v>
      </c>
      <c r="C407" s="23"/>
      <c r="D407" s="24">
        <f ca="1">IFERROR(__xludf.DUMMYFUNCTION("""COMPUTED_VALUE"""),429)</f>
        <v>429</v>
      </c>
      <c r="E407" s="25" t="str">
        <f ca="1">IFERROR(__xludf.DUMMYFUNCTION("""COMPUTED_VALUE"""),"REA-U8565")</f>
        <v>REA-U8565</v>
      </c>
    </row>
    <row r="408" spans="1:5" x14ac:dyDescent="0.2">
      <c r="A408" s="22">
        <f ca="1">IFERROR(__xludf.DUMMYFUNCTION("""COMPUTED_VALUE"""),45573)</f>
        <v>45573</v>
      </c>
      <c r="B408" s="23" t="str">
        <f ca="1">IFERROR(__xludf.DUMMYFUNCTION("""COMPUTED_VALUE"""),"UMYWALKA ROYAL MINI BLACK/WHITE - NABLATOWA")</f>
        <v>UMYWALKA ROYAL MINI BLACK/WHITE - NABLATOWA</v>
      </c>
      <c r="C408" s="23"/>
      <c r="D408" s="24">
        <f ca="1">IFERROR(__xludf.DUMMYFUNCTION("""COMPUTED_VALUE"""),429)</f>
        <v>429</v>
      </c>
      <c r="E408" s="25" t="str">
        <f ca="1">IFERROR(__xludf.DUMMYFUNCTION("""COMPUTED_VALUE"""),"REA-U0538")</f>
        <v>REA-U0538</v>
      </c>
    </row>
    <row r="409" spans="1:5" x14ac:dyDescent="0.2">
      <c r="A409" s="22">
        <f ca="1">IFERROR(__xludf.DUMMYFUNCTION("""COMPUTED_VALUE"""),45573)</f>
        <v>45573</v>
      </c>
      <c r="B409" s="23" t="str">
        <f ca="1">IFERROR(__xludf.DUMMYFUNCTION("""COMPUTED_VALUE"""),"UMYWALKA ROYAL MINI AIAX SHINY- NABLATOWA")</f>
        <v>UMYWALKA ROYAL MINI AIAX SHINY- NABLATOWA</v>
      </c>
      <c r="C409" s="23"/>
      <c r="D409" s="24">
        <f ca="1">IFERROR(__xludf.DUMMYFUNCTION("""COMPUTED_VALUE"""),349)</f>
        <v>349</v>
      </c>
      <c r="E409" s="25" t="str">
        <f ca="1">IFERROR(__xludf.DUMMYFUNCTION("""COMPUTED_VALUE"""),"REA-U5063")</f>
        <v>REA-U5063</v>
      </c>
    </row>
    <row r="410" spans="1:5" x14ac:dyDescent="0.2">
      <c r="A410" s="22">
        <f ca="1">IFERROR(__xludf.DUMMYFUNCTION("""COMPUTED_VALUE"""),45573)</f>
        <v>45573</v>
      </c>
      <c r="B410" s="23" t="str">
        <f ca="1">IFERROR(__xludf.DUMMYFUNCTION("""COMPUTED_VALUE"""),"UMYWALKA CLEO 61 WHITE MATT - NABLATOWA")</f>
        <v>UMYWALKA CLEO 61 WHITE MATT - NABLATOWA</v>
      </c>
      <c r="C410" s="23"/>
      <c r="D410" s="24">
        <f ca="1">IFERROR(__xludf.DUMMYFUNCTION("""COMPUTED_VALUE"""),439)</f>
        <v>439</v>
      </c>
      <c r="E410" s="25" t="str">
        <f ca="1">IFERROR(__xludf.DUMMYFUNCTION("""COMPUTED_VALUE"""),"REA-U9653")</f>
        <v>REA-U9653</v>
      </c>
    </row>
    <row r="411" spans="1:5" x14ac:dyDescent="0.2">
      <c r="A411" s="22">
        <f ca="1">IFERROR(__xludf.DUMMYFUNCTION("""COMPUTED_VALUE"""),45573)</f>
        <v>45573</v>
      </c>
      <c r="B411" s="23" t="str">
        <f ca="1">IFERROR(__xludf.DUMMYFUNCTION("""COMPUTED_VALUE"""),"UMYWALKA AURA 81 - NABLATOWA")</f>
        <v>UMYWALKA AURA 81 - NABLATOWA</v>
      </c>
      <c r="C411" s="23"/>
      <c r="D411" s="24">
        <f ca="1">IFERROR(__xludf.DUMMYFUNCTION("""COMPUTED_VALUE"""),439)</f>
        <v>439</v>
      </c>
      <c r="E411" s="25" t="str">
        <f ca="1">IFERROR(__xludf.DUMMYFUNCTION("""COMPUTED_VALUE"""),"REA-U2541")</f>
        <v>REA-U2541</v>
      </c>
    </row>
    <row r="412" spans="1:5" x14ac:dyDescent="0.2">
      <c r="A412" s="22">
        <f ca="1">IFERROR(__xludf.DUMMYFUNCTION("""COMPUTED_VALUE"""),45573)</f>
        <v>45573</v>
      </c>
      <c r="B412" s="23" t="str">
        <f ca="1">IFERROR(__xludf.DUMMYFUNCTION("""COMPUTED_VALUE"""),"UMYWALKA AURA 61 MARMO SHINY - NABLATOWA")</f>
        <v>UMYWALKA AURA 61 MARMO SHINY - NABLATOWA</v>
      </c>
      <c r="C412" s="23"/>
      <c r="D412" s="24">
        <f ca="1">IFERROR(__xludf.DUMMYFUNCTION("""COMPUTED_VALUE"""),399)</f>
        <v>399</v>
      </c>
      <c r="E412" s="25" t="str">
        <f ca="1">IFERROR(__xludf.DUMMYFUNCTION("""COMPUTED_VALUE"""),"REA-U8003")</f>
        <v>REA-U8003</v>
      </c>
    </row>
    <row r="413" spans="1:5" x14ac:dyDescent="0.2">
      <c r="A413" s="22">
        <f ca="1">IFERROR(__xludf.DUMMYFUNCTION("""COMPUTED_VALUE"""),45573)</f>
        <v>45573</v>
      </c>
      <c r="B413" s="23" t="str">
        <f ca="1">IFERROR(__xludf.DUMMYFUNCTION("""COMPUTED_VALUE"""),"UMYWALKA BELINDA GOLD BRUSH/BLACK - NABLATOWA")</f>
        <v>UMYWALKA BELINDA GOLD BRUSH/BLACK - NABLATOWA</v>
      </c>
      <c r="C413" s="23"/>
      <c r="D413" s="24">
        <f ca="1">IFERROR(__xludf.DUMMYFUNCTION("""COMPUTED_VALUE"""),479)</f>
        <v>479</v>
      </c>
      <c r="E413" s="25" t="str">
        <f ca="1">IFERROR(__xludf.DUMMYFUNCTION("""COMPUTED_VALUE"""),"REA-U8780")</f>
        <v>REA-U8780</v>
      </c>
    </row>
    <row r="414" spans="1:5" x14ac:dyDescent="0.2">
      <c r="A414" s="22">
        <f ca="1">IFERROR(__xludf.DUMMYFUNCTION("""COMPUTED_VALUE"""),45573)</f>
        <v>45573</v>
      </c>
      <c r="B414" s="23" t="str">
        <f ca="1">IFERROR(__xludf.DUMMYFUNCTION("""COMPUTED_VALUE"""),"UMYWALKA BELINDA GOLD EDGE - NABLATOWA")</f>
        <v>UMYWALKA BELINDA GOLD EDGE - NABLATOWA</v>
      </c>
      <c r="C414" s="23"/>
      <c r="D414" s="24">
        <f ca="1">IFERROR(__xludf.DUMMYFUNCTION("""COMPUTED_VALUE"""),359)</f>
        <v>359</v>
      </c>
      <c r="E414" s="25" t="str">
        <f ca="1">IFERROR(__xludf.DUMMYFUNCTION("""COMPUTED_VALUE"""),"REA-U8736")</f>
        <v>REA-U8736</v>
      </c>
    </row>
    <row r="415" spans="1:5" x14ac:dyDescent="0.2">
      <c r="A415" s="22">
        <f ca="1">IFERROR(__xludf.DUMMYFUNCTION("""COMPUTED_VALUE"""),45568)</f>
        <v>45568</v>
      </c>
      <c r="B415" s="23" t="str">
        <f ca="1">IFERROR(__xludf.DUMMYFUNCTION("""COMPUTED_VALUE"""),"UMYWALKA ROXY A STONE D.GREY - NABLATOWA")</f>
        <v>UMYWALKA ROXY A STONE D.GREY - NABLATOWA</v>
      </c>
      <c r="C415" s="23"/>
      <c r="D415" s="24">
        <f ca="1">IFERROR(__xludf.DUMMYFUNCTION("""COMPUTED_VALUE"""),359)</f>
        <v>359</v>
      </c>
      <c r="E415" s="25" t="str">
        <f ca="1">IFERROR(__xludf.DUMMYFUNCTION("""COMPUTED_VALUE"""),"REA-U6649")</f>
        <v>REA-U6649</v>
      </c>
    </row>
    <row r="416" spans="1:5" x14ac:dyDescent="0.2">
      <c r="A416" s="22">
        <f ca="1">IFERROR(__xludf.DUMMYFUNCTION("""COMPUTED_VALUE"""),45568)</f>
        <v>45568</v>
      </c>
      <c r="B416" s="23" t="str">
        <f ca="1">IFERROR(__xludf.DUMMYFUNCTION("""COMPUTED_VALUE"""),"UMYWALKA ROXY C STONE L.GREY - NABLATOWA")</f>
        <v>UMYWALKA ROXY C STONE L.GREY - NABLATOWA</v>
      </c>
      <c r="C416" s="23"/>
      <c r="D416" s="24">
        <f ca="1">IFERROR(__xludf.DUMMYFUNCTION("""COMPUTED_VALUE"""),359)</f>
        <v>359</v>
      </c>
      <c r="E416" s="25" t="str">
        <f ca="1">IFERROR(__xludf.DUMMYFUNCTION("""COMPUTED_VALUE"""),"REA-U6651")</f>
        <v>REA-U6651</v>
      </c>
    </row>
    <row r="417" spans="1:5" x14ac:dyDescent="0.2">
      <c r="A417" s="22">
        <f ca="1">IFERROR(__xludf.DUMMYFUNCTION("""COMPUTED_VALUE"""),45568)</f>
        <v>45568</v>
      </c>
      <c r="B417" s="23" t="str">
        <f ca="1">IFERROR(__xludf.DUMMYFUNCTION("""COMPUTED_VALUE"""),"UMYWALKA MANDY")</f>
        <v>UMYWALKA MANDY</v>
      </c>
      <c r="C417" s="23"/>
      <c r="D417" s="24">
        <f ca="1">IFERROR(__xludf.DUMMYFUNCTION("""COMPUTED_VALUE"""),359)</f>
        <v>359</v>
      </c>
      <c r="E417" s="25" t="str">
        <f ca="1">IFERROR(__xludf.DUMMYFUNCTION("""COMPUTED_VALUE"""),"REA-U3326")</f>
        <v>REA-U3326</v>
      </c>
    </row>
    <row r="418" spans="1:5" x14ac:dyDescent="0.2">
      <c r="A418" s="22">
        <f ca="1">IFERROR(__xludf.DUMMYFUNCTION("""COMPUTED_VALUE"""),45568)</f>
        <v>45568</v>
      </c>
      <c r="B418" s="23" t="str">
        <f ca="1">IFERROR(__xludf.DUMMYFUNCTION("""COMPUTED_VALUE"""),"UMYWALKA MARGOT BLUE GOLD  - NABLATOWA")</f>
        <v>UMYWALKA MARGOT BLUE GOLD  - NABLATOWA</v>
      </c>
      <c r="C418" s="23"/>
      <c r="D418" s="24">
        <f ca="1">IFERROR(__xludf.DUMMYFUNCTION("""COMPUTED_VALUE"""),599)</f>
        <v>599</v>
      </c>
      <c r="E418" s="25" t="str">
        <f ca="1">IFERROR(__xludf.DUMMYFUNCTION("""COMPUTED_VALUE"""),"REA-U8709")</f>
        <v>REA-U8709</v>
      </c>
    </row>
    <row r="419" spans="1:5" x14ac:dyDescent="0.2">
      <c r="A419" s="22">
        <f ca="1">IFERROR(__xludf.DUMMYFUNCTION("""COMPUTED_VALUE"""),45568)</f>
        <v>45568</v>
      </c>
      <c r="B419" s="23" t="str">
        <f ca="1">IFERROR(__xludf.DUMMYFUNCTION("""COMPUTED_VALUE"""),"UMYWALKA NADIA 60- NABLATOWA")</f>
        <v>UMYWALKA NADIA 60- NABLATOWA</v>
      </c>
      <c r="C419" s="23"/>
      <c r="D419" s="24">
        <f ca="1">IFERROR(__xludf.DUMMYFUNCTION("""COMPUTED_VALUE"""),379)</f>
        <v>379</v>
      </c>
      <c r="E419" s="25" t="str">
        <f ca="1">IFERROR(__xludf.DUMMYFUNCTION("""COMPUTED_VALUE"""),"REA-U1055")</f>
        <v>REA-U1055</v>
      </c>
    </row>
    <row r="420" spans="1:5" x14ac:dyDescent="0.2">
      <c r="A420" s="22">
        <f ca="1">IFERROR(__xludf.DUMMYFUNCTION("""COMPUTED_VALUE"""),45568)</f>
        <v>45568</v>
      </c>
      <c r="B420" s="23" t="str">
        <f ca="1">IFERROR(__xludf.DUMMYFUNCTION("""COMPUTED_VALUE"""),"UMYWALKA ARLETA - WPUSZCZANA")</f>
        <v>UMYWALKA ARLETA - WPUSZCZANA</v>
      </c>
      <c r="C420" s="23"/>
      <c r="D420" s="24">
        <f ca="1">IFERROR(__xludf.DUMMYFUNCTION("""COMPUTED_VALUE"""),279)</f>
        <v>279</v>
      </c>
      <c r="E420" s="25" t="str">
        <f ca="1">IFERROR(__xludf.DUMMYFUNCTION("""COMPUTED_VALUE"""),"REA-U8700")</f>
        <v>REA-U8700</v>
      </c>
    </row>
    <row r="421" spans="1:5" x14ac:dyDescent="0.2">
      <c r="A421" s="22">
        <f ca="1">IFERROR(__xludf.DUMMYFUNCTION("""COMPUTED_VALUE"""),45568)</f>
        <v>45568</v>
      </c>
      <c r="B421" s="23" t="str">
        <f ca="1">IFERROR(__xludf.DUMMYFUNCTION("""COMPUTED_VALUE"""),"UMYWALKA MARGOT WHITE/GOLD - NABLATOWA")</f>
        <v>UMYWALKA MARGOT WHITE/GOLD - NABLATOWA</v>
      </c>
      <c r="C421" s="23"/>
      <c r="D421" s="24">
        <f ca="1">IFERROR(__xludf.DUMMYFUNCTION("""COMPUTED_VALUE"""),599)</f>
        <v>599</v>
      </c>
      <c r="E421" s="25" t="str">
        <f ca="1">IFERROR(__xludf.DUMMYFUNCTION("""COMPUTED_VALUE"""),"REA-U9650")</f>
        <v>REA-U9650</v>
      </c>
    </row>
    <row r="422" spans="1:5" x14ac:dyDescent="0.2">
      <c r="A422" s="22">
        <f ca="1">IFERROR(__xludf.DUMMYFUNCTION("""COMPUTED_VALUE"""),45568)</f>
        <v>45568</v>
      </c>
      <c r="B422" s="23" t="str">
        <f ca="1">IFERROR(__xludf.DUMMYFUNCTION("""COMPUTED_VALUE"""),"UMYWALKA DORA STONE - NABLATOWA")</f>
        <v>UMYWALKA DORA STONE - NABLATOWA</v>
      </c>
      <c r="C422" s="23"/>
      <c r="D422" s="24">
        <f ca="1">IFERROR(__xludf.DUMMYFUNCTION("""COMPUTED_VALUE"""),429)</f>
        <v>429</v>
      </c>
      <c r="E422" s="25" t="str">
        <f ca="1">IFERROR(__xludf.DUMMYFUNCTION("""COMPUTED_VALUE"""),"REA-U5066")</f>
        <v>REA-U5066</v>
      </c>
    </row>
    <row r="423" spans="1:5" x14ac:dyDescent="0.2">
      <c r="A423" s="22">
        <f ca="1">IFERROR(__xludf.DUMMYFUNCTION("""COMPUTED_VALUE"""),45568)</f>
        <v>45568</v>
      </c>
      <c r="B423" s="23" t="str">
        <f ca="1">IFERROR(__xludf.DUMMYFUNCTION("""COMPUTED_VALUE"""),"UMYWALKA HOPE - WOLNOSTOJĄCA")</f>
        <v>UMYWALKA HOPE - WOLNOSTOJĄCA</v>
      </c>
      <c r="C423" s="23"/>
      <c r="D423" s="24">
        <f ca="1">IFERROR(__xludf.DUMMYFUNCTION("""COMPUTED_VALUE"""),1179)</f>
        <v>1179</v>
      </c>
      <c r="E423" s="25" t="str">
        <f ca="1">IFERROR(__xludf.DUMMYFUNCTION("""COMPUTED_VALUE"""),"REA-U4120")</f>
        <v>REA-U4120</v>
      </c>
    </row>
    <row r="424" spans="1:5" x14ac:dyDescent="0.2">
      <c r="A424" s="22">
        <f ca="1">IFERROR(__xludf.DUMMYFUNCTION("""COMPUTED_VALUE"""),45568)</f>
        <v>45568</v>
      </c>
      <c r="B424" s="23" t="str">
        <f ca="1">IFERROR(__xludf.DUMMYFUNCTION("""COMPUTED_VALUE"""),"UMYWALKA BLANKA BLACK - WOLNOSTOJĄCA")</f>
        <v>UMYWALKA BLANKA BLACK - WOLNOSTOJĄCA</v>
      </c>
      <c r="C424" s="23"/>
      <c r="D424" s="24">
        <f ca="1">IFERROR(__xludf.DUMMYFUNCTION("""COMPUTED_VALUE"""),1389)</f>
        <v>1389</v>
      </c>
      <c r="E424" s="25" t="str">
        <f ca="1">IFERROR(__xludf.DUMMYFUNCTION("""COMPUTED_VALUE"""),"REA-U6635")</f>
        <v>REA-U6635</v>
      </c>
    </row>
    <row r="425" spans="1:5" x14ac:dyDescent="0.2">
      <c r="A425" s="22">
        <f ca="1">IFERROR(__xludf.DUMMYFUNCTION("""COMPUTED_VALUE"""),45568)</f>
        <v>45568</v>
      </c>
      <c r="B425" s="23" t="str">
        <f ca="1">IFERROR(__xludf.DUMMYFUNCTION("""COMPUTED_VALUE"""),"UMYWALKA ARIS - WOLNOSTOJĄCA")</f>
        <v>UMYWALKA ARIS - WOLNOSTOJĄCA</v>
      </c>
      <c r="C425" s="23"/>
      <c r="D425" s="24">
        <f ca="1">IFERROR(__xludf.DUMMYFUNCTION("""COMPUTED_VALUE"""),999)</f>
        <v>999</v>
      </c>
      <c r="E425" s="25" t="str">
        <f ca="1">IFERROR(__xludf.DUMMYFUNCTION("""COMPUTED_VALUE"""),"REA-U5637")</f>
        <v>REA-U5637</v>
      </c>
    </row>
    <row r="426" spans="1:5" x14ac:dyDescent="0.2">
      <c r="A426" s="22">
        <f ca="1">IFERROR(__xludf.DUMMYFUNCTION("""COMPUTED_VALUE"""),45568)</f>
        <v>45568</v>
      </c>
      <c r="B426" s="23" t="str">
        <f ca="1">IFERROR(__xludf.DUMMYFUNCTION("""COMPUTED_VALUE"""),"UMYWALKA CHARLOTTE - NABLATOWA")</f>
        <v>UMYWALKA CHARLOTTE - NABLATOWA</v>
      </c>
      <c r="C426" s="23"/>
      <c r="D426" s="24">
        <f ca="1">IFERROR(__xludf.DUMMYFUNCTION("""COMPUTED_VALUE"""),299)</f>
        <v>299</v>
      </c>
      <c r="E426" s="25" t="str">
        <f ca="1">IFERROR(__xludf.DUMMYFUNCTION("""COMPUTED_VALUE"""),"REA-U6960")</f>
        <v>REA-U6960</v>
      </c>
    </row>
    <row r="427" spans="1:5" x14ac:dyDescent="0.2">
      <c r="A427" s="22">
        <f ca="1">IFERROR(__xludf.DUMMYFUNCTION("""COMPUTED_VALUE"""),45568)</f>
        <v>45568</v>
      </c>
      <c r="B427" s="23" t="str">
        <f ca="1">IFERROR(__xludf.DUMMYFUNCTION("""COMPUTED_VALUE"""),"BATERIA UMYWALKOWA SERRA ZŁOTA SZCZOTKOWANA WYSOKA")</f>
        <v>BATERIA UMYWALKOWA SERRA ZŁOTA SZCZOTKOWANA WYSOKA</v>
      </c>
      <c r="C427" s="23"/>
      <c r="D427" s="24">
        <f ca="1">IFERROR(__xludf.DUMMYFUNCTION("""COMPUTED_VALUE"""),349)</f>
        <v>349</v>
      </c>
      <c r="E427" s="25" t="str">
        <f ca="1">IFERROR(__xludf.DUMMYFUNCTION("""COMPUTED_VALUE"""),"REA-B1145")</f>
        <v>REA-B1145</v>
      </c>
    </row>
    <row r="428" spans="1:5" x14ac:dyDescent="0.2">
      <c r="A428" s="22">
        <f ca="1">IFERROR(__xludf.DUMMYFUNCTION("""COMPUTED_VALUE"""),45568)</f>
        <v>45568</v>
      </c>
      <c r="B428" s="23" t="str">
        <f ca="1">IFERROR(__xludf.DUMMYFUNCTION("""COMPUTED_VALUE"""),"BATERIA UMYWALKOWA SERRA ZŁOTA SZCZOTKOWANA NISKA")</f>
        <v>BATERIA UMYWALKOWA SERRA ZŁOTA SZCZOTKOWANA NISKA</v>
      </c>
      <c r="C428" s="23"/>
      <c r="D428" s="24">
        <f ca="1">IFERROR(__xludf.DUMMYFUNCTION("""COMPUTED_VALUE"""),319)</f>
        <v>319</v>
      </c>
      <c r="E428" s="25" t="str">
        <f ca="1">IFERROR(__xludf.DUMMYFUNCTION("""COMPUTED_VALUE"""),"REA-B1144")</f>
        <v>REA-B1144</v>
      </c>
    </row>
    <row r="429" spans="1:5" x14ac:dyDescent="0.2">
      <c r="A429" s="22">
        <f ca="1">IFERROR(__xludf.DUMMYFUNCTION("""COMPUTED_VALUE"""),45568)</f>
        <v>45568</v>
      </c>
      <c r="B429" s="23" t="str">
        <f ca="1">IFERROR(__xludf.DUMMYFUNCTION("""COMPUTED_VALUE"""),"BATERIA UMYWALKOWA SERRA CZARNA WYSOKA")</f>
        <v>BATERIA UMYWALKOWA SERRA CZARNA WYSOKA</v>
      </c>
      <c r="C429" s="23"/>
      <c r="D429" s="24">
        <f ca="1">IFERROR(__xludf.DUMMYFUNCTION("""COMPUTED_VALUE"""),299)</f>
        <v>299</v>
      </c>
      <c r="E429" s="25" t="str">
        <f ca="1">IFERROR(__xludf.DUMMYFUNCTION("""COMPUTED_VALUE"""),"REA-B1142")</f>
        <v>REA-B1142</v>
      </c>
    </row>
    <row r="430" spans="1:5" x14ac:dyDescent="0.2">
      <c r="A430" s="22">
        <f ca="1">IFERROR(__xludf.DUMMYFUNCTION("""COMPUTED_VALUE"""),45568)</f>
        <v>45568</v>
      </c>
      <c r="B430" s="23" t="str">
        <f ca="1">IFERROR(__xludf.DUMMYFUNCTION("""COMPUTED_VALUE"""),"BATERIA UMYWALKOWA SERRA CZARNA NISKA")</f>
        <v>BATERIA UMYWALKOWA SERRA CZARNA NISKA</v>
      </c>
      <c r="C430" s="23"/>
      <c r="D430" s="24">
        <f ca="1">IFERROR(__xludf.DUMMYFUNCTION("""COMPUTED_VALUE"""),279)</f>
        <v>279</v>
      </c>
      <c r="E430" s="25" t="str">
        <f ca="1">IFERROR(__xludf.DUMMYFUNCTION("""COMPUTED_VALUE"""),"REA-B1141")</f>
        <v>REA-B1141</v>
      </c>
    </row>
    <row r="431" spans="1:5" x14ac:dyDescent="0.2">
      <c r="A431" s="22">
        <f ca="1">IFERROR(__xludf.DUMMYFUNCTION("""COMPUTED_VALUE"""),45568)</f>
        <v>45568</v>
      </c>
      <c r="B431" s="23" t="str">
        <f ca="1">IFERROR(__xludf.DUMMYFUNCTION("""COMPUTED_VALUE"""),"BATERIA WANNOWA AVALON ZŁOTA")</f>
        <v>BATERIA WANNOWA AVALON ZŁOTA</v>
      </c>
      <c r="C431" s="23"/>
      <c r="D431" s="24">
        <f ca="1">IFERROR(__xludf.DUMMYFUNCTION("""COMPUTED_VALUE"""),419)</f>
        <v>419</v>
      </c>
      <c r="E431" s="25" t="str">
        <f ca="1">IFERROR(__xludf.DUMMYFUNCTION("""COMPUTED_VALUE"""),"REA-B1129")</f>
        <v>REA-B1129</v>
      </c>
    </row>
    <row r="432" spans="1:5" x14ac:dyDescent="0.2">
      <c r="A432" s="22">
        <f ca="1">IFERROR(__xludf.DUMMYFUNCTION("""COMPUTED_VALUE"""),45568)</f>
        <v>45568</v>
      </c>
      <c r="B432" s="23" t="str">
        <f ca="1">IFERROR(__xludf.DUMMYFUNCTION("""COMPUTED_VALUE"""),"BATERIA WANNOWA AVALON CZARNA")</f>
        <v>BATERIA WANNOWA AVALON CZARNA</v>
      </c>
      <c r="C432" s="23"/>
      <c r="D432" s="24">
        <f ca="1">IFERROR(__xludf.DUMMYFUNCTION("""COMPUTED_VALUE"""),369)</f>
        <v>369</v>
      </c>
      <c r="E432" s="25" t="str">
        <f ca="1">IFERROR(__xludf.DUMMYFUNCTION("""COMPUTED_VALUE"""),"REA-B1128")</f>
        <v>REA-B1128</v>
      </c>
    </row>
    <row r="433" spans="1:5" x14ac:dyDescent="0.2">
      <c r="A433" s="22">
        <f ca="1">IFERROR(__xludf.DUMMYFUNCTION("""COMPUTED_VALUE"""),45568)</f>
        <v>45568</v>
      </c>
      <c r="B433" s="23" t="str">
        <f ca="1">IFERROR(__xludf.DUMMYFUNCTION("""COMPUTED_VALUE"""),"BATERIA UMYWALKOWA AVALON ZŁOTA WYSOKA")</f>
        <v>BATERIA UMYWALKOWA AVALON ZŁOTA WYSOKA</v>
      </c>
      <c r="C433" s="23"/>
      <c r="D433" s="24">
        <f ca="1">IFERROR(__xludf.DUMMYFUNCTION("""COMPUTED_VALUE"""),399)</f>
        <v>399</v>
      </c>
      <c r="E433" s="25" t="str">
        <f ca="1">IFERROR(__xludf.DUMMYFUNCTION("""COMPUTED_VALUE"""),"REA-B1127")</f>
        <v>REA-B1127</v>
      </c>
    </row>
    <row r="434" spans="1:5" x14ac:dyDescent="0.2">
      <c r="A434" s="22">
        <f ca="1">IFERROR(__xludf.DUMMYFUNCTION("""COMPUTED_VALUE"""),45568)</f>
        <v>45568</v>
      </c>
      <c r="B434" s="23" t="str">
        <f ca="1">IFERROR(__xludf.DUMMYFUNCTION("""COMPUTED_VALUE"""),"BATERIA UMYWALKOWA AVALON CZARNA WYSOKA")</f>
        <v>BATERIA UMYWALKOWA AVALON CZARNA WYSOKA</v>
      </c>
      <c r="C434" s="23"/>
      <c r="D434" s="24">
        <f ca="1">IFERROR(__xludf.DUMMYFUNCTION("""COMPUTED_VALUE"""),379)</f>
        <v>379</v>
      </c>
      <c r="E434" s="25" t="str">
        <f ca="1">IFERROR(__xludf.DUMMYFUNCTION("""COMPUTED_VALUE"""),"REA-B1126")</f>
        <v>REA-B1126</v>
      </c>
    </row>
    <row r="435" spans="1:5" x14ac:dyDescent="0.2">
      <c r="A435" s="22">
        <f ca="1">IFERROR(__xludf.DUMMYFUNCTION("""COMPUTED_VALUE"""),45568)</f>
        <v>45568</v>
      </c>
      <c r="B435" s="23" t="str">
        <f ca="1">IFERROR(__xludf.DUMMYFUNCTION("""COMPUTED_VALUE"""),"BATERIA BIDETOWA AVALON ZŁOTA")</f>
        <v>BATERIA BIDETOWA AVALON ZŁOTA</v>
      </c>
      <c r="C435" s="23"/>
      <c r="D435" s="24">
        <f ca="1">IFERROR(__xludf.DUMMYFUNCTION("""COMPUTED_VALUE"""),279)</f>
        <v>279</v>
      </c>
      <c r="E435" s="25" t="str">
        <f ca="1">IFERROR(__xludf.DUMMYFUNCTION("""COMPUTED_VALUE"""),"REA-B1125")</f>
        <v>REA-B1125</v>
      </c>
    </row>
    <row r="436" spans="1:5" x14ac:dyDescent="0.2">
      <c r="A436" s="22">
        <f ca="1">IFERROR(__xludf.DUMMYFUNCTION("""COMPUTED_VALUE"""),45568)</f>
        <v>45568</v>
      </c>
      <c r="B436" s="23" t="str">
        <f ca="1">IFERROR(__xludf.DUMMYFUNCTION("""COMPUTED_VALUE"""),"BATERIA BIDETOWA AVALON CZARNA")</f>
        <v>BATERIA BIDETOWA AVALON CZARNA</v>
      </c>
      <c r="C436" s="23"/>
      <c r="D436" s="24">
        <f ca="1">IFERROR(__xludf.DUMMYFUNCTION("""COMPUTED_VALUE"""),259)</f>
        <v>259</v>
      </c>
      <c r="E436" s="25" t="str">
        <f ca="1">IFERROR(__xludf.DUMMYFUNCTION("""COMPUTED_VALUE"""),"REA-B1119")</f>
        <v>REA-B1119</v>
      </c>
    </row>
    <row r="437" spans="1:5" x14ac:dyDescent="0.2">
      <c r="A437" s="22">
        <f ca="1">IFERROR(__xludf.DUMMYFUNCTION("""COMPUTED_VALUE"""),45568)</f>
        <v>45568</v>
      </c>
      <c r="B437" s="23" t="str">
        <f ca="1">IFERROR(__xludf.DUMMYFUNCTION("""COMPUTED_VALUE"""),"BATERIA UMYWALKOWA AVALON ZŁOTA NISKA")</f>
        <v>BATERIA UMYWALKOWA AVALON ZŁOTA NISKA</v>
      </c>
      <c r="C437" s="23"/>
      <c r="D437" s="24">
        <f ca="1">IFERROR(__xludf.DUMMYFUNCTION("""COMPUTED_VALUE"""),279)</f>
        <v>279</v>
      </c>
      <c r="E437" s="25" t="str">
        <f ca="1">IFERROR(__xludf.DUMMYFUNCTION("""COMPUTED_VALUE"""),"REA-B1118")</f>
        <v>REA-B1118</v>
      </c>
    </row>
    <row r="438" spans="1:5" x14ac:dyDescent="0.2">
      <c r="A438" s="22">
        <f ca="1">IFERROR(__xludf.DUMMYFUNCTION("""COMPUTED_VALUE"""),45568)</f>
        <v>45568</v>
      </c>
      <c r="B438" s="23" t="str">
        <f ca="1">IFERROR(__xludf.DUMMYFUNCTION("""COMPUTED_VALUE"""),"BATERIA UMYWALKOWA AVALON CZARNA NISKA")</f>
        <v>BATERIA UMYWALKOWA AVALON CZARNA NISKA</v>
      </c>
      <c r="C438" s="23"/>
      <c r="D438" s="24">
        <f ca="1">IFERROR(__xludf.DUMMYFUNCTION("""COMPUTED_VALUE"""),259)</f>
        <v>259</v>
      </c>
      <c r="E438" s="25" t="str">
        <f ca="1">IFERROR(__xludf.DUMMYFUNCTION("""COMPUTED_VALUE"""),"REA-B1117")</f>
        <v>REA-B1117</v>
      </c>
    </row>
    <row r="439" spans="1:5" x14ac:dyDescent="0.2">
      <c r="A439" s="22">
        <f ca="1">IFERROR(__xludf.DUMMYFUNCTION("""COMPUTED_VALUE"""),45568)</f>
        <v>45568</v>
      </c>
      <c r="B439" s="23" t="str">
        <f ca="1">IFERROR(__xludf.DUMMYFUNCTION("""COMPUTED_VALUE"""),"ZESTAW NATRYSKOWY PODTYNKOWY SERRA ZŁOTY SZC + BOX")</f>
        <v>ZESTAW NATRYSKOWY PODTYNKOWY SERRA ZŁOTY SZC + BOX</v>
      </c>
      <c r="C439" s="23"/>
      <c r="D439" s="24">
        <f ca="1">IFERROR(__xludf.DUMMYFUNCTION("""COMPUTED_VALUE"""),1189)</f>
        <v>1189</v>
      </c>
      <c r="E439" s="25" t="str">
        <f ca="1">IFERROR(__xludf.DUMMYFUNCTION("""COMPUTED_VALUE"""),"REA-B1149")</f>
        <v>REA-B1149</v>
      </c>
    </row>
    <row r="440" spans="1:5" x14ac:dyDescent="0.2">
      <c r="A440" s="22">
        <f ca="1">IFERROR(__xludf.DUMMYFUNCTION("""COMPUTED_VALUE"""),45568)</f>
        <v>45568</v>
      </c>
      <c r="B440" s="23" t="str">
        <f ca="1">IFERROR(__xludf.DUMMYFUNCTION("""COMPUTED_VALUE"""),"ZESTAW NATRYSKOWY PODTYNKOWY SERRA CZARNY + BOX")</f>
        <v>ZESTAW NATRYSKOWY PODTYNKOWY SERRA CZARNY + BOX</v>
      </c>
      <c r="C440" s="23"/>
      <c r="D440" s="24">
        <f ca="1">IFERROR(__xludf.DUMMYFUNCTION("""COMPUTED_VALUE"""),999)</f>
        <v>999</v>
      </c>
      <c r="E440" s="25" t="str">
        <f ca="1">IFERROR(__xludf.DUMMYFUNCTION("""COMPUTED_VALUE"""),"REA-B1143")</f>
        <v>REA-B1143</v>
      </c>
    </row>
    <row r="441" spans="1:5" x14ac:dyDescent="0.2">
      <c r="A441" s="22">
        <f ca="1">IFERROR(__xludf.DUMMYFUNCTION("""COMPUTED_VALUE"""),45568)</f>
        <v>45568</v>
      </c>
      <c r="B441" s="23" t="str">
        <f ca="1">IFERROR(__xludf.DUMMYFUNCTION("""COMPUTED_VALUE"""),"ZESTAW NATRYSKOWY AVALON CZARNY")</f>
        <v>ZESTAW NATRYSKOWY AVALON CZARNY</v>
      </c>
      <c r="C441" s="23"/>
      <c r="D441" s="24">
        <f ca="1">IFERROR(__xludf.DUMMYFUNCTION("""COMPUTED_VALUE"""),759)</f>
        <v>759</v>
      </c>
      <c r="E441" s="25" t="str">
        <f ca="1">IFERROR(__xludf.DUMMYFUNCTION("""COMPUTED_VALUE"""),"REA-P8811")</f>
        <v>REA-P8811</v>
      </c>
    </row>
    <row r="442" spans="1:5" x14ac:dyDescent="0.2">
      <c r="A442" s="22">
        <f ca="1">IFERROR(__xludf.DUMMYFUNCTION("""COMPUTED_VALUE"""),45568)</f>
        <v>45568</v>
      </c>
      <c r="B442" s="23" t="str">
        <f ca="1">IFERROR(__xludf.DUMMYFUNCTION("""COMPUTED_VALUE"""),"ZESTAW NATRYSKOWY AVALON ZŁOTY")</f>
        <v>ZESTAW NATRYSKOWY AVALON ZŁOTY</v>
      </c>
      <c r="C442" s="23"/>
      <c r="D442" s="24">
        <f ca="1">IFERROR(__xludf.DUMMYFUNCTION("""COMPUTED_VALUE"""),899)</f>
        <v>899</v>
      </c>
      <c r="E442" s="25" t="str">
        <f ca="1">IFERROR(__xludf.DUMMYFUNCTION("""COMPUTED_VALUE"""),"REA-P8812")</f>
        <v>REA-P8812</v>
      </c>
    </row>
    <row r="443" spans="1:5" x14ac:dyDescent="0.2">
      <c r="A443" s="22">
        <f ca="1">IFERROR(__xludf.DUMMYFUNCTION("""COMPUTED_VALUE"""),45560)</f>
        <v>45560</v>
      </c>
      <c r="B443" s="23" t="str">
        <f ca="1">IFERROR(__xludf.DUMMYFUNCTION("""COMPUTED_VALUE"""),"ZESTAW NATRYSKOWY JACK GOLD")</f>
        <v>ZESTAW NATRYSKOWY JACK GOLD</v>
      </c>
      <c r="C443" s="23"/>
      <c r="D443" s="24">
        <f ca="1">IFERROR(__xludf.DUMMYFUNCTION("""COMPUTED_VALUE"""),889)</f>
        <v>889</v>
      </c>
      <c r="E443" s="25" t="str">
        <f ca="1">IFERROR(__xludf.DUMMYFUNCTION("""COMPUTED_VALUE"""),"REA-P7008")</f>
        <v>REA-P7008</v>
      </c>
    </row>
    <row r="444" spans="1:5" x14ac:dyDescent="0.2">
      <c r="A444" s="22">
        <f ca="1">IFERROR(__xludf.DUMMYFUNCTION("""COMPUTED_VALUE"""),45560)</f>
        <v>45560</v>
      </c>
      <c r="B444" s="23" t="str">
        <f ca="1">IFERROR(__xludf.DUMMYFUNCTION("""COMPUTED_VALUE"""),"ZESTAW NATRYSKOWY BRAVO")</f>
        <v>ZESTAW NATRYSKOWY BRAVO</v>
      </c>
      <c r="C444" s="23"/>
      <c r="D444" s="24">
        <f ca="1">IFERROR(__xludf.DUMMYFUNCTION("""COMPUTED_VALUE"""),479)</f>
        <v>479</v>
      </c>
      <c r="E444" s="25" t="str">
        <f ca="1">IFERROR(__xludf.DUMMYFUNCTION("""COMPUTED_VALUE"""),"REA-P0636")</f>
        <v>REA-P0636</v>
      </c>
    </row>
    <row r="445" spans="1:5" x14ac:dyDescent="0.2">
      <c r="A445" s="22">
        <f ca="1">IFERROR(__xludf.DUMMYFUNCTION("""COMPUTED_VALUE"""),45560)</f>
        <v>45560</v>
      </c>
      <c r="B445" s="23" t="str">
        <f ca="1">IFERROR(__xludf.DUMMYFUNCTION("""COMPUTED_VALUE"""),"ZESTAW NATRYSKOWY BRAVO ZŁOTY SZCZOTKOWANY")</f>
        <v>ZESTAW NATRYSKOWY BRAVO ZŁOTY SZCZOTKOWANY</v>
      </c>
      <c r="C445" s="23"/>
      <c r="D445" s="24">
        <f ca="1">IFERROR(__xludf.DUMMYFUNCTION("""COMPUTED_VALUE"""),599)</f>
        <v>599</v>
      </c>
      <c r="E445" s="25" t="str">
        <f ca="1">IFERROR(__xludf.DUMMYFUNCTION("""COMPUTED_VALUE"""),"REA-P4121")</f>
        <v>REA-P4121</v>
      </c>
    </row>
    <row r="446" spans="1:5" x14ac:dyDescent="0.2">
      <c r="A446" s="22">
        <f ca="1">IFERROR(__xludf.DUMMYFUNCTION("""COMPUTED_VALUE"""),45560)</f>
        <v>45560</v>
      </c>
      <c r="B446" s="23" t="str">
        <f ca="1">IFERROR(__xludf.DUMMYFUNCTION("""COMPUTED_VALUE"""),"ŚCIANKA PRYSZNICOWA AERO OMBRE GOLD BRUSH/WHITE 90")</f>
        <v>ŚCIANKA PRYSZNICOWA AERO OMBRE GOLD BRUSH/WHITE 90</v>
      </c>
      <c r="C446" s="23"/>
      <c r="D446" s="24">
        <f ca="1">IFERROR(__xludf.DUMMYFUNCTION("""COMPUTED_VALUE"""),899)</f>
        <v>899</v>
      </c>
      <c r="E446" s="25" t="str">
        <f ca="1">IFERROR(__xludf.DUMMYFUNCTION("""COMPUTED_VALUE"""),"REA-K2463")</f>
        <v>REA-K2463</v>
      </c>
    </row>
    <row r="447" spans="1:5" x14ac:dyDescent="0.2">
      <c r="A447" s="22">
        <f ca="1">IFERROR(__xludf.DUMMYFUNCTION("""COMPUTED_VALUE"""),45560)</f>
        <v>45560</v>
      </c>
      <c r="B447" s="23" t="str">
        <f ca="1">IFERROR(__xludf.DUMMYFUNCTION("""COMPUTED_VALUE"""),"ŚCIANKA PRYSZNICOW AERO OMBRE GOLD BRUSH/WHITE 100")</f>
        <v>ŚCIANKA PRYSZNICOW AERO OMBRE GOLD BRUSH/WHITE 100</v>
      </c>
      <c r="C447" s="23"/>
      <c r="D447" s="24">
        <f ca="1">IFERROR(__xludf.DUMMYFUNCTION("""COMPUTED_VALUE"""),899)</f>
        <v>899</v>
      </c>
      <c r="E447" s="25" t="str">
        <f ca="1">IFERROR(__xludf.DUMMYFUNCTION("""COMPUTED_VALUE"""),"REA-K2464")</f>
        <v>REA-K2464</v>
      </c>
    </row>
    <row r="448" spans="1:5" x14ac:dyDescent="0.2">
      <c r="A448" s="22">
        <f ca="1">IFERROR(__xludf.DUMMYFUNCTION("""COMPUTED_VALUE"""),45560)</f>
        <v>45560</v>
      </c>
      <c r="B448" s="23" t="str">
        <f ca="1">IFERROR(__xludf.DUMMYFUNCTION("""COMPUTED_VALUE"""),"ŚCIANKA PRYSZNICOW AERO OMBRE GOLD BRUSH/WHITE 110")</f>
        <v>ŚCIANKA PRYSZNICOW AERO OMBRE GOLD BRUSH/WHITE 110</v>
      </c>
      <c r="C448" s="23"/>
      <c r="D448" s="24">
        <f ca="1">IFERROR(__xludf.DUMMYFUNCTION("""COMPUTED_VALUE"""),959)</f>
        <v>959</v>
      </c>
      <c r="E448" s="25" t="str">
        <f ca="1">IFERROR(__xludf.DUMMYFUNCTION("""COMPUTED_VALUE"""),"REA-K2465")</f>
        <v>REA-K2465</v>
      </c>
    </row>
    <row r="449" spans="1:5" x14ac:dyDescent="0.2">
      <c r="A449" s="22">
        <f ca="1">IFERROR(__xludf.DUMMYFUNCTION("""COMPUTED_VALUE"""),45560)</f>
        <v>45560</v>
      </c>
      <c r="B449" s="23" t="str">
        <f ca="1">IFERROR(__xludf.DUMMYFUNCTION("""COMPUTED_VALUE"""),"ŚCIANKA PRYSZNICOW AERO OMBRE GOLD BRUSH/WHITE 120")</f>
        <v>ŚCIANKA PRYSZNICOW AERO OMBRE GOLD BRUSH/WHITE 120</v>
      </c>
      <c r="C449" s="23"/>
      <c r="D449" s="24">
        <f ca="1">IFERROR(__xludf.DUMMYFUNCTION("""COMPUTED_VALUE"""),999)</f>
        <v>999</v>
      </c>
      <c r="E449" s="25" t="str">
        <f ca="1">IFERROR(__xludf.DUMMYFUNCTION("""COMPUTED_VALUE"""),"REA-K2466")</f>
        <v>REA-K2466</v>
      </c>
    </row>
    <row r="450" spans="1:5" x14ac:dyDescent="0.2">
      <c r="A450" s="22">
        <f ca="1">IFERROR(__xludf.DUMMYFUNCTION("""COMPUTED_VALUE"""),45560)</f>
        <v>45560</v>
      </c>
      <c r="B450" s="23" t="str">
        <f ca="1">IFERROR(__xludf.DUMMYFUNCTION("""COMPUTED_VALUE"""),"ŚCIANKA PRYSZNICOWA AERO OMBRE BLACK/BLACK 100")</f>
        <v>ŚCIANKA PRYSZNICOWA AERO OMBRE BLACK/BLACK 100</v>
      </c>
      <c r="C450" s="23"/>
      <c r="D450" s="24">
        <f ca="1">IFERROR(__xludf.DUMMYFUNCTION("""COMPUTED_VALUE"""),949)</f>
        <v>949</v>
      </c>
      <c r="E450" s="25" t="str">
        <f ca="1">IFERROR(__xludf.DUMMYFUNCTION("""COMPUTED_VALUE"""),"REA-K2460")</f>
        <v>REA-K2460</v>
      </c>
    </row>
    <row r="451" spans="1:5" x14ac:dyDescent="0.2">
      <c r="A451" s="22">
        <f ca="1">IFERROR(__xludf.DUMMYFUNCTION("""COMPUTED_VALUE"""),45560)</f>
        <v>45560</v>
      </c>
      <c r="B451" s="23" t="str">
        <f ca="1">IFERROR(__xludf.DUMMYFUNCTION("""COMPUTED_VALUE"""),"ŚCIANKA PRYSZNICOWA AERO OMBRE BLACK/BLACK 110")</f>
        <v>ŚCIANKA PRYSZNICOWA AERO OMBRE BLACK/BLACK 110</v>
      </c>
      <c r="C451" s="23"/>
      <c r="D451" s="24">
        <f ca="1">IFERROR(__xludf.DUMMYFUNCTION("""COMPUTED_VALUE"""),999)</f>
        <v>999</v>
      </c>
      <c r="E451" s="25" t="str">
        <f ca="1">IFERROR(__xludf.DUMMYFUNCTION("""COMPUTED_VALUE"""),"REA-K2461")</f>
        <v>REA-K2461</v>
      </c>
    </row>
    <row r="452" spans="1:5" x14ac:dyDescent="0.2">
      <c r="A452" s="22">
        <f ca="1">IFERROR(__xludf.DUMMYFUNCTION("""COMPUTED_VALUE"""),45560)</f>
        <v>45560</v>
      </c>
      <c r="B452" s="23" t="str">
        <f ca="1">IFERROR(__xludf.DUMMYFUNCTION("""COMPUTED_VALUE"""),"ŚCIANKA PRYSZNICOWA AERO OMBRE BLACK/BLACK 120")</f>
        <v>ŚCIANKA PRYSZNICOWA AERO OMBRE BLACK/BLACK 120</v>
      </c>
      <c r="C452" s="23"/>
      <c r="D452" s="24">
        <f ca="1">IFERROR(__xludf.DUMMYFUNCTION("""COMPUTED_VALUE"""),999)</f>
        <v>999</v>
      </c>
      <c r="E452" s="25" t="str">
        <f ca="1">IFERROR(__xludf.DUMMYFUNCTION("""COMPUTED_VALUE"""),"REA-K2462")</f>
        <v>REA-K2462</v>
      </c>
    </row>
    <row r="453" spans="1:5" x14ac:dyDescent="0.2">
      <c r="A453" s="22">
        <f ca="1">IFERROR(__xludf.DUMMYFUNCTION("""COMPUTED_VALUE"""),45560)</f>
        <v>45560</v>
      </c>
      <c r="B453" s="23" t="str">
        <f ca="1">IFERROR(__xludf.DUMMYFUNCTION("""COMPUTED_VALUE"""),"ŚCIANKA PRYSZNICOWA AERO OMBRE BLACK/BLACK 90")</f>
        <v>ŚCIANKA PRYSZNICOWA AERO OMBRE BLACK/BLACK 90</v>
      </c>
      <c r="C453" s="23"/>
      <c r="D453" s="24">
        <f ca="1">IFERROR(__xludf.DUMMYFUNCTION("""COMPUTED_VALUE"""),899)</f>
        <v>899</v>
      </c>
      <c r="E453" s="25" t="str">
        <f ca="1">IFERROR(__xludf.DUMMYFUNCTION("""COMPUTED_VALUE"""),"REA-K2459")</f>
        <v>REA-K2459</v>
      </c>
    </row>
    <row r="454" spans="1:5" x14ac:dyDescent="0.2">
      <c r="A454" s="22">
        <f ca="1">IFERROR(__xludf.DUMMYFUNCTION("""COMPUTED_VALUE"""),45560)</f>
        <v>45560</v>
      </c>
      <c r="B454" s="23" t="str">
        <f ca="1">IFERROR(__xludf.DUMMYFUNCTION("""COMPUTED_VALUE"""),"ŚCIANKA PRYSZNICOWA AERO INTIMO GOLD BRUSH 100")</f>
        <v>ŚCIANKA PRYSZNICOWA AERO INTIMO GOLD BRUSH 100</v>
      </c>
      <c r="C454" s="23"/>
      <c r="D454" s="24">
        <f ca="1">IFERROR(__xludf.DUMMYFUNCTION("""COMPUTED_VALUE"""),969)</f>
        <v>969</v>
      </c>
      <c r="E454" s="25" t="str">
        <f ca="1">IFERROR(__xludf.DUMMYFUNCTION("""COMPUTED_VALUE"""),"REA-K4126")</f>
        <v>REA-K4126</v>
      </c>
    </row>
    <row r="455" spans="1:5" x14ac:dyDescent="0.2">
      <c r="A455" s="22">
        <f ca="1">IFERROR(__xludf.DUMMYFUNCTION("""COMPUTED_VALUE"""),45560)</f>
        <v>45560</v>
      </c>
      <c r="B455" s="23" t="str">
        <f ca="1">IFERROR(__xludf.DUMMYFUNCTION("""COMPUTED_VALUE"""),"ŚCIANKA PRYSZNICOWA AERO INTIMO GOLD BRUSH 90")</f>
        <v>ŚCIANKA PRYSZNICOWA AERO INTIMO GOLD BRUSH 90</v>
      </c>
      <c r="C455" s="23"/>
      <c r="D455" s="24">
        <f ca="1">IFERROR(__xludf.DUMMYFUNCTION("""COMPUTED_VALUE"""),899)</f>
        <v>899</v>
      </c>
      <c r="E455" s="25" t="str">
        <f ca="1">IFERROR(__xludf.DUMMYFUNCTION("""COMPUTED_VALUE"""),"REA-K4124")</f>
        <v>REA-K4124</v>
      </c>
    </row>
    <row r="456" spans="1:5" x14ac:dyDescent="0.2">
      <c r="A456" s="22">
        <f ca="1">IFERROR(__xludf.DUMMYFUNCTION("""COMPUTED_VALUE"""),45560)</f>
        <v>45560</v>
      </c>
      <c r="B456" s="23" t="str">
        <f ca="1">IFERROR(__xludf.DUMMYFUNCTION("""COMPUTED_VALUE"""),"ŚCIANKA PRYSZNICOWA AERO INTIMO BLACK 120")</f>
        <v>ŚCIANKA PRYSZNICOWA AERO INTIMO BLACK 120</v>
      </c>
      <c r="C456" s="23"/>
      <c r="D456" s="24">
        <f ca="1">IFERROR(__xludf.DUMMYFUNCTION("""COMPUTED_VALUE"""),969)</f>
        <v>969</v>
      </c>
      <c r="E456" s="25" t="str">
        <f ca="1">IFERROR(__xludf.DUMMYFUNCTION("""COMPUTED_VALUE"""),"REA-K4122")</f>
        <v>REA-K4122</v>
      </c>
    </row>
    <row r="457" spans="1:5" x14ac:dyDescent="0.2">
      <c r="A457" s="22">
        <f ca="1">IFERROR(__xludf.DUMMYFUNCTION("""COMPUTED_VALUE"""),45560)</f>
        <v>45560</v>
      </c>
      <c r="B457" s="23" t="str">
        <f ca="1">IFERROR(__xludf.DUMMYFUNCTION("""COMPUTED_VALUE"""),"ŚCIANKA PRYSZNICOWA AERO INTIMO BLACK 100")</f>
        <v>ŚCIANKA PRYSZNICOWA AERO INTIMO BLACK 100</v>
      </c>
      <c r="C457" s="23"/>
      <c r="D457" s="24">
        <f ca="1">IFERROR(__xludf.DUMMYFUNCTION("""COMPUTED_VALUE"""),869)</f>
        <v>869</v>
      </c>
      <c r="E457" s="25" t="str">
        <f ca="1">IFERROR(__xludf.DUMMYFUNCTION("""COMPUTED_VALUE"""),"REA-K4121")</f>
        <v>REA-K4121</v>
      </c>
    </row>
    <row r="458" spans="1:5" x14ac:dyDescent="0.2">
      <c r="A458" s="22">
        <f ca="1">IFERROR(__xludf.DUMMYFUNCTION("""COMPUTED_VALUE"""),45560)</f>
        <v>45560</v>
      </c>
      <c r="B458" s="23" t="str">
        <f ca="1">IFERROR(__xludf.DUMMYFUNCTION("""COMPUTED_VALUE"""),"ŚCIANKA PRYSZNICOWA AERO INTIMO BLACK 90")</f>
        <v>ŚCIANKA PRYSZNICOWA AERO INTIMO BLACK 90</v>
      </c>
      <c r="C458" s="23"/>
      <c r="D458" s="24">
        <f ca="1">IFERROR(__xludf.DUMMYFUNCTION("""COMPUTED_VALUE"""),799)</f>
        <v>799</v>
      </c>
      <c r="E458" s="25" t="str">
        <f ca="1">IFERROR(__xludf.DUMMYFUNCTION("""COMPUTED_VALUE"""),"REA-K4123")</f>
        <v>REA-K4123</v>
      </c>
    </row>
    <row r="459" spans="1:5" x14ac:dyDescent="0.2">
      <c r="A459" s="22">
        <f ca="1">IFERROR(__xludf.DUMMYFUNCTION("""COMPUTED_VALUE"""),45560)</f>
        <v>45560</v>
      </c>
      <c r="B459" s="23" t="str">
        <f ca="1">IFERROR(__xludf.DUMMYFUNCTION("""COMPUTED_VALUE"""),"ŚCIANKA PRYSZNICOWA AERO 100 BLACK")</f>
        <v>ŚCIANKA PRYSZNICOWA AERO 100 BLACK</v>
      </c>
      <c r="C459" s="23"/>
      <c r="D459" s="24">
        <f ca="1">IFERROR(__xludf.DUMMYFUNCTION("""COMPUTED_VALUE"""),829)</f>
        <v>829</v>
      </c>
      <c r="E459" s="25" t="str">
        <f ca="1">IFERROR(__xludf.DUMMYFUNCTION("""COMPUTED_VALUE"""),"REA-K6596")</f>
        <v>REA-K6596</v>
      </c>
    </row>
    <row r="460" spans="1:5" x14ac:dyDescent="0.2">
      <c r="A460" s="22">
        <f ca="1">IFERROR(__xludf.DUMMYFUNCTION("""COMPUTED_VALUE"""),45560)</f>
        <v>45560</v>
      </c>
      <c r="B460" s="23" t="str">
        <f ca="1">IFERROR(__xludf.DUMMYFUNCTION("""COMPUTED_VALUE"""),"ŚCIANKA PRYSZNICOWA AERO 110 BLACK")</f>
        <v>ŚCIANKA PRYSZNICOWA AERO 110 BLACK</v>
      </c>
      <c r="C460" s="23"/>
      <c r="D460" s="24">
        <f ca="1">IFERROR(__xludf.DUMMYFUNCTION("""COMPUTED_VALUE"""),869)</f>
        <v>869</v>
      </c>
      <c r="E460" s="25" t="str">
        <f ca="1">IFERROR(__xludf.DUMMYFUNCTION("""COMPUTED_VALUE"""),"REA-K6597")</f>
        <v>REA-K6597</v>
      </c>
    </row>
    <row r="461" spans="1:5" x14ac:dyDescent="0.2">
      <c r="A461" s="22">
        <f ca="1">IFERROR(__xludf.DUMMYFUNCTION("""COMPUTED_VALUE"""),45560)</f>
        <v>45560</v>
      </c>
      <c r="B461" s="23" t="str">
        <f ca="1">IFERROR(__xludf.DUMMYFUNCTION("""COMPUTED_VALUE"""),"ŚCIANKA PRYSZNICOWA AERO 120 BLACK")</f>
        <v>ŚCIANKA PRYSZNICOWA AERO 120 BLACK</v>
      </c>
      <c r="C461" s="23"/>
      <c r="D461" s="24">
        <f ca="1">IFERROR(__xludf.DUMMYFUNCTION("""COMPUTED_VALUE"""),899)</f>
        <v>899</v>
      </c>
      <c r="E461" s="25" t="str">
        <f ca="1">IFERROR(__xludf.DUMMYFUNCTION("""COMPUTED_VALUE"""),"REA-K6599")</f>
        <v>REA-K6599</v>
      </c>
    </row>
    <row r="462" spans="1:5" x14ac:dyDescent="0.2">
      <c r="A462" s="22">
        <f ca="1">IFERROR(__xludf.DUMMYFUNCTION("""COMPUTED_VALUE"""),45560)</f>
        <v>45560</v>
      </c>
      <c r="B462" s="23" t="str">
        <f ca="1">IFERROR(__xludf.DUMMYFUNCTION("""COMPUTED_VALUE"""),"ŚCIANKA PRYSZNICOWA AERO 90 BLACK")</f>
        <v>ŚCIANKA PRYSZNICOWA AERO 90 BLACK</v>
      </c>
      <c r="C462" s="23"/>
      <c r="D462" s="24">
        <f ca="1">IFERROR(__xludf.DUMMYFUNCTION("""COMPUTED_VALUE"""),819)</f>
        <v>819</v>
      </c>
      <c r="E462" s="25" t="str">
        <f ca="1">IFERROR(__xludf.DUMMYFUNCTION("""COMPUTED_VALUE"""),"REA-K7581")</f>
        <v>REA-K7581</v>
      </c>
    </row>
    <row r="463" spans="1:5" x14ac:dyDescent="0.2">
      <c r="A463" s="22">
        <f ca="1">IFERROR(__xludf.DUMMYFUNCTION("""COMPUTED_VALUE"""),45560)</f>
        <v>45560</v>
      </c>
      <c r="B463" s="23" t="str">
        <f ca="1">IFERROR(__xludf.DUMMYFUNCTION("""COMPUTED_VALUE"""),"UMYWALKA VANDA - NABLATOWA")</f>
        <v>UMYWALKA VANDA - NABLATOWA</v>
      </c>
      <c r="C463" s="23"/>
      <c r="D463" s="24">
        <f ca="1">IFERROR(__xludf.DUMMYFUNCTION("""COMPUTED_VALUE"""),279)</f>
        <v>279</v>
      </c>
      <c r="E463" s="25" t="str">
        <f ca="1">IFERROR(__xludf.DUMMYFUNCTION("""COMPUTED_VALUE"""),"REA-U0603")</f>
        <v>REA-U0603</v>
      </c>
    </row>
    <row r="464" spans="1:5" x14ac:dyDescent="0.2">
      <c r="A464" s="22">
        <f ca="1">IFERROR(__xludf.DUMMYFUNCTION("""COMPUTED_VALUE"""),45560)</f>
        <v>45560</v>
      </c>
      <c r="B464" s="23" t="str">
        <f ca="1">IFERROR(__xludf.DUMMYFUNCTION("""COMPUTED_VALUE"""),"UMYWALKA SOFIA MINI SHINY AIAX - NABLATOWA")</f>
        <v>UMYWALKA SOFIA MINI SHINY AIAX - NABLATOWA</v>
      </c>
      <c r="C464" s="23"/>
      <c r="D464" s="24">
        <f ca="1">IFERROR(__xludf.DUMMYFUNCTION("""COMPUTED_VALUE"""),269)</f>
        <v>269</v>
      </c>
      <c r="E464" s="25" t="str">
        <f ca="1">IFERROR(__xludf.DUMMYFUNCTION("""COMPUTED_VALUE"""),"REA-U8014")</f>
        <v>REA-U8014</v>
      </c>
    </row>
    <row r="465" spans="1:5" x14ac:dyDescent="0.2">
      <c r="A465" s="22">
        <f ca="1">IFERROR(__xludf.DUMMYFUNCTION("""COMPUTED_VALUE"""),45560)</f>
        <v>45560</v>
      </c>
      <c r="B465" s="23" t="str">
        <f ca="1">IFERROR(__xludf.DUMMYFUNCTION("""COMPUTED_VALUE"""),"UMYWALKA ROYAL 60 MAT BLACK - NABLATOWA")</f>
        <v>UMYWALKA ROYAL 60 MAT BLACK - NABLATOWA</v>
      </c>
      <c r="C465" s="23"/>
      <c r="D465" s="24">
        <f ca="1">IFERROR(__xludf.DUMMYFUNCTION("""COMPUTED_VALUE"""),549)</f>
        <v>549</v>
      </c>
      <c r="E465" s="25" t="str">
        <f ca="1">IFERROR(__xludf.DUMMYFUNCTION("""COMPUTED_VALUE"""),"REA-U0442")</f>
        <v>REA-U0442</v>
      </c>
    </row>
    <row r="466" spans="1:5" x14ac:dyDescent="0.2">
      <c r="A466" s="22">
        <f ca="1">IFERROR(__xludf.DUMMYFUNCTION("""COMPUTED_VALUE"""),45560)</f>
        <v>45560</v>
      </c>
      <c r="B466" s="23" t="str">
        <f ca="1">IFERROR(__xludf.DUMMYFUNCTION("""COMPUTED_VALUE"""),"UMYWALKA CLEO 61 BLACK AIAX MATT - NABLATOWA")</f>
        <v>UMYWALKA CLEO 61 BLACK AIAX MATT - NABLATOWA</v>
      </c>
      <c r="C466" s="23"/>
      <c r="D466" s="24">
        <f ca="1">IFERROR(__xludf.DUMMYFUNCTION("""COMPUTED_VALUE"""),449)</f>
        <v>449</v>
      </c>
      <c r="E466" s="25" t="str">
        <f ca="1">IFERROR(__xludf.DUMMYFUNCTION("""COMPUTED_VALUE"""),"REA-U6625")</f>
        <v>REA-U6625</v>
      </c>
    </row>
    <row r="467" spans="1:5" x14ac:dyDescent="0.2">
      <c r="A467" s="22">
        <f ca="1">IFERROR(__xludf.DUMMYFUNCTION("""COMPUTED_VALUE"""),45560)</f>
        <v>45560</v>
      </c>
      <c r="B467" s="23" t="str">
        <f ca="1">IFERROR(__xludf.DUMMYFUNCTION("""COMPUTED_VALUE"""),"UMYWALKA CLEO - NABLATOWA")</f>
        <v>UMYWALKA CLEO - NABLATOWA</v>
      </c>
      <c r="C467" s="23"/>
      <c r="D467" s="24">
        <f ca="1">IFERROR(__xludf.DUMMYFUNCTION("""COMPUTED_VALUE"""),349)</f>
        <v>349</v>
      </c>
      <c r="E467" s="25" t="str">
        <f ca="1">IFERROR(__xludf.DUMMYFUNCTION("""COMPUTED_VALUE"""),"REA-U0024")</f>
        <v>REA-U0024</v>
      </c>
    </row>
    <row r="468" spans="1:5" x14ac:dyDescent="0.2">
      <c r="A468" s="22">
        <f ca="1">IFERROR(__xludf.DUMMYFUNCTION("""COMPUTED_VALUE"""),45560)</f>
        <v>45560</v>
      </c>
      <c r="B468" s="23" t="str">
        <f ca="1">IFERROR(__xludf.DUMMYFUNCTION("""COMPUTED_VALUE"""),"UMYWALKA DENIS WHITE - NABLATOWA")</f>
        <v>UMYWALKA DENIS WHITE - NABLATOWA</v>
      </c>
      <c r="C468" s="23"/>
      <c r="D468" s="24">
        <f ca="1">IFERROR(__xludf.DUMMYFUNCTION("""COMPUTED_VALUE"""),329)</f>
        <v>329</v>
      </c>
      <c r="E468" s="25" t="str">
        <f ca="1">IFERROR(__xludf.DUMMYFUNCTION("""COMPUTED_VALUE"""),"REA-U4800")</f>
        <v>REA-U4800</v>
      </c>
    </row>
    <row r="469" spans="1:5" x14ac:dyDescent="0.2">
      <c r="A469" s="22">
        <f ca="1">IFERROR(__xludf.DUMMYFUNCTION("""COMPUTED_VALUE"""),45560)</f>
        <v>45560</v>
      </c>
      <c r="B469" s="23" t="str">
        <f ca="1">IFERROR(__xludf.DUMMYFUNCTION("""COMPUTED_VALUE"""),"UMYWALKA LINDA GRANIT - NABLATOWA")</f>
        <v>UMYWALKA LINDA GRANIT - NABLATOWA</v>
      </c>
      <c r="C469" s="23"/>
      <c r="D469" s="24">
        <f ca="1">IFERROR(__xludf.DUMMYFUNCTION("""COMPUTED_VALUE"""),349)</f>
        <v>349</v>
      </c>
      <c r="E469" s="25" t="str">
        <f ca="1">IFERROR(__xludf.DUMMYFUNCTION("""COMPUTED_VALUE"""),"REA-U2514")</f>
        <v>REA-U2514</v>
      </c>
    </row>
    <row r="470" spans="1:5" x14ac:dyDescent="0.2">
      <c r="A470" s="22">
        <f ca="1">IFERROR(__xludf.DUMMYFUNCTION("""COMPUTED_VALUE"""),45560)</f>
        <v>45560</v>
      </c>
      <c r="B470" s="23" t="str">
        <f ca="1">IFERROR(__xludf.DUMMYFUNCTION("""COMPUTED_VALUE"""),"UMYWALKA SHILA - NABLATOWA")</f>
        <v>UMYWALKA SHILA - NABLATOWA</v>
      </c>
      <c r="C470" s="23"/>
      <c r="D470" s="24">
        <f ca="1">IFERROR(__xludf.DUMMYFUNCTION("""COMPUTED_VALUE"""),329)</f>
        <v>329</v>
      </c>
      <c r="E470" s="25" t="str">
        <f ca="1">IFERROR(__xludf.DUMMYFUNCTION("""COMPUTED_VALUE"""),"REA-U6655")</f>
        <v>REA-U6655</v>
      </c>
    </row>
    <row r="471" spans="1:5" x14ac:dyDescent="0.2">
      <c r="A471" s="22">
        <f ca="1">IFERROR(__xludf.DUMMYFUNCTION("""COMPUTED_VALUE"""),45560)</f>
        <v>45560</v>
      </c>
      <c r="B471" s="23" t="str">
        <f ca="1">IFERROR(__xludf.DUMMYFUNCTION("""COMPUTED_VALUE"""),"UMYWALKA NADIA 70 - NABLATOWA")</f>
        <v>UMYWALKA NADIA 70 - NABLATOWA</v>
      </c>
      <c r="C471" s="23"/>
      <c r="D471" s="24">
        <f ca="1">IFERROR(__xludf.DUMMYFUNCTION("""COMPUTED_VALUE"""),469)</f>
        <v>469</v>
      </c>
      <c r="E471" s="25" t="str">
        <f ca="1">IFERROR(__xludf.DUMMYFUNCTION("""COMPUTED_VALUE"""),"REA-U5801")</f>
        <v>REA-U5801</v>
      </c>
    </row>
    <row r="472" spans="1:5" x14ac:dyDescent="0.2">
      <c r="A472" s="22">
        <f ca="1">IFERROR(__xludf.DUMMYFUNCTION("""COMPUTED_VALUE"""),45560)</f>
        <v>45560</v>
      </c>
      <c r="B472" s="23" t="str">
        <f ca="1">IFERROR(__xludf.DUMMYFUNCTION("""COMPUTED_VALUE"""),"UMYWALKA NADIA 60- NABLATOWA")</f>
        <v>UMYWALKA NADIA 60- NABLATOWA</v>
      </c>
      <c r="C472" s="23"/>
      <c r="D472" s="24">
        <f ca="1">IFERROR(__xludf.DUMMYFUNCTION("""COMPUTED_VALUE"""),379)</f>
        <v>379</v>
      </c>
      <c r="E472" s="25" t="str">
        <f ca="1">IFERROR(__xludf.DUMMYFUNCTION("""COMPUTED_VALUE"""),"REA-U1055")</f>
        <v>REA-U1055</v>
      </c>
    </row>
    <row r="473" spans="1:5" x14ac:dyDescent="0.2">
      <c r="A473" s="22">
        <f ca="1">IFERROR(__xludf.DUMMYFUNCTION("""COMPUTED_VALUE"""),45560)</f>
        <v>45560</v>
      </c>
      <c r="B473" s="23" t="str">
        <f ca="1">IFERROR(__xludf.DUMMYFUNCTION("""COMPUTED_VALUE"""),"UMYWALKA NADIA 50 - NABLATOWA")</f>
        <v>UMYWALKA NADIA 50 - NABLATOWA</v>
      </c>
      <c r="C473" s="23"/>
      <c r="D473" s="24">
        <f ca="1">IFERROR(__xludf.DUMMYFUNCTION("""COMPUTED_VALUE"""),299)</f>
        <v>299</v>
      </c>
      <c r="E473" s="25" t="str">
        <f ca="1">IFERROR(__xludf.DUMMYFUNCTION("""COMPUTED_VALUE"""),"REA-U6563")</f>
        <v>REA-U6563</v>
      </c>
    </row>
    <row r="474" spans="1:5" x14ac:dyDescent="0.2">
      <c r="A474" s="22">
        <f ca="1">IFERROR(__xludf.DUMMYFUNCTION("""COMPUTED_VALUE"""),45560)</f>
        <v>45560</v>
      </c>
      <c r="B474" s="23" t="str">
        <f ca="1">IFERROR(__xludf.DUMMYFUNCTION("""COMPUTED_VALUE"""),"UMYWALKA CARINA - NABLATOWA")</f>
        <v>UMYWALKA CARINA - NABLATOWA</v>
      </c>
      <c r="C474" s="23"/>
      <c r="D474" s="24">
        <f ca="1">IFERROR(__xludf.DUMMYFUNCTION("""COMPUTED_VALUE"""),319)</f>
        <v>319</v>
      </c>
      <c r="E474" s="25" t="str">
        <f ca="1">IFERROR(__xludf.DUMMYFUNCTION("""COMPUTED_VALUE"""),"REA-U0568")</f>
        <v>REA-U0568</v>
      </c>
    </row>
    <row r="475" spans="1:5" x14ac:dyDescent="0.2">
      <c r="A475" s="22">
        <f ca="1">IFERROR(__xludf.DUMMYFUNCTION("""COMPUTED_VALUE"""),45560)</f>
        <v>45560</v>
      </c>
      <c r="B475" s="23" t="str">
        <f ca="1">IFERROR(__xludf.DUMMYFUNCTION("""COMPUTED_VALUE"""),"UMYWALKA REMI - NABLATOWA")</f>
        <v>UMYWALKA REMI - NABLATOWA</v>
      </c>
      <c r="C475" s="23"/>
      <c r="D475" s="24">
        <f ca="1">IFERROR(__xludf.DUMMYFUNCTION("""COMPUTED_VALUE"""),279)</f>
        <v>279</v>
      </c>
      <c r="E475" s="25" t="str">
        <f ca="1">IFERROR(__xludf.DUMMYFUNCTION("""COMPUTED_VALUE"""),"REA-U6961")</f>
        <v>REA-U6961</v>
      </c>
    </row>
    <row r="476" spans="1:5" x14ac:dyDescent="0.2">
      <c r="A476" s="22">
        <f ca="1">IFERROR(__xludf.DUMMYFUNCTION("""COMPUTED_VALUE"""),45560)</f>
        <v>45560</v>
      </c>
      <c r="B476" s="23" t="str">
        <f ca="1">IFERROR(__xludf.DUMMYFUNCTION("""COMPUTED_VALUE"""),"UMYWALKA ANYA GRANIT MATT - WOLNOSTOJĄCA")</f>
        <v>UMYWALKA ANYA GRANIT MATT - WOLNOSTOJĄCA</v>
      </c>
      <c r="C476" s="23"/>
      <c r="D476" s="24">
        <f ca="1">IFERROR(__xludf.DUMMYFUNCTION("""COMPUTED_VALUE"""),1549)</f>
        <v>1549</v>
      </c>
      <c r="E476" s="25" t="str">
        <f ca="1">IFERROR(__xludf.DUMMYFUNCTION("""COMPUTED_VALUE"""),"REA-U5802")</f>
        <v>REA-U5802</v>
      </c>
    </row>
    <row r="477" spans="1:5" x14ac:dyDescent="0.2">
      <c r="A477" s="22">
        <f ca="1">IFERROR(__xludf.DUMMYFUNCTION("""COMPUTED_VALUE"""),45560)</f>
        <v>45560</v>
      </c>
      <c r="B477" s="23" t="str">
        <f ca="1">IFERROR(__xludf.DUMMYFUNCTION("""COMPUTED_VALUE"""),"UMYWALKA AMELIA 48 - NABLATOWA")</f>
        <v>UMYWALKA AMELIA 48 - NABLATOWA</v>
      </c>
      <c r="C477" s="23"/>
      <c r="D477" s="24">
        <f ca="1">IFERROR(__xludf.DUMMYFUNCTION("""COMPUTED_VALUE"""),219)</f>
        <v>219</v>
      </c>
      <c r="E477" s="25" t="str">
        <f ca="1">IFERROR(__xludf.DUMMYFUNCTION("""COMPUTED_VALUE"""),"REA-U0416")</f>
        <v>REA-U0416</v>
      </c>
    </row>
    <row r="478" spans="1:5" x14ac:dyDescent="0.2">
      <c r="A478" s="22">
        <f ca="1">IFERROR(__xludf.DUMMYFUNCTION("""COMPUTED_VALUE"""),45560)</f>
        <v>45560</v>
      </c>
      <c r="B478" s="23" t="str">
        <f ca="1">IFERROR(__xludf.DUMMYFUNCTION("""COMPUTED_VALUE"""),"UMYWALKA MARGOT BLACK GOLD  - NABLATOWA")</f>
        <v>UMYWALKA MARGOT BLACK GOLD  - NABLATOWA</v>
      </c>
      <c r="C478" s="23"/>
      <c r="D478" s="24">
        <f ca="1">IFERROR(__xludf.DUMMYFUNCTION("""COMPUTED_VALUE"""),619)</f>
        <v>619</v>
      </c>
      <c r="E478" s="25" t="str">
        <f ca="1">IFERROR(__xludf.DUMMYFUNCTION("""COMPUTED_VALUE"""),"REA-U8978")</f>
        <v>REA-U8978</v>
      </c>
    </row>
    <row r="479" spans="1:5" x14ac:dyDescent="0.2">
      <c r="A479" s="22">
        <f ca="1">IFERROR(__xludf.DUMMYFUNCTION("""COMPUTED_VALUE"""),45560)</f>
        <v>45560</v>
      </c>
      <c r="B479" s="23" t="str">
        <f ca="1">IFERROR(__xludf.DUMMYFUNCTION("""COMPUTED_VALUE"""),"UMYWALKA BELINDA SAVANA - NABLATOWA")</f>
        <v>UMYWALKA BELINDA SAVANA - NABLATOWA</v>
      </c>
      <c r="C479" s="23"/>
      <c r="D479" s="24">
        <f ca="1">IFERROR(__xludf.DUMMYFUNCTION("""COMPUTED_VALUE"""),359)</f>
        <v>359</v>
      </c>
      <c r="E479" s="25" t="str">
        <f ca="1">IFERROR(__xludf.DUMMYFUNCTION("""COMPUTED_VALUE"""),"REA-U3323")</f>
        <v>REA-U3323</v>
      </c>
    </row>
    <row r="480" spans="1:5" x14ac:dyDescent="0.2">
      <c r="A480" s="22">
        <f ca="1">IFERROR(__xludf.DUMMYFUNCTION("""COMPUTED_VALUE"""),45560)</f>
        <v>45560</v>
      </c>
      <c r="B480" s="23" t="str">
        <f ca="1">IFERROR(__xludf.DUMMYFUNCTION("""COMPUTED_VALUE"""),"UMYWALKA BELINDA BLACK MARBLE SHINY - NABLATOWA")</f>
        <v>UMYWALKA BELINDA BLACK MARBLE SHINY - NABLATOWA</v>
      </c>
      <c r="C480" s="23"/>
      <c r="D480" s="24">
        <f ca="1">IFERROR(__xludf.DUMMYFUNCTION("""COMPUTED_VALUE"""),359)</f>
        <v>359</v>
      </c>
      <c r="E480" s="25" t="str">
        <f ca="1">IFERROR(__xludf.DUMMYFUNCTION("""COMPUTED_VALUE"""),"REA-U8907")</f>
        <v>REA-U8907</v>
      </c>
    </row>
    <row r="481" spans="1:5" x14ac:dyDescent="0.2">
      <c r="A481" s="22">
        <f ca="1">IFERROR(__xludf.DUMMYFUNCTION("""COMPUTED_VALUE"""),45560)</f>
        <v>45560</v>
      </c>
      <c r="B481" s="23" t="str">
        <f ca="1">IFERROR(__xludf.DUMMYFUNCTION("""COMPUTED_VALUE"""),"UMYWALKA BELINDA BLACK MARBLE MATT - NABLATOWA")</f>
        <v>UMYWALKA BELINDA BLACK MARBLE MATT - NABLATOWA</v>
      </c>
      <c r="C481" s="23"/>
      <c r="D481" s="24">
        <f ca="1">IFERROR(__xludf.DUMMYFUNCTION("""COMPUTED_VALUE"""),359)</f>
        <v>359</v>
      </c>
      <c r="E481" s="25" t="str">
        <f ca="1">IFERROR(__xludf.DUMMYFUNCTION("""COMPUTED_VALUE"""),"REA-U8908")</f>
        <v>REA-U8908</v>
      </c>
    </row>
    <row r="482" spans="1:5" x14ac:dyDescent="0.2">
      <c r="A482" s="22">
        <f ca="1">IFERROR(__xludf.DUMMYFUNCTION("""COMPUTED_VALUE"""),45560)</f>
        <v>45560</v>
      </c>
      <c r="B482" s="23" t="str">
        <f ca="1">IFERROR(__xludf.DUMMYFUNCTION("""COMPUTED_VALUE"""),"UMYWALKA CINDY - NABLATOWA")</f>
        <v>UMYWALKA CINDY - NABLATOWA</v>
      </c>
      <c r="C482" s="23"/>
      <c r="D482" s="24">
        <f ca="1">IFERROR(__xludf.DUMMYFUNCTION("""COMPUTED_VALUE"""),279)</f>
        <v>279</v>
      </c>
      <c r="E482" s="25" t="str">
        <f ca="1">IFERROR(__xludf.DUMMYFUNCTION("""COMPUTED_VALUE"""),"REA-U0155")</f>
        <v>REA-U0155</v>
      </c>
    </row>
    <row r="483" spans="1:5" x14ac:dyDescent="0.2">
      <c r="A483" s="22">
        <f ca="1">IFERROR(__xludf.DUMMYFUNCTION("""COMPUTED_VALUE"""),45560)</f>
        <v>45560</v>
      </c>
      <c r="B483" s="23" t="str">
        <f ca="1">IFERROR(__xludf.DUMMYFUNCTION("""COMPUTED_VALUE"""),"UMYWALKA MERYL BLACK - NABLATOWA")</f>
        <v>UMYWALKA MERYL BLACK - NABLATOWA</v>
      </c>
      <c r="C483" s="23"/>
      <c r="D483" s="24">
        <f ca="1">IFERROR(__xludf.DUMMYFUNCTION("""COMPUTED_VALUE"""),649)</f>
        <v>649</v>
      </c>
      <c r="E483" s="25" t="str">
        <f ca="1">IFERROR(__xludf.DUMMYFUNCTION("""COMPUTED_VALUE"""),"REA-U8811")</f>
        <v>REA-U8811</v>
      </c>
    </row>
    <row r="484" spans="1:5" x14ac:dyDescent="0.2">
      <c r="A484" s="22" t="str">
        <f ca="1">IFERROR(__xludf.DUMMYFUNCTION("""COMPUTED_VALUE""")," ")</f>
        <v xml:space="preserve"> </v>
      </c>
      <c r="B484" s="23" t="str">
        <f ca="1">IFERROR(__xludf.DUMMYFUNCTION("""COMPUTED_VALUE"""),"UMYWALKA BLANKA MARBLE - WOLNOSTOJĄCA")</f>
        <v>UMYWALKA BLANKA MARBLE - WOLNOSTOJĄCA</v>
      </c>
      <c r="C484" s="23"/>
      <c r="D484" s="24">
        <f ca="1">IFERROR(__xludf.DUMMYFUNCTION("""COMPUTED_VALUE"""),1599)</f>
        <v>1599</v>
      </c>
      <c r="E484" s="25" t="str">
        <f ca="1">IFERROR(__xludf.DUMMYFUNCTION("""COMPUTED_VALUE"""),"REA-U8704")</f>
        <v>REA-U8704</v>
      </c>
    </row>
    <row r="485" spans="1:5" x14ac:dyDescent="0.2">
      <c r="A485" s="22">
        <f ca="1">IFERROR(__xludf.DUMMYFUNCTION("""COMPUTED_VALUE"""),45560)</f>
        <v>45560</v>
      </c>
      <c r="B485" s="23" t="str">
        <f ca="1">IFERROR(__xludf.DUMMYFUNCTION("""COMPUTED_VALUE"""),"UMYWALKA ESTERA - WOLNOSTOJĄCA")</f>
        <v>UMYWALKA ESTERA - WOLNOSTOJĄCA</v>
      </c>
      <c r="C485" s="23"/>
      <c r="D485" s="24">
        <f ca="1">IFERROR(__xludf.DUMMYFUNCTION("""COMPUTED_VALUE"""),1349)</f>
        <v>1349</v>
      </c>
      <c r="E485" s="25" t="str">
        <f ca="1">IFERROR(__xludf.DUMMYFUNCTION("""COMPUTED_VALUE"""),"REA-U0756")</f>
        <v>REA-U0756</v>
      </c>
    </row>
    <row r="486" spans="1:5" x14ac:dyDescent="0.2">
      <c r="A486" s="22">
        <f ca="1">IFERROR(__xludf.DUMMYFUNCTION("""COMPUTED_VALUE"""),45560)</f>
        <v>45560</v>
      </c>
      <c r="B486" s="23" t="str">
        <f ca="1">IFERROR(__xludf.DUMMYFUNCTION("""COMPUTED_VALUE"""),"UMYWALKA ROXY B STONE NATURE - NABLATOWA")</f>
        <v>UMYWALKA ROXY B STONE NATURE - NABLATOWA</v>
      </c>
      <c r="C486" s="23"/>
      <c r="D486" s="24">
        <f ca="1">IFERROR(__xludf.DUMMYFUNCTION("""COMPUTED_VALUE"""),359)</f>
        <v>359</v>
      </c>
      <c r="E486" s="25" t="str">
        <f ca="1">IFERROR(__xludf.DUMMYFUNCTION("""COMPUTED_VALUE"""),"REA-U6650")</f>
        <v>REA-U6650</v>
      </c>
    </row>
    <row r="487" spans="1:5" x14ac:dyDescent="0.2">
      <c r="A487" s="22">
        <f ca="1">IFERROR(__xludf.DUMMYFUNCTION("""COMPUTED_VALUE"""),45560)</f>
        <v>45560</v>
      </c>
      <c r="B487" s="23" t="str">
        <f ca="1">IFERROR(__xludf.DUMMYFUNCTION("""COMPUTED_VALUE"""),"ZESTAW NATRYSKOWY SALTON CHROM")</f>
        <v>ZESTAW NATRYSKOWY SALTON CHROM</v>
      </c>
      <c r="C487" s="23"/>
      <c r="D487" s="24">
        <f ca="1">IFERROR(__xludf.DUMMYFUNCTION("""COMPUTED_VALUE"""),499)</f>
        <v>499</v>
      </c>
      <c r="E487" s="25" t="str">
        <f ca="1">IFERROR(__xludf.DUMMYFUNCTION("""COMPUTED_VALUE"""),"REA-P2408")</f>
        <v>REA-P2408</v>
      </c>
    </row>
    <row r="488" spans="1:5" x14ac:dyDescent="0.2">
      <c r="A488" s="22">
        <f ca="1">IFERROR(__xludf.DUMMYFUNCTION("""COMPUTED_VALUE"""),45560)</f>
        <v>45560</v>
      </c>
      <c r="B488" s="23" t="str">
        <f ca="1">IFERROR(__xludf.DUMMYFUNCTION("""COMPUTED_VALUE"""),"BATERIA WANNOWA PODŁOGOWA MONO ZŁOTA")</f>
        <v>BATERIA WANNOWA PODŁOGOWA MONO ZŁOTA</v>
      </c>
      <c r="C488" s="23"/>
      <c r="D488" s="24">
        <f ca="1">IFERROR(__xludf.DUMMYFUNCTION("""COMPUTED_VALUE"""),999)</f>
        <v>999</v>
      </c>
      <c r="E488" s="25" t="str">
        <f ca="1">IFERROR(__xludf.DUMMYFUNCTION("""COMPUTED_VALUE"""),"REA-B1130")</f>
        <v>REA-B1130</v>
      </c>
    </row>
    <row r="489" spans="1:5" x14ac:dyDescent="0.2">
      <c r="A489" s="22">
        <f ca="1">IFERROR(__xludf.DUMMYFUNCTION("""COMPUTED_VALUE"""),45560)</f>
        <v>45560</v>
      </c>
      <c r="B489" s="23" t="str">
        <f ca="1">IFERROR(__xludf.DUMMYFUNCTION("""COMPUTED_VALUE"""),"BATERIA WANNOWA PODŁOGOWA MONO CHROM")</f>
        <v>BATERIA WANNOWA PODŁOGOWA MONO CHROM</v>
      </c>
      <c r="C489" s="23"/>
      <c r="D489" s="24">
        <f ca="1">IFERROR(__xludf.DUMMYFUNCTION("""COMPUTED_VALUE"""),859)</f>
        <v>859</v>
      </c>
      <c r="E489" s="25" t="str">
        <f ca="1">IFERROR(__xludf.DUMMYFUNCTION("""COMPUTED_VALUE"""),"REA-B2715")</f>
        <v>REA-B2715</v>
      </c>
    </row>
    <row r="490" spans="1:5" x14ac:dyDescent="0.2">
      <c r="A490" s="22">
        <f ca="1">IFERROR(__xludf.DUMMYFUNCTION("""COMPUTED_VALUE"""),45560)</f>
        <v>45560</v>
      </c>
      <c r="B490" s="23" t="str">
        <f ca="1">IFERROR(__xludf.DUMMYFUNCTION("""COMPUTED_VALUE"""),"BATERIA WANNOWA PODŁOGOWA FLORES CZARNA")</f>
        <v>BATERIA WANNOWA PODŁOGOWA FLORES CZARNA</v>
      </c>
      <c r="C490" s="23"/>
      <c r="D490" s="24">
        <f ca="1">IFERROR(__xludf.DUMMYFUNCTION("""COMPUTED_VALUE"""),959)</f>
        <v>959</v>
      </c>
      <c r="E490" s="25" t="str">
        <f ca="1">IFERROR(__xludf.DUMMYFUNCTION("""COMPUTED_VALUE"""),"REA-B2711")</f>
        <v>REA-B2711</v>
      </c>
    </row>
    <row r="491" spans="1:5" x14ac:dyDescent="0.2">
      <c r="A491" s="22">
        <f ca="1">IFERROR(__xludf.DUMMYFUNCTION("""COMPUTED_VALUE"""),45560)</f>
        <v>45560</v>
      </c>
      <c r="B491" s="23" t="str">
        <f ca="1">IFERROR(__xludf.DUMMYFUNCTION("""COMPUTED_VALUE"""),"ZESTAW NATRYSKOWY MAXIMUS CHROM")</f>
        <v>ZESTAW NATRYSKOWY MAXIMUS CHROM</v>
      </c>
      <c r="C491" s="23"/>
      <c r="D491" s="24">
        <f ca="1">IFERROR(__xludf.DUMMYFUNCTION("""COMPUTED_VALUE"""),499)</f>
        <v>499</v>
      </c>
      <c r="E491" s="25" t="str">
        <f ca="1">IFERROR(__xludf.DUMMYFUNCTION("""COMPUTED_VALUE"""),"REA-P2411")</f>
        <v>REA-P2411</v>
      </c>
    </row>
    <row r="492" spans="1:5" x14ac:dyDescent="0.2">
      <c r="A492" s="22">
        <f ca="1">IFERROR(__xludf.DUMMYFUNCTION("""COMPUTED_VALUE"""),45560)</f>
        <v>45560</v>
      </c>
      <c r="B492" s="23" t="str">
        <f ca="1">IFERROR(__xludf.DUMMYFUNCTION("""COMPUTED_VALUE"""),"BATERIA UMYWALKOWA LUNGO MIEDŹ SZCZOTKOWANA NISKA")</f>
        <v>BATERIA UMYWALKOWA LUNGO MIEDŹ SZCZOTKOWANA NISKA</v>
      </c>
      <c r="C492" s="23"/>
      <c r="D492" s="24">
        <f ca="1">IFERROR(__xludf.DUMMYFUNCTION("""COMPUTED_VALUE"""),289)</f>
        <v>289</v>
      </c>
      <c r="E492" s="25" t="str">
        <f ca="1">IFERROR(__xludf.DUMMYFUNCTION("""COMPUTED_VALUE"""),"REA-B1112")</f>
        <v>REA-B1112</v>
      </c>
    </row>
    <row r="493" spans="1:5" x14ac:dyDescent="0.2">
      <c r="A493" s="22">
        <f ca="1">IFERROR(__xludf.DUMMYFUNCTION("""COMPUTED_VALUE"""),45560)</f>
        <v>45560</v>
      </c>
      <c r="B493" s="23" t="str">
        <f ca="1">IFERROR(__xludf.DUMMYFUNCTION("""COMPUTED_VALUE"""),"BATERIA UMYWALKOWA LUNGO MIEDŹ SZCZOTKOWANA WYSOKA")</f>
        <v>BATERIA UMYWALKOWA LUNGO MIEDŹ SZCZOTKOWANA WYSOKA</v>
      </c>
      <c r="C493" s="23"/>
      <c r="D493" s="24">
        <f ca="1">IFERROR(__xludf.DUMMYFUNCTION("""COMPUTED_VALUE"""),329)</f>
        <v>329</v>
      </c>
      <c r="E493" s="25" t="str">
        <f ca="1">IFERROR(__xludf.DUMMYFUNCTION("""COMPUTED_VALUE"""),"REA-B1114")</f>
        <v>REA-B1114</v>
      </c>
    </row>
    <row r="494" spans="1:5" x14ac:dyDescent="0.2">
      <c r="A494" s="22">
        <f ca="1">IFERROR(__xludf.DUMMYFUNCTION("""COMPUTED_VALUE"""),45560)</f>
        <v>45560</v>
      </c>
      <c r="B494" s="23" t="str">
        <f ca="1">IFERROR(__xludf.DUMMYFUNCTION("""COMPUTED_VALUE"""),"BATERIA WANNOWA LUNGO MIEDŹ SZCZOTKOWANA")</f>
        <v>BATERIA WANNOWA LUNGO MIEDŹ SZCZOTKOWANA</v>
      </c>
      <c r="C494" s="23"/>
      <c r="D494" s="24">
        <f ca="1">IFERROR(__xludf.DUMMYFUNCTION("""COMPUTED_VALUE"""),699)</f>
        <v>699</v>
      </c>
      <c r="E494" s="25" t="str">
        <f ca="1">IFERROR(__xludf.DUMMYFUNCTION("""COMPUTED_VALUE"""),"REA-B1115")</f>
        <v>REA-B1115</v>
      </c>
    </row>
    <row r="495" spans="1:5" x14ac:dyDescent="0.2">
      <c r="A495" s="22">
        <f ca="1">IFERROR(__xludf.DUMMYFUNCTION("""COMPUTED_VALUE"""),45560)</f>
        <v>45560</v>
      </c>
      <c r="B495" s="23" t="str">
        <f ca="1">IFERROR(__xludf.DUMMYFUNCTION("""COMPUTED_VALUE"""),"BATERIA BIDETOWA LUNGO MIEDŹ SZCZOTKOWANA")</f>
        <v>BATERIA BIDETOWA LUNGO MIEDŹ SZCZOTKOWANA</v>
      </c>
      <c r="C495" s="23"/>
      <c r="D495" s="24">
        <f ca="1">IFERROR(__xludf.DUMMYFUNCTION("""COMPUTED_VALUE"""),269)</f>
        <v>269</v>
      </c>
      <c r="E495" s="25" t="str">
        <f ca="1">IFERROR(__xludf.DUMMYFUNCTION("""COMPUTED_VALUE"""),"REA-B1116")</f>
        <v>REA-B1116</v>
      </c>
    </row>
    <row r="496" spans="1:5" x14ac:dyDescent="0.2">
      <c r="A496" s="22">
        <f ca="1">IFERROR(__xludf.DUMMYFUNCTION("""COMPUTED_VALUE"""),45560)</f>
        <v>45560</v>
      </c>
      <c r="B496" s="23" t="str">
        <f ca="1">IFERROR(__xludf.DUMMYFUNCTION("""COMPUTED_VALUE"""),"ZESTAW NATRYSKOWO-WANNOWY LUNGO MIEDŹ SZCZO TERMOS")</f>
        <v>ZESTAW NATRYSKOWO-WANNOWY LUNGO MIEDŹ SZCZO TERMOS</v>
      </c>
      <c r="C496" s="23"/>
      <c r="D496" s="24">
        <f ca="1">IFERROR(__xludf.DUMMYFUNCTION("""COMPUTED_VALUE"""),1159)</f>
        <v>1159</v>
      </c>
      <c r="E496" s="25" t="str">
        <f ca="1">IFERROR(__xludf.DUMMYFUNCTION("""COMPUTED_VALUE"""),"REA-P8807")</f>
        <v>REA-P8807</v>
      </c>
    </row>
    <row r="497" spans="1:5" x14ac:dyDescent="0.2">
      <c r="A497" s="22">
        <f ca="1">IFERROR(__xludf.DUMMYFUNCTION("""COMPUTED_VALUE"""),45560)</f>
        <v>45560</v>
      </c>
      <c r="B497" s="23" t="str">
        <f ca="1">IFERROR(__xludf.DUMMYFUNCTION("""COMPUTED_VALUE"""),"ZESTAW NATRYSKOWY PODTYNKOW LUNGO MIEDŹ SZCZO TERM")</f>
        <v>ZESTAW NATRYSKOWY PODTYNKOW LUNGO MIEDŹ SZCZO TERM</v>
      </c>
      <c r="C497" s="23"/>
      <c r="D497" s="24">
        <f ca="1">IFERROR(__xludf.DUMMYFUNCTION("""COMPUTED_VALUE"""),1229)</f>
        <v>1229</v>
      </c>
      <c r="E497" s="25" t="str">
        <f ca="1">IFERROR(__xludf.DUMMYFUNCTION("""COMPUTED_VALUE"""),"REA-P8808")</f>
        <v>REA-P8808</v>
      </c>
    </row>
    <row r="498" spans="1:5" x14ac:dyDescent="0.2">
      <c r="A498" s="22">
        <f ca="1">IFERROR(__xludf.DUMMYFUNCTION("""COMPUTED_VALUE"""),45560)</f>
        <v>45560</v>
      </c>
      <c r="B498" s="23" t="str">
        <f ca="1">IFERROR(__xludf.DUMMYFUNCTION("""COMPUTED_VALUE"""),"ZESTAW NATRYSKOWY PODTYNKOWY LUNGO MIEDŹ SZCZOTKOW")</f>
        <v>ZESTAW NATRYSKOWY PODTYNKOWY LUNGO MIEDŹ SZCZOTKOW</v>
      </c>
      <c r="C498" s="23"/>
      <c r="D498" s="24">
        <f ca="1">IFERROR(__xludf.DUMMYFUNCTION("""COMPUTED_VALUE"""),1099)</f>
        <v>1099</v>
      </c>
      <c r="E498" s="25" t="str">
        <f ca="1">IFERROR(__xludf.DUMMYFUNCTION("""COMPUTED_VALUE"""),"REA-P8809")</f>
        <v>REA-P8809</v>
      </c>
    </row>
    <row r="499" spans="1:5" x14ac:dyDescent="0.2">
      <c r="A499" s="22">
        <f ca="1">IFERROR(__xludf.DUMMYFUNCTION("""COMPUTED_VALUE"""),45560)</f>
        <v>45560</v>
      </c>
      <c r="B499" s="23" t="str">
        <f ca="1">IFERROR(__xludf.DUMMYFUNCTION("""COMPUTED_VALUE"""),"ZESTAW NATRYSKOWO-WANNOWY Z WYLEWKĄ LUNGO MIEDŹ SZ")</f>
        <v>ZESTAW NATRYSKOWO-WANNOWY Z WYLEWKĄ LUNGO MIEDŹ SZ</v>
      </c>
      <c r="C499" s="23"/>
      <c r="D499" s="24">
        <f ca="1">IFERROR(__xludf.DUMMYFUNCTION("""COMPUTED_VALUE"""),1159)</f>
        <v>1159</v>
      </c>
      <c r="E499" s="25" t="str">
        <f ca="1">IFERROR(__xludf.DUMMYFUNCTION("""COMPUTED_VALUE"""),"REA-P8810")</f>
        <v>REA-P8810</v>
      </c>
    </row>
    <row r="500" spans="1:5" x14ac:dyDescent="0.2">
      <c r="A500" s="22">
        <f ca="1">IFERROR(__xludf.DUMMYFUNCTION("""COMPUTED_VALUE"""),45560)</f>
        <v>45560</v>
      </c>
      <c r="B500" s="23" t="str">
        <f ca="1">IFERROR(__xludf.DUMMYFUNCTION("""COMPUTED_VALUE"""),"BATERIA WANNOWA VERSO GOLD SZCZOTKOWANA ")</f>
        <v xml:space="preserve">BATERIA WANNOWA VERSO GOLD SZCZOTKOWANA </v>
      </c>
      <c r="C500" s="23"/>
      <c r="D500" s="24">
        <f ca="1">IFERROR(__xludf.DUMMYFUNCTION("""COMPUTED_VALUE"""),519)</f>
        <v>519</v>
      </c>
      <c r="E500" s="25" t="str">
        <f ca="1">IFERROR(__xludf.DUMMYFUNCTION("""COMPUTED_VALUE"""),"REA-B6565")</f>
        <v>REA-B6565</v>
      </c>
    </row>
    <row r="501" spans="1:5" x14ac:dyDescent="0.2">
      <c r="A501" s="22"/>
      <c r="B501" s="23" t="str">
        <f ca="1">IFERROR(__xludf.DUMMYFUNCTION("""COMPUTED_VALUE"""),"BRODZIK SAVOY 80*80*6cm + SYFON")</f>
        <v>BRODZIK SAVOY 80*80*6cm + SYFON</v>
      </c>
      <c r="C501" s="23"/>
      <c r="D501" s="24">
        <f ca="1">IFERROR(__xludf.DUMMYFUNCTION("""COMPUTED_VALUE"""),399)</f>
        <v>399</v>
      </c>
      <c r="E501" s="25" t="str">
        <f ca="1">IFERROR(__xludf.DUMMYFUNCTION("""COMPUTED_VALUE"""),"REA-K1906")</f>
        <v>REA-K1906</v>
      </c>
    </row>
    <row r="502" spans="1:5" x14ac:dyDescent="0.2">
      <c r="A502" s="22">
        <f ca="1">IFERROR(__xludf.DUMMYFUNCTION("""COMPUTED_VALUE"""),45545)</f>
        <v>45545</v>
      </c>
      <c r="B502" s="23" t="str">
        <f ca="1">IFERROR(__xludf.DUMMYFUNCTION("""COMPUTED_VALUE"""),"UMYWALKA ROXY A STONE D.GREY - NABLATOWA")</f>
        <v>UMYWALKA ROXY A STONE D.GREY - NABLATOWA</v>
      </c>
      <c r="C502" s="23"/>
      <c r="D502" s="24">
        <f ca="1">IFERROR(__xludf.DUMMYFUNCTION("""COMPUTED_VALUE"""),359)</f>
        <v>359</v>
      </c>
      <c r="E502" s="25" t="str">
        <f ca="1">IFERROR(__xludf.DUMMYFUNCTION("""COMPUTED_VALUE"""),"REA-U6649")</f>
        <v>REA-U6649</v>
      </c>
    </row>
    <row r="503" spans="1:5" x14ac:dyDescent="0.2">
      <c r="A503" s="22">
        <f ca="1">IFERROR(__xludf.DUMMYFUNCTION("""COMPUTED_VALUE"""),45545)</f>
        <v>45545</v>
      </c>
      <c r="B503" s="23" t="str">
        <f ca="1">IFERROR(__xludf.DUMMYFUNCTION("""COMPUTED_VALUE"""),"UMYWALKA ROXY C STONE L.GREY - NABLATOWA")</f>
        <v>UMYWALKA ROXY C STONE L.GREY - NABLATOWA</v>
      </c>
      <c r="C503" s="23"/>
      <c r="D503" s="24">
        <f ca="1">IFERROR(__xludf.DUMMYFUNCTION("""COMPUTED_VALUE"""),359)</f>
        <v>359</v>
      </c>
      <c r="E503" s="25" t="str">
        <f ca="1">IFERROR(__xludf.DUMMYFUNCTION("""COMPUTED_VALUE"""),"REA-U6651")</f>
        <v>REA-U6651</v>
      </c>
    </row>
    <row r="504" spans="1:5" x14ac:dyDescent="0.2">
      <c r="A504" s="22">
        <f ca="1">IFERROR(__xludf.DUMMYFUNCTION("""COMPUTED_VALUE"""),45545)</f>
        <v>45545</v>
      </c>
      <c r="B504" s="23" t="str">
        <f ca="1">IFERROR(__xludf.DUMMYFUNCTION("""COMPUTED_VALUE"""),"UMYWALKA GINA 60 - NABLATOWA")</f>
        <v>UMYWALKA GINA 60 - NABLATOWA</v>
      </c>
      <c r="C504" s="23"/>
      <c r="D504" s="24">
        <f ca="1">IFERROR(__xludf.DUMMYFUNCTION("""COMPUTED_VALUE"""),419)</f>
        <v>419</v>
      </c>
      <c r="E504" s="25" t="str">
        <f ca="1">IFERROR(__xludf.DUMMYFUNCTION("""COMPUTED_VALUE"""),"REA-U0677")</f>
        <v>REA-U0677</v>
      </c>
    </row>
    <row r="505" spans="1:5" x14ac:dyDescent="0.2">
      <c r="A505" s="22">
        <f ca="1">IFERROR(__xludf.DUMMYFUNCTION("""COMPUTED_VALUE"""),45545)</f>
        <v>45545</v>
      </c>
      <c r="B505" s="23" t="str">
        <f ca="1">IFERROR(__xludf.DUMMYFUNCTION("""COMPUTED_VALUE"""),"UMYWALKA BELINDA MINI - NABLATOWA")</f>
        <v>UMYWALKA BELINDA MINI - NABLATOWA</v>
      </c>
      <c r="C505" s="23"/>
      <c r="D505" s="24">
        <f ca="1">IFERROR(__xludf.DUMMYFUNCTION("""COMPUTED_VALUE"""),199)</f>
        <v>199</v>
      </c>
      <c r="E505" s="25" t="str">
        <f ca="1">IFERROR(__xludf.DUMMYFUNCTION("""COMPUTED_VALUE"""),"REA-U5667")</f>
        <v>REA-U5667</v>
      </c>
    </row>
    <row r="506" spans="1:5" x14ac:dyDescent="0.2">
      <c r="A506" s="22">
        <f ca="1">IFERROR(__xludf.DUMMYFUNCTION("""COMPUTED_VALUE"""),45545)</f>
        <v>45545</v>
      </c>
      <c r="B506" s="23" t="str">
        <f ca="1">IFERROR(__xludf.DUMMYFUNCTION("""COMPUTED_VALUE"""),"UMYWALKA SAMI TERRA MATT - NABLATOWA")</f>
        <v>UMYWALKA SAMI TERRA MATT - NABLATOWA</v>
      </c>
      <c r="C506" s="23"/>
      <c r="D506" s="24">
        <f ca="1">IFERROR(__xludf.DUMMYFUNCTION("""COMPUTED_VALUE"""),499)</f>
        <v>499</v>
      </c>
      <c r="E506" s="25" t="str">
        <f ca="1">IFERROR(__xludf.DUMMYFUNCTION("""COMPUTED_VALUE"""),"REA-U4566")</f>
        <v>REA-U4566</v>
      </c>
    </row>
    <row r="507" spans="1:5" x14ac:dyDescent="0.2">
      <c r="A507" s="22">
        <f ca="1">IFERROR(__xludf.DUMMYFUNCTION("""COMPUTED_VALUE"""),45545)</f>
        <v>45545</v>
      </c>
      <c r="B507" s="23" t="str">
        <f ca="1">IFERROR(__xludf.DUMMYFUNCTION("""COMPUTED_VALUE"""),"UMYWALKA SAMI GREEN MATT - NABLATOWA")</f>
        <v>UMYWALKA SAMI GREEN MATT - NABLATOWA</v>
      </c>
      <c r="C507" s="23"/>
      <c r="D507" s="24">
        <f ca="1">IFERROR(__xludf.DUMMYFUNCTION("""COMPUTED_VALUE"""),499)</f>
        <v>499</v>
      </c>
      <c r="E507" s="25" t="str">
        <f ca="1">IFERROR(__xludf.DUMMYFUNCTION("""COMPUTED_VALUE"""),"REA-U4567")</f>
        <v>REA-U4567</v>
      </c>
    </row>
    <row r="508" spans="1:5" x14ac:dyDescent="0.2">
      <c r="A508" s="22">
        <f ca="1">IFERROR(__xludf.DUMMYFUNCTION("""COMPUTED_VALUE"""),45545)</f>
        <v>45545</v>
      </c>
      <c r="B508" s="23" t="str">
        <f ca="1">IFERROR(__xludf.DUMMYFUNCTION("""COMPUTED_VALUE"""),"UMYWALKA ROYAL 60 LAVA MATT - NABLATOWA")</f>
        <v>UMYWALKA ROYAL 60 LAVA MATT - NABLATOWA</v>
      </c>
      <c r="C508" s="23"/>
      <c r="D508" s="24">
        <f ca="1">IFERROR(__xludf.DUMMYFUNCTION("""COMPUTED_VALUE"""),459)</f>
        <v>459</v>
      </c>
      <c r="E508" s="25" t="str">
        <f ca="1">IFERROR(__xludf.DUMMYFUNCTION("""COMPUTED_VALUE"""),"REA-U8598")</f>
        <v>REA-U8598</v>
      </c>
    </row>
    <row r="509" spans="1:5" x14ac:dyDescent="0.2">
      <c r="A509" s="22"/>
      <c r="B509" s="23" t="str">
        <f ca="1">IFERROR(__xludf.DUMMYFUNCTION("""COMPUTED_VALUE"""),"KABINA SOLAR L.GOLD 90X90")</f>
        <v>KABINA SOLAR L.GOLD 90X90</v>
      </c>
      <c r="C509" s="23"/>
      <c r="D509" s="24">
        <f ca="1">IFERROR(__xludf.DUMMYFUNCTION("""COMPUTED_VALUE"""),1299)</f>
        <v>1299</v>
      </c>
      <c r="E509" s="25" t="str">
        <f ca="1">IFERROR(__xludf.DUMMYFUNCTION("""COMPUTED_VALUE"""),"REA-K4900")</f>
        <v>REA-K4900</v>
      </c>
    </row>
    <row r="510" spans="1:5" x14ac:dyDescent="0.2">
      <c r="A510" s="22">
        <f ca="1">IFERROR(__xludf.DUMMYFUNCTION("""COMPUTED_VALUE"""),45533)</f>
        <v>45533</v>
      </c>
      <c r="B510" s="23" t="str">
        <f ca="1">IFERROR(__xludf.DUMMYFUNCTION("""COMPUTED_VALUE"""),"KABINA HUGO GOLD SZCZOTKOWANY 100x100")</f>
        <v>KABINA HUGO GOLD SZCZOTKOWANY 100x100</v>
      </c>
      <c r="C510" s="23"/>
      <c r="D510" s="24">
        <f ca="1">IFERROR(__xludf.DUMMYFUNCTION("""COMPUTED_VALUE"""),2099)</f>
        <v>2099</v>
      </c>
      <c r="E510" s="25" t="str">
        <f ca="1">IFERROR(__xludf.DUMMYFUNCTION("""COMPUTED_VALUE"""),"REA-K6605")</f>
        <v>REA-K6605</v>
      </c>
    </row>
    <row r="511" spans="1:5" x14ac:dyDescent="0.2">
      <c r="A511" s="22">
        <f ca="1">IFERROR(__xludf.DUMMYFUNCTION("""COMPUTED_VALUE"""),45533)</f>
        <v>45533</v>
      </c>
      <c r="B511" s="23" t="str">
        <f ca="1">IFERROR(__xludf.DUMMYFUNCTION("""COMPUTED_VALUE"""),"KABINA HUGO GOLD SZCZOTKOWANY 90x90")</f>
        <v>KABINA HUGO GOLD SZCZOTKOWANY 90x90</v>
      </c>
      <c r="C511" s="23"/>
      <c r="D511" s="24">
        <f ca="1">IFERROR(__xludf.DUMMYFUNCTION("""COMPUTED_VALUE"""),2059)</f>
        <v>2059</v>
      </c>
      <c r="E511" s="25" t="str">
        <f ca="1">IFERROR(__xludf.DUMMYFUNCTION("""COMPUTED_VALUE"""),"REA-K6609")</f>
        <v>REA-K6609</v>
      </c>
    </row>
    <row r="512" spans="1:5" x14ac:dyDescent="0.2">
      <c r="A512" s="22">
        <f ca="1">IFERROR(__xludf.DUMMYFUNCTION("""COMPUTED_VALUE"""),45533)</f>
        <v>45533</v>
      </c>
      <c r="B512" s="23" t="str">
        <f ca="1">IFERROR(__xludf.DUMMYFUNCTION("""COMPUTED_VALUE"""),"KABINA HUGO BLACK 100x100")</f>
        <v>KABINA HUGO BLACK 100x100</v>
      </c>
      <c r="C512" s="23"/>
      <c r="D512" s="24">
        <f ca="1">IFERROR(__xludf.DUMMYFUNCTION("""COMPUTED_VALUE"""),1799)</f>
        <v>1799</v>
      </c>
      <c r="E512" s="25" t="str">
        <f ca="1">IFERROR(__xludf.DUMMYFUNCTION("""COMPUTED_VALUE"""),"REA-K6602")</f>
        <v>REA-K6602</v>
      </c>
    </row>
    <row r="513" spans="1:5" x14ac:dyDescent="0.2">
      <c r="A513" s="22">
        <f ca="1">IFERROR(__xludf.DUMMYFUNCTION("""COMPUTED_VALUE"""),45533)</f>
        <v>45533</v>
      </c>
      <c r="B513" s="23" t="str">
        <f ca="1">IFERROR(__xludf.DUMMYFUNCTION("""COMPUTED_VALUE"""),"ZESTAW NATRYSKOWO-WANNOWY LUNGO ZŁOTY SZCZOTK TERM")</f>
        <v>ZESTAW NATRYSKOWO-WANNOWY LUNGO ZŁOTY SZCZOTK TERM</v>
      </c>
      <c r="C513" s="23"/>
      <c r="D513" s="24">
        <f ca="1">IFERROR(__xludf.DUMMYFUNCTION("""COMPUTED_VALUE"""),1159)</f>
        <v>1159</v>
      </c>
      <c r="E513" s="25" t="str">
        <f ca="1">IFERROR(__xludf.DUMMYFUNCTION("""COMPUTED_VALUE"""),"REA-P6604")</f>
        <v>REA-P6604</v>
      </c>
    </row>
    <row r="514" spans="1:5" x14ac:dyDescent="0.2">
      <c r="A514" s="22">
        <f ca="1">IFERROR(__xludf.DUMMYFUNCTION("""COMPUTED_VALUE"""),45533)</f>
        <v>45533</v>
      </c>
      <c r="B514" s="23" t="str">
        <f ca="1">IFERROR(__xludf.DUMMYFUNCTION("""COMPUTED_VALUE"""),"BATERIA KUCHENNA FRESH BLACK MATT")</f>
        <v>BATERIA KUCHENNA FRESH BLACK MATT</v>
      </c>
      <c r="C514" s="23"/>
      <c r="D514" s="24">
        <f ca="1">IFERROR(__xludf.DUMMYFUNCTION("""COMPUTED_VALUE"""),229)</f>
        <v>229</v>
      </c>
      <c r="E514" s="25" t="str">
        <f ca="1">IFERROR(__xludf.DUMMYFUNCTION("""COMPUTED_VALUE"""),"REA-B9147")</f>
        <v>REA-B9147</v>
      </c>
    </row>
    <row r="515" spans="1:5" x14ac:dyDescent="0.2">
      <c r="A515" s="22">
        <f ca="1">IFERROR(__xludf.DUMMYFUNCTION("""COMPUTED_VALUE"""),45533)</f>
        <v>45533</v>
      </c>
      <c r="B515" s="23" t="str">
        <f ca="1">IFERROR(__xludf.DUMMYFUNCTION("""COMPUTED_VALUE"""),"DRZWI PRYSZNICOWE RAPID SLIDE GOLD 130")</f>
        <v>DRZWI PRYSZNICOWE RAPID SLIDE GOLD 130</v>
      </c>
      <c r="C515" s="23"/>
      <c r="D515" s="24">
        <f ca="1">IFERROR(__xludf.DUMMYFUNCTION("""COMPUTED_VALUE"""),1029)</f>
        <v>1029</v>
      </c>
      <c r="E515" s="25" t="str">
        <f ca="1">IFERROR(__xludf.DUMMYFUNCTION("""COMPUTED_VALUE"""),"REA-K5615")</f>
        <v>REA-K5615</v>
      </c>
    </row>
    <row r="516" spans="1:5" x14ac:dyDescent="0.2">
      <c r="A516" s="22">
        <f ca="1">IFERROR(__xludf.DUMMYFUNCTION("""COMPUTED_VALUE"""),45533)</f>
        <v>45533</v>
      </c>
      <c r="B516" s="23" t="str">
        <f ca="1">IFERROR(__xludf.DUMMYFUNCTION("""COMPUTED_VALUE"""),"DRZWI PRYSZNICOWE RAPID FOLD GOLD 100")</f>
        <v>DRZWI PRYSZNICOWE RAPID FOLD GOLD 100</v>
      </c>
      <c r="C516" s="23"/>
      <c r="D516" s="24">
        <f ca="1">IFERROR(__xludf.DUMMYFUNCTION("""COMPUTED_VALUE"""),999)</f>
        <v>999</v>
      </c>
      <c r="E516" s="25" t="str">
        <f ca="1">IFERROR(__xludf.DUMMYFUNCTION("""COMPUTED_VALUE"""),"REA-K4130")</f>
        <v>REA-K4130</v>
      </c>
    </row>
    <row r="517" spans="1:5" x14ac:dyDescent="0.2">
      <c r="A517" s="22">
        <f ca="1">IFERROR(__xludf.DUMMYFUNCTION("""COMPUTED_VALUE"""),45533)</f>
        <v>45533</v>
      </c>
      <c r="B517" s="23" t="str">
        <f ca="1">IFERROR(__xludf.DUMMYFUNCTION("""COMPUTED_VALUE"""),"ŚCIANKA PRYSZNICOWA AERO 100 CHROM ""N""")</f>
        <v>ŚCIANKA PRYSZNICOWA AERO 100 CHROM "N"</v>
      </c>
      <c r="C517" s="23"/>
      <c r="D517" s="24">
        <f ca="1">IFERROR(__xludf.DUMMYFUNCTION("""COMPUTED_VALUE"""),909)</f>
        <v>909</v>
      </c>
      <c r="E517" s="25" t="str">
        <f ca="1">IFERROR(__xludf.DUMMYFUNCTION("""COMPUTED_VALUE"""),"REA-K7551")</f>
        <v>REA-K7551</v>
      </c>
    </row>
    <row r="518" spans="1:5" x14ac:dyDescent="0.2">
      <c r="A518" s="22">
        <f ca="1">IFERROR(__xludf.DUMMYFUNCTION("""COMPUTED_VALUE"""),45533)</f>
        <v>45533</v>
      </c>
      <c r="B518" s="23" t="str">
        <f ca="1">IFERROR(__xludf.DUMMYFUNCTION("""COMPUTED_VALUE"""),"DRZWI PRYSZNICOWE MOLIER 80 CHROM + PROFIL")</f>
        <v>DRZWI PRYSZNICOWE MOLIER 80 CHROM + PROFIL</v>
      </c>
      <c r="C518" s="23"/>
      <c r="D518" s="24">
        <f ca="1">IFERROR(__xludf.DUMMYFUNCTION("""COMPUTED_VALUE"""),979)</f>
        <v>979</v>
      </c>
      <c r="E518" s="26"/>
    </row>
    <row r="519" spans="1:5" x14ac:dyDescent="0.2">
      <c r="A519" s="22">
        <f ca="1">IFERROR(__xludf.DUMMYFUNCTION("""COMPUTED_VALUE"""),45533)</f>
        <v>45533</v>
      </c>
      <c r="B519" s="23" t="str">
        <f ca="1">IFERROR(__xludf.DUMMYFUNCTION("""COMPUTED_VALUE"""),"DRZWI PRYSZNICOWE MOLIER 80 CHROM")</f>
        <v>DRZWI PRYSZNICOWE MOLIER 80 CHROM</v>
      </c>
      <c r="C519" s="23"/>
      <c r="D519" s="24">
        <f ca="1">IFERROR(__xludf.DUMMYFUNCTION("""COMPUTED_VALUE"""),819)</f>
        <v>819</v>
      </c>
      <c r="E519" s="25" t="str">
        <f ca="1">IFERROR(__xludf.DUMMYFUNCTION("""COMPUTED_VALUE"""),"REA-K6367")</f>
        <v>REA-K6367</v>
      </c>
    </row>
    <row r="520" spans="1:5" x14ac:dyDescent="0.2">
      <c r="A520" s="22">
        <f ca="1">IFERROR(__xludf.DUMMYFUNCTION("""COMPUTED_VALUE"""),45533)</f>
        <v>45533</v>
      </c>
      <c r="B520" s="23" t="str">
        <f ca="1">IFERROR(__xludf.DUMMYFUNCTION("""COMPUTED_VALUE"""),"KABINA DIAMOND L.GOLD 90X90")</f>
        <v>KABINA DIAMOND L.GOLD 90X90</v>
      </c>
      <c r="C520" s="23"/>
      <c r="D520" s="24">
        <f ca="1">IFERROR(__xludf.DUMMYFUNCTION("""COMPUTED_VALUE"""),1899)</f>
        <v>1899</v>
      </c>
      <c r="E520" s="25" t="str">
        <f ca="1">IFERROR(__xludf.DUMMYFUNCTION("""COMPUTED_VALUE"""),"REA-K4904")</f>
        <v>REA-K4904</v>
      </c>
    </row>
    <row r="521" spans="1:5" x14ac:dyDescent="0.2">
      <c r="A521" s="22">
        <f ca="1">IFERROR(__xludf.DUMMYFUNCTION("""COMPUTED_VALUE"""),45533)</f>
        <v>45533</v>
      </c>
      <c r="B521" s="23" t="str">
        <f ca="1">IFERROR(__xludf.DUMMYFUNCTION("""COMPUTED_VALUE"""),"PARAWAN RUCHOMY LAGOS 70")</f>
        <v>PARAWAN RUCHOMY LAGOS 70</v>
      </c>
      <c r="C521" s="23"/>
      <c r="D521" s="24">
        <f ca="1">IFERROR(__xludf.DUMMYFUNCTION("""COMPUTED_VALUE"""),459)</f>
        <v>459</v>
      </c>
      <c r="E521" s="25" t="str">
        <f ca="1">IFERROR(__xludf.DUMMYFUNCTION("""COMPUTED_VALUE"""),"REA-K7632")</f>
        <v>REA-K7632</v>
      </c>
    </row>
    <row r="522" spans="1:5" x14ac:dyDescent="0.2">
      <c r="A522" s="22">
        <f ca="1">IFERROR(__xludf.DUMMYFUNCTION("""COMPUTED_VALUE"""),45533)</f>
        <v>45533</v>
      </c>
      <c r="B522" s="23" t="str">
        <f ca="1">IFERROR(__xludf.DUMMYFUNCTION("""COMPUTED_VALUE"""),"BATERIA UMYWALKOWA PODTYN LUNGO MIEDŹ SZCZOT + BOX")</f>
        <v>BATERIA UMYWALKOWA PODTYN LUNGO MIEDŹ SZCZOT + BOX</v>
      </c>
      <c r="C522" s="23"/>
      <c r="D522" s="24">
        <f ca="1">IFERROR(__xludf.DUMMYFUNCTION("""COMPUTED_VALUE"""),489)</f>
        <v>489</v>
      </c>
      <c r="E522" s="25" t="str">
        <f ca="1">IFERROR(__xludf.DUMMYFUNCTION("""COMPUTED_VALUE"""),"REA-B4600")</f>
        <v>REA-B4600</v>
      </c>
    </row>
    <row r="523" spans="1:5" x14ac:dyDescent="0.2">
      <c r="A523" s="22">
        <f ca="1">IFERROR(__xludf.DUMMYFUNCTION("""COMPUTED_VALUE"""),45533)</f>
        <v>45533</v>
      </c>
      <c r="B523" s="23" t="str">
        <f ca="1">IFERROR(__xludf.DUMMYFUNCTION("""COMPUTED_VALUE"""),"BATERIA UMYWAL PODTYN LUNGO LONG MIEDŹ SZCZO + BOX")</f>
        <v>BATERIA UMYWAL PODTYN LUNGO LONG MIEDŹ SZCZO + BOX</v>
      </c>
      <c r="C523" s="23"/>
      <c r="D523" s="24">
        <f ca="1">IFERROR(__xludf.DUMMYFUNCTION("""COMPUTED_VALUE"""),499)</f>
        <v>499</v>
      </c>
      <c r="E523" s="25" t="str">
        <f ca="1">IFERROR(__xludf.DUMMYFUNCTION("""COMPUTED_VALUE"""),"REA-B4601")</f>
        <v>REA-B4601</v>
      </c>
    </row>
    <row r="524" spans="1:5" x14ac:dyDescent="0.2">
      <c r="A524" s="22">
        <f ca="1">IFERROR(__xludf.DUMMYFUNCTION("""COMPUTED_VALUE"""),45533)</f>
        <v>45533</v>
      </c>
      <c r="B524" s="23" t="str">
        <f ca="1">IFERROR(__xludf.DUMMYFUNCTION("""COMPUTED_VALUE"""),"BATERIA UMYWALKOWA LAGUNA ANTYCZNE ZŁOTO")</f>
        <v>BATERIA UMYWALKOWA LAGUNA ANTYCZNE ZŁOTO</v>
      </c>
      <c r="C524" s="23"/>
      <c r="D524" s="24">
        <f ca="1">IFERROR(__xludf.DUMMYFUNCTION("""COMPUTED_VALUE"""),399)</f>
        <v>399</v>
      </c>
      <c r="E524" s="25" t="str">
        <f ca="1">IFERROR(__xludf.DUMMYFUNCTION("""COMPUTED_VALUE"""),"REA-B8120")</f>
        <v>REA-B8120</v>
      </c>
    </row>
    <row r="525" spans="1:5" x14ac:dyDescent="0.2">
      <c r="A525" s="22">
        <f ca="1">IFERROR(__xludf.DUMMYFUNCTION("""COMPUTED_VALUE"""),45533)</f>
        <v>45533</v>
      </c>
      <c r="B525" s="23" t="str">
        <f ca="1">IFERROR(__xludf.DUMMYFUNCTION("""COMPUTED_VALUE"""),"BATERIA PODŁOGOWA WANNOWA ORTIS BLACK")</f>
        <v>BATERIA PODŁOGOWA WANNOWA ORTIS BLACK</v>
      </c>
      <c r="C525" s="23"/>
      <c r="D525" s="24">
        <f ca="1">IFERROR(__xludf.DUMMYFUNCTION("""COMPUTED_VALUE"""),1099)</f>
        <v>1099</v>
      </c>
      <c r="E525" s="25" t="str">
        <f ca="1">IFERROR(__xludf.DUMMYFUNCTION("""COMPUTED_VALUE"""),"REA-B0232")</f>
        <v>REA-B0232</v>
      </c>
    </row>
    <row r="526" spans="1:5" x14ac:dyDescent="0.2">
      <c r="A526" s="22">
        <f ca="1">IFERROR(__xludf.DUMMYFUNCTION("""COMPUTED_VALUE"""),45533)</f>
        <v>45533</v>
      </c>
      <c r="B526" s="23" t="str">
        <f ca="1">IFERROR(__xludf.DUMMYFUNCTION("""COMPUTED_VALUE"""),"ZESTAW NATRYSKOWY MARCO ZŁOTY SZCZOTKOWANY")</f>
        <v>ZESTAW NATRYSKOWY MARCO ZŁOTY SZCZOTKOWANY</v>
      </c>
      <c r="C526" s="23"/>
      <c r="D526" s="24">
        <f ca="1">IFERROR(__xludf.DUMMYFUNCTION("""COMPUTED_VALUE"""),889)</f>
        <v>889</v>
      </c>
      <c r="E526" s="25" t="str">
        <f ca="1">IFERROR(__xludf.DUMMYFUNCTION("""COMPUTED_VALUE"""),"REA-P8548")</f>
        <v>REA-P8548</v>
      </c>
    </row>
    <row r="527" spans="1:5" x14ac:dyDescent="0.2">
      <c r="A527" s="22">
        <f ca="1">IFERROR(__xludf.DUMMYFUNCTION("""COMPUTED_VALUE"""),45533)</f>
        <v>45533</v>
      </c>
      <c r="B527" s="23" t="str">
        <f ca="1">IFERROR(__xludf.DUMMYFUNCTION("""COMPUTED_VALUE"""),"ZESTAW NATRYSKOWY MARCO CZARNY")</f>
        <v>ZESTAW NATRYSKOWY MARCO CZARNY</v>
      </c>
      <c r="C527" s="23"/>
      <c r="D527" s="24">
        <f ca="1">IFERROR(__xludf.DUMMYFUNCTION("""COMPUTED_VALUE"""),699)</f>
        <v>699</v>
      </c>
      <c r="E527" s="25" t="str">
        <f ca="1">IFERROR(__xludf.DUMMYFUNCTION("""COMPUTED_VALUE"""),"REA-P8545")</f>
        <v>REA-P8545</v>
      </c>
    </row>
    <row r="528" spans="1:5" x14ac:dyDescent="0.2">
      <c r="A528" s="22">
        <f ca="1">IFERROR(__xludf.DUMMYFUNCTION("""COMPUTED_VALUE"""),45533)</f>
        <v>45533</v>
      </c>
      <c r="B528" s="23" t="str">
        <f ca="1">IFERROR(__xludf.DUMMYFUNCTION("""COMPUTED_VALUE"""),"ZESTAW NATRYSKOWY NAVARO")</f>
        <v>ZESTAW NATRYSKOWY NAVARO</v>
      </c>
      <c r="C528" s="23"/>
      <c r="D528" s="24">
        <f ca="1">IFERROR(__xludf.DUMMYFUNCTION("""COMPUTED_VALUE"""),759)</f>
        <v>759</v>
      </c>
      <c r="E528" s="25" t="str">
        <f ca="1">IFERROR(__xludf.DUMMYFUNCTION("""COMPUTED_VALUE"""),"REA-P0802")</f>
        <v>REA-P0802</v>
      </c>
    </row>
    <row r="529" spans="1:5" x14ac:dyDescent="0.2">
      <c r="A529" s="22">
        <f ca="1">IFERROR(__xludf.DUMMYFUNCTION("""COMPUTED_VALUE"""),45533)</f>
        <v>45533</v>
      </c>
      <c r="B529" s="23" t="str">
        <f ca="1">IFERROR(__xludf.DUMMYFUNCTION("""COMPUTED_VALUE"""),"BATERIA WYSOKA TESS L. GOLD")</f>
        <v>BATERIA WYSOKA TESS L. GOLD</v>
      </c>
      <c r="C529" s="23"/>
      <c r="D529" s="24">
        <f ca="1">IFERROR(__xludf.DUMMYFUNCTION("""COMPUTED_VALUE"""),309)</f>
        <v>309</v>
      </c>
      <c r="E529" s="25" t="str">
        <f ca="1">IFERROR(__xludf.DUMMYFUNCTION("""COMPUTED_VALUE"""),"REA-B8803")</f>
        <v>REA-B8803</v>
      </c>
    </row>
    <row r="530" spans="1:5" x14ac:dyDescent="0.2">
      <c r="A530" s="22">
        <f ca="1">IFERROR(__xludf.DUMMYFUNCTION("""COMPUTED_VALUE"""),45516)</f>
        <v>45516</v>
      </c>
      <c r="B530" s="23" t="str">
        <f ca="1">IFERROR(__xludf.DUMMYFUNCTION("""COMPUTED_VALUE"""),"WC - CARLO MINI TORNADO/DUROPLAST/SLIM/ZM")</f>
        <v>WC - CARLO MINI TORNADO/DUROPLAST/SLIM/ZM</v>
      </c>
      <c r="C530" s="23"/>
      <c r="D530" s="24">
        <f ca="1">IFERROR(__xludf.DUMMYFUNCTION("""COMPUTED_VALUE"""),669)</f>
        <v>669</v>
      </c>
      <c r="E530" s="25" t="str">
        <f ca="1">IFERROR(__xludf.DUMMYFUNCTION("""COMPUTED_VALUE"""),"REA-C1259")</f>
        <v>REA-C1259</v>
      </c>
    </row>
    <row r="531" spans="1:5" x14ac:dyDescent="0.2">
      <c r="A531" s="22">
        <f ca="1">IFERROR(__xludf.DUMMYFUNCTION("""COMPUTED_VALUE"""),45516)</f>
        <v>45516</v>
      </c>
      <c r="B531" s="23" t="str">
        <f ca="1">IFERROR(__xludf.DUMMYFUNCTION("""COMPUTED_VALUE"""),"UMYWALKA SAMI TERRA MATT - NABLATOWA")</f>
        <v>UMYWALKA SAMI TERRA MATT - NABLATOWA</v>
      </c>
      <c r="C531" s="23"/>
      <c r="D531" s="24">
        <f ca="1">IFERROR(__xludf.DUMMYFUNCTION("""COMPUTED_VALUE"""),499)</f>
        <v>499</v>
      </c>
      <c r="E531" s="25" t="str">
        <f ca="1">IFERROR(__xludf.DUMMYFUNCTION("""COMPUTED_VALUE"""),"REA-U4566")</f>
        <v>REA-U4566</v>
      </c>
    </row>
    <row r="532" spans="1:5" x14ac:dyDescent="0.2">
      <c r="A532" s="22">
        <f ca="1">IFERROR(__xludf.DUMMYFUNCTION("""COMPUTED_VALUE"""),45516)</f>
        <v>45516</v>
      </c>
      <c r="B532" s="23" t="str">
        <f ca="1">IFERROR(__xludf.DUMMYFUNCTION("""COMPUTED_VALUE"""),"UMYWALKA SAMI GREEN MATT - NABLATOWA")</f>
        <v>UMYWALKA SAMI GREEN MATT - NABLATOWA</v>
      </c>
      <c r="C532" s="23"/>
      <c r="D532" s="24">
        <f ca="1">IFERROR(__xludf.DUMMYFUNCTION("""COMPUTED_VALUE"""),499)</f>
        <v>499</v>
      </c>
      <c r="E532" s="25" t="str">
        <f ca="1">IFERROR(__xludf.DUMMYFUNCTION("""COMPUTED_VALUE"""),"REA-U4567")</f>
        <v>REA-U4567</v>
      </c>
    </row>
    <row r="533" spans="1:5" x14ac:dyDescent="0.2">
      <c r="A533" s="22">
        <f ca="1">IFERROR(__xludf.DUMMYFUNCTION("""COMPUTED_VALUE"""),45516)</f>
        <v>45516</v>
      </c>
      <c r="B533" s="23" t="str">
        <f ca="1">IFERROR(__xludf.DUMMYFUNCTION("""COMPUTED_VALUE"""),"WC - CARLO MINI RIMLESS DUROPLAST/FLAT/ZM")</f>
        <v>WC - CARLO MINI RIMLESS DUROPLAST/FLAT/ZM</v>
      </c>
      <c r="C533" s="23"/>
      <c r="D533" s="24">
        <f ca="1">IFERROR(__xludf.DUMMYFUNCTION("""COMPUTED_VALUE"""),679)</f>
        <v>679</v>
      </c>
      <c r="E533" s="25" t="str">
        <f ca="1">IFERROR(__xludf.DUMMYFUNCTION("""COMPUTED_VALUE"""),"REA-C2760")</f>
        <v>REA-C2760</v>
      </c>
    </row>
    <row r="534" spans="1:5" x14ac:dyDescent="0.2">
      <c r="A534" s="22">
        <f ca="1">IFERROR(__xludf.DUMMYFUNCTION("""COMPUTED_VALUE"""),45516)</f>
        <v>45516</v>
      </c>
      <c r="B534" s="23" t="str">
        <f ca="1">IFERROR(__xludf.DUMMYFUNCTION("""COMPUTED_VALUE"""),"UMYWALKA BELINDA MINI - NABLATOWA")</f>
        <v>UMYWALKA BELINDA MINI - NABLATOWA</v>
      </c>
      <c r="C534" s="23"/>
      <c r="D534" s="24">
        <f ca="1">IFERROR(__xludf.DUMMYFUNCTION("""COMPUTED_VALUE"""),199)</f>
        <v>199</v>
      </c>
      <c r="E534" s="25" t="str">
        <f ca="1">IFERROR(__xludf.DUMMYFUNCTION("""COMPUTED_VALUE"""),"REA-U5667")</f>
        <v>REA-U5667</v>
      </c>
    </row>
    <row r="535" spans="1:5" x14ac:dyDescent="0.2">
      <c r="A535" s="22">
        <f ca="1">IFERROR(__xludf.DUMMYFUNCTION("""COMPUTED_VALUE"""),45516)</f>
        <v>45516</v>
      </c>
      <c r="B535" s="23" t="str">
        <f ca="1">IFERROR(__xludf.DUMMYFUNCTION("""COMPUTED_VALUE"""),"UMYWALKA LINDA STONE - NABLATOWA")</f>
        <v>UMYWALKA LINDA STONE - NABLATOWA</v>
      </c>
      <c r="C535" s="23"/>
      <c r="D535" s="24">
        <f ca="1">IFERROR(__xludf.DUMMYFUNCTION("""COMPUTED_VALUE"""),349)</f>
        <v>349</v>
      </c>
      <c r="E535" s="25" t="str">
        <f ca="1">IFERROR(__xludf.DUMMYFUNCTION("""COMPUTED_VALUE"""),"REA-U1020")</f>
        <v>REA-U1020</v>
      </c>
    </row>
    <row r="536" spans="1:5" x14ac:dyDescent="0.2">
      <c r="A536" s="22">
        <f ca="1">IFERROR(__xludf.DUMMYFUNCTION("""COMPUTED_VALUE"""),45516)</f>
        <v>45516</v>
      </c>
      <c r="B536" s="23" t="str">
        <f ca="1">IFERROR(__xludf.DUMMYFUNCTION("""COMPUTED_VALUE"""),"UMYWALKA SOFIA GOLD/WHITE - NABLATOWA")</f>
        <v>UMYWALKA SOFIA GOLD/WHITE - NABLATOWA</v>
      </c>
      <c r="C536" s="23"/>
      <c r="D536" s="24">
        <f ca="1">IFERROR(__xludf.DUMMYFUNCTION("""COMPUTED_VALUE"""),339)</f>
        <v>339</v>
      </c>
      <c r="E536" s="25" t="str">
        <f ca="1">IFERROR(__xludf.DUMMYFUNCTION("""COMPUTED_VALUE"""),"REA-U0456")</f>
        <v>REA-U0456</v>
      </c>
    </row>
    <row r="537" spans="1:5" x14ac:dyDescent="0.2">
      <c r="A537" s="22">
        <f ca="1">IFERROR(__xludf.DUMMYFUNCTION("""COMPUTED_VALUE"""),45516)</f>
        <v>45516</v>
      </c>
      <c r="B537" s="23" t="str">
        <f ca="1">IFERROR(__xludf.DUMMYFUNCTION("""COMPUTED_VALUE"""),"UMYWALKA DAFNE 60 - WPUSZCZANA")</f>
        <v>UMYWALKA DAFNE 60 - WPUSZCZANA</v>
      </c>
      <c r="C537" s="23"/>
      <c r="D537" s="24">
        <f ca="1">IFERROR(__xludf.DUMMYFUNCTION("""COMPUTED_VALUE"""),289)</f>
        <v>289</v>
      </c>
      <c r="E537" s="25" t="str">
        <f ca="1">IFERROR(__xludf.DUMMYFUNCTION("""COMPUTED_VALUE"""),"REA-U0786")</f>
        <v>REA-U0786</v>
      </c>
    </row>
    <row r="538" spans="1:5" x14ac:dyDescent="0.2">
      <c r="A538" s="22">
        <f ca="1">IFERROR(__xludf.DUMMYFUNCTION("""COMPUTED_VALUE"""),45516)</f>
        <v>45516</v>
      </c>
      <c r="B538" s="23" t="str">
        <f ca="1">IFERROR(__xludf.DUMMYFUNCTION("""COMPUTED_VALUE"""),"UMYWALKA DAFNE 70 - WPUSZCZANA")</f>
        <v>UMYWALKA DAFNE 70 - WPUSZCZANA</v>
      </c>
      <c r="C538" s="23"/>
      <c r="D538" s="24">
        <f ca="1">IFERROR(__xludf.DUMMYFUNCTION("""COMPUTED_VALUE"""),299)</f>
        <v>299</v>
      </c>
      <c r="E538" s="25" t="str">
        <f ca="1">IFERROR(__xludf.DUMMYFUNCTION("""COMPUTED_VALUE"""),"REA-U0190")</f>
        <v>REA-U0190</v>
      </c>
    </row>
    <row r="539" spans="1:5" x14ac:dyDescent="0.2">
      <c r="A539" s="22">
        <f ca="1">IFERROR(__xludf.DUMMYFUNCTION("""COMPUTED_VALUE"""),45516)</f>
        <v>45516</v>
      </c>
      <c r="B539" s="23" t="str">
        <f ca="1">IFERROR(__xludf.DUMMYFUNCTION("""COMPUTED_VALUE"""),"UMYWALKA MERYL BLACK - NABLATOWA")</f>
        <v>UMYWALKA MERYL BLACK - NABLATOWA</v>
      </c>
      <c r="C539" s="23"/>
      <c r="D539" s="24">
        <f ca="1">IFERROR(__xludf.DUMMYFUNCTION("""COMPUTED_VALUE"""),649)</f>
        <v>649</v>
      </c>
      <c r="E539" s="25" t="str">
        <f ca="1">IFERROR(__xludf.DUMMYFUNCTION("""COMPUTED_VALUE"""),"REA-U8811")</f>
        <v>REA-U8811</v>
      </c>
    </row>
    <row r="540" spans="1:5" x14ac:dyDescent="0.2">
      <c r="A540" s="22">
        <f ca="1">IFERROR(__xludf.DUMMYFUNCTION("""COMPUTED_VALUE"""),45516)</f>
        <v>45516</v>
      </c>
      <c r="B540" s="23" t="str">
        <f ca="1">IFERROR(__xludf.DUMMYFUNCTION("""COMPUTED_VALUE"""),"UMYWALKA ARTE BLUE - NABLATOWA")</f>
        <v>UMYWALKA ARTE BLUE - NABLATOWA</v>
      </c>
      <c r="C540" s="23"/>
      <c r="D540" s="24">
        <f ca="1">IFERROR(__xludf.DUMMYFUNCTION("""COMPUTED_VALUE"""),429)</f>
        <v>429</v>
      </c>
      <c r="E540" s="25" t="str">
        <f ca="1">IFERROR(__xludf.DUMMYFUNCTION("""COMPUTED_VALUE"""),"REA-U0267")</f>
        <v>REA-U0267</v>
      </c>
    </row>
    <row r="541" spans="1:5" x14ac:dyDescent="0.2">
      <c r="A541" s="22">
        <f ca="1">IFERROR(__xludf.DUMMYFUNCTION("""COMPUTED_VALUE"""),45516)</f>
        <v>45516</v>
      </c>
      <c r="B541" s="23" t="str">
        <f ca="1">IFERROR(__xludf.DUMMYFUNCTION("""COMPUTED_VALUE"""),"WC - CARLO MINI TORNADO PRO/DUROPLAST/FLAT/ZM")</f>
        <v>WC - CARLO MINI TORNADO PRO/DUROPLAST/FLAT/ZM</v>
      </c>
      <c r="C541" s="23"/>
      <c r="D541" s="24">
        <f ca="1">IFERROR(__xludf.DUMMYFUNCTION("""COMPUTED_VALUE"""),669)</f>
        <v>669</v>
      </c>
      <c r="E541" s="25" t="str">
        <f ca="1">IFERROR(__xludf.DUMMYFUNCTION("""COMPUTED_VALUE"""),"REA-C8770")</f>
        <v>REA-C8770</v>
      </c>
    </row>
    <row r="542" spans="1:5" x14ac:dyDescent="0.2">
      <c r="A542" s="22">
        <f ca="1">IFERROR(__xludf.DUMMYFUNCTION("""COMPUTED_VALUE"""),45498)</f>
        <v>45498</v>
      </c>
      <c r="B542" s="23" t="str">
        <f ca="1">IFERROR(__xludf.DUMMYFUNCTION("""COMPUTED_VALUE"""),"ŚCIANKA PRYSZNICOWA BLER 70")</f>
        <v>ŚCIANKA PRYSZNICOWA BLER 70</v>
      </c>
      <c r="C542" s="23"/>
      <c r="D542" s="24">
        <f ca="1">IFERROR(__xludf.DUMMYFUNCTION("""COMPUTED_VALUE"""),699)</f>
        <v>699</v>
      </c>
      <c r="E542" s="25" t="str">
        <f ca="1">IFERROR(__xludf.DUMMYFUNCTION("""COMPUTED_VALUE"""),"REA-K7636")</f>
        <v>REA-K7636</v>
      </c>
    </row>
    <row r="543" spans="1:5" x14ac:dyDescent="0.2">
      <c r="A543" s="22">
        <f ca="1">IFERROR(__xludf.DUMMYFUNCTION("""COMPUTED_VALUE"""),45498)</f>
        <v>45498</v>
      </c>
      <c r="B543" s="23" t="str">
        <f ca="1">IFERROR(__xludf.DUMMYFUNCTION("""COMPUTED_VALUE"""),"DRZWI PRYSZNICOWE RAPID SWING GOLD 100")</f>
        <v>DRZWI PRYSZNICOWE RAPID SWING GOLD 100</v>
      </c>
      <c r="C543" s="23"/>
      <c r="D543" s="24">
        <f ca="1">IFERROR(__xludf.DUMMYFUNCTION("""COMPUTED_VALUE"""),1199)</f>
        <v>1199</v>
      </c>
      <c r="E543" s="25" t="str">
        <f ca="1">IFERROR(__xludf.DUMMYFUNCTION("""COMPUTED_VALUE"""),"REA-K5619")</f>
        <v>REA-K5619</v>
      </c>
    </row>
    <row r="544" spans="1:5" x14ac:dyDescent="0.2">
      <c r="A544" s="22">
        <f ca="1">IFERROR(__xludf.DUMMYFUNCTION("""COMPUTED_VALUE"""),45498)</f>
        <v>45498</v>
      </c>
      <c r="B544" s="23" t="str">
        <f ca="1">IFERROR(__xludf.DUMMYFUNCTION("""COMPUTED_VALUE"""),"DRZWI PRYSZNICOWE RAPID SWING GOLD 90")</f>
        <v>DRZWI PRYSZNICOWE RAPID SWING GOLD 90</v>
      </c>
      <c r="C544" s="23"/>
      <c r="D544" s="24">
        <f ca="1">IFERROR(__xludf.DUMMYFUNCTION("""COMPUTED_VALUE"""),1169)</f>
        <v>1169</v>
      </c>
      <c r="E544" s="25" t="str">
        <f ca="1">IFERROR(__xludf.DUMMYFUNCTION("""COMPUTED_VALUE"""),"REA-K5618")</f>
        <v>REA-K5618</v>
      </c>
    </row>
    <row r="545" spans="1:5" x14ac:dyDescent="0.2">
      <c r="A545" s="22">
        <f ca="1">IFERROR(__xludf.DUMMYFUNCTION("""COMPUTED_VALUE"""),45498)</f>
        <v>45498</v>
      </c>
      <c r="B545" s="23" t="str">
        <f ca="1">IFERROR(__xludf.DUMMYFUNCTION("""COMPUTED_VALUE"""),"DRZWI PRYSZNICOWE RAPID SLIDE BRUSH GOLD 130")</f>
        <v>DRZWI PRYSZNICOWE RAPID SLIDE BRUSH GOLD 130</v>
      </c>
      <c r="C545" s="23"/>
      <c r="D545" s="24">
        <f ca="1">IFERROR(__xludf.DUMMYFUNCTION("""COMPUTED_VALUE"""),1259)</f>
        <v>1259</v>
      </c>
      <c r="E545" s="25" t="str">
        <f ca="1">IFERROR(__xludf.DUMMYFUNCTION("""COMPUTED_VALUE"""),"REA-K8590")</f>
        <v>REA-K8590</v>
      </c>
    </row>
    <row r="546" spans="1:5" x14ac:dyDescent="0.2">
      <c r="A546" s="22">
        <f ca="1">IFERROR(__xludf.DUMMYFUNCTION("""COMPUTED_VALUE"""),45498)</f>
        <v>45498</v>
      </c>
      <c r="B546" s="23" t="str">
        <f ca="1">IFERROR(__xludf.DUMMYFUNCTION("""COMPUTED_VALUE"""),"DRZWI PRYSZNICOWE RAPID SLIDE BRUSH GOLD 140")</f>
        <v>DRZWI PRYSZNICOWE RAPID SLIDE BRUSH GOLD 140</v>
      </c>
      <c r="C546" s="23"/>
      <c r="D546" s="24">
        <f ca="1">IFERROR(__xludf.DUMMYFUNCTION("""COMPUTED_VALUE"""),1299)</f>
        <v>1299</v>
      </c>
      <c r="E546" s="25" t="str">
        <f ca="1">IFERROR(__xludf.DUMMYFUNCTION("""COMPUTED_VALUE"""),"REA-K8591")</f>
        <v>REA-K8591</v>
      </c>
    </row>
    <row r="547" spans="1:5" x14ac:dyDescent="0.2">
      <c r="A547" s="22">
        <f ca="1">IFERROR(__xludf.DUMMYFUNCTION("""COMPUTED_VALUE"""),45498)</f>
        <v>45498</v>
      </c>
      <c r="B547" s="23" t="str">
        <f ca="1">IFERROR(__xludf.DUMMYFUNCTION("""COMPUTED_VALUE"""),"DRZWI PRYSZNICOWE RAPID SLIDE GOLD BRUSH 120")</f>
        <v>DRZWI PRYSZNICOWE RAPID SLIDE GOLD BRUSH 120</v>
      </c>
      <c r="C547" s="23"/>
      <c r="D547" s="24">
        <f ca="1">IFERROR(__xludf.DUMMYFUNCTION("""COMPUTED_VALUE"""),1229)</f>
        <v>1229</v>
      </c>
      <c r="E547" s="25" t="str">
        <f ca="1">IFERROR(__xludf.DUMMYFUNCTION("""COMPUTED_VALUE"""),"REA-K4709")</f>
        <v>REA-K4709</v>
      </c>
    </row>
    <row r="548" spans="1:5" x14ac:dyDescent="0.2">
      <c r="A548" s="22">
        <f ca="1">IFERROR(__xludf.DUMMYFUNCTION("""COMPUTED_VALUE"""),45498)</f>
        <v>45498</v>
      </c>
      <c r="B548" s="23" t="str">
        <f ca="1">IFERROR(__xludf.DUMMYFUNCTION("""COMPUTED_VALUE"""),"DRZWI PRYSZNICOWE RAPID SLIDE GOLD BRUSH 100")</f>
        <v>DRZWI PRYSZNICOWE RAPID SLIDE GOLD BRUSH 100</v>
      </c>
      <c r="C548" s="23"/>
      <c r="D548" s="24">
        <f ca="1">IFERROR(__xludf.DUMMYFUNCTION("""COMPUTED_VALUE"""),1149)</f>
        <v>1149</v>
      </c>
      <c r="E548" s="25" t="str">
        <f ca="1">IFERROR(__xludf.DUMMYFUNCTION("""COMPUTED_VALUE"""),"REA-K4707")</f>
        <v>REA-K4707</v>
      </c>
    </row>
    <row r="549" spans="1:5" x14ac:dyDescent="0.2">
      <c r="A549" s="22">
        <f ca="1">IFERROR(__xludf.DUMMYFUNCTION("""COMPUTED_VALUE"""),45498)</f>
        <v>45498</v>
      </c>
      <c r="B549" s="23" t="str">
        <f ca="1">IFERROR(__xludf.DUMMYFUNCTION("""COMPUTED_VALUE"""),"DRZWI PRYSZNICOWE RAPID SLIDE GOLD 100")</f>
        <v>DRZWI PRYSZNICOWE RAPID SLIDE GOLD 100</v>
      </c>
      <c r="C549" s="23"/>
      <c r="D549" s="24">
        <f ca="1">IFERROR(__xludf.DUMMYFUNCTION("""COMPUTED_VALUE"""),899)</f>
        <v>899</v>
      </c>
      <c r="E549" s="25" t="str">
        <f ca="1">IFERROR(__xludf.DUMMYFUNCTION("""COMPUTED_VALUE"""),"REA-K5611")</f>
        <v>REA-K5611</v>
      </c>
    </row>
    <row r="550" spans="1:5" x14ac:dyDescent="0.2">
      <c r="A550" s="22">
        <f ca="1">IFERROR(__xludf.DUMMYFUNCTION("""COMPUTED_VALUE"""),45498)</f>
        <v>45498</v>
      </c>
      <c r="B550" s="23" t="str">
        <f ca="1">IFERROR(__xludf.DUMMYFUNCTION("""COMPUTED_VALUE"""),"PARAWAN WANNOWY LAGOS FIX STAŁY CHROM 80")</f>
        <v>PARAWAN WANNOWY LAGOS FIX STAŁY CHROM 80</v>
      </c>
      <c r="C550" s="23"/>
      <c r="D550" s="24">
        <f ca="1">IFERROR(__xludf.DUMMYFUNCTION("""COMPUTED_VALUE"""),389)</f>
        <v>389</v>
      </c>
      <c r="E550" s="25" t="str">
        <f ca="1">IFERROR(__xludf.DUMMYFUNCTION("""COMPUTED_VALUE"""),"REA-W5674")</f>
        <v>REA-W5674</v>
      </c>
    </row>
    <row r="551" spans="1:5" x14ac:dyDescent="0.2">
      <c r="A551" s="22">
        <f ca="1">IFERROR(__xludf.DUMMYFUNCTION("""COMPUTED_VALUE"""),45498)</f>
        <v>45498</v>
      </c>
      <c r="B551" s="23" t="str">
        <f ca="1">IFERROR(__xludf.DUMMYFUNCTION("""COMPUTED_VALUE"""),"PARAWAN WANNOWY LAGOS FIX STAŁY CHROM 70")</f>
        <v>PARAWAN WANNOWY LAGOS FIX STAŁY CHROM 70</v>
      </c>
      <c r="C551" s="23"/>
      <c r="D551" s="24">
        <f ca="1">IFERROR(__xludf.DUMMYFUNCTION("""COMPUTED_VALUE"""),379)</f>
        <v>379</v>
      </c>
      <c r="E551" s="25" t="str">
        <f ca="1">IFERROR(__xludf.DUMMYFUNCTION("""COMPUTED_VALUE"""),"REA-W5630")</f>
        <v>REA-W5630</v>
      </c>
    </row>
    <row r="552" spans="1:5" x14ac:dyDescent="0.2">
      <c r="A552" s="22">
        <f ca="1">IFERROR(__xludf.DUMMYFUNCTION("""COMPUTED_VALUE"""),45498)</f>
        <v>45498</v>
      </c>
      <c r="B552" s="23" t="str">
        <f ca="1">IFERROR(__xludf.DUMMYFUNCTION("""COMPUTED_VALUE"""),"PARAWAN STAŁY LAGOS-1 FIX 80")</f>
        <v>PARAWAN STAŁY LAGOS-1 FIX 80</v>
      </c>
      <c r="C552" s="23"/>
      <c r="D552" s="24">
        <f ca="1">IFERROR(__xludf.DUMMYFUNCTION("""COMPUTED_VALUE"""),389)</f>
        <v>389</v>
      </c>
      <c r="E552" s="25" t="str">
        <f ca="1">IFERROR(__xludf.DUMMYFUNCTION("""COMPUTED_VALUE"""),"REA-K4561")</f>
        <v>REA-K4561</v>
      </c>
    </row>
    <row r="553" spans="1:5" x14ac:dyDescent="0.2">
      <c r="A553" s="22">
        <f ca="1">IFERROR(__xludf.DUMMYFUNCTION("""COMPUTED_VALUE"""),45498)</f>
        <v>45498</v>
      </c>
      <c r="B553" s="23" t="str">
        <f ca="1">IFERROR(__xludf.DUMMYFUNCTION("""COMPUTED_VALUE"""),"PARAWAN STAŁY LAGOS-1 FIX 70")</f>
        <v>PARAWAN STAŁY LAGOS-1 FIX 70</v>
      </c>
      <c r="C553" s="23"/>
      <c r="D553" s="24">
        <f ca="1">IFERROR(__xludf.DUMMYFUNCTION("""COMPUTED_VALUE"""),379)</f>
        <v>379</v>
      </c>
      <c r="E553" s="25" t="str">
        <f ca="1">IFERROR(__xludf.DUMMYFUNCTION("""COMPUTED_VALUE"""),"REA-K4560")</f>
        <v>REA-K4560</v>
      </c>
    </row>
    <row r="554" spans="1:5" x14ac:dyDescent="0.2">
      <c r="A554" s="22">
        <f ca="1">IFERROR(__xludf.DUMMYFUNCTION("""COMPUTED_VALUE"""),45498)</f>
        <v>45498</v>
      </c>
      <c r="B554" s="23" t="str">
        <f ca="1">IFERROR(__xludf.DUMMYFUNCTION("""COMPUTED_VALUE"""),"PARAWAN RUCHOMY LAGOS 80")</f>
        <v>PARAWAN RUCHOMY LAGOS 80</v>
      </c>
      <c r="C554" s="23"/>
      <c r="D554" s="24">
        <f ca="1">IFERROR(__xludf.DUMMYFUNCTION("""COMPUTED_VALUE"""),499)</f>
        <v>499</v>
      </c>
      <c r="E554" s="25" t="str">
        <f ca="1">IFERROR(__xludf.DUMMYFUNCTION("""COMPUTED_VALUE"""),"REA-K7633")</f>
        <v>REA-K7633</v>
      </c>
    </row>
    <row r="555" spans="1:5" x14ac:dyDescent="0.2">
      <c r="A555" s="22">
        <f ca="1">IFERROR(__xludf.DUMMYFUNCTION("""COMPUTED_VALUE"""),45498)</f>
        <v>45498</v>
      </c>
      <c r="B555" s="23" t="str">
        <f ca="1">IFERROR(__xludf.DUMMYFUNCTION("""COMPUTED_VALUE"""),"KABINA AXIN 90X90 CHROM")</f>
        <v>KABINA AXIN 90X90 CHROM</v>
      </c>
      <c r="C555" s="23"/>
      <c r="D555" s="24">
        <f ca="1">IFERROR(__xludf.DUMMYFUNCTION("""COMPUTED_VALUE"""),999)</f>
        <v>999</v>
      </c>
      <c r="E555" s="25" t="str">
        <f ca="1">IFERROR(__xludf.DUMMYFUNCTION("""COMPUTED_VALUE"""),"REA-K8779")</f>
        <v>REA-K8779</v>
      </c>
    </row>
    <row r="556" spans="1:5" x14ac:dyDescent="0.2">
      <c r="A556" s="22">
        <f ca="1">IFERROR(__xludf.DUMMYFUNCTION("""COMPUTED_VALUE"""),45498)</f>
        <v>45498</v>
      </c>
      <c r="B556" s="23" t="str">
        <f ca="1">IFERROR(__xludf.DUMMYFUNCTION("""COMPUTED_VALUE"""),"KABINA FOLD N2 80*80 TRANSP")</f>
        <v>KABINA FOLD N2 80*80 TRANSP</v>
      </c>
      <c r="C556" s="23"/>
      <c r="D556" s="24">
        <f ca="1">IFERROR(__xludf.DUMMYFUNCTION("""COMPUTED_VALUE"""),1499)</f>
        <v>1499</v>
      </c>
      <c r="E556" s="25" t="str">
        <f ca="1">IFERROR(__xludf.DUMMYFUNCTION("""COMPUTED_VALUE"""),"REA-K9990")</f>
        <v>REA-K9990</v>
      </c>
    </row>
    <row r="557" spans="1:5" x14ac:dyDescent="0.2">
      <c r="A557" s="22">
        <f ca="1">IFERROR(__xludf.DUMMYFUNCTION("""COMPUTED_VALUE"""),45498)</f>
        <v>45498</v>
      </c>
      <c r="B557" s="23" t="str">
        <f ca="1">IFERROR(__xludf.DUMMYFUNCTION("""COMPUTED_VALUE"""),"BATERIA UMYWALKOWA MARCO CZARNA WYSOKA")</f>
        <v>BATERIA UMYWALKOWA MARCO CZARNA WYSOKA</v>
      </c>
      <c r="C557" s="23"/>
      <c r="D557" s="24">
        <f ca="1">IFERROR(__xludf.DUMMYFUNCTION("""COMPUTED_VALUE"""),359)</f>
        <v>359</v>
      </c>
      <c r="E557" s="25" t="str">
        <f ca="1">IFERROR(__xludf.DUMMYFUNCTION("""COMPUTED_VALUE"""),"REA-B4896")</f>
        <v>REA-B4896</v>
      </c>
    </row>
    <row r="558" spans="1:5" x14ac:dyDescent="0.2">
      <c r="A558" s="22">
        <f ca="1">IFERROR(__xludf.DUMMYFUNCTION("""COMPUTED_VALUE"""),45498)</f>
        <v>45498</v>
      </c>
      <c r="B558" s="23" t="str">
        <f ca="1">IFERROR(__xludf.DUMMYFUNCTION("""COMPUTED_VALUE"""),"ZESTAW NATRYSKOWY SAVIO LED CHROM")</f>
        <v>ZESTAW NATRYSKOWY SAVIO LED CHROM</v>
      </c>
      <c r="C558" s="23"/>
      <c r="D558" s="24">
        <f ca="1">IFERROR(__xludf.DUMMYFUNCTION("""COMPUTED_VALUE"""),789)</f>
        <v>789</v>
      </c>
      <c r="E558" s="25" t="str">
        <f ca="1">IFERROR(__xludf.DUMMYFUNCTION("""COMPUTED_VALUE"""),"REA-P8544")</f>
        <v>REA-P8544</v>
      </c>
    </row>
    <row r="559" spans="1:5" x14ac:dyDescent="0.2">
      <c r="A559" s="22">
        <f ca="1">IFERROR(__xludf.DUMMYFUNCTION("""COMPUTED_VALUE"""),45498)</f>
        <v>45498</v>
      </c>
      <c r="B559" s="23" t="str">
        <f ca="1">IFERROR(__xludf.DUMMYFUNCTION("""COMPUTED_VALUE"""),"BATERIA WANNOWA MARCO ZŁOTA SZCZOTKOWANA")</f>
        <v>BATERIA WANNOWA MARCO ZŁOTA SZCZOTKOWANA</v>
      </c>
      <c r="C559" s="23"/>
      <c r="D559" s="24">
        <f ca="1">IFERROR(__xludf.DUMMYFUNCTION("""COMPUTED_VALUE"""),439)</f>
        <v>439</v>
      </c>
      <c r="E559" s="25" t="str">
        <f ca="1">IFERROR(__xludf.DUMMYFUNCTION("""COMPUTED_VALUE"""),"REA-B5942")</f>
        <v>REA-B5942</v>
      </c>
    </row>
    <row r="560" spans="1:5" x14ac:dyDescent="0.2">
      <c r="A560" s="22">
        <f ca="1">IFERROR(__xludf.DUMMYFUNCTION("""COMPUTED_VALUE"""),45498)</f>
        <v>45498</v>
      </c>
      <c r="B560" s="23" t="str">
        <f ca="1">IFERROR(__xludf.DUMMYFUNCTION("""COMPUTED_VALUE"""),"BATERIA WANNOWA MARCO CZARNA")</f>
        <v>BATERIA WANNOWA MARCO CZARNA</v>
      </c>
      <c r="C560" s="23"/>
      <c r="D560" s="24">
        <f ca="1">IFERROR(__xludf.DUMMYFUNCTION("""COMPUTED_VALUE"""),379)</f>
        <v>379</v>
      </c>
      <c r="E560" s="25" t="str">
        <f ca="1">IFERROR(__xludf.DUMMYFUNCTION("""COMPUTED_VALUE"""),"REA-B5941")</f>
        <v>REA-B5941</v>
      </c>
    </row>
    <row r="561" spans="1:5" x14ac:dyDescent="0.2">
      <c r="A561" s="22">
        <f ca="1">IFERROR(__xludf.DUMMYFUNCTION("""COMPUTED_VALUE"""),45498)</f>
        <v>45498</v>
      </c>
      <c r="B561" s="23" t="str">
        <f ca="1">IFERROR(__xludf.DUMMYFUNCTION("""COMPUTED_VALUE"""),"WC - CARLOS DUROPLAST/SLIM/ZM LAVA SHINY")</f>
        <v>WC - CARLOS DUROPLAST/SLIM/ZM LAVA SHINY</v>
      </c>
      <c r="C561" s="23"/>
      <c r="D561" s="24">
        <f ca="1">IFERROR(__xludf.DUMMYFUNCTION("""COMPUTED_VALUE"""),1159)</f>
        <v>1159</v>
      </c>
      <c r="E561" s="25" t="str">
        <f ca="1">IFERROR(__xludf.DUMMYFUNCTION("""COMPUTED_VALUE"""),"REA-C0536")</f>
        <v>REA-C0536</v>
      </c>
    </row>
    <row r="562" spans="1:5" x14ac:dyDescent="0.2">
      <c r="A562" s="22">
        <f ca="1">IFERROR(__xludf.DUMMYFUNCTION("""COMPUTED_VALUE"""),45498)</f>
        <v>45498</v>
      </c>
      <c r="B562" s="23" t="str">
        <f ca="1">IFERROR(__xludf.DUMMYFUNCTION("""COMPUTED_VALUE"""),"WC - CARLOS DUROPLAST/SLIM/ZM GRANIT SHINY")</f>
        <v>WC - CARLOS DUROPLAST/SLIM/ZM GRANIT SHINY</v>
      </c>
      <c r="C562" s="23"/>
      <c r="D562" s="24">
        <f ca="1">IFERROR(__xludf.DUMMYFUNCTION("""COMPUTED_VALUE"""),1159)</f>
        <v>1159</v>
      </c>
      <c r="E562" s="25" t="str">
        <f ca="1">IFERROR(__xludf.DUMMYFUNCTION("""COMPUTED_VALUE"""),"REA-C8002")</f>
        <v>REA-C8002</v>
      </c>
    </row>
    <row r="563" spans="1:5" x14ac:dyDescent="0.2">
      <c r="A563" s="22">
        <f ca="1">IFERROR(__xludf.DUMMYFUNCTION("""COMPUTED_VALUE"""),45498)</f>
        <v>45498</v>
      </c>
      <c r="B563" s="23" t="str">
        <f ca="1">IFERROR(__xludf.DUMMYFUNCTION("""COMPUTED_VALUE"""),"UMYWALKA LISA - NABLATOWA")</f>
        <v>UMYWALKA LISA - NABLATOWA</v>
      </c>
      <c r="C563" s="23"/>
      <c r="D563" s="24">
        <f ca="1">IFERROR(__xludf.DUMMYFUNCTION("""COMPUTED_VALUE"""),229)</f>
        <v>229</v>
      </c>
      <c r="E563" s="25" t="str">
        <f ca="1">IFERROR(__xludf.DUMMYFUNCTION("""COMPUTED_VALUE"""),"REA-U6022")</f>
        <v>REA-U6022</v>
      </c>
    </row>
    <row r="564" spans="1:5" x14ac:dyDescent="0.2">
      <c r="A564" s="22">
        <f ca="1">IFERROR(__xludf.DUMMYFUNCTION("""COMPUTED_VALUE"""),45498)</f>
        <v>45498</v>
      </c>
      <c r="B564" s="23" t="str">
        <f ca="1">IFERROR(__xludf.DUMMYFUNCTION("""COMPUTED_VALUE"""),"UMYWALKA SOFIA - NABLATOWA")</f>
        <v>UMYWALKA SOFIA - NABLATOWA</v>
      </c>
      <c r="C564" s="23"/>
      <c r="D564" s="24">
        <f ca="1">IFERROR(__xludf.DUMMYFUNCTION("""COMPUTED_VALUE"""),179)</f>
        <v>179</v>
      </c>
      <c r="E564" s="25" t="str">
        <f ca="1">IFERROR(__xludf.DUMMYFUNCTION("""COMPUTED_VALUE"""),"REA-U0133")</f>
        <v>REA-U0133</v>
      </c>
    </row>
    <row r="565" spans="1:5" x14ac:dyDescent="0.2">
      <c r="A565" s="22">
        <f ca="1">IFERROR(__xludf.DUMMYFUNCTION("""COMPUTED_VALUE"""),45498)</f>
        <v>45498</v>
      </c>
      <c r="B565" s="23" t="str">
        <f ca="1">IFERROR(__xludf.DUMMYFUNCTION("""COMPUTED_VALUE"""),"UMYWALKA SOFIA MINI - NABLATOWA")</f>
        <v>UMYWALKA SOFIA MINI - NABLATOWA</v>
      </c>
      <c r="C565" s="23"/>
      <c r="D565" s="24">
        <f ca="1">IFERROR(__xludf.DUMMYFUNCTION("""COMPUTED_VALUE"""),169)</f>
        <v>169</v>
      </c>
      <c r="E565" s="25" t="str">
        <f ca="1">IFERROR(__xludf.DUMMYFUNCTION("""COMPUTED_VALUE"""),"REA-U0623")</f>
        <v>REA-U0623</v>
      </c>
    </row>
    <row r="566" spans="1:5" x14ac:dyDescent="0.2">
      <c r="A566" s="22">
        <f ca="1">IFERROR(__xludf.DUMMYFUNCTION("""COMPUTED_VALUE"""),45498)</f>
        <v>45498</v>
      </c>
      <c r="B566" s="23" t="str">
        <f ca="1">IFERROR(__xludf.DUMMYFUNCTION("""COMPUTED_VALUE"""),"UMYWALKA ROYAL 60 WHITE GOLD - NABLATOWA")</f>
        <v>UMYWALKA ROYAL 60 WHITE GOLD - NABLATOWA</v>
      </c>
      <c r="C566" s="23"/>
      <c r="D566" s="24">
        <f ca="1">IFERROR(__xludf.DUMMYFUNCTION("""COMPUTED_VALUE"""),439)</f>
        <v>439</v>
      </c>
      <c r="E566" s="25" t="str">
        <f ca="1">IFERROR(__xludf.DUMMYFUNCTION("""COMPUTED_VALUE"""),"REA-U7808")</f>
        <v>REA-U7808</v>
      </c>
    </row>
    <row r="567" spans="1:5" x14ac:dyDescent="0.2">
      <c r="A567" s="22">
        <f ca="1">IFERROR(__xludf.DUMMYFUNCTION("""COMPUTED_VALUE"""),45498)</f>
        <v>45498</v>
      </c>
      <c r="B567" s="23" t="str">
        <f ca="1">IFERROR(__xludf.DUMMYFUNCTION("""COMPUTED_VALUE"""),"UMYWALKA ROYAL 60 MAT BLACK - NABLATOWA")</f>
        <v>UMYWALKA ROYAL 60 MAT BLACK - NABLATOWA</v>
      </c>
      <c r="C567" s="23"/>
      <c r="D567" s="24">
        <f ca="1">IFERROR(__xludf.DUMMYFUNCTION("""COMPUTED_VALUE"""),549)</f>
        <v>549</v>
      </c>
      <c r="E567" s="25" t="str">
        <f ca="1">IFERROR(__xludf.DUMMYFUNCTION("""COMPUTED_VALUE"""),"REA-U0442")</f>
        <v>REA-U0442</v>
      </c>
    </row>
    <row r="568" spans="1:5" x14ac:dyDescent="0.2">
      <c r="A568" s="22">
        <f ca="1">IFERROR(__xludf.DUMMYFUNCTION("""COMPUTED_VALUE"""),45498)</f>
        <v>45498</v>
      </c>
      <c r="B568" s="23" t="str">
        <f ca="1">IFERROR(__xludf.DUMMYFUNCTION("""COMPUTED_VALUE"""),"UMYWALKA BELINDA GOLD BRUSH/BLACK - NABLATOWA")</f>
        <v>UMYWALKA BELINDA GOLD BRUSH/BLACK - NABLATOWA</v>
      </c>
      <c r="C568" s="23"/>
      <c r="D568" s="24">
        <f ca="1">IFERROR(__xludf.DUMMYFUNCTION("""COMPUTED_VALUE"""),479)</f>
        <v>479</v>
      </c>
      <c r="E568" s="25" t="str">
        <f ca="1">IFERROR(__xludf.DUMMYFUNCTION("""COMPUTED_VALUE"""),"REA-U8780")</f>
        <v>REA-U8780</v>
      </c>
    </row>
    <row r="569" spans="1:5" x14ac:dyDescent="0.2">
      <c r="A569" s="22">
        <f ca="1">IFERROR(__xludf.DUMMYFUNCTION("""COMPUTED_VALUE"""),45490)</f>
        <v>45490</v>
      </c>
      <c r="B569" s="23" t="str">
        <f ca="1">IFERROR(__xludf.DUMMYFUNCTION("""COMPUTED_VALUE"""),"UMYWALKA CRISTAL 39 GREY ")</f>
        <v xml:space="preserve">UMYWALKA CRISTAL 39 GREY </v>
      </c>
      <c r="C569" s="23"/>
      <c r="D569" s="24">
        <f ca="1">IFERROR(__xludf.DUMMYFUNCTION("""COMPUTED_VALUE"""),629)</f>
        <v>629</v>
      </c>
      <c r="E569" s="25" t="str">
        <f ca="1">IFERROR(__xludf.DUMMYFUNCTION("""COMPUTED_VALUE"""),"REA-U8880")</f>
        <v>REA-U8880</v>
      </c>
    </row>
    <row r="570" spans="1:5" x14ac:dyDescent="0.2">
      <c r="A570" s="22">
        <f ca="1">IFERROR(__xludf.DUMMYFUNCTION("""COMPUTED_VALUE"""),45490)</f>
        <v>45490</v>
      </c>
      <c r="B570" s="23" t="str">
        <f ca="1">IFERROR(__xludf.DUMMYFUNCTION("""COMPUTED_VALUE"""),"UMYWALKA FLORISA BLACK MATT - NABLATOWA")</f>
        <v>UMYWALKA FLORISA BLACK MATT - NABLATOWA</v>
      </c>
      <c r="C570" s="23"/>
      <c r="D570" s="24">
        <f ca="1">IFERROR(__xludf.DUMMYFUNCTION("""COMPUTED_VALUE"""),459)</f>
        <v>459</v>
      </c>
      <c r="E570" s="25" t="str">
        <f ca="1">IFERROR(__xludf.DUMMYFUNCTION("""COMPUTED_VALUE"""),"REA-U3307")</f>
        <v>REA-U3307</v>
      </c>
    </row>
    <row r="571" spans="1:5" x14ac:dyDescent="0.2">
      <c r="A571" s="22">
        <f ca="1">IFERROR(__xludf.DUMMYFUNCTION("""COMPUTED_VALUE"""),45490)</f>
        <v>45490</v>
      </c>
      <c r="B571" s="23" t="str">
        <f ca="1">IFERROR(__xludf.DUMMYFUNCTION("""COMPUTED_VALUE"""),"UMYWALKA ROYAL 60 - NABLATOWA")</f>
        <v>UMYWALKA ROYAL 60 - NABLATOWA</v>
      </c>
      <c r="C571" s="23"/>
      <c r="D571" s="24">
        <f ca="1">IFERROR(__xludf.DUMMYFUNCTION("""COMPUTED_VALUE"""),329)</f>
        <v>329</v>
      </c>
      <c r="E571" s="25" t="str">
        <f ca="1">IFERROR(__xludf.DUMMYFUNCTION("""COMPUTED_VALUE"""),"REA-U0441")</f>
        <v>REA-U0441</v>
      </c>
    </row>
    <row r="572" spans="1:5" x14ac:dyDescent="0.2">
      <c r="A572" s="22">
        <f ca="1">IFERROR(__xludf.DUMMYFUNCTION("""COMPUTED_VALUE"""),45485)</f>
        <v>45485</v>
      </c>
      <c r="B572" s="23" t="str">
        <f ca="1">IFERROR(__xludf.DUMMYFUNCTION("""COMPUTED_VALUE"""),"UMYWALKA MARBEL - NABLATOWA")</f>
        <v>UMYWALKA MARBEL - NABLATOWA</v>
      </c>
      <c r="C572" s="23"/>
      <c r="D572" s="24">
        <f ca="1">IFERROR(__xludf.DUMMYFUNCTION("""COMPUTED_VALUE"""),359)</f>
        <v>359</v>
      </c>
      <c r="E572" s="25" t="str">
        <f ca="1">IFERROR(__xludf.DUMMYFUNCTION("""COMPUTED_VALUE"""),"REA-U8603")</f>
        <v>REA-U8603</v>
      </c>
    </row>
    <row r="573" spans="1:5" x14ac:dyDescent="0.2">
      <c r="A573" s="22">
        <f ca="1">IFERROR(__xludf.DUMMYFUNCTION("""COMPUTED_VALUE"""),45485)</f>
        <v>45485</v>
      </c>
      <c r="B573" s="23" t="str">
        <f ca="1">IFERROR(__xludf.DUMMYFUNCTION("""COMPUTED_VALUE"""),"UMYWALKA HOPE - WOLNOSTOJĄCA")</f>
        <v>UMYWALKA HOPE - WOLNOSTOJĄCA</v>
      </c>
      <c r="C573" s="23"/>
      <c r="D573" s="24">
        <f ca="1">IFERROR(__xludf.DUMMYFUNCTION("""COMPUTED_VALUE"""),1179)</f>
        <v>1179</v>
      </c>
      <c r="E573" s="25" t="str">
        <f ca="1">IFERROR(__xludf.DUMMYFUNCTION("""COMPUTED_VALUE"""),"REA-U4120")</f>
        <v>REA-U4120</v>
      </c>
    </row>
    <row r="574" spans="1:5" x14ac:dyDescent="0.2">
      <c r="A574" s="22">
        <f ca="1">IFERROR(__xludf.DUMMYFUNCTION("""COMPUTED_VALUE"""),45485)</f>
        <v>45485</v>
      </c>
      <c r="B574" s="23" t="str">
        <f ca="1">IFERROR(__xludf.DUMMYFUNCTION("""COMPUTED_VALUE"""),"UMYWALKA KELLY MARMO - NABLATOWA")</f>
        <v>UMYWALKA KELLY MARMO - NABLATOWA</v>
      </c>
      <c r="C574" s="23"/>
      <c r="D574" s="24">
        <f ca="1">IFERROR(__xludf.DUMMYFUNCTION("""COMPUTED_VALUE"""),339)</f>
        <v>339</v>
      </c>
      <c r="E574" s="25" t="str">
        <f ca="1">IFERROR(__xludf.DUMMYFUNCTION("""COMPUTED_VALUE"""),"REA-U5052")</f>
        <v>REA-U5052</v>
      </c>
    </row>
    <row r="575" spans="1:5" x14ac:dyDescent="0.2">
      <c r="A575" s="22">
        <f ca="1">IFERROR(__xludf.DUMMYFUNCTION("""COMPUTED_VALUE"""),45485)</f>
        <v>45485</v>
      </c>
      <c r="B575" s="23" t="str">
        <f ca="1">IFERROR(__xludf.DUMMYFUNCTION("""COMPUTED_VALUE"""),"UMYWALKA AVIA - NABLATOWA")</f>
        <v>UMYWALKA AVIA - NABLATOWA</v>
      </c>
      <c r="C575" s="23"/>
      <c r="D575" s="24">
        <f ca="1">IFERROR(__xludf.DUMMYFUNCTION("""COMPUTED_VALUE"""),329)</f>
        <v>329</v>
      </c>
      <c r="E575" s="25" t="str">
        <f ca="1">IFERROR(__xludf.DUMMYFUNCTION("""COMPUTED_VALUE"""),"REA-U0840")</f>
        <v>REA-U0840</v>
      </c>
    </row>
    <row r="576" spans="1:5" x14ac:dyDescent="0.2">
      <c r="A576" s="22">
        <f ca="1">IFERROR(__xludf.DUMMYFUNCTION("""COMPUTED_VALUE"""),45485)</f>
        <v>45485</v>
      </c>
      <c r="B576" s="23" t="str">
        <f ca="1">IFERROR(__xludf.DUMMYFUNCTION("""COMPUTED_VALUE"""),"UMYWALKA ELMA - NABLATOWA")</f>
        <v>UMYWALKA ELMA - NABLATOWA</v>
      </c>
      <c r="C576" s="23"/>
      <c r="D576" s="24">
        <f ca="1">IFERROR(__xludf.DUMMYFUNCTION("""COMPUTED_VALUE"""),299)</f>
        <v>299</v>
      </c>
      <c r="E576" s="25" t="str">
        <f ca="1">IFERROR(__xludf.DUMMYFUNCTION("""COMPUTED_VALUE"""),"REA-U8493")</f>
        <v>REA-U8493</v>
      </c>
    </row>
    <row r="577" spans="1:5" x14ac:dyDescent="0.2">
      <c r="A577" s="22">
        <f ca="1">IFERROR(__xludf.DUMMYFUNCTION("""COMPUTED_VALUE"""),45485)</f>
        <v>45485</v>
      </c>
      <c r="B577" s="23" t="str">
        <f ca="1">IFERROR(__xludf.DUMMYFUNCTION("""COMPUTED_VALUE"""),"KABINA DIAMOND BLACK 80X80")</f>
        <v>KABINA DIAMOND BLACK 80X80</v>
      </c>
      <c r="C577" s="23"/>
      <c r="D577" s="24">
        <f ca="1">IFERROR(__xludf.DUMMYFUNCTION("""COMPUTED_VALUE"""),1459)</f>
        <v>1459</v>
      </c>
      <c r="E577" s="25" t="str">
        <f ca="1">IFERROR(__xludf.DUMMYFUNCTION("""COMPUTED_VALUE"""),"REA-K6900")</f>
        <v>REA-K6900</v>
      </c>
    </row>
    <row r="578" spans="1:5" x14ac:dyDescent="0.2">
      <c r="A578" s="22">
        <f ca="1">IFERROR(__xludf.DUMMYFUNCTION("""COMPUTED_VALUE"""),45485)</f>
        <v>45485</v>
      </c>
      <c r="B578" s="23" t="str">
        <f ca="1">IFERROR(__xludf.DUMMYFUNCTION("""COMPUTED_VALUE"""),"DRZWI HUGO GOLD SZCZOTKOWANY 80 +LISTWA")</f>
        <v>DRZWI HUGO GOLD SZCZOTKOWANY 80 +LISTWA</v>
      </c>
      <c r="C578" s="23"/>
      <c r="D578" s="24">
        <f ca="1">IFERROR(__xludf.DUMMYFUNCTION("""COMPUTED_VALUE"""),1309)</f>
        <v>1309</v>
      </c>
      <c r="E578" s="26"/>
    </row>
    <row r="579" spans="1:5" x14ac:dyDescent="0.2">
      <c r="A579" s="22">
        <f ca="1">IFERROR(__xludf.DUMMYFUNCTION("""COMPUTED_VALUE"""),45485)</f>
        <v>45485</v>
      </c>
      <c r="B579" s="23" t="str">
        <f ca="1">IFERROR(__xludf.DUMMYFUNCTION("""COMPUTED_VALUE"""),"DRZWI PRYSZNICOWE HUGO GOLD SZCZOTKOWANY 80")</f>
        <v>DRZWI PRYSZNICOWE HUGO GOLD SZCZOTKOWANY 80</v>
      </c>
      <c r="C579" s="23"/>
      <c r="D579" s="24">
        <f ca="1">IFERROR(__xludf.DUMMYFUNCTION("""COMPUTED_VALUE"""),1199)</f>
        <v>1199</v>
      </c>
      <c r="E579" s="25" t="str">
        <f ca="1">IFERROR(__xludf.DUMMYFUNCTION("""COMPUTED_VALUE"""),"REA-K8410")</f>
        <v>REA-K8410</v>
      </c>
    </row>
    <row r="580" spans="1:5" x14ac:dyDescent="0.2">
      <c r="A580" s="22">
        <f ca="1">IFERROR(__xludf.DUMMYFUNCTION("""COMPUTED_VALUE"""),45485)</f>
        <v>45485</v>
      </c>
      <c r="B580" s="23" t="str">
        <f ca="1">IFERROR(__xludf.DUMMYFUNCTION("""COMPUTED_VALUE"""),"DRZWI PRYSZNICOWE ALEX-805  120")</f>
        <v>DRZWI PRYSZNICOWE ALEX-805  120</v>
      </c>
      <c r="C580" s="23"/>
      <c r="D580" s="24">
        <f ca="1">IFERROR(__xludf.DUMMYFUNCTION("""COMPUTED_VALUE"""),1039)</f>
        <v>1039</v>
      </c>
      <c r="E580" s="25" t="str">
        <f ca="1">IFERROR(__xludf.DUMMYFUNCTION("""COMPUTED_VALUE"""),"REA-K0921")</f>
        <v>REA-K0921</v>
      </c>
    </row>
    <row r="581" spans="1:5" x14ac:dyDescent="0.2">
      <c r="A581" s="22">
        <f ca="1">IFERROR(__xludf.DUMMYFUNCTION("""COMPUTED_VALUE"""),45485)</f>
        <v>45485</v>
      </c>
      <c r="B581" s="23" t="str">
        <f ca="1">IFERROR(__xludf.DUMMYFUNCTION("""COMPUTED_VALUE"""),"ŚCIANKA PRYSZNICOWA CORTIS 120 GOLD")</f>
        <v>ŚCIANKA PRYSZNICOWA CORTIS 120 GOLD</v>
      </c>
      <c r="C581" s="23"/>
      <c r="D581" s="24">
        <f ca="1">IFERROR(__xludf.DUMMYFUNCTION("""COMPUTED_VALUE"""),1229)</f>
        <v>1229</v>
      </c>
      <c r="E581" s="25" t="str">
        <f ca="1">IFERROR(__xludf.DUMMYFUNCTION("""COMPUTED_VALUE"""),"REA-K8485")</f>
        <v>REA-K8485</v>
      </c>
    </row>
    <row r="582" spans="1:5" x14ac:dyDescent="0.2">
      <c r="A582" s="22">
        <f ca="1">IFERROR(__xludf.DUMMYFUNCTION("""COMPUTED_VALUE"""),45485)</f>
        <v>45485</v>
      </c>
      <c r="B582" s="23" t="str">
        <f ca="1">IFERROR(__xludf.DUMMYFUNCTION("""COMPUTED_VALUE"""),"ŚCIANKA PRYSZNICOWA CORTIS 120 BLACK")</f>
        <v>ŚCIANKA PRYSZNICOWA CORTIS 120 BLACK</v>
      </c>
      <c r="C582" s="23"/>
      <c r="D582" s="24">
        <f ca="1">IFERROR(__xludf.DUMMYFUNCTION("""COMPUTED_VALUE"""),1119)</f>
        <v>1119</v>
      </c>
      <c r="E582" s="25" t="str">
        <f ca="1">IFERROR(__xludf.DUMMYFUNCTION("""COMPUTED_VALUE"""),"REA-K8880")</f>
        <v>REA-K8880</v>
      </c>
    </row>
    <row r="583" spans="1:5" x14ac:dyDescent="0.2">
      <c r="A583" s="22">
        <f ca="1">IFERROR(__xludf.DUMMYFUNCTION("""COMPUTED_VALUE"""),45485)</f>
        <v>45485</v>
      </c>
      <c r="B583" s="23" t="str">
        <f ca="1">IFERROR(__xludf.DUMMYFUNCTION("""COMPUTED_VALUE"""),"ŚCIANKA PRYSZNICOWA CORTIS 120")</f>
        <v>ŚCIANKA PRYSZNICOWA CORTIS 120</v>
      </c>
      <c r="C583" s="23"/>
      <c r="D583" s="24">
        <f ca="1">IFERROR(__xludf.DUMMYFUNCTION("""COMPUTED_VALUE"""),1099)</f>
        <v>1099</v>
      </c>
      <c r="E583" s="25" t="str">
        <f ca="1">IFERROR(__xludf.DUMMYFUNCTION("""COMPUTED_VALUE"""),"REA-K7211")</f>
        <v>REA-K7211</v>
      </c>
    </row>
    <row r="584" spans="1:5" x14ac:dyDescent="0.2">
      <c r="A584" s="22">
        <f ca="1">IFERROR(__xludf.DUMMYFUNCTION("""COMPUTED_VALUE"""),45483)</f>
        <v>45483</v>
      </c>
      <c r="B584" s="23" t="str">
        <f ca="1">IFERROR(__xludf.DUMMYFUNCTION("""COMPUTED_VALUE"""),"WANNA KERRANO 150")</f>
        <v>WANNA KERRANO 150</v>
      </c>
      <c r="C584" s="23"/>
      <c r="D584" s="24">
        <f ca="1">IFERROR(__xludf.DUMMYFUNCTION("""COMPUTED_VALUE"""),3490)</f>
        <v>3490</v>
      </c>
      <c r="E584" s="25" t="str">
        <f ca="1">IFERROR(__xludf.DUMMYFUNCTION("""COMPUTED_VALUE"""),"REA-W2002")</f>
        <v>REA-W2002</v>
      </c>
    </row>
    <row r="585" spans="1:5" x14ac:dyDescent="0.2">
      <c r="A585" s="22">
        <f ca="1">IFERROR(__xludf.DUMMYFUNCTION("""COMPUTED_VALUE"""),45483)</f>
        <v>45483</v>
      </c>
      <c r="B585" s="23" t="str">
        <f ca="1">IFERROR(__xludf.DUMMYFUNCTION("""COMPUTED_VALUE"""),"WANNA KERRANO 170")</f>
        <v>WANNA KERRANO 170</v>
      </c>
      <c r="C585" s="23"/>
      <c r="D585" s="24">
        <f ca="1">IFERROR(__xludf.DUMMYFUNCTION("""COMPUTED_VALUE"""),3690)</f>
        <v>3690</v>
      </c>
      <c r="E585" s="25" t="str">
        <f ca="1">IFERROR(__xludf.DUMMYFUNCTION("""COMPUTED_VALUE"""),"REA-W2003")</f>
        <v>REA-W2003</v>
      </c>
    </row>
    <row r="586" spans="1:5" x14ac:dyDescent="0.2">
      <c r="A586" s="22">
        <f ca="1">IFERROR(__xludf.DUMMYFUNCTION("""COMPUTED_VALUE"""),45483)</f>
        <v>45483</v>
      </c>
      <c r="B586" s="23" t="str">
        <f ca="1">IFERROR(__xludf.DUMMYFUNCTION("""COMPUTED_VALUE"""),"WANNA MILANO 150")</f>
        <v>WANNA MILANO 150</v>
      </c>
      <c r="C586" s="23"/>
      <c r="D586" s="24">
        <f ca="1">IFERROR(__xludf.DUMMYFUNCTION("""COMPUTED_VALUE"""),3299)</f>
        <v>3299</v>
      </c>
      <c r="E586" s="25" t="str">
        <f ca="1">IFERROR(__xludf.DUMMYFUNCTION("""COMPUTED_VALUE"""),"REA-W2000")</f>
        <v>REA-W2000</v>
      </c>
    </row>
    <row r="587" spans="1:5" x14ac:dyDescent="0.2">
      <c r="A587" s="22">
        <f ca="1">IFERROR(__xludf.DUMMYFUNCTION("""COMPUTED_VALUE"""),45483)</f>
        <v>45483</v>
      </c>
      <c r="B587" s="23" t="str">
        <f ca="1">IFERROR(__xludf.DUMMYFUNCTION("""COMPUTED_VALUE"""),"ZESTAW NATRYSKOWY BLISS ZŁOTY SZCZOTKOWANY ")</f>
        <v xml:space="preserve">ZESTAW NATRYSKOWY BLISS ZŁOTY SZCZOTKOWANY </v>
      </c>
      <c r="C587" s="23"/>
      <c r="D587" s="24">
        <f ca="1">IFERROR(__xludf.DUMMYFUNCTION("""COMPUTED_VALUE"""),829)</f>
        <v>829</v>
      </c>
      <c r="E587" s="25" t="str">
        <f ca="1">IFERROR(__xludf.DUMMYFUNCTION("""COMPUTED_VALUE"""),"REA-P8413")</f>
        <v>REA-P8413</v>
      </c>
    </row>
    <row r="588" spans="1:5" x14ac:dyDescent="0.2">
      <c r="A588" s="22">
        <f ca="1">IFERROR(__xludf.DUMMYFUNCTION("""COMPUTED_VALUE"""),45483)</f>
        <v>45483</v>
      </c>
      <c r="B588" s="23" t="str">
        <f ca="1">IFERROR(__xludf.DUMMYFUNCTION("""COMPUTED_VALUE"""),"ZESTAW NATRYSKOWY BLISS GOLD")</f>
        <v>ZESTAW NATRYSKOWY BLISS GOLD</v>
      </c>
      <c r="C588" s="23"/>
      <c r="D588" s="24">
        <f ca="1">IFERROR(__xludf.DUMMYFUNCTION("""COMPUTED_VALUE"""),799)</f>
        <v>799</v>
      </c>
      <c r="E588" s="25" t="str">
        <f ca="1">IFERROR(__xludf.DUMMYFUNCTION("""COMPUTED_VALUE"""),"REA-P8806")</f>
        <v>REA-P8806</v>
      </c>
    </row>
    <row r="589" spans="1:5" x14ac:dyDescent="0.2">
      <c r="A589" s="22">
        <f ca="1">IFERROR(__xludf.DUMMYFUNCTION("""COMPUTED_VALUE"""),45483)</f>
        <v>45483</v>
      </c>
      <c r="B589" s="23" t="str">
        <f ca="1">IFERROR(__xludf.DUMMYFUNCTION("""COMPUTED_VALUE"""),"UMYWALKA NADIA 60 SAND - NABLATOWA")</f>
        <v>UMYWALKA NADIA 60 SAND - NABLATOWA</v>
      </c>
      <c r="C589" s="23"/>
      <c r="D589" s="24">
        <f ca="1">IFERROR(__xludf.DUMMYFUNCTION("""COMPUTED_VALUE"""),359)</f>
        <v>359</v>
      </c>
      <c r="E589" s="25" t="str">
        <f ca="1">IFERROR(__xludf.DUMMYFUNCTION("""COMPUTED_VALUE"""),"REA-U5800")</f>
        <v>REA-U5800</v>
      </c>
    </row>
    <row r="590" spans="1:5" x14ac:dyDescent="0.2">
      <c r="A590" s="22">
        <f ca="1">IFERROR(__xludf.DUMMYFUNCTION("""COMPUTED_VALUE"""),45483)</f>
        <v>45483</v>
      </c>
      <c r="B590" s="23" t="str">
        <f ca="1">IFERROR(__xludf.DUMMYFUNCTION("""COMPUTED_VALUE"""),"UMYWALKA ANYA GRANIT MATT - WOLNOSTOJĄCA")</f>
        <v>UMYWALKA ANYA GRANIT MATT - WOLNOSTOJĄCA</v>
      </c>
      <c r="C590" s="23"/>
      <c r="D590" s="24">
        <f ca="1">IFERROR(__xludf.DUMMYFUNCTION("""COMPUTED_VALUE"""),1549)</f>
        <v>1549</v>
      </c>
      <c r="E590" s="25" t="str">
        <f ca="1">IFERROR(__xludf.DUMMYFUNCTION("""COMPUTED_VALUE"""),"REA-U5802")</f>
        <v>REA-U5802</v>
      </c>
    </row>
    <row r="591" spans="1:5" x14ac:dyDescent="0.2">
      <c r="A591" s="22">
        <f ca="1">IFERROR(__xludf.DUMMYFUNCTION("""COMPUTED_VALUE"""),45483)</f>
        <v>45483</v>
      </c>
      <c r="B591" s="23" t="str">
        <f ca="1">IFERROR(__xludf.DUMMYFUNCTION("""COMPUTED_VALUE"""),"UMYWALKA VEGAS GRANIT SHINY - NABLATOWA")</f>
        <v>UMYWALKA VEGAS GRANIT SHINY - NABLATOWA</v>
      </c>
      <c r="C591" s="23"/>
      <c r="D591" s="24">
        <f ca="1">IFERROR(__xludf.DUMMYFUNCTION("""COMPUTED_VALUE"""),349)</f>
        <v>349</v>
      </c>
      <c r="E591" s="25" t="str">
        <f ca="1">IFERROR(__xludf.DUMMYFUNCTION("""COMPUTED_VALUE"""),"REA-U5602")</f>
        <v>REA-U5602</v>
      </c>
    </row>
    <row r="592" spans="1:5" x14ac:dyDescent="0.2">
      <c r="A592" s="22">
        <f ca="1">IFERROR(__xludf.DUMMYFUNCTION("""COMPUTED_VALUE"""),45483)</f>
        <v>45483</v>
      </c>
      <c r="B592" s="23" t="str">
        <f ca="1">IFERROR(__xludf.DUMMYFUNCTION("""COMPUTED_VALUE"""),"UMYWALKA VALERIA N - NABLATOWA")</f>
        <v>UMYWALKA VALERIA N - NABLATOWA</v>
      </c>
      <c r="C592" s="23"/>
      <c r="D592" s="24">
        <f ca="1">IFERROR(__xludf.DUMMYFUNCTION("""COMPUTED_VALUE"""),299)</f>
        <v>299</v>
      </c>
      <c r="E592" s="25" t="str">
        <f ca="1">IFERROR(__xludf.DUMMYFUNCTION("""COMPUTED_VALUE"""),"REA-U5000")</f>
        <v>REA-U5000</v>
      </c>
    </row>
    <row r="593" spans="1:5" x14ac:dyDescent="0.2">
      <c r="A593" s="22">
        <f ca="1">IFERROR(__xludf.DUMMYFUNCTION("""COMPUTED_VALUE"""),45483)</f>
        <v>45483</v>
      </c>
      <c r="B593" s="23" t="str">
        <f ca="1">IFERROR(__xludf.DUMMYFUNCTION("""COMPUTED_VALUE"""),"UMYWALKA ROYAL MINI BLACK/WHITE - NABLATOWA")</f>
        <v>UMYWALKA ROYAL MINI BLACK/WHITE - NABLATOWA</v>
      </c>
      <c r="C593" s="23"/>
      <c r="D593" s="24">
        <f ca="1">IFERROR(__xludf.DUMMYFUNCTION("""COMPUTED_VALUE"""),429)</f>
        <v>429</v>
      </c>
      <c r="E593" s="25" t="str">
        <f ca="1">IFERROR(__xludf.DUMMYFUNCTION("""COMPUTED_VALUE"""),"REA-U0538")</f>
        <v>REA-U0538</v>
      </c>
    </row>
    <row r="594" spans="1:5" x14ac:dyDescent="0.2">
      <c r="A594" s="22">
        <f ca="1">IFERROR(__xludf.DUMMYFUNCTION("""COMPUTED_VALUE"""),45483)</f>
        <v>45483</v>
      </c>
      <c r="B594" s="23" t="str">
        <f ca="1">IFERROR(__xludf.DUMMYFUNCTION("""COMPUTED_VALUE"""),"UMYWALKA STELLA BLACK MARBLE BRUSH - NABLATOWA")</f>
        <v>UMYWALKA STELLA BLACK MARBLE BRUSH - NABLATOWA</v>
      </c>
      <c r="C594" s="23"/>
      <c r="D594" s="24">
        <f ca="1">IFERROR(__xludf.DUMMYFUNCTION("""COMPUTED_VALUE"""),399)</f>
        <v>399</v>
      </c>
      <c r="E594" s="25" t="str">
        <f ca="1">IFERROR(__xludf.DUMMYFUNCTION("""COMPUTED_VALUE"""),"REA-U9086")</f>
        <v>REA-U9086</v>
      </c>
    </row>
    <row r="595" spans="1:5" x14ac:dyDescent="0.2">
      <c r="A595" s="22">
        <f ca="1">IFERROR(__xludf.DUMMYFUNCTION("""COMPUTED_VALUE"""),45483)</f>
        <v>45483</v>
      </c>
      <c r="B595" s="23" t="str">
        <f ca="1">IFERROR(__xludf.DUMMYFUNCTION("""COMPUTED_VALUE"""),"UMYWALKA ROYAL 60 - NABLATOWA")</f>
        <v>UMYWALKA ROYAL 60 - NABLATOWA</v>
      </c>
      <c r="C595" s="23"/>
      <c r="D595" s="24">
        <f ca="1">IFERROR(__xludf.DUMMYFUNCTION("""COMPUTED_VALUE"""),329)</f>
        <v>329</v>
      </c>
      <c r="E595" s="25" t="str">
        <f ca="1">IFERROR(__xludf.DUMMYFUNCTION("""COMPUTED_VALUE"""),"REA-U0441")</f>
        <v>REA-U0441</v>
      </c>
    </row>
    <row r="596" spans="1:5" x14ac:dyDescent="0.2">
      <c r="A596" s="22">
        <f ca="1">IFERROR(__xludf.DUMMYFUNCTION("""COMPUTED_VALUE"""),45483)</f>
        <v>45483</v>
      </c>
      <c r="B596" s="23" t="str">
        <f ca="1">IFERROR(__xludf.DUMMYFUNCTION("""COMPUTED_VALUE"""),"UMYWALKA CLEO 81 SHINY AIAX - NABLATOWA")</f>
        <v>UMYWALKA CLEO 81 SHINY AIAX - NABLATOWA</v>
      </c>
      <c r="C596" s="23"/>
      <c r="D596" s="24">
        <f ca="1">IFERROR(__xludf.DUMMYFUNCTION("""COMPUTED_VALUE"""),539)</f>
        <v>539</v>
      </c>
      <c r="E596" s="25" t="str">
        <f ca="1">IFERROR(__xludf.DUMMYFUNCTION("""COMPUTED_VALUE"""),"REA-U8404")</f>
        <v>REA-U8404</v>
      </c>
    </row>
    <row r="597" spans="1:5" x14ac:dyDescent="0.2">
      <c r="A597" s="22">
        <f ca="1">IFERROR(__xludf.DUMMYFUNCTION("""COMPUTED_VALUE"""),45483)</f>
        <v>45483</v>
      </c>
      <c r="B597" s="23" t="str">
        <f ca="1">IFERROR(__xludf.DUMMYFUNCTION("""COMPUTED_VALUE"""),"WC - CARLO MINI TORNADO/DUROPLAST/SLIM/ZM")</f>
        <v>WC - CARLO MINI TORNADO/DUROPLAST/SLIM/ZM</v>
      </c>
      <c r="C597" s="23"/>
      <c r="D597" s="24">
        <f ca="1">IFERROR(__xludf.DUMMYFUNCTION("""COMPUTED_VALUE"""),669)</f>
        <v>669</v>
      </c>
      <c r="E597" s="25" t="str">
        <f ca="1">IFERROR(__xludf.DUMMYFUNCTION("""COMPUTED_VALUE"""),"REA-C1259")</f>
        <v>REA-C1259</v>
      </c>
    </row>
    <row r="598" spans="1:5" x14ac:dyDescent="0.2">
      <c r="A598" s="22">
        <f ca="1">IFERROR(__xludf.DUMMYFUNCTION("""COMPUTED_VALUE"""),45483)</f>
        <v>45483</v>
      </c>
      <c r="B598" s="23" t="str">
        <f ca="1">IFERROR(__xludf.DUMMYFUNCTION("""COMPUTED_VALUE"""),"WC - EDDY TURBO TORNADO")</f>
        <v>WC - EDDY TURBO TORNADO</v>
      </c>
      <c r="C598" s="23"/>
      <c r="D598" s="24">
        <f ca="1">IFERROR(__xludf.DUMMYFUNCTION("""COMPUTED_VALUE"""),679)</f>
        <v>679</v>
      </c>
      <c r="E598" s="25" t="str">
        <f ca="1">IFERROR(__xludf.DUMMYFUNCTION("""COMPUTED_VALUE"""),"REA-C6560")</f>
        <v>REA-C6560</v>
      </c>
    </row>
    <row r="599" spans="1:5" x14ac:dyDescent="0.2">
      <c r="A599" s="22">
        <f ca="1">IFERROR(__xludf.DUMMYFUNCTION("""COMPUTED_VALUE"""),45483)</f>
        <v>45483</v>
      </c>
      <c r="B599" s="23" t="str">
        <f ca="1">IFERROR(__xludf.DUMMYFUNCTION("""COMPUTED_VALUE"""),"BRODZIK GREY ROCK 80 X 100")</f>
        <v>BRODZIK GREY ROCK 80 X 100</v>
      </c>
      <c r="C599" s="23"/>
      <c r="D599" s="24">
        <f ca="1">IFERROR(__xludf.DUMMYFUNCTION("""COMPUTED_VALUE"""),629)</f>
        <v>629</v>
      </c>
      <c r="E599" s="25" t="str">
        <f ca="1">IFERROR(__xludf.DUMMYFUNCTION("""COMPUTED_VALUE"""),"REA-K4582")</f>
        <v>REA-K4582</v>
      </c>
    </row>
    <row r="600" spans="1:5" x14ac:dyDescent="0.2">
      <c r="A600" s="22">
        <f ca="1">IFERROR(__xludf.DUMMYFUNCTION("""COMPUTED_VALUE"""),45483)</f>
        <v>45483</v>
      </c>
      <c r="B600" s="23" t="str">
        <f ca="1">IFERROR(__xludf.DUMMYFUNCTION("""COMPUTED_VALUE"""),"BRODZIK GREY ROCK 90 X 90")</f>
        <v>BRODZIK GREY ROCK 90 X 90</v>
      </c>
      <c r="C600" s="23"/>
      <c r="D600" s="24">
        <f ca="1">IFERROR(__xludf.DUMMYFUNCTION("""COMPUTED_VALUE"""),679)</f>
        <v>679</v>
      </c>
      <c r="E600" s="25" t="str">
        <f ca="1">IFERROR(__xludf.DUMMYFUNCTION("""COMPUTED_VALUE"""),"REA-K4585")</f>
        <v>REA-K4585</v>
      </c>
    </row>
    <row r="601" spans="1:5" x14ac:dyDescent="0.2">
      <c r="A601" s="22">
        <f ca="1">IFERROR(__xludf.DUMMYFUNCTION("""COMPUTED_VALUE"""),45483)</f>
        <v>45483</v>
      </c>
      <c r="B601" s="23" t="str">
        <f ca="1">IFERROR(__xludf.DUMMYFUNCTION("""COMPUTED_VALUE"""),"BRODZIK GREY ROCK 90 X 120")</f>
        <v>BRODZIK GREY ROCK 90 X 120</v>
      </c>
      <c r="C601" s="23"/>
      <c r="D601" s="24">
        <f ca="1">IFERROR(__xludf.DUMMYFUNCTION("""COMPUTED_VALUE"""),889)</f>
        <v>889</v>
      </c>
      <c r="E601" s="25" t="str">
        <f ca="1">IFERROR(__xludf.DUMMYFUNCTION("""COMPUTED_VALUE"""),"REA-K4584")</f>
        <v>REA-K4584</v>
      </c>
    </row>
    <row r="602" spans="1:5" x14ac:dyDescent="0.2">
      <c r="A602" s="22">
        <f ca="1">IFERROR(__xludf.DUMMYFUNCTION("""COMPUTED_VALUE"""),45483)</f>
        <v>45483</v>
      </c>
      <c r="B602" s="23" t="str">
        <f ca="1">IFERROR(__xludf.DUMMYFUNCTION("""COMPUTED_VALUE"""),"BRODZIK BLACK ROCK 80 X 100")</f>
        <v>BRODZIK BLACK ROCK 80 X 100</v>
      </c>
      <c r="C602" s="23"/>
      <c r="D602" s="24">
        <f ca="1">IFERROR(__xludf.DUMMYFUNCTION("""COMPUTED_VALUE"""),629)</f>
        <v>629</v>
      </c>
      <c r="E602" s="25" t="str">
        <f ca="1">IFERROR(__xludf.DUMMYFUNCTION("""COMPUTED_VALUE"""),"REA-K4578")</f>
        <v>REA-K4578</v>
      </c>
    </row>
    <row r="603" spans="1:5" x14ac:dyDescent="0.2">
      <c r="A603" s="22">
        <f ca="1">IFERROR(__xludf.DUMMYFUNCTION("""COMPUTED_VALUE"""),45483)</f>
        <v>45483</v>
      </c>
      <c r="B603" s="23" t="str">
        <f ca="1">IFERROR(__xludf.DUMMYFUNCTION("""COMPUTED_VALUE"""),"BRODZIK BLACK ROCK 80 X 120")</f>
        <v>BRODZIK BLACK ROCK 80 X 120</v>
      </c>
      <c r="C603" s="23"/>
      <c r="D603" s="24">
        <f ca="1">IFERROR(__xludf.DUMMYFUNCTION("""COMPUTED_VALUE"""),799)</f>
        <v>799</v>
      </c>
      <c r="E603" s="25" t="str">
        <f ca="1">IFERROR(__xludf.DUMMYFUNCTION("""COMPUTED_VALUE"""),"REA-K4579")</f>
        <v>REA-K4579</v>
      </c>
    </row>
    <row r="604" spans="1:5" x14ac:dyDescent="0.2">
      <c r="A604" s="22">
        <f ca="1">IFERROR(__xludf.DUMMYFUNCTION("""COMPUTED_VALUE"""),45483)</f>
        <v>45483</v>
      </c>
      <c r="B604" s="23" t="str">
        <f ca="1">IFERROR(__xludf.DUMMYFUNCTION("""COMPUTED_VALUE"""),"BRODZIK BLACK ROCK 90 X 120")</f>
        <v>BRODZIK BLACK ROCK 90 X 120</v>
      </c>
      <c r="C604" s="23"/>
      <c r="D604" s="24">
        <f ca="1">IFERROR(__xludf.DUMMYFUNCTION("""COMPUTED_VALUE"""),889)</f>
        <v>889</v>
      </c>
      <c r="E604" s="25" t="str">
        <f ca="1">IFERROR(__xludf.DUMMYFUNCTION("""COMPUTED_VALUE"""),"REA-K4580")</f>
        <v>REA-K4580</v>
      </c>
    </row>
    <row r="605" spans="1:5" x14ac:dyDescent="0.2">
      <c r="A605" s="22">
        <f ca="1">IFERROR(__xludf.DUMMYFUNCTION("""COMPUTED_VALUE"""),45475)</f>
        <v>45475</v>
      </c>
      <c r="B605" s="23" t="str">
        <f ca="1">IFERROR(__xludf.DUMMYFUNCTION("""COMPUTED_VALUE"""),"ODPŁYW NEOX PRO SZCZOTKOWANY 500")</f>
        <v>ODPŁYW NEOX PRO SZCZOTKOWANY 500</v>
      </c>
      <c r="C605" s="23"/>
      <c r="D605" s="24">
        <f ca="1">IFERROR(__xludf.DUMMYFUNCTION("""COMPUTED_VALUE"""),219)</f>
        <v>219</v>
      </c>
      <c r="E605" s="25" t="str">
        <f ca="1">IFERROR(__xludf.DUMMYFUNCTION("""COMPUTED_VALUE"""),"REA-G5806")</f>
        <v>REA-G5806</v>
      </c>
    </row>
    <row r="606" spans="1:5" x14ac:dyDescent="0.2">
      <c r="A606" s="22">
        <f ca="1">IFERROR(__xludf.DUMMYFUNCTION("""COMPUTED_VALUE"""),45475)</f>
        <v>45475</v>
      </c>
      <c r="B606" s="23" t="str">
        <f ca="1">IFERROR(__xludf.DUMMYFUNCTION("""COMPUTED_VALUE"""),"ODPŁYW NEOX PRO SZCZOTKOWANY 600")</f>
        <v>ODPŁYW NEOX PRO SZCZOTKOWANY 600</v>
      </c>
      <c r="C606" s="23"/>
      <c r="D606" s="24">
        <f ca="1">IFERROR(__xludf.DUMMYFUNCTION("""COMPUTED_VALUE"""),229)</f>
        <v>229</v>
      </c>
      <c r="E606" s="25" t="str">
        <f ca="1">IFERROR(__xludf.DUMMYFUNCTION("""COMPUTED_VALUE"""),"REA-G5807")</f>
        <v>REA-G5807</v>
      </c>
    </row>
    <row r="607" spans="1:5" x14ac:dyDescent="0.2">
      <c r="A607" s="22">
        <f ca="1">IFERROR(__xludf.DUMMYFUNCTION("""COMPUTED_VALUE"""),45475)</f>
        <v>45475</v>
      </c>
      <c r="B607" s="23" t="str">
        <f ca="1">IFERROR(__xludf.DUMMYFUNCTION("""COMPUTED_VALUE"""),"ODPŁYW NEOX PRO SZCZOTKOWANY 700")</f>
        <v>ODPŁYW NEOX PRO SZCZOTKOWANY 700</v>
      </c>
      <c r="C607" s="23"/>
      <c r="D607" s="24">
        <f ca="1">IFERROR(__xludf.DUMMYFUNCTION("""COMPUTED_VALUE"""),239)</f>
        <v>239</v>
      </c>
      <c r="E607" s="25" t="str">
        <f ca="1">IFERROR(__xludf.DUMMYFUNCTION("""COMPUTED_VALUE"""),"REA-G5808")</f>
        <v>REA-G5808</v>
      </c>
    </row>
    <row r="608" spans="1:5" x14ac:dyDescent="0.2">
      <c r="A608" s="22">
        <f ca="1">IFERROR(__xludf.DUMMYFUNCTION("""COMPUTED_VALUE"""),45475)</f>
        <v>45475</v>
      </c>
      <c r="B608" s="23" t="str">
        <f ca="1">IFERROR(__xludf.DUMMYFUNCTION("""COMPUTED_VALUE"""),"ODPŁYW NEOX PRO SZCZOTKOWANY 800")</f>
        <v>ODPŁYW NEOX PRO SZCZOTKOWANY 800</v>
      </c>
      <c r="C608" s="23"/>
      <c r="D608" s="24">
        <f ca="1">IFERROR(__xludf.DUMMYFUNCTION("""COMPUTED_VALUE"""),259)</f>
        <v>259</v>
      </c>
      <c r="E608" s="25" t="str">
        <f ca="1">IFERROR(__xludf.DUMMYFUNCTION("""COMPUTED_VALUE"""),"REA-G5809")</f>
        <v>REA-G5809</v>
      </c>
    </row>
    <row r="609" spans="1:5" x14ac:dyDescent="0.2">
      <c r="A609" s="22">
        <f ca="1">IFERROR(__xludf.DUMMYFUNCTION("""COMPUTED_VALUE"""),45475)</f>
        <v>45475</v>
      </c>
      <c r="B609" s="23" t="str">
        <f ca="1">IFERROR(__xludf.DUMMYFUNCTION("""COMPUTED_VALUE"""),"ODPŁYW NEOX PRO SZCZOTKOWANY 900")</f>
        <v>ODPŁYW NEOX PRO SZCZOTKOWANY 900</v>
      </c>
      <c r="C609" s="23"/>
      <c r="D609" s="24">
        <f ca="1">IFERROR(__xludf.DUMMYFUNCTION("""COMPUTED_VALUE"""),289)</f>
        <v>289</v>
      </c>
      <c r="E609" s="25" t="str">
        <f ca="1">IFERROR(__xludf.DUMMYFUNCTION("""COMPUTED_VALUE"""),"REA-G5810")</f>
        <v>REA-G5810</v>
      </c>
    </row>
    <row r="610" spans="1:5" x14ac:dyDescent="0.2">
      <c r="A610" s="22">
        <f ca="1">IFERROR(__xludf.DUMMYFUNCTION("""COMPUTED_VALUE"""),45475)</f>
        <v>45475</v>
      </c>
      <c r="B610" s="23" t="str">
        <f ca="1">IFERROR(__xludf.DUMMYFUNCTION("""COMPUTED_VALUE"""),"ODPŁYW NEOX PRO SZCZOTKOWANY 1000")</f>
        <v>ODPŁYW NEOX PRO SZCZOTKOWANY 1000</v>
      </c>
      <c r="C610" s="23"/>
      <c r="D610" s="24">
        <f ca="1">IFERROR(__xludf.DUMMYFUNCTION("""COMPUTED_VALUE"""),309)</f>
        <v>309</v>
      </c>
      <c r="E610" s="25" t="str">
        <f ca="1">IFERROR(__xludf.DUMMYFUNCTION("""COMPUTED_VALUE"""),"REA-G5811")</f>
        <v>REA-G5811</v>
      </c>
    </row>
    <row r="611" spans="1:5" x14ac:dyDescent="0.2">
      <c r="A611" s="22">
        <f ca="1">IFERROR(__xludf.DUMMYFUNCTION("""COMPUTED_VALUE"""),45475)</f>
        <v>45475</v>
      </c>
      <c r="B611" s="23" t="str">
        <f ca="1">IFERROR(__xludf.DUMMYFUNCTION("""COMPUTED_VALUE"""),"ODPŁYW NEOX SLIM PRO ZŁOTY 900")</f>
        <v>ODPŁYW NEOX SLIM PRO ZŁOTY 900</v>
      </c>
      <c r="C611" s="23"/>
      <c r="D611" s="24">
        <f ca="1">IFERROR(__xludf.DUMMYFUNCTION("""COMPUTED_VALUE"""),289)</f>
        <v>289</v>
      </c>
      <c r="E611" s="25" t="str">
        <f ca="1">IFERROR(__xludf.DUMMYFUNCTION("""COMPUTED_VALUE"""),"REA-G5805")</f>
        <v>REA-G5805</v>
      </c>
    </row>
    <row r="612" spans="1:5" x14ac:dyDescent="0.2">
      <c r="A612" s="22">
        <f ca="1">IFERROR(__xludf.DUMMYFUNCTION("""COMPUTED_VALUE"""),45475)</f>
        <v>45475</v>
      </c>
      <c r="B612" s="23" t="str">
        <f ca="1">IFERROR(__xludf.DUMMYFUNCTION("""COMPUTED_VALUE"""),"ODPŁYW NEOX SLIM PRO ZŁOTY 1000")</f>
        <v>ODPŁYW NEOX SLIM PRO ZŁOTY 1000</v>
      </c>
      <c r="C612" s="23"/>
      <c r="D612" s="24">
        <f ca="1">IFERROR(__xludf.DUMMYFUNCTION("""COMPUTED_VALUE"""),309)</f>
        <v>309</v>
      </c>
      <c r="E612" s="25" t="str">
        <f ca="1">IFERROR(__xludf.DUMMYFUNCTION("""COMPUTED_VALUE"""),"REA-G5804")</f>
        <v>REA-G5804</v>
      </c>
    </row>
    <row r="613" spans="1:5" x14ac:dyDescent="0.2">
      <c r="A613" s="22">
        <f ca="1">IFERROR(__xludf.DUMMYFUNCTION("""COMPUTED_VALUE"""),45475)</f>
        <v>45475</v>
      </c>
      <c r="B613" s="23" t="str">
        <f ca="1">IFERROR(__xludf.DUMMYFUNCTION("""COMPUTED_VALUE"""),"ODPŁYW NEOX SLIM PRO SZCZOTKOWANY 500")</f>
        <v>ODPŁYW NEOX SLIM PRO SZCZOTKOWANY 500</v>
      </c>
      <c r="C613" s="23"/>
      <c r="D613" s="24">
        <f ca="1">IFERROR(__xludf.DUMMYFUNCTION("""COMPUTED_VALUE"""),199)</f>
        <v>199</v>
      </c>
      <c r="E613" s="25" t="str">
        <f ca="1">IFERROR(__xludf.DUMMYFUNCTION("""COMPUTED_VALUE"""),"REA-G5800")</f>
        <v>REA-G5800</v>
      </c>
    </row>
    <row r="614" spans="1:5" x14ac:dyDescent="0.2">
      <c r="A614" s="22">
        <f ca="1">IFERROR(__xludf.DUMMYFUNCTION("""COMPUTED_VALUE"""),45475)</f>
        <v>45475</v>
      </c>
      <c r="B614" s="23" t="str">
        <f ca="1">IFERROR(__xludf.DUMMYFUNCTION("""COMPUTED_VALUE"""),"ODPŁYW NEOX SLIM PRO SZCZOTKOWANY 600")</f>
        <v>ODPŁYW NEOX SLIM PRO SZCZOTKOWANY 600</v>
      </c>
      <c r="C614" s="23"/>
      <c r="D614" s="24">
        <f ca="1">IFERROR(__xludf.DUMMYFUNCTION("""COMPUTED_VALUE"""),209)</f>
        <v>209</v>
      </c>
      <c r="E614" s="25" t="str">
        <f ca="1">IFERROR(__xludf.DUMMYFUNCTION("""COMPUTED_VALUE"""),"REA-G5801")</f>
        <v>REA-G5801</v>
      </c>
    </row>
    <row r="615" spans="1:5" x14ac:dyDescent="0.2">
      <c r="A615" s="22">
        <f ca="1">IFERROR(__xludf.DUMMYFUNCTION("""COMPUTED_VALUE"""),45475)</f>
        <v>45475</v>
      </c>
      <c r="B615" s="23" t="str">
        <f ca="1">IFERROR(__xludf.DUMMYFUNCTION("""COMPUTED_VALUE"""),"ODPŁYW NEOX SLIM PRO SZCZOTKOWANY 800")</f>
        <v>ODPŁYW NEOX SLIM PRO SZCZOTKOWANY 800</v>
      </c>
      <c r="C615" s="23"/>
      <c r="D615" s="24">
        <f ca="1">IFERROR(__xludf.DUMMYFUNCTION("""COMPUTED_VALUE"""),229)</f>
        <v>229</v>
      </c>
      <c r="E615" s="25" t="str">
        <f ca="1">IFERROR(__xludf.DUMMYFUNCTION("""COMPUTED_VALUE"""),"REA-G5802")</f>
        <v>REA-G5802</v>
      </c>
    </row>
    <row r="616" spans="1:5" x14ac:dyDescent="0.2">
      <c r="A616" s="22">
        <f ca="1">IFERROR(__xludf.DUMMYFUNCTION("""COMPUTED_VALUE"""),45475)</f>
        <v>45475</v>
      </c>
      <c r="B616" s="23" t="str">
        <f ca="1">IFERROR(__xludf.DUMMYFUNCTION("""COMPUTED_VALUE"""),"ODPŁYW NEOX SLIM PRO SZCZOTKOWANY 1000")</f>
        <v>ODPŁYW NEOX SLIM PRO SZCZOTKOWANY 1000</v>
      </c>
      <c r="C616" s="23"/>
      <c r="D616" s="24">
        <f ca="1">IFERROR(__xludf.DUMMYFUNCTION("""COMPUTED_VALUE"""),249)</f>
        <v>249</v>
      </c>
      <c r="E616" s="25" t="str">
        <f ca="1">IFERROR(__xludf.DUMMYFUNCTION("""COMPUTED_VALUE"""),"REA-G5803")</f>
        <v>REA-G5803</v>
      </c>
    </row>
    <row r="617" spans="1:5" x14ac:dyDescent="0.2">
      <c r="A617" s="22">
        <f ca="1">IFERROR(__xludf.DUMMYFUNCTION("""COMPUTED_VALUE"""),45475)</f>
        <v>45475</v>
      </c>
      <c r="B617" s="23" t="str">
        <f ca="1">IFERROR(__xludf.DUMMYFUNCTION("""COMPUTED_VALUE"""),"PÓŁKA PODTYNKOWA 09 30x60x10 ZŁOTY SZCZOTKOWANY")</f>
        <v>PÓŁKA PODTYNKOWA 09 30x60x10 ZŁOTY SZCZOTKOWANY</v>
      </c>
      <c r="C617" s="23"/>
      <c r="D617" s="24">
        <f ca="1">IFERROR(__xludf.DUMMYFUNCTION("""COMPUTED_VALUE"""),459)</f>
        <v>459</v>
      </c>
      <c r="E617" s="25" t="str">
        <f ca="1">IFERROR(__xludf.DUMMYFUNCTION("""COMPUTED_VALUE"""),"REA-05608")</f>
        <v>REA-05608</v>
      </c>
    </row>
    <row r="618" spans="1:5" x14ac:dyDescent="0.2">
      <c r="A618" s="22">
        <f ca="1">IFERROR(__xludf.DUMMYFUNCTION("""COMPUTED_VALUE"""),45475)</f>
        <v>45475</v>
      </c>
      <c r="B618" s="23" t="str">
        <f ca="1">IFERROR(__xludf.DUMMYFUNCTION("""COMPUTED_VALUE"""),"DRZWI PRYSZNICOWE RAPID SWING GOLD 100")</f>
        <v>DRZWI PRYSZNICOWE RAPID SWING GOLD 100</v>
      </c>
      <c r="C618" s="23"/>
      <c r="D618" s="24">
        <f ca="1">IFERROR(__xludf.DUMMYFUNCTION("""COMPUTED_VALUE"""),1199)</f>
        <v>1199</v>
      </c>
      <c r="E618" s="25" t="str">
        <f ca="1">IFERROR(__xludf.DUMMYFUNCTION("""COMPUTED_VALUE"""),"REA-K5619")</f>
        <v>REA-K5619</v>
      </c>
    </row>
    <row r="619" spans="1:5" x14ac:dyDescent="0.2">
      <c r="A619" s="22">
        <f ca="1">IFERROR(__xludf.DUMMYFUNCTION("""COMPUTED_VALUE"""),45475)</f>
        <v>45475</v>
      </c>
      <c r="B619" s="23" t="str">
        <f ca="1">IFERROR(__xludf.DUMMYFUNCTION("""COMPUTED_VALUE"""),"ŚCIANKA PRYSZNICOWA AERO OMBRE BLACK/BLACK 90")</f>
        <v>ŚCIANKA PRYSZNICOWA AERO OMBRE BLACK/BLACK 90</v>
      </c>
      <c r="C619" s="23"/>
      <c r="D619" s="24">
        <f ca="1">IFERROR(__xludf.DUMMYFUNCTION("""COMPUTED_VALUE"""),899)</f>
        <v>899</v>
      </c>
      <c r="E619" s="25" t="str">
        <f ca="1">IFERROR(__xludf.DUMMYFUNCTION("""COMPUTED_VALUE"""),"REA-K2459")</f>
        <v>REA-K2459</v>
      </c>
    </row>
    <row r="620" spans="1:5" x14ac:dyDescent="0.2">
      <c r="A620" s="22">
        <f ca="1">IFERROR(__xludf.DUMMYFUNCTION("""COMPUTED_VALUE"""),45475)</f>
        <v>45475</v>
      </c>
      <c r="B620" s="23" t="str">
        <f ca="1">IFERROR(__xludf.DUMMYFUNCTION("""COMPUTED_VALUE"""),"ŚCIANKA PRYSZNICOWA AERO OMBRE BLACK/BLACK 100")</f>
        <v>ŚCIANKA PRYSZNICOWA AERO OMBRE BLACK/BLACK 100</v>
      </c>
      <c r="C620" s="23"/>
      <c r="D620" s="24">
        <f ca="1">IFERROR(__xludf.DUMMYFUNCTION("""COMPUTED_VALUE"""),949)</f>
        <v>949</v>
      </c>
      <c r="E620" s="25" t="str">
        <f ca="1">IFERROR(__xludf.DUMMYFUNCTION("""COMPUTED_VALUE"""),"REA-K2460")</f>
        <v>REA-K2460</v>
      </c>
    </row>
    <row r="621" spans="1:5" x14ac:dyDescent="0.2">
      <c r="A621" s="22">
        <f ca="1">IFERROR(__xludf.DUMMYFUNCTION("""COMPUTED_VALUE"""),45475)</f>
        <v>45475</v>
      </c>
      <c r="B621" s="23" t="str">
        <f ca="1">IFERROR(__xludf.DUMMYFUNCTION("""COMPUTED_VALUE"""),"ŚCIANKA PRYSZNICOWA AERO OMBRE BLACK/BLACK 110")</f>
        <v>ŚCIANKA PRYSZNICOWA AERO OMBRE BLACK/BLACK 110</v>
      </c>
      <c r="C621" s="23"/>
      <c r="D621" s="24">
        <f ca="1">IFERROR(__xludf.DUMMYFUNCTION("""COMPUTED_VALUE"""),999)</f>
        <v>999</v>
      </c>
      <c r="E621" s="25" t="str">
        <f ca="1">IFERROR(__xludf.DUMMYFUNCTION("""COMPUTED_VALUE"""),"REA-K2461")</f>
        <v>REA-K2461</v>
      </c>
    </row>
    <row r="622" spans="1:5" x14ac:dyDescent="0.2">
      <c r="A622" s="22">
        <f ca="1">IFERROR(__xludf.DUMMYFUNCTION("""COMPUTED_VALUE"""),45475)</f>
        <v>45475</v>
      </c>
      <c r="B622" s="23" t="str">
        <f ca="1">IFERROR(__xludf.DUMMYFUNCTION("""COMPUTED_VALUE"""),"ŚCIANKA PRYSZNICOWA AERO OMBRE BLACK/BLACK 120")</f>
        <v>ŚCIANKA PRYSZNICOWA AERO OMBRE BLACK/BLACK 120</v>
      </c>
      <c r="C622" s="23"/>
      <c r="D622" s="24">
        <f ca="1">IFERROR(__xludf.DUMMYFUNCTION("""COMPUTED_VALUE"""),999)</f>
        <v>999</v>
      </c>
      <c r="E622" s="25" t="str">
        <f ca="1">IFERROR(__xludf.DUMMYFUNCTION("""COMPUTED_VALUE"""),"REA-K2462")</f>
        <v>REA-K2462</v>
      </c>
    </row>
    <row r="623" spans="1:5" x14ac:dyDescent="0.2">
      <c r="A623" s="22">
        <f ca="1">IFERROR(__xludf.DUMMYFUNCTION("""COMPUTED_VALUE"""),45475)</f>
        <v>45475</v>
      </c>
      <c r="B623" s="23" t="str">
        <f ca="1">IFERROR(__xludf.DUMMYFUNCTION("""COMPUTED_VALUE"""),"ŚCIANKA PRYSZNICOWA AERO OMBRE GOLD BRUSH/WHITE 90")</f>
        <v>ŚCIANKA PRYSZNICOWA AERO OMBRE GOLD BRUSH/WHITE 90</v>
      </c>
      <c r="C623" s="23"/>
      <c r="D623" s="24">
        <f ca="1">IFERROR(__xludf.DUMMYFUNCTION("""COMPUTED_VALUE"""),899)</f>
        <v>899</v>
      </c>
      <c r="E623" s="25" t="str">
        <f ca="1">IFERROR(__xludf.DUMMYFUNCTION("""COMPUTED_VALUE"""),"REA-K2463")</f>
        <v>REA-K2463</v>
      </c>
    </row>
    <row r="624" spans="1:5" x14ac:dyDescent="0.2">
      <c r="A624" s="22">
        <f ca="1">IFERROR(__xludf.DUMMYFUNCTION("""COMPUTED_VALUE"""),45475)</f>
        <v>45475</v>
      </c>
      <c r="B624" s="23" t="str">
        <f ca="1">IFERROR(__xludf.DUMMYFUNCTION("""COMPUTED_VALUE"""),"ŚCIANKA PRYSZNICOW AERO OMBRE GOLD BRUSH/WHITE 100")</f>
        <v>ŚCIANKA PRYSZNICOW AERO OMBRE GOLD BRUSH/WHITE 100</v>
      </c>
      <c r="C624" s="23"/>
      <c r="D624" s="24">
        <f ca="1">IFERROR(__xludf.DUMMYFUNCTION("""COMPUTED_VALUE"""),899)</f>
        <v>899</v>
      </c>
      <c r="E624" s="25" t="str">
        <f ca="1">IFERROR(__xludf.DUMMYFUNCTION("""COMPUTED_VALUE"""),"REA-K2464")</f>
        <v>REA-K2464</v>
      </c>
    </row>
    <row r="625" spans="1:5" x14ac:dyDescent="0.2">
      <c r="A625" s="22">
        <f ca="1">IFERROR(__xludf.DUMMYFUNCTION("""COMPUTED_VALUE"""),45475)</f>
        <v>45475</v>
      </c>
      <c r="B625" s="23" t="str">
        <f ca="1">IFERROR(__xludf.DUMMYFUNCTION("""COMPUTED_VALUE"""),"ŚCIANKA PRYSZNICOW AERO OMBRE GOLD BRUSH/WHITE 110")</f>
        <v>ŚCIANKA PRYSZNICOW AERO OMBRE GOLD BRUSH/WHITE 110</v>
      </c>
      <c r="C625" s="23"/>
      <c r="D625" s="24">
        <f ca="1">IFERROR(__xludf.DUMMYFUNCTION("""COMPUTED_VALUE"""),959)</f>
        <v>959</v>
      </c>
      <c r="E625" s="25" t="str">
        <f ca="1">IFERROR(__xludf.DUMMYFUNCTION("""COMPUTED_VALUE"""),"REA-K2465")</f>
        <v>REA-K2465</v>
      </c>
    </row>
    <row r="626" spans="1:5" x14ac:dyDescent="0.2">
      <c r="A626" s="22">
        <f ca="1">IFERROR(__xludf.DUMMYFUNCTION("""COMPUTED_VALUE"""),45475)</f>
        <v>45475</v>
      </c>
      <c r="B626" s="23" t="str">
        <f ca="1">IFERROR(__xludf.DUMMYFUNCTION("""COMPUTED_VALUE"""),"ŚCIANKA PRYSZNICOW AERO OMBRE GOLD BRUSH/WHITE 120")</f>
        <v>ŚCIANKA PRYSZNICOW AERO OMBRE GOLD BRUSH/WHITE 120</v>
      </c>
      <c r="C626" s="23"/>
      <c r="D626" s="24">
        <f ca="1">IFERROR(__xludf.DUMMYFUNCTION("""COMPUTED_VALUE"""),999)</f>
        <v>999</v>
      </c>
      <c r="E626" s="25" t="str">
        <f ca="1">IFERROR(__xludf.DUMMYFUNCTION("""COMPUTED_VALUE"""),"REA-K2466")</f>
        <v>REA-K2466</v>
      </c>
    </row>
    <row r="627" spans="1:5" x14ac:dyDescent="0.2">
      <c r="A627" s="22">
        <f ca="1">IFERROR(__xludf.DUMMYFUNCTION("""COMPUTED_VALUE"""),45475)</f>
        <v>45475</v>
      </c>
      <c r="B627" s="23" t="str">
        <f ca="1">IFERROR(__xludf.DUMMYFUNCTION("""COMPUTED_VALUE"""),"LISTWA CZOŁOWA CZARNA 120 cm")</f>
        <v>LISTWA CZOŁOWA CZARNA 120 cm</v>
      </c>
      <c r="C627" s="23"/>
      <c r="D627" s="24">
        <f ca="1">IFERROR(__xludf.DUMMYFUNCTION("""COMPUTED_VALUE"""),119)</f>
        <v>119</v>
      </c>
      <c r="E627" s="25" t="str">
        <f ca="1">IFERROR(__xludf.DUMMYFUNCTION("""COMPUTED_VALUE"""),"REA-K4308")</f>
        <v>REA-K4308</v>
      </c>
    </row>
    <row r="628" spans="1:5" x14ac:dyDescent="0.2">
      <c r="A628" s="22">
        <f ca="1">IFERROR(__xludf.DUMMYFUNCTION("""COMPUTED_VALUE"""),45475)</f>
        <v>45475</v>
      </c>
      <c r="B628" s="23" t="str">
        <f ca="1">IFERROR(__xludf.DUMMYFUNCTION("""COMPUTED_VALUE"""),"LISTWA CZOŁOWA NIKIEL SZCZOTKOWANY 120 cm")</f>
        <v>LISTWA CZOŁOWA NIKIEL SZCZOTKOWANY 120 cm</v>
      </c>
      <c r="C628" s="23"/>
      <c r="D628" s="24">
        <f ca="1">IFERROR(__xludf.DUMMYFUNCTION("""COMPUTED_VALUE"""),129)</f>
        <v>129</v>
      </c>
      <c r="E628" s="25" t="str">
        <f ca="1">IFERROR(__xludf.DUMMYFUNCTION("""COMPUTED_VALUE"""),"REA-K4307")</f>
        <v>REA-K4307</v>
      </c>
    </row>
    <row r="629" spans="1:5" x14ac:dyDescent="0.2">
      <c r="A629" s="22">
        <f ca="1">IFERROR(__xludf.DUMMYFUNCTION("""COMPUTED_VALUE"""),45475)</f>
        <v>45475</v>
      </c>
      <c r="B629" s="23" t="str">
        <f ca="1">IFERROR(__xludf.DUMMYFUNCTION("""COMPUTED_VALUE"""),"LISTWA CZOŁOWA ZŁOTA 120 cm")</f>
        <v>LISTWA CZOŁOWA ZŁOTA 120 cm</v>
      </c>
      <c r="C629" s="23"/>
      <c r="D629" s="24">
        <f ca="1">IFERROR(__xludf.DUMMYFUNCTION("""COMPUTED_VALUE"""),139)</f>
        <v>139</v>
      </c>
      <c r="E629" s="25" t="str">
        <f ca="1">IFERROR(__xludf.DUMMYFUNCTION("""COMPUTED_VALUE"""),"REA-K4306")</f>
        <v>REA-K4306</v>
      </c>
    </row>
    <row r="630" spans="1:5" x14ac:dyDescent="0.2">
      <c r="A630" s="22">
        <f ca="1">IFERROR(__xludf.DUMMYFUNCTION("""COMPUTED_VALUE"""),45475)</f>
        <v>45475</v>
      </c>
      <c r="B630" s="23" t="str">
        <f ca="1">IFERROR(__xludf.DUMMYFUNCTION("""COMPUTED_VALUE"""),"LISTWA CZOŁOWA ZŁOTA SZCZOTKOWANA 120 cm")</f>
        <v>LISTWA CZOŁOWA ZŁOTA SZCZOTKOWANA 120 cm</v>
      </c>
      <c r="C630" s="23"/>
      <c r="D630" s="24">
        <f ca="1">IFERROR(__xludf.DUMMYFUNCTION("""COMPUTED_VALUE"""),149)</f>
        <v>149</v>
      </c>
      <c r="E630" s="25" t="str">
        <f ca="1">IFERROR(__xludf.DUMMYFUNCTION("""COMPUTED_VALUE"""),"REA-K4305")</f>
        <v>REA-K4305</v>
      </c>
    </row>
    <row r="631" spans="1:5" x14ac:dyDescent="0.2">
      <c r="A631" s="22">
        <f ca="1">IFERROR(__xludf.DUMMYFUNCTION("""COMPUTED_VALUE"""),45475)</f>
        <v>45475</v>
      </c>
      <c r="B631" s="23" t="str">
        <f ca="1">IFERROR(__xludf.DUMMYFUNCTION("""COMPUTED_VALUE"""),"LISTWA CZOŁOWA CZARNA 130 cm")</f>
        <v>LISTWA CZOŁOWA CZARNA 130 cm</v>
      </c>
      <c r="C631" s="23"/>
      <c r="D631" s="24">
        <f ca="1">IFERROR(__xludf.DUMMYFUNCTION("""COMPUTED_VALUE"""),129)</f>
        <v>129</v>
      </c>
      <c r="E631" s="25" t="str">
        <f ca="1">IFERROR(__xludf.DUMMYFUNCTION("""COMPUTED_VALUE"""),"REA-K4304")</f>
        <v>REA-K4304</v>
      </c>
    </row>
    <row r="632" spans="1:5" x14ac:dyDescent="0.2">
      <c r="A632" s="22">
        <f ca="1">IFERROR(__xludf.DUMMYFUNCTION("""COMPUTED_VALUE"""),45475)</f>
        <v>45475</v>
      </c>
      <c r="B632" s="23" t="str">
        <f ca="1">IFERROR(__xludf.DUMMYFUNCTION("""COMPUTED_VALUE"""),"LISTWA CZOŁOWA NIKIEL SZCZOTKOWANY 130 cm")</f>
        <v>LISTWA CZOŁOWA NIKIEL SZCZOTKOWANY 130 cm</v>
      </c>
      <c r="C632" s="23"/>
      <c r="D632" s="24">
        <f ca="1">IFERROR(__xludf.DUMMYFUNCTION("""COMPUTED_VALUE"""),139)</f>
        <v>139</v>
      </c>
      <c r="E632" s="25" t="str">
        <f ca="1">IFERROR(__xludf.DUMMYFUNCTION("""COMPUTED_VALUE"""),"REA-K4300")</f>
        <v>REA-K4300</v>
      </c>
    </row>
    <row r="633" spans="1:5" x14ac:dyDescent="0.2">
      <c r="A633" s="22">
        <f ca="1">IFERROR(__xludf.DUMMYFUNCTION("""COMPUTED_VALUE"""),45475)</f>
        <v>45475</v>
      </c>
      <c r="B633" s="23" t="str">
        <f ca="1">IFERROR(__xludf.DUMMYFUNCTION("""COMPUTED_VALUE"""),"LISTWA CZOŁOWA ZŁOTA 130 cm")</f>
        <v>LISTWA CZOŁOWA ZŁOTA 130 cm</v>
      </c>
      <c r="C633" s="23"/>
      <c r="D633" s="24">
        <f ca="1">IFERROR(__xludf.DUMMYFUNCTION("""COMPUTED_VALUE"""),149)</f>
        <v>149</v>
      </c>
      <c r="E633" s="25" t="str">
        <f ca="1">IFERROR(__xludf.DUMMYFUNCTION("""COMPUTED_VALUE"""),"REA-K4301")</f>
        <v>REA-K4301</v>
      </c>
    </row>
    <row r="634" spans="1:5" x14ac:dyDescent="0.2">
      <c r="A634" s="22">
        <f ca="1">IFERROR(__xludf.DUMMYFUNCTION("""COMPUTED_VALUE"""),45475)</f>
        <v>45475</v>
      </c>
      <c r="B634" s="23" t="str">
        <f ca="1">IFERROR(__xludf.DUMMYFUNCTION("""COMPUTED_VALUE"""),"LISTWA CZOŁOWA ZŁOTA SZCZOTKOWANA 130 cm")</f>
        <v>LISTWA CZOŁOWA ZŁOTA SZCZOTKOWANA 130 cm</v>
      </c>
      <c r="C634" s="23"/>
      <c r="D634" s="24">
        <f ca="1">IFERROR(__xludf.DUMMYFUNCTION("""COMPUTED_VALUE"""),159)</f>
        <v>159</v>
      </c>
      <c r="E634" s="25" t="str">
        <f ca="1">IFERROR(__xludf.DUMMYFUNCTION("""COMPUTED_VALUE"""),"REA-K4302")</f>
        <v>REA-K4302</v>
      </c>
    </row>
    <row r="635" spans="1:5" x14ac:dyDescent="0.2">
      <c r="A635" s="22">
        <f ca="1">IFERROR(__xludf.DUMMYFUNCTION("""COMPUTED_VALUE"""),45463)</f>
        <v>45463</v>
      </c>
      <c r="B635" s="23" t="str">
        <f ca="1">IFERROR(__xludf.DUMMYFUNCTION("""COMPUTED_VALUE"""),"UMYWALKA STELLA AIAX SHINY - NABLATOWA")</f>
        <v>UMYWALKA STELLA AIAX SHINY - NABLATOWA</v>
      </c>
      <c r="C635" s="23"/>
      <c r="D635" s="24">
        <f ca="1">IFERROR(__xludf.DUMMYFUNCTION("""COMPUTED_VALUE"""),299)</f>
        <v>299</v>
      </c>
      <c r="E635" s="25" t="str">
        <f ca="1">IFERROR(__xludf.DUMMYFUNCTION("""COMPUTED_VALUE"""),"REA-U9088")</f>
        <v>REA-U9088</v>
      </c>
    </row>
    <row r="636" spans="1:5" x14ac:dyDescent="0.2">
      <c r="A636" s="22">
        <f ca="1">IFERROR(__xludf.DUMMYFUNCTION("""COMPUTED_VALUE"""),45463)</f>
        <v>45463</v>
      </c>
      <c r="B636" s="23" t="str">
        <f ca="1">IFERROR(__xludf.DUMMYFUNCTION("""COMPUTED_VALUE"""),"UMYWALKA STELLA GOLD BRUSH/WHITE - NABLATOWA")</f>
        <v>UMYWALKA STELLA GOLD BRUSH/WHITE - NABLATOWA</v>
      </c>
      <c r="C636" s="23"/>
      <c r="D636" s="24">
        <f ca="1">IFERROR(__xludf.DUMMYFUNCTION("""COMPUTED_VALUE"""),379)</f>
        <v>379</v>
      </c>
      <c r="E636" s="25" t="str">
        <f ca="1">IFERROR(__xludf.DUMMYFUNCTION("""COMPUTED_VALUE"""),"REA-U9087")</f>
        <v>REA-U9087</v>
      </c>
    </row>
    <row r="637" spans="1:5" x14ac:dyDescent="0.2">
      <c r="A637" s="22">
        <f ca="1">IFERROR(__xludf.DUMMYFUNCTION("""COMPUTED_VALUE"""),45463)</f>
        <v>45463</v>
      </c>
      <c r="B637" s="23" t="str">
        <f ca="1">IFERROR(__xludf.DUMMYFUNCTION("""COMPUTED_VALUE"""),"UMYWALKA AMELIA MINI - NABLATOWA")</f>
        <v>UMYWALKA AMELIA MINI - NABLATOWA</v>
      </c>
      <c r="C637" s="23"/>
      <c r="D637" s="24">
        <f ca="1">IFERROR(__xludf.DUMMYFUNCTION("""COMPUTED_VALUE"""),199)</f>
        <v>199</v>
      </c>
      <c r="E637" s="25" t="str">
        <f ca="1">IFERROR(__xludf.DUMMYFUNCTION("""COMPUTED_VALUE"""),"REA-U3322")</f>
        <v>REA-U3322</v>
      </c>
    </row>
    <row r="638" spans="1:5" x14ac:dyDescent="0.2">
      <c r="A638" s="22">
        <f ca="1">IFERROR(__xludf.DUMMYFUNCTION("""COMPUTED_VALUE"""),45463)</f>
        <v>45463</v>
      </c>
      <c r="B638" s="23" t="str">
        <f ca="1">IFERROR(__xludf.DUMMYFUNCTION("""COMPUTED_VALUE"""),"UMYWALKA LAYLA")</f>
        <v>UMYWALKA LAYLA</v>
      </c>
      <c r="C638" s="23"/>
      <c r="D638" s="24">
        <f ca="1">IFERROR(__xludf.DUMMYFUNCTION("""COMPUTED_VALUE"""),299)</f>
        <v>299</v>
      </c>
      <c r="E638" s="25" t="str">
        <f ca="1">IFERROR(__xludf.DUMMYFUNCTION("""COMPUTED_VALUE"""),"REA-U9108")</f>
        <v>REA-U9108</v>
      </c>
    </row>
    <row r="639" spans="1:5" x14ac:dyDescent="0.2">
      <c r="A639" s="22">
        <f ca="1">IFERROR(__xludf.DUMMYFUNCTION("""COMPUTED_VALUE"""),45463)</f>
        <v>45463</v>
      </c>
      <c r="B639" s="23" t="str">
        <f ca="1">IFERROR(__xludf.DUMMYFUNCTION("""COMPUTED_VALUE"""),"UMYWALKA CLEO - NABLATOWA")</f>
        <v>UMYWALKA CLEO - NABLATOWA</v>
      </c>
      <c r="C639" s="23"/>
      <c r="D639" s="24">
        <f ca="1">IFERROR(__xludf.DUMMYFUNCTION("""COMPUTED_VALUE"""),349)</f>
        <v>349</v>
      </c>
      <c r="E639" s="25" t="str">
        <f ca="1">IFERROR(__xludf.DUMMYFUNCTION("""COMPUTED_VALUE"""),"REA-U0024")</f>
        <v>REA-U0024</v>
      </c>
    </row>
    <row r="640" spans="1:5" x14ac:dyDescent="0.2">
      <c r="A640" s="22">
        <f ca="1">IFERROR(__xludf.DUMMYFUNCTION("""COMPUTED_VALUE"""),45463)</f>
        <v>45463</v>
      </c>
      <c r="B640" s="23" t="str">
        <f ca="1">IFERROR(__xludf.DUMMYFUNCTION("""COMPUTED_VALUE"""),"UMYWALKA PAMELA - NABLATOWA")</f>
        <v>UMYWALKA PAMELA - NABLATOWA</v>
      </c>
      <c r="C640" s="23"/>
      <c r="D640" s="24">
        <f ca="1">IFERROR(__xludf.DUMMYFUNCTION("""COMPUTED_VALUE"""),249)</f>
        <v>249</v>
      </c>
      <c r="E640" s="25" t="str">
        <f ca="1">IFERROR(__xludf.DUMMYFUNCTION("""COMPUTED_VALUE"""),"REA-U4603")</f>
        <v>REA-U4603</v>
      </c>
    </row>
    <row r="641" spans="1:5" x14ac:dyDescent="0.2">
      <c r="A641" s="22">
        <f ca="1">IFERROR(__xludf.DUMMYFUNCTION("""COMPUTED_VALUE"""),45463)</f>
        <v>45463</v>
      </c>
      <c r="B641" s="23" t="str">
        <f ca="1">IFERROR(__xludf.DUMMYFUNCTION("""COMPUTED_VALUE"""),"BIDET CARLO MINI WHITE GOLD EDGE")</f>
        <v>BIDET CARLO MINI WHITE GOLD EDGE</v>
      </c>
      <c r="C641" s="23"/>
      <c r="D641" s="24">
        <f ca="1">IFERROR(__xludf.DUMMYFUNCTION("""COMPUTED_VALUE"""),729)</f>
        <v>729</v>
      </c>
      <c r="E641" s="25" t="str">
        <f ca="1">IFERROR(__xludf.DUMMYFUNCTION("""COMPUTED_VALUE"""),"REA-C6990")</f>
        <v>REA-C6990</v>
      </c>
    </row>
    <row r="642" spans="1:5" x14ac:dyDescent="0.2">
      <c r="A642" s="22">
        <f ca="1">IFERROR(__xludf.DUMMYFUNCTION("""COMPUTED_VALUE"""),45463)</f>
        <v>45463</v>
      </c>
      <c r="B642" s="23" t="str">
        <f ca="1">IFERROR(__xludf.DUMMYFUNCTION("""COMPUTED_VALUE"""),"BATERIA PRYSZNICOWA VERSO CZARNA")</f>
        <v>BATERIA PRYSZNICOWA VERSO CZARNA</v>
      </c>
      <c r="C642" s="23"/>
      <c r="D642" s="24">
        <f ca="1">IFERROR(__xludf.DUMMYFUNCTION("""COMPUTED_VALUE"""),369)</f>
        <v>369</v>
      </c>
      <c r="E642" s="25" t="str">
        <f ca="1">IFERROR(__xludf.DUMMYFUNCTION("""COMPUTED_VALUE"""),"REA-B7900")</f>
        <v>REA-B7900</v>
      </c>
    </row>
    <row r="643" spans="1:5" x14ac:dyDescent="0.2">
      <c r="A643" s="22">
        <f ca="1">IFERROR(__xludf.DUMMYFUNCTION("""COMPUTED_VALUE"""),45463)</f>
        <v>45463</v>
      </c>
      <c r="B643" s="23" t="str">
        <f ca="1">IFERROR(__xludf.DUMMYFUNCTION("""COMPUTED_VALUE"""),"BATERIA UMYWALKOWA VERSO CZARNA NISKA")</f>
        <v>BATERIA UMYWALKOWA VERSO CZARNA NISKA</v>
      </c>
      <c r="C643" s="23"/>
      <c r="D643" s="24">
        <f ca="1">IFERROR(__xludf.DUMMYFUNCTION("""COMPUTED_VALUE"""),299)</f>
        <v>299</v>
      </c>
      <c r="E643" s="25" t="str">
        <f ca="1">IFERROR(__xludf.DUMMYFUNCTION("""COMPUTED_VALUE"""),"REA-B7901")</f>
        <v>REA-B7901</v>
      </c>
    </row>
    <row r="644" spans="1:5" x14ac:dyDescent="0.2">
      <c r="A644" s="22">
        <f ca="1">IFERROR(__xludf.DUMMYFUNCTION("""COMPUTED_VALUE"""),45463)</f>
        <v>45463</v>
      </c>
      <c r="B644" s="23" t="str">
        <f ca="1">IFERROR(__xludf.DUMMYFUNCTION("""COMPUTED_VALUE"""),"BATERIA UMYWALKOWA VERSO CZARNA WYSOKA")</f>
        <v>BATERIA UMYWALKOWA VERSO CZARNA WYSOKA</v>
      </c>
      <c r="C644" s="23"/>
      <c r="D644" s="24">
        <f ca="1">IFERROR(__xludf.DUMMYFUNCTION("""COMPUTED_VALUE"""),399)</f>
        <v>399</v>
      </c>
      <c r="E644" s="25" t="str">
        <f ca="1">IFERROR(__xludf.DUMMYFUNCTION("""COMPUTED_VALUE"""),"REA-B7902")</f>
        <v>REA-B7902</v>
      </c>
    </row>
    <row r="645" spans="1:5" x14ac:dyDescent="0.2">
      <c r="A645" s="22">
        <f ca="1">IFERROR(__xludf.DUMMYFUNCTION("""COMPUTED_VALUE"""),45463)</f>
        <v>45463</v>
      </c>
      <c r="B645" s="23" t="str">
        <f ca="1">IFERROR(__xludf.DUMMYFUNCTION("""COMPUTED_VALUE"""),"BATERIA WANNOWA VERSO CZARNA")</f>
        <v>BATERIA WANNOWA VERSO CZARNA</v>
      </c>
      <c r="C645" s="23"/>
      <c r="D645" s="24">
        <f ca="1">IFERROR(__xludf.DUMMYFUNCTION("""COMPUTED_VALUE"""),459)</f>
        <v>459</v>
      </c>
      <c r="E645" s="25" t="str">
        <f ca="1">IFERROR(__xludf.DUMMYFUNCTION("""COMPUTED_VALUE"""),"REA-B7903")</f>
        <v>REA-B7903</v>
      </c>
    </row>
    <row r="646" spans="1:5" x14ac:dyDescent="0.2">
      <c r="A646" s="22">
        <f ca="1">IFERROR(__xludf.DUMMYFUNCTION("""COMPUTED_VALUE"""),45463)</f>
        <v>45463</v>
      </c>
      <c r="B646" s="23" t="str">
        <f ca="1">IFERROR(__xludf.DUMMYFUNCTION("""COMPUTED_VALUE"""),"BATERIA PODŁOGOWA WANNOWA ORTIS L.GOLD")</f>
        <v>BATERIA PODŁOGOWA WANNOWA ORTIS L.GOLD</v>
      </c>
      <c r="C646" s="23"/>
      <c r="D646" s="24">
        <f ca="1">IFERROR(__xludf.DUMMYFUNCTION("""COMPUTED_VALUE"""),1099)</f>
        <v>1099</v>
      </c>
      <c r="E646" s="25" t="str">
        <f ca="1">IFERROR(__xludf.DUMMYFUNCTION("""COMPUTED_VALUE"""),"REA-B7430")</f>
        <v>REA-B7430</v>
      </c>
    </row>
    <row r="647" spans="1:5" x14ac:dyDescent="0.2">
      <c r="A647" s="22">
        <f ca="1">IFERROR(__xludf.DUMMYFUNCTION("""COMPUTED_VALUE"""),45463)</f>
        <v>45463</v>
      </c>
      <c r="B647" s="23" t="str">
        <f ca="1">IFERROR(__xludf.DUMMYFUNCTION("""COMPUTED_VALUE"""),"PÓŁKA PODTYNKOWA 02 30x45x10 NIKIEL SZCZOTKOWANY")</f>
        <v>PÓŁKA PODTYNKOWA 02 30x45x10 NIKIEL SZCZOTKOWANY</v>
      </c>
      <c r="C647" s="23"/>
      <c r="D647" s="24">
        <f ca="1">IFERROR(__xludf.DUMMYFUNCTION("""COMPUTED_VALUE"""),299)</f>
        <v>299</v>
      </c>
      <c r="E647" s="25" t="str">
        <f ca="1">IFERROR(__xludf.DUMMYFUNCTION("""COMPUTED_VALUE"""),"REA-05601")</f>
        <v>REA-05601</v>
      </c>
    </row>
    <row r="648" spans="1:5" x14ac:dyDescent="0.2">
      <c r="A648" s="22">
        <f ca="1">IFERROR(__xludf.DUMMYFUNCTION("""COMPUTED_VALUE"""),45463)</f>
        <v>45463</v>
      </c>
      <c r="B648" s="23" t="str">
        <f ca="1">IFERROR(__xludf.DUMMYFUNCTION("""COMPUTED_VALUE"""),"PÓŁKA PODTYNKOWA 03 30x60x10 NIKIEL SZCZOTKOWANY")</f>
        <v>PÓŁKA PODTYNKOWA 03 30x60x10 NIKIEL SZCZOTKOWANY</v>
      </c>
      <c r="C648" s="23"/>
      <c r="D648" s="24">
        <f ca="1">IFERROR(__xludf.DUMMYFUNCTION("""COMPUTED_VALUE"""),359)</f>
        <v>359</v>
      </c>
      <c r="E648" s="25" t="str">
        <f ca="1">IFERROR(__xludf.DUMMYFUNCTION("""COMPUTED_VALUE"""),"REA-05602")</f>
        <v>REA-05602</v>
      </c>
    </row>
    <row r="649" spans="1:5" x14ac:dyDescent="0.2">
      <c r="A649" s="22">
        <f ca="1">IFERROR(__xludf.DUMMYFUNCTION("""COMPUTED_VALUE"""),45463)</f>
        <v>45463</v>
      </c>
      <c r="B649" s="23" t="str">
        <f ca="1">IFERROR(__xludf.DUMMYFUNCTION("""COMPUTED_VALUE"""),"KABINA SOLAR BLACK 90X90")</f>
        <v>KABINA SOLAR BLACK 90X90</v>
      </c>
      <c r="C649" s="23"/>
      <c r="D649" s="24">
        <f ca="1">IFERROR(__xludf.DUMMYFUNCTION("""COMPUTED_VALUE"""),1179)</f>
        <v>1179</v>
      </c>
      <c r="E649" s="25" t="str">
        <f ca="1">IFERROR(__xludf.DUMMYFUNCTION("""COMPUTED_VALUE"""),"REA-K6412")</f>
        <v>REA-K6412</v>
      </c>
    </row>
    <row r="650" spans="1:5" x14ac:dyDescent="0.2">
      <c r="A650" s="22">
        <f ca="1">IFERROR(__xludf.DUMMYFUNCTION("""COMPUTED_VALUE"""),45463)</f>
        <v>45463</v>
      </c>
      <c r="B650" s="23" t="str">
        <f ca="1">IFERROR(__xludf.DUMMYFUNCTION("""COMPUTED_VALUE"""),"BATERIA UMYWALKOWA JS-B311GG CLIF TYTAN NISKA")</f>
        <v>BATERIA UMYWALKOWA JS-B311GG CLIF TYTAN NISKA</v>
      </c>
      <c r="C650" s="23"/>
      <c r="D650" s="24">
        <f ca="1">IFERROR(__xludf.DUMMYFUNCTION("""COMPUTED_VALUE"""),219)</f>
        <v>219</v>
      </c>
      <c r="E650" s="25" t="str">
        <f ca="1">IFERROR(__xludf.DUMMYFUNCTION("""COMPUTED_VALUE"""),"REA-B5322")</f>
        <v>REA-B5322</v>
      </c>
    </row>
    <row r="651" spans="1:5" x14ac:dyDescent="0.2">
      <c r="A651" s="22">
        <f ca="1">IFERROR(__xludf.DUMMYFUNCTION("""COMPUTED_VALUE"""),45463)</f>
        <v>45463</v>
      </c>
      <c r="B651" s="23" t="str">
        <f ca="1">IFERROR(__xludf.DUMMYFUNCTION("""COMPUTED_VALUE"""),"BATERIA UMYWALKOWA JS-B311BG CLIF ZŁOTA SZCZ NISKA")</f>
        <v>BATERIA UMYWALKOWA JS-B311BG CLIF ZŁOTA SZCZ NISKA</v>
      </c>
      <c r="C651" s="23"/>
      <c r="D651" s="24">
        <f ca="1">IFERROR(__xludf.DUMMYFUNCTION("""COMPUTED_VALUE"""),219)</f>
        <v>219</v>
      </c>
      <c r="E651" s="25" t="str">
        <f ca="1">IFERROR(__xludf.DUMMYFUNCTION("""COMPUTED_VALUE"""),"REA-B5323")</f>
        <v>REA-B5323</v>
      </c>
    </row>
    <row r="652" spans="1:5" x14ac:dyDescent="0.2">
      <c r="A652" s="22">
        <f ca="1">IFERROR(__xludf.DUMMYFUNCTION("""COMPUTED_VALUE"""),45456)</f>
        <v>45456</v>
      </c>
      <c r="B652" s="23" t="str">
        <f ca="1">IFERROR(__xludf.DUMMYFUNCTION("""COMPUTED_VALUE"""),"DRZWI PRYSZNICOWE RAPID SLIDE CHROM 140")</f>
        <v>DRZWI PRYSZNICOWE RAPID SLIDE CHROM 140</v>
      </c>
      <c r="C652" s="23"/>
      <c r="D652" s="24">
        <f ca="1">IFERROR(__xludf.DUMMYFUNCTION("""COMPUTED_VALUE"""),979)</f>
        <v>979</v>
      </c>
      <c r="E652" s="25" t="str">
        <f ca="1">IFERROR(__xludf.DUMMYFUNCTION("""COMPUTED_VALUE"""),"REA-K5604")</f>
        <v>REA-K5604</v>
      </c>
    </row>
    <row r="653" spans="1:5" x14ac:dyDescent="0.2">
      <c r="A653" s="22">
        <f ca="1">IFERROR(__xludf.DUMMYFUNCTION("""COMPUTED_VALUE"""),45456)</f>
        <v>45456</v>
      </c>
      <c r="B653" s="23" t="str">
        <f ca="1">IFERROR(__xludf.DUMMYFUNCTION("""COMPUTED_VALUE"""),"DRZWI PRYSZNICOWE RAPID SWING CHROM 100")</f>
        <v>DRZWI PRYSZNICOWE RAPID SWING CHROM 100</v>
      </c>
      <c r="C653" s="23"/>
      <c r="D653" s="24">
        <f ca="1">IFERROR(__xludf.DUMMYFUNCTION("""COMPUTED_VALUE"""),919)</f>
        <v>919</v>
      </c>
      <c r="E653" s="25" t="str">
        <f ca="1">IFERROR(__xludf.DUMMYFUNCTION("""COMPUTED_VALUE"""),"REA-K5607")</f>
        <v>REA-K5607</v>
      </c>
    </row>
    <row r="654" spans="1:5" x14ac:dyDescent="0.2">
      <c r="A654" s="22">
        <f ca="1">IFERROR(__xludf.DUMMYFUNCTION("""COMPUTED_VALUE"""),45456)</f>
        <v>45456</v>
      </c>
      <c r="B654" s="23" t="str">
        <f ca="1">IFERROR(__xludf.DUMMYFUNCTION("""COMPUTED_VALUE"""),"DRZWI PRYSZNICOWE RAPID SWING 120")</f>
        <v>DRZWI PRYSZNICOWE RAPID SWING 120</v>
      </c>
      <c r="C654" s="23"/>
      <c r="D654" s="24">
        <f ca="1">IFERROR(__xludf.DUMMYFUNCTION("""COMPUTED_VALUE"""),999)</f>
        <v>999</v>
      </c>
      <c r="E654" s="25" t="str">
        <f ca="1">IFERROR(__xludf.DUMMYFUNCTION("""COMPUTED_VALUE"""),"REA-K6413")</f>
        <v>REA-K6413</v>
      </c>
    </row>
    <row r="655" spans="1:5" x14ac:dyDescent="0.2">
      <c r="A655" s="22">
        <f ca="1">IFERROR(__xludf.DUMMYFUNCTION("""COMPUTED_VALUE"""),45456)</f>
        <v>45456</v>
      </c>
      <c r="B655" s="23" t="str">
        <f ca="1">IFERROR(__xludf.DUMMYFUNCTION("""COMPUTED_VALUE"""),"DRZWI PRYSZNICOWE NIXON-2  140 P")</f>
        <v>DRZWI PRYSZNICOWE NIXON-2  140 P</v>
      </c>
      <c r="C655" s="23"/>
      <c r="D655" s="24">
        <f ca="1">IFERROR(__xludf.DUMMYFUNCTION("""COMPUTED_VALUE"""),1259)</f>
        <v>1259</v>
      </c>
      <c r="E655" s="25" t="str">
        <f ca="1">IFERROR(__xludf.DUMMYFUNCTION("""COMPUTED_VALUE"""),"REA-K5007")</f>
        <v>REA-K5007</v>
      </c>
    </row>
    <row r="656" spans="1:5" x14ac:dyDescent="0.2">
      <c r="A656" s="22">
        <f ca="1">IFERROR(__xludf.DUMMYFUNCTION("""COMPUTED_VALUE"""),45456)</f>
        <v>45456</v>
      </c>
      <c r="B656" s="23" t="str">
        <f ca="1">IFERROR(__xludf.DUMMYFUNCTION("""COMPUTED_VALUE"""),"DRZWI PRYSZNICOWE NIXON-2  140 L")</f>
        <v>DRZWI PRYSZNICOWE NIXON-2  140 L</v>
      </c>
      <c r="C656" s="23"/>
      <c r="D656" s="24">
        <f ca="1">IFERROR(__xludf.DUMMYFUNCTION("""COMPUTED_VALUE"""),1259)</f>
        <v>1259</v>
      </c>
      <c r="E656" s="25" t="str">
        <f ca="1">IFERROR(__xludf.DUMMYFUNCTION("""COMPUTED_VALUE"""),"REA-K5006")</f>
        <v>REA-K5006</v>
      </c>
    </row>
    <row r="657" spans="1:5" x14ac:dyDescent="0.2">
      <c r="A657" s="22">
        <f ca="1">IFERROR(__xludf.DUMMYFUNCTION("""COMPUTED_VALUE"""),45456)</f>
        <v>45456</v>
      </c>
      <c r="B657" s="23" t="str">
        <f ca="1">IFERROR(__xludf.DUMMYFUNCTION("""COMPUTED_VALUE"""),"DRZWI PRYSZNICOWE MOLIER 90 CHROM + PROFIL")</f>
        <v>DRZWI PRYSZNICOWE MOLIER 90 CHROM + PROFIL</v>
      </c>
      <c r="C657" s="23"/>
      <c r="D657" s="24">
        <f ca="1">IFERROR(__xludf.DUMMYFUNCTION("""COMPUTED_VALUE"""),1019)</f>
        <v>1019</v>
      </c>
      <c r="E657" s="26"/>
    </row>
    <row r="658" spans="1:5" x14ac:dyDescent="0.2">
      <c r="A658" s="22">
        <f ca="1">IFERROR(__xludf.DUMMYFUNCTION("""COMPUTED_VALUE"""),45456)</f>
        <v>45456</v>
      </c>
      <c r="B658" s="23" t="str">
        <f ca="1">IFERROR(__xludf.DUMMYFUNCTION("""COMPUTED_VALUE"""),"DRZWI PRYSZNICOWE MOLIER 90 CHROM")</f>
        <v>DRZWI PRYSZNICOWE MOLIER 90 CHROM</v>
      </c>
      <c r="C658" s="23"/>
      <c r="D658" s="24">
        <f ca="1">IFERROR(__xludf.DUMMYFUNCTION("""COMPUTED_VALUE"""),859)</f>
        <v>859</v>
      </c>
      <c r="E658" s="25" t="str">
        <f ca="1">IFERROR(__xludf.DUMMYFUNCTION("""COMPUTED_VALUE"""),"REA-K8539")</f>
        <v>REA-K8539</v>
      </c>
    </row>
    <row r="659" spans="1:5" x14ac:dyDescent="0.2">
      <c r="A659" s="22">
        <f ca="1">IFERROR(__xludf.DUMMYFUNCTION("""COMPUTED_VALUE"""),45456)</f>
        <v>45456</v>
      </c>
      <c r="B659" s="23" t="str">
        <f ca="1">IFERROR(__xludf.DUMMYFUNCTION("""COMPUTED_VALUE"""),"DRZWI PRYSZNICOWE ALEX GOLD BRUSH 100")</f>
        <v>DRZWI PRYSZNICOWE ALEX GOLD BRUSH 100</v>
      </c>
      <c r="C659" s="23"/>
      <c r="D659" s="24">
        <f ca="1">IFERROR(__xludf.DUMMYFUNCTION("""COMPUTED_VALUE"""),1099)</f>
        <v>1099</v>
      </c>
      <c r="E659" s="25" t="str">
        <f ca="1">IFERROR(__xludf.DUMMYFUNCTION("""COMPUTED_VALUE"""),"REA-K2500")</f>
        <v>REA-K2500</v>
      </c>
    </row>
    <row r="660" spans="1:5" x14ac:dyDescent="0.2">
      <c r="A660" s="22">
        <f ca="1">IFERROR(__xludf.DUMMYFUNCTION("""COMPUTED_VALUE"""),45456)</f>
        <v>45456</v>
      </c>
      <c r="B660" s="23" t="str">
        <f ca="1">IFERROR(__xludf.DUMMYFUNCTION("""COMPUTED_VALUE"""),"DRZWI PRYSZNICOWE ALEX-805 BLACK  90")</f>
        <v>DRZWI PRYSZNICOWE ALEX-805 BLACK  90</v>
      </c>
      <c r="C660" s="23"/>
      <c r="D660" s="24">
        <f ca="1">IFERROR(__xludf.DUMMYFUNCTION("""COMPUTED_VALUE"""),939)</f>
        <v>939</v>
      </c>
      <c r="E660" s="25" t="str">
        <f ca="1">IFERROR(__xludf.DUMMYFUNCTION("""COMPUTED_VALUE"""),"REA-K9638")</f>
        <v>REA-K9638</v>
      </c>
    </row>
    <row r="661" spans="1:5" x14ac:dyDescent="0.2">
      <c r="A661" s="22">
        <f ca="1">IFERROR(__xludf.DUMMYFUNCTION("""COMPUTED_VALUE"""),45456)</f>
        <v>45456</v>
      </c>
      <c r="B661" s="23" t="str">
        <f ca="1">IFERROR(__xludf.DUMMYFUNCTION("""COMPUTED_VALUE"""),"KABINA AXIN 80X80 CHROM")</f>
        <v>KABINA AXIN 80X80 CHROM</v>
      </c>
      <c r="C661" s="23"/>
      <c r="D661" s="24">
        <f ca="1">IFERROR(__xludf.DUMMYFUNCTION("""COMPUTED_VALUE"""),959)</f>
        <v>959</v>
      </c>
      <c r="E661" s="25" t="str">
        <f ca="1">IFERROR(__xludf.DUMMYFUNCTION("""COMPUTED_VALUE"""),"REA-K8778")</f>
        <v>REA-K8778</v>
      </c>
    </row>
    <row r="662" spans="1:5" x14ac:dyDescent="0.2">
      <c r="A662" s="22">
        <f ca="1">IFERROR(__xludf.DUMMYFUNCTION("""COMPUTED_VALUE"""),45456)</f>
        <v>45456</v>
      </c>
      <c r="B662" s="23" t="str">
        <f ca="1">IFERROR(__xludf.DUMMYFUNCTION("""COMPUTED_VALUE"""),"UMYWALKA SAMI MARBLE MATT - NABLATOWA")</f>
        <v>UMYWALKA SAMI MARBLE MATT - NABLATOWA</v>
      </c>
      <c r="C662" s="23"/>
      <c r="D662" s="24">
        <f ca="1">IFERROR(__xludf.DUMMYFUNCTION("""COMPUTED_VALUE"""),369)</f>
        <v>369</v>
      </c>
      <c r="E662" s="25" t="str">
        <f ca="1">IFERROR(__xludf.DUMMYFUNCTION("""COMPUTED_VALUE"""),"REA-U8703")</f>
        <v>REA-U8703</v>
      </c>
    </row>
    <row r="663" spans="1:5" x14ac:dyDescent="0.2">
      <c r="A663" s="22">
        <f ca="1">IFERROR(__xludf.DUMMYFUNCTION("""COMPUTED_VALUE"""),45456)</f>
        <v>45456</v>
      </c>
      <c r="B663" s="23" t="str">
        <f ca="1">IFERROR(__xludf.DUMMYFUNCTION("""COMPUTED_VALUE"""),"UMYWALKA ROXY B STONE NATURE - NABLATOWA")</f>
        <v>UMYWALKA ROXY B STONE NATURE - NABLATOWA</v>
      </c>
      <c r="C663" s="23"/>
      <c r="D663" s="24">
        <f ca="1">IFERROR(__xludf.DUMMYFUNCTION("""COMPUTED_VALUE"""),359)</f>
        <v>359</v>
      </c>
      <c r="E663" s="25" t="str">
        <f ca="1">IFERROR(__xludf.DUMMYFUNCTION("""COMPUTED_VALUE"""),"REA-U6650")</f>
        <v>REA-U6650</v>
      </c>
    </row>
    <row r="664" spans="1:5" x14ac:dyDescent="0.2">
      <c r="A664" s="22">
        <f ca="1">IFERROR(__xludf.DUMMYFUNCTION("""COMPUTED_VALUE"""),45456)</f>
        <v>45456</v>
      </c>
      <c r="B664" s="23" t="str">
        <f ca="1">IFERROR(__xludf.DUMMYFUNCTION("""COMPUTED_VALUE"""),"UMYWALKA BELINDA BLACK MARBLE SHINY - NABLATOWA")</f>
        <v>UMYWALKA BELINDA BLACK MARBLE SHINY - NABLATOWA</v>
      </c>
      <c r="C664" s="23"/>
      <c r="D664" s="24">
        <f ca="1">IFERROR(__xludf.DUMMYFUNCTION("""COMPUTED_VALUE"""),359)</f>
        <v>359</v>
      </c>
      <c r="E664" s="25" t="str">
        <f ca="1">IFERROR(__xludf.DUMMYFUNCTION("""COMPUTED_VALUE"""),"REA-U8907")</f>
        <v>REA-U8907</v>
      </c>
    </row>
    <row r="665" spans="1:5" x14ac:dyDescent="0.2">
      <c r="A665" s="22">
        <f ca="1">IFERROR(__xludf.DUMMYFUNCTION("""COMPUTED_VALUE"""),45456)</f>
        <v>45456</v>
      </c>
      <c r="B665" s="23" t="str">
        <f ca="1">IFERROR(__xludf.DUMMYFUNCTION("""COMPUTED_VALUE"""),"UMYWALKA MERY - NABLATOWA")</f>
        <v>UMYWALKA MERY - NABLATOWA</v>
      </c>
      <c r="C665" s="23"/>
      <c r="D665" s="24">
        <f ca="1">IFERROR(__xludf.DUMMYFUNCTION("""COMPUTED_VALUE"""),269)</f>
        <v>269</v>
      </c>
      <c r="E665" s="25" t="str">
        <f ca="1">IFERROR(__xludf.DUMMYFUNCTION("""COMPUTED_VALUE"""),"REA-U0699")</f>
        <v>REA-U0699</v>
      </c>
    </row>
    <row r="666" spans="1:5" x14ac:dyDescent="0.2">
      <c r="A666" s="22">
        <f ca="1">IFERROR(__xludf.DUMMYFUNCTION("""COMPUTED_VALUE"""),45456)</f>
        <v>45456</v>
      </c>
      <c r="B666" s="23" t="str">
        <f ca="1">IFERROR(__xludf.DUMMYFUNCTION("""COMPUTED_VALUE"""),"UMYWALKA NADIA 70 - NABLATOWA")</f>
        <v>UMYWALKA NADIA 70 - NABLATOWA</v>
      </c>
      <c r="C666" s="23"/>
      <c r="D666" s="24">
        <f ca="1">IFERROR(__xludf.DUMMYFUNCTION("""COMPUTED_VALUE"""),469)</f>
        <v>469</v>
      </c>
      <c r="E666" s="25" t="str">
        <f ca="1">IFERROR(__xludf.DUMMYFUNCTION("""COMPUTED_VALUE"""),"REA-U5801")</f>
        <v>REA-U5801</v>
      </c>
    </row>
    <row r="667" spans="1:5" x14ac:dyDescent="0.2">
      <c r="A667" s="22">
        <f ca="1">IFERROR(__xludf.DUMMYFUNCTION("""COMPUTED_VALUE"""),45456)</f>
        <v>45456</v>
      </c>
      <c r="B667" s="23" t="str">
        <f ca="1">IFERROR(__xludf.DUMMYFUNCTION("""COMPUTED_VALUE"""),"UMYWALKA REMI - NABLATOWA")</f>
        <v>UMYWALKA REMI - NABLATOWA</v>
      </c>
      <c r="C667" s="23"/>
      <c r="D667" s="24">
        <f ca="1">IFERROR(__xludf.DUMMYFUNCTION("""COMPUTED_VALUE"""),279)</f>
        <v>279</v>
      </c>
      <c r="E667" s="25" t="str">
        <f ca="1">IFERROR(__xludf.DUMMYFUNCTION("""COMPUTED_VALUE"""),"REA-U6961")</f>
        <v>REA-U6961</v>
      </c>
    </row>
    <row r="668" spans="1:5" x14ac:dyDescent="0.2">
      <c r="A668" s="22">
        <f ca="1">IFERROR(__xludf.DUMMYFUNCTION("""COMPUTED_VALUE"""),45456)</f>
        <v>45456</v>
      </c>
      <c r="B668" s="23" t="str">
        <f ca="1">IFERROR(__xludf.DUMMYFUNCTION("""COMPUTED_VALUE"""),"UMYWALKA DAFNE 75 - WPUSZCZANA")</f>
        <v>UMYWALKA DAFNE 75 - WPUSZCZANA</v>
      </c>
      <c r="C668" s="23"/>
      <c r="D668" s="24">
        <f ca="1">IFERROR(__xludf.DUMMYFUNCTION("""COMPUTED_VALUE"""),329)</f>
        <v>329</v>
      </c>
      <c r="E668" s="25" t="str">
        <f ca="1">IFERROR(__xludf.DUMMYFUNCTION("""COMPUTED_VALUE"""),"REA-U0040")</f>
        <v>REA-U0040</v>
      </c>
    </row>
    <row r="669" spans="1:5" x14ac:dyDescent="0.2">
      <c r="A669" s="22">
        <f ca="1">IFERROR(__xludf.DUMMYFUNCTION("""COMPUTED_VALUE"""),45456)</f>
        <v>45456</v>
      </c>
      <c r="B669" s="23" t="str">
        <f ca="1">IFERROR(__xludf.DUMMYFUNCTION("""COMPUTED_VALUE"""),"UMYWALKA DAFNE 70 - WPUSZCZANA")</f>
        <v>UMYWALKA DAFNE 70 - WPUSZCZANA</v>
      </c>
      <c r="C669" s="23"/>
      <c r="D669" s="24">
        <f ca="1">IFERROR(__xludf.DUMMYFUNCTION("""COMPUTED_VALUE"""),299)</f>
        <v>299</v>
      </c>
      <c r="E669" s="25" t="str">
        <f ca="1">IFERROR(__xludf.DUMMYFUNCTION("""COMPUTED_VALUE"""),"REA-U0190")</f>
        <v>REA-U0190</v>
      </c>
    </row>
    <row r="670" spans="1:5" x14ac:dyDescent="0.2">
      <c r="A670" s="22">
        <f ca="1">IFERROR(__xludf.DUMMYFUNCTION("""COMPUTED_VALUE"""),45456)</f>
        <v>45456</v>
      </c>
      <c r="B670" s="23" t="str">
        <f ca="1">IFERROR(__xludf.DUMMYFUNCTION("""COMPUTED_VALUE"""),"UMYWALKA SELENA 60 - NABLATOWA")</f>
        <v>UMYWALKA SELENA 60 - NABLATOWA</v>
      </c>
      <c r="C670" s="23"/>
      <c r="D670" s="24">
        <f ca="1">IFERROR(__xludf.DUMMYFUNCTION("""COMPUTED_VALUE"""),499)</f>
        <v>499</v>
      </c>
      <c r="E670" s="25" t="str">
        <f ca="1">IFERROR(__xludf.DUMMYFUNCTION("""COMPUTED_VALUE"""),"REA-U6020")</f>
        <v>REA-U6020</v>
      </c>
    </row>
    <row r="671" spans="1:5" x14ac:dyDescent="0.2">
      <c r="A671" s="22">
        <f ca="1">IFERROR(__xludf.DUMMYFUNCTION("""COMPUTED_VALUE"""),45456)</f>
        <v>45456</v>
      </c>
      <c r="B671" s="23" t="str">
        <f ca="1">IFERROR(__xludf.DUMMYFUNCTION("""COMPUTED_VALUE"""),"UMYWALKA BELINDA SHINY AIAX - NABLATOWA")</f>
        <v>UMYWALKA BELINDA SHINY AIAX - NABLATOWA</v>
      </c>
      <c r="C671" s="23"/>
      <c r="D671" s="24">
        <f ca="1">IFERROR(__xludf.DUMMYFUNCTION("""COMPUTED_VALUE"""),349)</f>
        <v>349</v>
      </c>
      <c r="E671" s="25" t="str">
        <f ca="1">IFERROR(__xludf.DUMMYFUNCTION("""COMPUTED_VALUE"""),"REA-U6596")</f>
        <v>REA-U6596</v>
      </c>
    </row>
    <row r="672" spans="1:5" x14ac:dyDescent="0.2">
      <c r="A672" s="22">
        <f ca="1">IFERROR(__xludf.DUMMYFUNCTION("""COMPUTED_VALUE"""),45456)</f>
        <v>45456</v>
      </c>
      <c r="B672" s="23" t="str">
        <f ca="1">IFERROR(__xludf.DUMMYFUNCTION("""COMPUTED_VALUE"""),"UMYWALKA AURA 51 - NABLATOWA")</f>
        <v>UMYWALKA AURA 51 - NABLATOWA</v>
      </c>
      <c r="C672" s="23"/>
      <c r="D672" s="24">
        <f ca="1">IFERROR(__xludf.DUMMYFUNCTION("""COMPUTED_VALUE"""),269)</f>
        <v>269</v>
      </c>
      <c r="E672" s="25" t="str">
        <f ca="1">IFERROR(__xludf.DUMMYFUNCTION("""COMPUTED_VALUE"""),"REA-U4620")</f>
        <v>REA-U4620</v>
      </c>
    </row>
    <row r="673" spans="1:5" x14ac:dyDescent="0.2">
      <c r="A673" s="22">
        <f ca="1">IFERROR(__xludf.DUMMYFUNCTION("""COMPUTED_VALUE"""),45456)</f>
        <v>45456</v>
      </c>
      <c r="B673" s="23" t="str">
        <f ca="1">IFERROR(__xludf.DUMMYFUNCTION("""COMPUTED_VALUE"""),"UMYWALKA LINDA GRANIT - NABLATOWA")</f>
        <v>UMYWALKA LINDA GRANIT - NABLATOWA</v>
      </c>
      <c r="C673" s="23"/>
      <c r="D673" s="24">
        <f ca="1">IFERROR(__xludf.DUMMYFUNCTION("""COMPUTED_VALUE"""),349)</f>
        <v>349</v>
      </c>
      <c r="E673" s="25" t="str">
        <f ca="1">IFERROR(__xludf.DUMMYFUNCTION("""COMPUTED_VALUE"""),"REA-U2514")</f>
        <v>REA-U2514</v>
      </c>
    </row>
    <row r="674" spans="1:5" x14ac:dyDescent="0.2">
      <c r="A674" s="22">
        <f ca="1">IFERROR(__xludf.DUMMYFUNCTION("""COMPUTED_VALUE"""),45456)</f>
        <v>45456</v>
      </c>
      <c r="B674" s="23" t="str">
        <f ca="1">IFERROR(__xludf.DUMMYFUNCTION("""COMPUTED_VALUE"""),"UMYWALKA INGRID TRANSPARENT - NABLATOWA")</f>
        <v>UMYWALKA INGRID TRANSPARENT - NABLATOWA</v>
      </c>
      <c r="C674" s="23"/>
      <c r="D674" s="24">
        <f ca="1">IFERROR(__xludf.DUMMYFUNCTION("""COMPUTED_VALUE"""),599)</f>
        <v>599</v>
      </c>
      <c r="E674" s="25" t="str">
        <f ca="1">IFERROR(__xludf.DUMMYFUNCTION("""COMPUTED_VALUE"""),"REA-U0278")</f>
        <v>REA-U0278</v>
      </c>
    </row>
    <row r="675" spans="1:5" x14ac:dyDescent="0.2">
      <c r="A675" s="22">
        <f ca="1">IFERROR(__xludf.DUMMYFUNCTION("""COMPUTED_VALUE"""),45456)</f>
        <v>45456</v>
      </c>
      <c r="B675" s="23" t="str">
        <f ca="1">IFERROR(__xludf.DUMMYFUNCTION("""COMPUTED_VALUE"""),"UMYWALKA ROSA-2 - NABLATOWA")</f>
        <v>UMYWALKA ROSA-2 - NABLATOWA</v>
      </c>
      <c r="C675" s="23"/>
      <c r="D675" s="24">
        <f ca="1">IFERROR(__xludf.DUMMYFUNCTION("""COMPUTED_VALUE"""),239)</f>
        <v>239</v>
      </c>
      <c r="E675" s="25" t="str">
        <f ca="1">IFERROR(__xludf.DUMMYFUNCTION("""COMPUTED_VALUE"""),"REA-U0160")</f>
        <v>REA-U0160</v>
      </c>
    </row>
    <row r="676" spans="1:5" x14ac:dyDescent="0.2">
      <c r="A676" s="22">
        <f ca="1">IFERROR(__xludf.DUMMYFUNCTION("""COMPUTED_VALUE"""),45456)</f>
        <v>45456</v>
      </c>
      <c r="B676" s="23" t="str">
        <f ca="1">IFERROR(__xludf.DUMMYFUNCTION("""COMPUTED_VALUE"""),"UMYWALKA ROSA - NABLATOWA")</f>
        <v>UMYWALKA ROSA - NABLATOWA</v>
      </c>
      <c r="C676" s="23"/>
      <c r="D676" s="24">
        <f ca="1">IFERROR(__xludf.DUMMYFUNCTION("""COMPUTED_VALUE"""),249)</f>
        <v>249</v>
      </c>
      <c r="E676" s="25" t="str">
        <f ca="1">IFERROR(__xludf.DUMMYFUNCTION("""COMPUTED_VALUE"""),"REA-00692")</f>
        <v>REA-00692</v>
      </c>
    </row>
    <row r="677" spans="1:5" x14ac:dyDescent="0.2">
      <c r="A677" s="22">
        <f ca="1">IFERROR(__xludf.DUMMYFUNCTION("""COMPUTED_VALUE"""),45456)</f>
        <v>45456</v>
      </c>
      <c r="B677" s="23" t="str">
        <f ca="1">IFERROR(__xludf.DUMMYFUNCTION("""COMPUTED_VALUE"""),"UMYWALKA MARGOT BLUE GOLD  - NABLATOWA")</f>
        <v>UMYWALKA MARGOT BLUE GOLD  - NABLATOWA</v>
      </c>
      <c r="C677" s="23"/>
      <c r="D677" s="24">
        <f ca="1">IFERROR(__xludf.DUMMYFUNCTION("""COMPUTED_VALUE"""),599)</f>
        <v>599</v>
      </c>
      <c r="E677" s="25" t="str">
        <f ca="1">IFERROR(__xludf.DUMMYFUNCTION("""COMPUTED_VALUE"""),"REA-U8709")</f>
        <v>REA-U8709</v>
      </c>
    </row>
    <row r="678" spans="1:5" x14ac:dyDescent="0.2">
      <c r="A678" s="22">
        <f ca="1">IFERROR(__xludf.DUMMYFUNCTION("""COMPUTED_VALUE"""),45456)</f>
        <v>45456</v>
      </c>
      <c r="B678" s="23" t="str">
        <f ca="1">IFERROR(__xludf.DUMMYFUNCTION("""COMPUTED_VALUE"""),"UMYWALKA KATE 36 - NABLATOWA")</f>
        <v>UMYWALKA KATE 36 - NABLATOWA</v>
      </c>
      <c r="C678" s="23"/>
      <c r="D678" s="24">
        <f ca="1">IFERROR(__xludf.DUMMYFUNCTION("""COMPUTED_VALUE"""),199)</f>
        <v>199</v>
      </c>
      <c r="E678" s="25" t="str">
        <f ca="1">IFERROR(__xludf.DUMMYFUNCTION("""COMPUTED_VALUE"""),"REA-U6803")</f>
        <v>REA-U6803</v>
      </c>
    </row>
    <row r="679" spans="1:5" x14ac:dyDescent="0.2">
      <c r="A679" s="22">
        <f ca="1">IFERROR(__xludf.DUMMYFUNCTION("""COMPUTED_VALUE"""),45456)</f>
        <v>45456</v>
      </c>
      <c r="B679" s="23" t="str">
        <f ca="1">IFERROR(__xludf.DUMMYFUNCTION("""COMPUTED_VALUE"""),"UMYWALKA KATE 45 - NABLATOWA")</f>
        <v>UMYWALKA KATE 45 - NABLATOWA</v>
      </c>
      <c r="C679" s="23"/>
      <c r="D679" s="24">
        <f ca="1">IFERROR(__xludf.DUMMYFUNCTION("""COMPUTED_VALUE"""),249)</f>
        <v>249</v>
      </c>
      <c r="E679" s="25" t="str">
        <f ca="1">IFERROR(__xludf.DUMMYFUNCTION("""COMPUTED_VALUE"""),"REA-U6802")</f>
        <v>REA-U6802</v>
      </c>
    </row>
    <row r="680" spans="1:5" x14ac:dyDescent="0.2">
      <c r="A680" s="22">
        <f ca="1">IFERROR(__xludf.DUMMYFUNCTION("""COMPUTED_VALUE"""),45456)</f>
        <v>45456</v>
      </c>
      <c r="B680" s="23" t="str">
        <f ca="1">IFERROR(__xludf.DUMMYFUNCTION("""COMPUTED_VALUE"""),"UMYWALKA KATE 56 - NABLATOWA")</f>
        <v>UMYWALKA KATE 56 - NABLATOWA</v>
      </c>
      <c r="C680" s="23"/>
      <c r="D680" s="24">
        <f ca="1">IFERROR(__xludf.DUMMYFUNCTION("""COMPUTED_VALUE"""),289)</f>
        <v>289</v>
      </c>
      <c r="E680" s="25" t="str">
        <f ca="1">IFERROR(__xludf.DUMMYFUNCTION("""COMPUTED_VALUE"""),"REA-U6801")</f>
        <v>REA-U6801</v>
      </c>
    </row>
    <row r="681" spans="1:5" x14ac:dyDescent="0.2">
      <c r="A681" s="22">
        <f ca="1">IFERROR(__xludf.DUMMYFUNCTION("""COMPUTED_VALUE"""),45441)</f>
        <v>45441</v>
      </c>
      <c r="B681" s="23" t="str">
        <f ca="1">IFERROR(__xludf.DUMMYFUNCTION("""COMPUTED_VALUE"""),"UMYWALKA CRISTAL 35 GREY - NABLATOWA")</f>
        <v>UMYWALKA CRISTAL 35 GREY - NABLATOWA</v>
      </c>
      <c r="C681" s="23"/>
      <c r="D681" s="24">
        <f ca="1">IFERROR(__xludf.DUMMYFUNCTION("""COMPUTED_VALUE"""),629)</f>
        <v>629</v>
      </c>
      <c r="E681" s="25" t="str">
        <f ca="1">IFERROR(__xludf.DUMMYFUNCTION("""COMPUTED_VALUE"""),"REA-U9615")</f>
        <v>REA-U9615</v>
      </c>
    </row>
    <row r="682" spans="1:5" x14ac:dyDescent="0.2">
      <c r="A682" s="22">
        <f ca="1">IFERROR(__xludf.DUMMYFUNCTION("""COMPUTED_VALUE"""),45441)</f>
        <v>45441</v>
      </c>
      <c r="B682" s="23" t="str">
        <f ca="1">IFERROR(__xludf.DUMMYFUNCTION("""COMPUTED_VALUE"""),"UMYWALKA CRISTAL 35 BLACK - NABLATOWA")</f>
        <v>UMYWALKA CRISTAL 35 BLACK - NABLATOWA</v>
      </c>
      <c r="C682" s="23"/>
      <c r="D682" s="24">
        <f ca="1">IFERROR(__xludf.DUMMYFUNCTION("""COMPUTED_VALUE"""),629)</f>
        <v>629</v>
      </c>
      <c r="E682" s="25" t="str">
        <f ca="1">IFERROR(__xludf.DUMMYFUNCTION("""COMPUTED_VALUE"""),"REA-U9671")</f>
        <v>REA-U9671</v>
      </c>
    </row>
    <row r="683" spans="1:5" x14ac:dyDescent="0.2">
      <c r="A683" s="22">
        <f ca="1">IFERROR(__xludf.DUMMYFUNCTION("""COMPUTED_VALUE"""),45441)</f>
        <v>45441</v>
      </c>
      <c r="B683" s="23" t="str">
        <f ca="1">IFERROR(__xludf.DUMMYFUNCTION("""COMPUTED_VALUE"""),"UMYWALKA CRISTAL TRANSPARENT - NABLATOWA")</f>
        <v>UMYWALKA CRISTAL TRANSPARENT - NABLATOWA</v>
      </c>
      <c r="C683" s="23"/>
      <c r="D683" s="24">
        <f ca="1">IFERROR(__xludf.DUMMYFUNCTION("""COMPUTED_VALUE"""),599)</f>
        <v>599</v>
      </c>
      <c r="E683" s="25" t="str">
        <f ca="1">IFERROR(__xludf.DUMMYFUNCTION("""COMPUTED_VALUE"""),"REA-U9670")</f>
        <v>REA-U9670</v>
      </c>
    </row>
    <row r="684" spans="1:5" x14ac:dyDescent="0.2">
      <c r="A684" s="22">
        <f ca="1">IFERROR(__xludf.DUMMYFUNCTION("""COMPUTED_VALUE"""),45441)</f>
        <v>45441</v>
      </c>
      <c r="B684" s="23" t="str">
        <f ca="1">IFERROR(__xludf.DUMMYFUNCTION("""COMPUTED_VALUE"""),"UMYWALKA INGRID BLACK - NABLATOWA")</f>
        <v>UMYWALKA INGRID BLACK - NABLATOWA</v>
      </c>
      <c r="C684" s="23"/>
      <c r="D684" s="24">
        <f ca="1">IFERROR(__xludf.DUMMYFUNCTION("""COMPUTED_VALUE"""),629)</f>
        <v>629</v>
      </c>
      <c r="E684" s="25" t="str">
        <f ca="1">IFERROR(__xludf.DUMMYFUNCTION("""COMPUTED_VALUE"""),"REA-U6800")</f>
        <v>REA-U6800</v>
      </c>
    </row>
    <row r="685" spans="1:5" x14ac:dyDescent="0.2">
      <c r="A685" s="22">
        <f ca="1">IFERROR(__xludf.DUMMYFUNCTION("""COMPUTED_VALUE"""),45441)</f>
        <v>45441</v>
      </c>
      <c r="B685" s="23" t="str">
        <f ca="1">IFERROR(__xludf.DUMMYFUNCTION("""COMPUTED_VALUE"""),"UMYWALKA FIBO BLACK MATT - NABLATOWA")</f>
        <v>UMYWALKA FIBO BLACK MATT - NABLATOWA</v>
      </c>
      <c r="C685" s="23"/>
      <c r="D685" s="24">
        <f ca="1">IFERROR(__xludf.DUMMYFUNCTION("""COMPUTED_VALUE"""),299)</f>
        <v>299</v>
      </c>
      <c r="E685" s="25" t="str">
        <f ca="1">IFERROR(__xludf.DUMMYFUNCTION("""COMPUTED_VALUE"""),"REA-U3301")</f>
        <v>REA-U3301</v>
      </c>
    </row>
    <row r="686" spans="1:5" x14ac:dyDescent="0.2">
      <c r="A686" s="22">
        <f ca="1">IFERROR(__xludf.DUMMYFUNCTION("""COMPUTED_VALUE"""),45441)</f>
        <v>45441</v>
      </c>
      <c r="B686" s="23" t="str">
        <f ca="1">IFERROR(__xludf.DUMMYFUNCTION("""COMPUTED_VALUE"""),"WANNA KERRANO 150")</f>
        <v>WANNA KERRANO 150</v>
      </c>
      <c r="C686" s="23"/>
      <c r="D686" s="24">
        <f ca="1">IFERROR(__xludf.DUMMYFUNCTION("""COMPUTED_VALUE"""),3490)</f>
        <v>3490</v>
      </c>
      <c r="E686" s="25" t="str">
        <f ca="1">IFERROR(__xludf.DUMMYFUNCTION("""COMPUTED_VALUE"""),"REA-W2002")</f>
        <v>REA-W2002</v>
      </c>
    </row>
    <row r="687" spans="1:5" x14ac:dyDescent="0.2">
      <c r="A687" s="22">
        <f ca="1">IFERROR(__xludf.DUMMYFUNCTION("""COMPUTED_VALUE"""),45441)</f>
        <v>45441</v>
      </c>
      <c r="B687" s="23" t="str">
        <f ca="1">IFERROR(__xludf.DUMMYFUNCTION("""COMPUTED_VALUE"""),"WANNA KERRANO 170")</f>
        <v>WANNA KERRANO 170</v>
      </c>
      <c r="C687" s="23"/>
      <c r="D687" s="24">
        <f ca="1">IFERROR(__xludf.DUMMYFUNCTION("""COMPUTED_VALUE"""),3690)</f>
        <v>3690</v>
      </c>
      <c r="E687" s="25" t="str">
        <f ca="1">IFERROR(__xludf.DUMMYFUNCTION("""COMPUTED_VALUE"""),"REA-W2003")</f>
        <v>REA-W2003</v>
      </c>
    </row>
    <row r="688" spans="1:5" x14ac:dyDescent="0.2">
      <c r="A688" s="22">
        <f ca="1">IFERROR(__xludf.DUMMYFUNCTION("""COMPUTED_VALUE"""),45441)</f>
        <v>45441</v>
      </c>
      <c r="B688" s="23" t="str">
        <f ca="1">IFERROR(__xludf.DUMMYFUNCTION("""COMPUTED_VALUE"""),"UMYWALKA CINDY - NABLATOWA")</f>
        <v>UMYWALKA CINDY - NABLATOWA</v>
      </c>
      <c r="C688" s="23"/>
      <c r="D688" s="24">
        <f ca="1">IFERROR(__xludf.DUMMYFUNCTION("""COMPUTED_VALUE"""),279)</f>
        <v>279</v>
      </c>
      <c r="E688" s="25" t="str">
        <f ca="1">IFERROR(__xludf.DUMMYFUNCTION("""COMPUTED_VALUE"""),"REA-U0155")</f>
        <v>REA-U0155</v>
      </c>
    </row>
    <row r="689" spans="1:5" x14ac:dyDescent="0.2">
      <c r="A689" s="22">
        <f ca="1">IFERROR(__xludf.DUMMYFUNCTION("""COMPUTED_VALUE"""),45441)</f>
        <v>45441</v>
      </c>
      <c r="B689" s="23" t="str">
        <f ca="1">IFERROR(__xludf.DUMMYFUNCTION("""COMPUTED_VALUE"""),"UMYWALKA GRETA 55 - NABLATOWA")</f>
        <v>UMYWALKA GRETA 55 - NABLATOWA</v>
      </c>
      <c r="C689" s="23"/>
      <c r="D689" s="24">
        <f ca="1">IFERROR(__xludf.DUMMYFUNCTION("""COMPUTED_VALUE"""),319)</f>
        <v>319</v>
      </c>
      <c r="E689" s="25" t="str">
        <f ca="1">IFERROR(__xludf.DUMMYFUNCTION("""COMPUTED_VALUE"""),"REA-U8536")</f>
        <v>REA-U8536</v>
      </c>
    </row>
    <row r="690" spans="1:5" x14ac:dyDescent="0.2">
      <c r="A690" s="22">
        <f ca="1">IFERROR(__xludf.DUMMYFUNCTION("""COMPUTED_VALUE"""),45441)</f>
        <v>45441</v>
      </c>
      <c r="B690" s="23" t="str">
        <f ca="1">IFERROR(__xludf.DUMMYFUNCTION("""COMPUTED_VALUE"""),"UMYWALKA ARLETA - WPUSZCZANA")</f>
        <v>UMYWALKA ARLETA - WPUSZCZANA</v>
      </c>
      <c r="C690" s="23"/>
      <c r="D690" s="24">
        <f ca="1">IFERROR(__xludf.DUMMYFUNCTION("""COMPUTED_VALUE"""),279)</f>
        <v>279</v>
      </c>
      <c r="E690" s="25" t="str">
        <f ca="1">IFERROR(__xludf.DUMMYFUNCTION("""COMPUTED_VALUE"""),"REA-U8700")</f>
        <v>REA-U8700</v>
      </c>
    </row>
    <row r="691" spans="1:5" x14ac:dyDescent="0.2">
      <c r="A691" s="22">
        <f ca="1">IFERROR(__xludf.DUMMYFUNCTION("""COMPUTED_VALUE"""),45441)</f>
        <v>45441</v>
      </c>
      <c r="B691" s="23" t="str">
        <f ca="1">IFERROR(__xludf.DUMMYFUNCTION("""COMPUTED_VALUE"""),"UMYWALKA LINDA GRANIT MATT - NABLATOWA")</f>
        <v>UMYWALKA LINDA GRANIT MATT - NABLATOWA</v>
      </c>
      <c r="C691" s="23"/>
      <c r="D691" s="24">
        <f ca="1">IFERROR(__xludf.DUMMYFUNCTION("""COMPUTED_VALUE"""),349)</f>
        <v>349</v>
      </c>
      <c r="E691" s="25" t="str">
        <f ca="1">IFERROR(__xludf.DUMMYFUNCTION("""COMPUTED_VALUE"""),"REA-U8567")</f>
        <v>REA-U8567</v>
      </c>
    </row>
    <row r="692" spans="1:5" x14ac:dyDescent="0.2">
      <c r="A692" s="22">
        <f ca="1">IFERROR(__xludf.DUMMYFUNCTION("""COMPUTED_VALUE"""),45441)</f>
        <v>45441</v>
      </c>
      <c r="B692" s="23" t="str">
        <f ca="1">IFERROR(__xludf.DUMMYFUNCTION("""COMPUTED_VALUE"""),"UMYWALKA LINDA LAVA - NABLATOWA")</f>
        <v>UMYWALKA LINDA LAVA - NABLATOWA</v>
      </c>
      <c r="C692" s="23"/>
      <c r="D692" s="24">
        <f ca="1">IFERROR(__xludf.DUMMYFUNCTION("""COMPUTED_VALUE"""),359)</f>
        <v>359</v>
      </c>
      <c r="E692" s="25" t="str">
        <f ca="1">IFERROR(__xludf.DUMMYFUNCTION("""COMPUTED_VALUE"""),"REA-U8695")</f>
        <v>REA-U8695</v>
      </c>
    </row>
    <row r="693" spans="1:5" x14ac:dyDescent="0.2">
      <c r="A693" s="22">
        <f ca="1">IFERROR(__xludf.DUMMYFUNCTION("""COMPUTED_VALUE"""),45441)</f>
        <v>45441</v>
      </c>
      <c r="B693" s="23" t="str">
        <f ca="1">IFERROR(__xludf.DUMMYFUNCTION("""COMPUTED_VALUE"""),"WC - EDDY TURBO TORNADO")</f>
        <v>WC - EDDY TURBO TORNADO</v>
      </c>
      <c r="C693" s="23"/>
      <c r="D693" s="24">
        <f ca="1">IFERROR(__xludf.DUMMYFUNCTION("""COMPUTED_VALUE"""),679)</f>
        <v>679</v>
      </c>
      <c r="E693" s="25" t="str">
        <f ca="1">IFERROR(__xludf.DUMMYFUNCTION("""COMPUTED_VALUE"""),"REA-C6560")</f>
        <v>REA-C6560</v>
      </c>
    </row>
    <row r="694" spans="1:5" x14ac:dyDescent="0.2">
      <c r="A694" s="22">
        <f ca="1">IFERROR(__xludf.DUMMYFUNCTION("""COMPUTED_VALUE"""),45441)</f>
        <v>45441</v>
      </c>
      <c r="B694" s="23" t="str">
        <f ca="1">IFERROR(__xludf.DUMMYFUNCTION("""COMPUTED_VALUE"""),"UMYWALKA SAMI NATURE MARBLE - NABLATOWA")</f>
        <v>UMYWALKA SAMI NATURE MARBLE - NABLATOWA</v>
      </c>
      <c r="C694" s="23"/>
      <c r="D694" s="24">
        <f ca="1">IFERROR(__xludf.DUMMYFUNCTION("""COMPUTED_VALUE"""),299)</f>
        <v>299</v>
      </c>
      <c r="E694" s="25" t="str">
        <f ca="1">IFERROR(__xludf.DUMMYFUNCTION("""COMPUTED_VALUE"""),"REA-U6606")</f>
        <v>REA-U6606</v>
      </c>
    </row>
    <row r="695" spans="1:5" x14ac:dyDescent="0.2">
      <c r="A695" s="22">
        <f ca="1">IFERROR(__xludf.DUMMYFUNCTION("""COMPUTED_VALUE"""),45441)</f>
        <v>45441</v>
      </c>
      <c r="B695" s="23" t="str">
        <f ca="1">IFERROR(__xludf.DUMMYFUNCTION("""COMPUTED_VALUE"""),"BATERIA UMYWALKOWA MONACO CHROM NISKA")</f>
        <v>BATERIA UMYWALKOWA MONACO CHROM NISKA</v>
      </c>
      <c r="C695" s="23"/>
      <c r="D695" s="24">
        <f ca="1">IFERROR(__xludf.DUMMYFUNCTION("""COMPUTED_VALUE"""),319)</f>
        <v>319</v>
      </c>
      <c r="E695" s="25" t="str">
        <f ca="1">IFERROR(__xludf.DUMMYFUNCTION("""COMPUTED_VALUE"""),"REA-B4209")</f>
        <v>REA-B4209</v>
      </c>
    </row>
    <row r="696" spans="1:5" x14ac:dyDescent="0.2">
      <c r="A696" s="22">
        <f ca="1">IFERROR(__xludf.DUMMYFUNCTION("""COMPUTED_VALUE"""),45441)</f>
        <v>45441</v>
      </c>
      <c r="B696" s="23" t="str">
        <f ca="1">IFERROR(__xludf.DUMMYFUNCTION("""COMPUTED_VALUE"""),"BATERIA UMYWALKOWA MONACO ZŁOTA SZCZOTKOWANA NISKA")</f>
        <v>BATERIA UMYWALKOWA MONACO ZŁOTA SZCZOTKOWANA NISKA</v>
      </c>
      <c r="C696" s="23"/>
      <c r="D696" s="24">
        <f ca="1">IFERROR(__xludf.DUMMYFUNCTION("""COMPUTED_VALUE"""),369)</f>
        <v>369</v>
      </c>
      <c r="E696" s="25" t="str">
        <f ca="1">IFERROR(__xludf.DUMMYFUNCTION("""COMPUTED_VALUE"""),"REA-B4211")</f>
        <v>REA-B4211</v>
      </c>
    </row>
    <row r="697" spans="1:5" x14ac:dyDescent="0.2">
      <c r="A697" s="22">
        <f ca="1">IFERROR(__xludf.DUMMYFUNCTION("""COMPUTED_VALUE"""),45441)</f>
        <v>45441</v>
      </c>
      <c r="B697" s="23" t="str">
        <f ca="1">IFERROR(__xludf.DUMMYFUNCTION("""COMPUTED_VALUE"""),"BATERIA UMYWALKOWA MONACO ZŁOTA SZCZOTKOWAN WYSOKA")</f>
        <v>BATERIA UMYWALKOWA MONACO ZŁOTA SZCZOTKOWAN WYSOKA</v>
      </c>
      <c r="C697" s="23"/>
      <c r="D697" s="24">
        <f ca="1">IFERROR(__xludf.DUMMYFUNCTION("""COMPUTED_VALUE"""),499)</f>
        <v>499</v>
      </c>
      <c r="E697" s="25" t="str">
        <f ca="1">IFERROR(__xludf.DUMMYFUNCTION("""COMPUTED_VALUE"""),"REA-B4212")</f>
        <v>REA-B4212</v>
      </c>
    </row>
    <row r="698" spans="1:5" x14ac:dyDescent="0.2">
      <c r="A698" s="22">
        <f ca="1">IFERROR(__xludf.DUMMYFUNCTION("""COMPUTED_VALUE"""),45441)</f>
        <v>45441</v>
      </c>
      <c r="B698" s="23" t="str">
        <f ca="1">IFERROR(__xludf.DUMMYFUNCTION("""COMPUTED_VALUE"""),"ŚCIANKA PRYSZNICOWA AERO 110 GOLD")</f>
        <v>ŚCIANKA PRYSZNICOWA AERO 110 GOLD</v>
      </c>
      <c r="C698" s="23"/>
      <c r="D698" s="24">
        <f ca="1">IFERROR(__xludf.DUMMYFUNCTION("""COMPUTED_VALUE"""),1099)</f>
        <v>1099</v>
      </c>
      <c r="E698" s="25" t="str">
        <f ca="1">IFERROR(__xludf.DUMMYFUNCTION("""COMPUTED_VALUE"""),"REA-K8441")</f>
        <v>REA-K8441</v>
      </c>
    </row>
    <row r="699" spans="1:5" x14ac:dyDescent="0.2">
      <c r="A699" s="22">
        <f ca="1">IFERROR(__xludf.DUMMYFUNCTION("""COMPUTED_VALUE"""),45441)</f>
        <v>45441</v>
      </c>
      <c r="B699" s="23" t="str">
        <f ca="1">IFERROR(__xludf.DUMMYFUNCTION("""COMPUTED_VALUE"""),"ŚCIANKA PRYSZNICOWA AERO 100 BLACK")</f>
        <v>ŚCIANKA PRYSZNICOWA AERO 100 BLACK</v>
      </c>
      <c r="C699" s="23"/>
      <c r="D699" s="24">
        <f ca="1">IFERROR(__xludf.DUMMYFUNCTION("""COMPUTED_VALUE"""),829)</f>
        <v>829</v>
      </c>
      <c r="E699" s="25" t="str">
        <f ca="1">IFERROR(__xludf.DUMMYFUNCTION("""COMPUTED_VALUE"""),"REA-K6596")</f>
        <v>REA-K6596</v>
      </c>
    </row>
    <row r="700" spans="1:5" x14ac:dyDescent="0.2">
      <c r="A700" s="22">
        <f ca="1">IFERROR(__xludf.DUMMYFUNCTION("""COMPUTED_VALUE"""),45441)</f>
        <v>45441</v>
      </c>
      <c r="B700" s="23" t="str">
        <f ca="1">IFERROR(__xludf.DUMMYFUNCTION("""COMPUTED_VALUE"""),"DRZWI PRYSZNICOWE ALEX-805   80")</f>
        <v>DRZWI PRYSZNICOWE ALEX-805   80</v>
      </c>
      <c r="C700" s="23"/>
      <c r="D700" s="24">
        <f ca="1">IFERROR(__xludf.DUMMYFUNCTION("""COMPUTED_VALUE"""),839)</f>
        <v>839</v>
      </c>
      <c r="E700" s="25" t="str">
        <f ca="1">IFERROR(__xludf.DUMMYFUNCTION("""COMPUTED_VALUE"""),"REA-K0287")</f>
        <v>REA-K0287</v>
      </c>
    </row>
    <row r="701" spans="1:5" x14ac:dyDescent="0.2">
      <c r="A701" s="22">
        <f ca="1">IFERROR(__xludf.DUMMYFUNCTION("""COMPUTED_VALUE"""),45441)</f>
        <v>45441</v>
      </c>
      <c r="B701" s="23" t="str">
        <f ca="1">IFERROR(__xludf.DUMMYFUNCTION("""COMPUTED_VALUE"""),"ŚCIANKA PRYSZNICOWA AERO 90 GOLD")</f>
        <v>ŚCIANKA PRYSZNICOWA AERO 90 GOLD</v>
      </c>
      <c r="C701" s="23"/>
      <c r="D701" s="24">
        <f ca="1">IFERROR(__xludf.DUMMYFUNCTION("""COMPUTED_VALUE"""),969)</f>
        <v>969</v>
      </c>
      <c r="E701" s="25" t="str">
        <f ca="1">IFERROR(__xludf.DUMMYFUNCTION("""COMPUTED_VALUE"""),"REA-K8442")</f>
        <v>REA-K8442</v>
      </c>
    </row>
    <row r="702" spans="1:5" x14ac:dyDescent="0.2">
      <c r="A702" s="22">
        <f ca="1">IFERROR(__xludf.DUMMYFUNCTION("""COMPUTED_VALUE"""),45441)</f>
        <v>45441</v>
      </c>
      <c r="B702" s="23" t="str">
        <f ca="1">IFERROR(__xludf.DUMMYFUNCTION("""COMPUTED_VALUE"""),"DRZWI PRYSZNICOWE RAPID SWING GOLD BRUSH 90")</f>
        <v>DRZWI PRYSZNICOWE RAPID SWING GOLD BRUSH 90</v>
      </c>
      <c r="C702" s="23"/>
      <c r="D702" s="24">
        <f ca="1">IFERROR(__xludf.DUMMYFUNCTION("""COMPUTED_VALUE"""),1179)</f>
        <v>1179</v>
      </c>
      <c r="E702" s="25" t="str">
        <f ca="1">IFERROR(__xludf.DUMMYFUNCTION("""COMPUTED_VALUE"""),"REA-K2502")</f>
        <v>REA-K2502</v>
      </c>
    </row>
    <row r="703" spans="1:5" x14ac:dyDescent="0.2">
      <c r="A703" s="22">
        <f ca="1">IFERROR(__xludf.DUMMYFUNCTION("""COMPUTED_VALUE"""),45441)</f>
        <v>45441</v>
      </c>
      <c r="B703" s="23" t="str">
        <f ca="1">IFERROR(__xludf.DUMMYFUNCTION("""COMPUTED_VALUE"""),"DRZWI PRYSZNICOWE RAPID SLIDE GOLD 130")</f>
        <v>DRZWI PRYSZNICOWE RAPID SLIDE GOLD 130</v>
      </c>
      <c r="C703" s="23"/>
      <c r="D703" s="24">
        <f ca="1">IFERROR(__xludf.DUMMYFUNCTION("""COMPUTED_VALUE"""),1029)</f>
        <v>1029</v>
      </c>
      <c r="E703" s="25" t="str">
        <f ca="1">IFERROR(__xludf.DUMMYFUNCTION("""COMPUTED_VALUE"""),"REA-K5615")</f>
        <v>REA-K5615</v>
      </c>
    </row>
    <row r="704" spans="1:5" x14ac:dyDescent="0.2">
      <c r="A704" s="22">
        <f ca="1">IFERROR(__xludf.DUMMYFUNCTION("""COMPUTED_VALUE"""),45441)</f>
        <v>45441</v>
      </c>
      <c r="B704" s="23" t="str">
        <f ca="1">IFERROR(__xludf.DUMMYFUNCTION("""COMPUTED_VALUE"""),"BATERIA UMYWALKOWA FENIX L.GOLD WYSOKA")</f>
        <v>BATERIA UMYWALKOWA FENIX L.GOLD WYSOKA</v>
      </c>
      <c r="C704" s="23"/>
      <c r="D704" s="24">
        <f ca="1">IFERROR(__xludf.DUMMYFUNCTION("""COMPUTED_VALUE"""),459)</f>
        <v>459</v>
      </c>
      <c r="E704" s="25" t="str">
        <f ca="1">IFERROR(__xludf.DUMMYFUNCTION("""COMPUTED_VALUE"""),"REA-B6394")</f>
        <v>REA-B6394</v>
      </c>
    </row>
    <row r="705" spans="1:5" x14ac:dyDescent="0.2">
      <c r="A705" s="22">
        <f ca="1">IFERROR(__xludf.DUMMYFUNCTION("""COMPUTED_VALUE"""),45429)</f>
        <v>45429</v>
      </c>
      <c r="B705" s="23" t="str">
        <f ca="1">IFERROR(__xludf.DUMMYFUNCTION("""COMPUTED_VALUE"""),"BRODZIK BAZALT CARRARA WHITE 80x100")</f>
        <v>BRODZIK BAZALT CARRARA WHITE 80x100</v>
      </c>
      <c r="C705" s="23"/>
      <c r="D705" s="24">
        <f ca="1">IFERROR(__xludf.DUMMYFUNCTION("""COMPUTED_VALUE"""),829)</f>
        <v>829</v>
      </c>
      <c r="E705" s="25" t="str">
        <f ca="1">IFERROR(__xludf.DUMMYFUNCTION("""COMPUTED_VALUE"""),"REA-K7000")</f>
        <v>REA-K7000</v>
      </c>
    </row>
    <row r="706" spans="1:5" x14ac:dyDescent="0.2">
      <c r="A706" s="22">
        <f ca="1">IFERROR(__xludf.DUMMYFUNCTION("""COMPUTED_VALUE"""),45429)</f>
        <v>45429</v>
      </c>
      <c r="B706" s="23" t="str">
        <f ca="1">IFERROR(__xludf.DUMMYFUNCTION("""COMPUTED_VALUE"""),"BRODZIK BAZALT CARRARA WHITE 90x90")</f>
        <v>BRODZIK BAZALT CARRARA WHITE 90x90</v>
      </c>
      <c r="C706" s="23"/>
      <c r="D706" s="24">
        <f ca="1">IFERROR(__xludf.DUMMYFUNCTION("""COMPUTED_VALUE"""),799)</f>
        <v>799</v>
      </c>
      <c r="E706" s="25" t="str">
        <f ca="1">IFERROR(__xludf.DUMMYFUNCTION("""COMPUTED_VALUE"""),"REA-K7002")</f>
        <v>REA-K7002</v>
      </c>
    </row>
    <row r="707" spans="1:5" x14ac:dyDescent="0.2">
      <c r="A707" s="22">
        <f ca="1">IFERROR(__xludf.DUMMYFUNCTION("""COMPUTED_VALUE"""),45429)</f>
        <v>45429</v>
      </c>
      <c r="B707" s="23" t="str">
        <f ca="1">IFERROR(__xludf.DUMMYFUNCTION("""COMPUTED_VALUE"""),"BRODZIK BAZALT CARRARA BLACK 90x90")</f>
        <v>BRODZIK BAZALT CARRARA BLACK 90x90</v>
      </c>
      <c r="C707" s="23"/>
      <c r="D707" s="24">
        <f ca="1">IFERROR(__xludf.DUMMYFUNCTION("""COMPUTED_VALUE"""),819)</f>
        <v>819</v>
      </c>
      <c r="E707" s="25" t="str">
        <f ca="1">IFERROR(__xludf.DUMMYFUNCTION("""COMPUTED_VALUE"""),"REA-K7003")</f>
        <v>REA-K7003</v>
      </c>
    </row>
    <row r="708" spans="1:5" x14ac:dyDescent="0.2">
      <c r="A708" s="22">
        <f ca="1">IFERROR(__xludf.DUMMYFUNCTION("""COMPUTED_VALUE"""),45429)</f>
        <v>45429</v>
      </c>
      <c r="B708" s="23" t="str">
        <f ca="1">IFERROR(__xludf.DUMMYFUNCTION("""COMPUTED_VALUE"""),"BRODZIK BAZALT CARRARA WHITE 90x120")</f>
        <v>BRODZIK BAZALT CARRARA WHITE 90x120</v>
      </c>
      <c r="C708" s="23"/>
      <c r="D708" s="24">
        <f ca="1">IFERROR(__xludf.DUMMYFUNCTION("""COMPUTED_VALUE"""),1059)</f>
        <v>1059</v>
      </c>
      <c r="E708" s="25" t="str">
        <f ca="1">IFERROR(__xludf.DUMMYFUNCTION("""COMPUTED_VALUE"""),"REA-K7001")</f>
        <v>REA-K7001</v>
      </c>
    </row>
    <row r="709" spans="1:5" x14ac:dyDescent="0.2">
      <c r="A709" s="22">
        <f ca="1">IFERROR(__xludf.DUMMYFUNCTION("""COMPUTED_VALUE"""),45429)</f>
        <v>45429</v>
      </c>
      <c r="B709" s="23" t="str">
        <f ca="1">IFERROR(__xludf.DUMMYFUNCTION("""COMPUTED_VALUE"""),"BRODZIK MAGNUM CARRARA WHITE 80x100")</f>
        <v>BRODZIK MAGNUM CARRARA WHITE 80x100</v>
      </c>
      <c r="C709" s="23"/>
      <c r="D709" s="24">
        <f ca="1">IFERROR(__xludf.DUMMYFUNCTION("""COMPUTED_VALUE"""),599)</f>
        <v>599</v>
      </c>
      <c r="E709" s="25" t="str">
        <f ca="1">IFERROR(__xludf.DUMMYFUNCTION("""COMPUTED_VALUE"""),"REA-K7004")</f>
        <v>REA-K7004</v>
      </c>
    </row>
    <row r="710" spans="1:5" x14ac:dyDescent="0.2">
      <c r="A710" s="22">
        <f ca="1">IFERROR(__xludf.DUMMYFUNCTION("""COMPUTED_VALUE"""),45429)</f>
        <v>45429</v>
      </c>
      <c r="B710" s="23" t="str">
        <f ca="1">IFERROR(__xludf.DUMMYFUNCTION("""COMPUTED_VALUE"""),"BRODZIK MAGNUM CARRARA BLACK 80x100")</f>
        <v>BRODZIK MAGNUM CARRARA BLACK 80x100</v>
      </c>
      <c r="C710" s="23"/>
      <c r="D710" s="24">
        <f ca="1">IFERROR(__xludf.DUMMYFUNCTION("""COMPUTED_VALUE"""),619)</f>
        <v>619</v>
      </c>
      <c r="E710" s="25" t="str">
        <f ca="1">IFERROR(__xludf.DUMMYFUNCTION("""COMPUTED_VALUE"""),"REA-K7007")</f>
        <v>REA-K7007</v>
      </c>
    </row>
    <row r="711" spans="1:5" x14ac:dyDescent="0.2">
      <c r="A711" s="22">
        <f ca="1">IFERROR(__xludf.DUMMYFUNCTION("""COMPUTED_VALUE"""),45429)</f>
        <v>45429</v>
      </c>
      <c r="B711" s="23" t="str">
        <f ca="1">IFERROR(__xludf.DUMMYFUNCTION("""COMPUTED_VALUE"""),"BRODZIK MAGNUM CARRARA WHITE 90x90")</f>
        <v>BRODZIK MAGNUM CARRARA WHITE 90x90</v>
      </c>
      <c r="C711" s="23"/>
      <c r="D711" s="24">
        <f ca="1">IFERROR(__xludf.DUMMYFUNCTION("""COMPUTED_VALUE"""),599)</f>
        <v>599</v>
      </c>
      <c r="E711" s="25" t="str">
        <f ca="1">IFERROR(__xludf.DUMMYFUNCTION("""COMPUTED_VALUE"""),"REA-K7005")</f>
        <v>REA-K7005</v>
      </c>
    </row>
    <row r="712" spans="1:5" x14ac:dyDescent="0.2">
      <c r="A712" s="22">
        <f ca="1">IFERROR(__xludf.DUMMYFUNCTION("""COMPUTED_VALUE"""),45429)</f>
        <v>45429</v>
      </c>
      <c r="B712" s="23" t="str">
        <f ca="1">IFERROR(__xludf.DUMMYFUNCTION("""COMPUTED_VALUE"""),"BRODZIK MAGNUM CARRARA BLACK 90x90")</f>
        <v>BRODZIK MAGNUM CARRARA BLACK 90x90</v>
      </c>
      <c r="C712" s="23"/>
      <c r="D712" s="24">
        <f ca="1">IFERROR(__xludf.DUMMYFUNCTION("""COMPUTED_VALUE"""),619)</f>
        <v>619</v>
      </c>
      <c r="E712" s="25" t="str">
        <f ca="1">IFERROR(__xludf.DUMMYFUNCTION("""COMPUTED_VALUE"""),"REA-K7008")</f>
        <v>REA-K7008</v>
      </c>
    </row>
    <row r="713" spans="1:5" x14ac:dyDescent="0.2">
      <c r="A713" s="22">
        <f ca="1">IFERROR(__xludf.DUMMYFUNCTION("""COMPUTED_VALUE"""),45429)</f>
        <v>45429</v>
      </c>
      <c r="B713" s="23" t="str">
        <f ca="1">IFERROR(__xludf.DUMMYFUNCTION("""COMPUTED_VALUE"""),"BRODZIK MAGNUM CARRARA WHITE 90x120")</f>
        <v>BRODZIK MAGNUM CARRARA WHITE 90x120</v>
      </c>
      <c r="C713" s="23"/>
      <c r="D713" s="24">
        <f ca="1">IFERROR(__xludf.DUMMYFUNCTION("""COMPUTED_VALUE"""),799)</f>
        <v>799</v>
      </c>
      <c r="E713" s="25" t="str">
        <f ca="1">IFERROR(__xludf.DUMMYFUNCTION("""COMPUTED_VALUE"""),"REA-K7006")</f>
        <v>REA-K7006</v>
      </c>
    </row>
    <row r="714" spans="1:5" x14ac:dyDescent="0.2">
      <c r="A714" s="22">
        <f ca="1">IFERROR(__xludf.DUMMYFUNCTION("""COMPUTED_VALUE"""),45429)</f>
        <v>45429</v>
      </c>
      <c r="B714" s="23" t="str">
        <f ca="1">IFERROR(__xludf.DUMMYFUNCTION("""COMPUTED_VALUE"""),"BRODZIK MAGNUM CARRARA BLACK 90x120")</f>
        <v>BRODZIK MAGNUM CARRARA BLACK 90x120</v>
      </c>
      <c r="C714" s="23"/>
      <c r="D714" s="24">
        <f ca="1">IFERROR(__xludf.DUMMYFUNCTION("""COMPUTED_VALUE"""),819)</f>
        <v>819</v>
      </c>
      <c r="E714" s="25" t="str">
        <f ca="1">IFERROR(__xludf.DUMMYFUNCTION("""COMPUTED_VALUE"""),"REA-K7009")</f>
        <v>REA-K7009</v>
      </c>
    </row>
    <row r="715" spans="1:5" x14ac:dyDescent="0.2">
      <c r="A715" s="22">
        <f ca="1">IFERROR(__xludf.DUMMYFUNCTION("""COMPUTED_VALUE"""),45429)</f>
        <v>45429</v>
      </c>
      <c r="B715" s="23" t="str">
        <f ca="1">IFERROR(__xludf.DUMMYFUNCTION("""COMPUTED_VALUE"""),"BRODZIK SAVOY 90*90*6cm + SYFON")</f>
        <v>BRODZIK SAVOY 90*90*6cm + SYFON</v>
      </c>
      <c r="C715" s="23"/>
      <c r="D715" s="24">
        <f ca="1">IFERROR(__xludf.DUMMYFUNCTION("""COMPUTED_VALUE"""),429)</f>
        <v>429</v>
      </c>
      <c r="E715" s="25" t="str">
        <f ca="1">IFERROR(__xludf.DUMMYFUNCTION("""COMPUTED_VALUE"""),"REA-K1907")</f>
        <v>REA-K1907</v>
      </c>
    </row>
    <row r="716" spans="1:5" x14ac:dyDescent="0.2">
      <c r="A716" s="22">
        <f ca="1">IFERROR(__xludf.DUMMYFUNCTION("""COMPUTED_VALUE"""),45420)</f>
        <v>45420</v>
      </c>
      <c r="B716" s="23" t="str">
        <f ca="1">IFERROR(__xludf.DUMMYFUNCTION("""COMPUTED_VALUE"""),"ODPŁYW NEOX SZCZOTKOWANY 500")</f>
        <v>ODPŁYW NEOX SZCZOTKOWANY 500</v>
      </c>
      <c r="C716" s="23"/>
      <c r="D716" s="24">
        <f ca="1">IFERROR(__xludf.DUMMYFUNCTION("""COMPUTED_VALUE"""),189)</f>
        <v>189</v>
      </c>
      <c r="E716" s="25" t="str">
        <f ca="1">IFERROR(__xludf.DUMMYFUNCTION("""COMPUTED_VALUE"""),"REA-G2500")</f>
        <v>REA-G2500</v>
      </c>
    </row>
    <row r="717" spans="1:5" x14ac:dyDescent="0.2">
      <c r="A717" s="22">
        <f ca="1">IFERROR(__xludf.DUMMYFUNCTION("""COMPUTED_VALUE"""),45420)</f>
        <v>45420</v>
      </c>
      <c r="B717" s="23" t="str">
        <f ca="1">IFERROR(__xludf.DUMMYFUNCTION("""COMPUTED_VALUE"""),"ODPŁYW NEOX SZCZOTKOWANY 600")</f>
        <v>ODPŁYW NEOX SZCZOTKOWANY 600</v>
      </c>
      <c r="C717" s="23"/>
      <c r="D717" s="24">
        <f ca="1">IFERROR(__xludf.DUMMYFUNCTION("""COMPUTED_VALUE"""),199)</f>
        <v>199</v>
      </c>
      <c r="E717" s="25" t="str">
        <f ca="1">IFERROR(__xludf.DUMMYFUNCTION("""COMPUTED_VALUE"""),"REA-G2501")</f>
        <v>REA-G2501</v>
      </c>
    </row>
    <row r="718" spans="1:5" x14ac:dyDescent="0.2">
      <c r="A718" s="22">
        <f ca="1">IFERROR(__xludf.DUMMYFUNCTION("""COMPUTED_VALUE"""),45420)</f>
        <v>45420</v>
      </c>
      <c r="B718" s="23" t="str">
        <f ca="1">IFERROR(__xludf.DUMMYFUNCTION("""COMPUTED_VALUE"""),"ODPŁYW NEOX SZCZOTKOWANY 700")</f>
        <v>ODPŁYW NEOX SZCZOTKOWANY 700</v>
      </c>
      <c r="C718" s="23"/>
      <c r="D718" s="24">
        <f ca="1">IFERROR(__xludf.DUMMYFUNCTION("""COMPUTED_VALUE"""),209)</f>
        <v>209</v>
      </c>
      <c r="E718" s="25" t="str">
        <f ca="1">IFERROR(__xludf.DUMMYFUNCTION("""COMPUTED_VALUE"""),"REA-G2502")</f>
        <v>REA-G2502</v>
      </c>
    </row>
    <row r="719" spans="1:5" x14ac:dyDescent="0.2">
      <c r="A719" s="22">
        <f ca="1">IFERROR(__xludf.DUMMYFUNCTION("""COMPUTED_VALUE"""),45420)</f>
        <v>45420</v>
      </c>
      <c r="B719" s="23" t="str">
        <f ca="1">IFERROR(__xludf.DUMMYFUNCTION("""COMPUTED_VALUE"""),"ODPŁYW NEOX SZCZOTKOWANY 800")</f>
        <v>ODPŁYW NEOX SZCZOTKOWANY 800</v>
      </c>
      <c r="C719" s="23"/>
      <c r="D719" s="24">
        <f ca="1">IFERROR(__xludf.DUMMYFUNCTION("""COMPUTED_VALUE"""),219)</f>
        <v>219</v>
      </c>
      <c r="E719" s="25" t="str">
        <f ca="1">IFERROR(__xludf.DUMMYFUNCTION("""COMPUTED_VALUE"""),"REA-G2503")</f>
        <v>REA-G2503</v>
      </c>
    </row>
    <row r="720" spans="1:5" x14ac:dyDescent="0.2">
      <c r="A720" s="22">
        <f ca="1">IFERROR(__xludf.DUMMYFUNCTION("""COMPUTED_VALUE"""),45420)</f>
        <v>45420</v>
      </c>
      <c r="B720" s="23" t="str">
        <f ca="1">IFERROR(__xludf.DUMMYFUNCTION("""COMPUTED_VALUE"""),"ODPŁYW NEOX SZCZOTKOWANY 900")</f>
        <v>ODPŁYW NEOX SZCZOTKOWANY 900</v>
      </c>
      <c r="C720" s="23"/>
      <c r="D720" s="24">
        <f ca="1">IFERROR(__xludf.DUMMYFUNCTION("""COMPUTED_VALUE"""),229)</f>
        <v>229</v>
      </c>
      <c r="E720" s="25" t="str">
        <f ca="1">IFERROR(__xludf.DUMMYFUNCTION("""COMPUTED_VALUE"""),"REA-G2504")</f>
        <v>REA-G2504</v>
      </c>
    </row>
    <row r="721" spans="1:5" x14ac:dyDescent="0.2">
      <c r="A721" s="22">
        <f ca="1">IFERROR(__xludf.DUMMYFUNCTION("""COMPUTED_VALUE"""),45420)</f>
        <v>45420</v>
      </c>
      <c r="B721" s="23" t="str">
        <f ca="1">IFERROR(__xludf.DUMMYFUNCTION("""COMPUTED_VALUE"""),"ODPŁYW NEOX SZCZOTKOWANY 1000")</f>
        <v>ODPŁYW NEOX SZCZOTKOWANY 1000</v>
      </c>
      <c r="C721" s="23"/>
      <c r="D721" s="24">
        <f ca="1">IFERROR(__xludf.DUMMYFUNCTION("""COMPUTED_VALUE"""),249)</f>
        <v>249</v>
      </c>
      <c r="E721" s="25" t="str">
        <f ca="1">IFERROR(__xludf.DUMMYFUNCTION("""COMPUTED_VALUE"""),"REA-G2505")</f>
        <v>REA-G2505</v>
      </c>
    </row>
    <row r="722" spans="1:5" x14ac:dyDescent="0.2">
      <c r="A722" s="22">
        <f ca="1">IFERROR(__xludf.DUMMYFUNCTION("""COMPUTED_VALUE"""),45420)</f>
        <v>45420</v>
      </c>
      <c r="B722" s="23" t="str">
        <f ca="1">IFERROR(__xludf.DUMMYFUNCTION("""COMPUTED_VALUE"""),"LISTWA SPADKOWA CZARNA 120 cm LEWA")</f>
        <v>LISTWA SPADKOWA CZARNA 120 cm LEWA</v>
      </c>
      <c r="C722" s="23"/>
      <c r="D722" s="24">
        <f ca="1">IFERROR(__xludf.DUMMYFUNCTION("""COMPUTED_VALUE"""),119)</f>
        <v>119</v>
      </c>
      <c r="E722" s="25" t="str">
        <f ca="1">IFERROR(__xludf.DUMMYFUNCTION("""COMPUTED_VALUE"""),"REA-K3200")</f>
        <v>REA-K3200</v>
      </c>
    </row>
    <row r="723" spans="1:5" x14ac:dyDescent="0.2">
      <c r="A723" s="22">
        <f ca="1">IFERROR(__xludf.DUMMYFUNCTION("""COMPUTED_VALUE"""),45420)</f>
        <v>45420</v>
      </c>
      <c r="B723" s="23" t="str">
        <f ca="1">IFERROR(__xludf.DUMMYFUNCTION("""COMPUTED_VALUE"""),"LISTWA SPADKOWA CZARNA 120 cm PRAWA")</f>
        <v>LISTWA SPADKOWA CZARNA 120 cm PRAWA</v>
      </c>
      <c r="C723" s="23"/>
      <c r="D723" s="24">
        <f ca="1">IFERROR(__xludf.DUMMYFUNCTION("""COMPUTED_VALUE"""),119)</f>
        <v>119</v>
      </c>
      <c r="E723" s="25" t="str">
        <f ca="1">IFERROR(__xludf.DUMMYFUNCTION("""COMPUTED_VALUE"""),"REA-K3201")</f>
        <v>REA-K3201</v>
      </c>
    </row>
    <row r="724" spans="1:5" x14ac:dyDescent="0.2">
      <c r="A724" s="22">
        <f ca="1">IFERROR(__xludf.DUMMYFUNCTION("""COMPUTED_VALUE"""),45420)</f>
        <v>45420</v>
      </c>
      <c r="B724" s="23" t="str">
        <f ca="1">IFERROR(__xludf.DUMMYFUNCTION("""COMPUTED_VALUE"""),"LISTWA SPADKOWA NIKIEL SZCZOTKOWANY 120 cm LEWA")</f>
        <v>LISTWA SPADKOWA NIKIEL SZCZOTKOWANY 120 cm LEWA</v>
      </c>
      <c r="C724" s="23"/>
      <c r="D724" s="24">
        <f ca="1">IFERROR(__xludf.DUMMYFUNCTION("""COMPUTED_VALUE"""),119)</f>
        <v>119</v>
      </c>
      <c r="E724" s="25" t="str">
        <f ca="1">IFERROR(__xludf.DUMMYFUNCTION("""COMPUTED_VALUE"""),"REA-K3202")</f>
        <v>REA-K3202</v>
      </c>
    </row>
    <row r="725" spans="1:5" x14ac:dyDescent="0.2">
      <c r="A725" s="22">
        <f ca="1">IFERROR(__xludf.DUMMYFUNCTION("""COMPUTED_VALUE"""),45420)</f>
        <v>45420</v>
      </c>
      <c r="B725" s="23" t="str">
        <f ca="1">IFERROR(__xludf.DUMMYFUNCTION("""COMPUTED_VALUE"""),"LISTWA SPADKOWA NIKIEL SZCZOTKOWANY 120 cm PRAWA")</f>
        <v>LISTWA SPADKOWA NIKIEL SZCZOTKOWANY 120 cm PRAWA</v>
      </c>
      <c r="C725" s="23"/>
      <c r="D725" s="24">
        <f ca="1">IFERROR(__xludf.DUMMYFUNCTION("""COMPUTED_VALUE"""),119)</f>
        <v>119</v>
      </c>
      <c r="E725" s="25" t="str">
        <f ca="1">IFERROR(__xludf.DUMMYFUNCTION("""COMPUTED_VALUE"""),"REA-K3203")</f>
        <v>REA-K3203</v>
      </c>
    </row>
    <row r="726" spans="1:5" x14ac:dyDescent="0.2">
      <c r="A726" s="22">
        <f ca="1">IFERROR(__xludf.DUMMYFUNCTION("""COMPUTED_VALUE"""),45420)</f>
        <v>45420</v>
      </c>
      <c r="B726" s="23" t="str">
        <f ca="1">IFERROR(__xludf.DUMMYFUNCTION("""COMPUTED_VALUE"""),"LISTWA SPADKOWA ZŁOTA 120 cm LEWA")</f>
        <v>LISTWA SPADKOWA ZŁOTA 120 cm LEWA</v>
      </c>
      <c r="C726" s="23"/>
      <c r="D726" s="24">
        <f ca="1">IFERROR(__xludf.DUMMYFUNCTION("""COMPUTED_VALUE"""),159)</f>
        <v>159</v>
      </c>
      <c r="E726" s="25" t="str">
        <f ca="1">IFERROR(__xludf.DUMMYFUNCTION("""COMPUTED_VALUE"""),"REA-K3204")</f>
        <v>REA-K3204</v>
      </c>
    </row>
    <row r="727" spans="1:5" x14ac:dyDescent="0.2">
      <c r="A727" s="22">
        <f ca="1">IFERROR(__xludf.DUMMYFUNCTION("""COMPUTED_VALUE"""),45420)</f>
        <v>45420</v>
      </c>
      <c r="B727" s="23" t="str">
        <f ca="1">IFERROR(__xludf.DUMMYFUNCTION("""COMPUTED_VALUE"""),"LISTWA SPADKOWA ZŁOTA 120 cm PRAWA")</f>
        <v>LISTWA SPADKOWA ZŁOTA 120 cm PRAWA</v>
      </c>
      <c r="C727" s="23"/>
      <c r="D727" s="24">
        <f ca="1">IFERROR(__xludf.DUMMYFUNCTION("""COMPUTED_VALUE"""),159)</f>
        <v>159</v>
      </c>
      <c r="E727" s="25" t="str">
        <f ca="1">IFERROR(__xludf.DUMMYFUNCTION("""COMPUTED_VALUE"""),"REA-K3205")</f>
        <v>REA-K3205</v>
      </c>
    </row>
    <row r="728" spans="1:5" x14ac:dyDescent="0.2">
      <c r="A728" s="22">
        <f ca="1">IFERROR(__xludf.DUMMYFUNCTION("""COMPUTED_VALUE"""),45420)</f>
        <v>45420</v>
      </c>
      <c r="B728" s="23" t="str">
        <f ca="1">IFERROR(__xludf.DUMMYFUNCTION("""COMPUTED_VALUE"""),"LISTWA SPADKOWA ZŁOTA SZCZOTKOWANA 120 cm LEWA")</f>
        <v>LISTWA SPADKOWA ZŁOTA SZCZOTKOWANA 120 cm LEWA</v>
      </c>
      <c r="C728" s="23"/>
      <c r="D728" s="24">
        <f ca="1">IFERROR(__xludf.DUMMYFUNCTION("""COMPUTED_VALUE"""),159)</f>
        <v>159</v>
      </c>
      <c r="E728" s="25" t="str">
        <f ca="1">IFERROR(__xludf.DUMMYFUNCTION("""COMPUTED_VALUE"""),"REA-K3206")</f>
        <v>REA-K3206</v>
      </c>
    </row>
    <row r="729" spans="1:5" x14ac:dyDescent="0.2">
      <c r="A729" s="22">
        <f ca="1">IFERROR(__xludf.DUMMYFUNCTION("""COMPUTED_VALUE"""),45420)</f>
        <v>45420</v>
      </c>
      <c r="B729" s="23" t="str">
        <f ca="1">IFERROR(__xludf.DUMMYFUNCTION("""COMPUTED_VALUE"""),"LISTWA SPADKOWA ZŁOTA SZCZOTKOWANA 120 cm PRAWA")</f>
        <v>LISTWA SPADKOWA ZŁOTA SZCZOTKOWANA 120 cm PRAWA</v>
      </c>
      <c r="C729" s="23"/>
      <c r="D729" s="24">
        <f ca="1">IFERROR(__xludf.DUMMYFUNCTION("""COMPUTED_VALUE"""),159)</f>
        <v>159</v>
      </c>
      <c r="E729" s="25" t="str">
        <f ca="1">IFERROR(__xludf.DUMMYFUNCTION("""COMPUTED_VALUE"""),"REA-K3207")</f>
        <v>REA-K3207</v>
      </c>
    </row>
    <row r="730" spans="1:5" x14ac:dyDescent="0.2">
      <c r="A730" s="22">
        <f ca="1">IFERROR(__xludf.DUMMYFUNCTION("""COMPUTED_VALUE"""),45420)</f>
        <v>45420</v>
      </c>
      <c r="B730" s="23" t="str">
        <f ca="1">IFERROR(__xludf.DUMMYFUNCTION("""COMPUTED_VALUE"""),"LISTWA SPADKOWA CZARNA 100 cm LEWA")</f>
        <v>LISTWA SPADKOWA CZARNA 100 cm LEWA</v>
      </c>
      <c r="C730" s="23"/>
      <c r="D730" s="24">
        <f ca="1">IFERROR(__xludf.DUMMYFUNCTION("""COMPUTED_VALUE"""),109)</f>
        <v>109</v>
      </c>
      <c r="E730" s="25" t="str">
        <f ca="1">IFERROR(__xludf.DUMMYFUNCTION("""COMPUTED_VALUE"""),"REA-K3208")</f>
        <v>REA-K3208</v>
      </c>
    </row>
    <row r="731" spans="1:5" x14ac:dyDescent="0.2">
      <c r="A731" s="22">
        <f ca="1">IFERROR(__xludf.DUMMYFUNCTION("""COMPUTED_VALUE"""),45420)</f>
        <v>45420</v>
      </c>
      <c r="B731" s="23" t="str">
        <f ca="1">IFERROR(__xludf.DUMMYFUNCTION("""COMPUTED_VALUE"""),"LISTWA SPADKOWA CZARNA 100 cm PRAWA")</f>
        <v>LISTWA SPADKOWA CZARNA 100 cm PRAWA</v>
      </c>
      <c r="C731" s="23"/>
      <c r="D731" s="24">
        <f ca="1">IFERROR(__xludf.DUMMYFUNCTION("""COMPUTED_VALUE"""),109)</f>
        <v>109</v>
      </c>
      <c r="E731" s="25" t="str">
        <f ca="1">IFERROR(__xludf.DUMMYFUNCTION("""COMPUTED_VALUE"""),"REA-K3209")</f>
        <v>REA-K3209</v>
      </c>
    </row>
    <row r="732" spans="1:5" x14ac:dyDescent="0.2">
      <c r="A732" s="22">
        <f ca="1">IFERROR(__xludf.DUMMYFUNCTION("""COMPUTED_VALUE"""),45420)</f>
        <v>45420</v>
      </c>
      <c r="B732" s="23" t="str">
        <f ca="1">IFERROR(__xludf.DUMMYFUNCTION("""COMPUTED_VALUE"""),"LISTWA SPADKOWA NIKIEL SZCZOTKOWANY 100 cm LEWA")</f>
        <v>LISTWA SPADKOWA NIKIEL SZCZOTKOWANY 100 cm LEWA</v>
      </c>
      <c r="C732" s="23"/>
      <c r="D732" s="24">
        <f ca="1">IFERROR(__xludf.DUMMYFUNCTION("""COMPUTED_VALUE"""),109)</f>
        <v>109</v>
      </c>
      <c r="E732" s="25" t="str">
        <f ca="1">IFERROR(__xludf.DUMMYFUNCTION("""COMPUTED_VALUE"""),"REA-K3211")</f>
        <v>REA-K3211</v>
      </c>
    </row>
    <row r="733" spans="1:5" x14ac:dyDescent="0.2">
      <c r="A733" s="22">
        <f ca="1">IFERROR(__xludf.DUMMYFUNCTION("""COMPUTED_VALUE"""),45420)</f>
        <v>45420</v>
      </c>
      <c r="B733" s="23" t="str">
        <f ca="1">IFERROR(__xludf.DUMMYFUNCTION("""COMPUTED_VALUE"""),"LISTWA SPADKOWA NIKIEL SZCZOTKOWANY 100 cm PRAWA")</f>
        <v>LISTWA SPADKOWA NIKIEL SZCZOTKOWANY 100 cm PRAWA</v>
      </c>
      <c r="C733" s="23"/>
      <c r="D733" s="24">
        <f ca="1">IFERROR(__xludf.DUMMYFUNCTION("""COMPUTED_VALUE"""),109)</f>
        <v>109</v>
      </c>
      <c r="E733" s="25" t="str">
        <f ca="1">IFERROR(__xludf.DUMMYFUNCTION("""COMPUTED_VALUE"""),"REA-K3212")</f>
        <v>REA-K3212</v>
      </c>
    </row>
    <row r="734" spans="1:5" x14ac:dyDescent="0.2">
      <c r="A734" s="22">
        <f ca="1">IFERROR(__xludf.DUMMYFUNCTION("""COMPUTED_VALUE"""),45420)</f>
        <v>45420</v>
      </c>
      <c r="B734" s="23" t="str">
        <f ca="1">IFERROR(__xludf.DUMMYFUNCTION("""COMPUTED_VALUE"""),"LISTWA SPADKOWA ZŁOTA 100 cm LEWA")</f>
        <v>LISTWA SPADKOWA ZŁOTA 100 cm LEWA</v>
      </c>
      <c r="C734" s="23"/>
      <c r="D734" s="24">
        <f ca="1">IFERROR(__xludf.DUMMYFUNCTION("""COMPUTED_VALUE"""),149)</f>
        <v>149</v>
      </c>
      <c r="E734" s="25" t="str">
        <f ca="1">IFERROR(__xludf.DUMMYFUNCTION("""COMPUTED_VALUE"""),"REA-K3213")</f>
        <v>REA-K3213</v>
      </c>
    </row>
    <row r="735" spans="1:5" x14ac:dyDescent="0.2">
      <c r="A735" s="22">
        <f ca="1">IFERROR(__xludf.DUMMYFUNCTION("""COMPUTED_VALUE"""),45420)</f>
        <v>45420</v>
      </c>
      <c r="B735" s="23" t="str">
        <f ca="1">IFERROR(__xludf.DUMMYFUNCTION("""COMPUTED_VALUE"""),"LISTWA SPADKOWA ZŁOTA 100 cm PRAWA")</f>
        <v>LISTWA SPADKOWA ZŁOTA 100 cm PRAWA</v>
      </c>
      <c r="C735" s="23"/>
      <c r="D735" s="24">
        <f ca="1">IFERROR(__xludf.DUMMYFUNCTION("""COMPUTED_VALUE"""),149)</f>
        <v>149</v>
      </c>
      <c r="E735" s="25" t="str">
        <f ca="1">IFERROR(__xludf.DUMMYFUNCTION("""COMPUTED_VALUE"""),"REA-K3215")</f>
        <v>REA-K3215</v>
      </c>
    </row>
    <row r="736" spans="1:5" x14ac:dyDescent="0.2">
      <c r="A736" s="22">
        <f ca="1">IFERROR(__xludf.DUMMYFUNCTION("""COMPUTED_VALUE"""),45420)</f>
        <v>45420</v>
      </c>
      <c r="B736" s="23" t="str">
        <f ca="1">IFERROR(__xludf.DUMMYFUNCTION("""COMPUTED_VALUE"""),"LISTWA SPADKOWA ZŁOTA SZCZOTKOWANA 100 cm LEWA")</f>
        <v>LISTWA SPADKOWA ZŁOTA SZCZOTKOWANA 100 cm LEWA</v>
      </c>
      <c r="C736" s="23"/>
      <c r="D736" s="24">
        <f ca="1">IFERROR(__xludf.DUMMYFUNCTION("""COMPUTED_VALUE"""),149)</f>
        <v>149</v>
      </c>
      <c r="E736" s="25" t="str">
        <f ca="1">IFERROR(__xludf.DUMMYFUNCTION("""COMPUTED_VALUE"""),"REA-K3216")</f>
        <v>REA-K3216</v>
      </c>
    </row>
    <row r="737" spans="1:5" x14ac:dyDescent="0.2">
      <c r="A737" s="22">
        <f ca="1">IFERROR(__xludf.DUMMYFUNCTION("""COMPUTED_VALUE"""),45420)</f>
        <v>45420</v>
      </c>
      <c r="B737" s="23" t="str">
        <f ca="1">IFERROR(__xludf.DUMMYFUNCTION("""COMPUTED_VALUE"""),"LISTWA SPADKOWA ZŁOTA SZCZOTKOWANA 100 cm PRAWA")</f>
        <v>LISTWA SPADKOWA ZŁOTA SZCZOTKOWANA 100 cm PRAWA</v>
      </c>
      <c r="C737" s="23"/>
      <c r="D737" s="24">
        <f ca="1">IFERROR(__xludf.DUMMYFUNCTION("""COMPUTED_VALUE"""),149)</f>
        <v>149</v>
      </c>
      <c r="E737" s="25" t="str">
        <f ca="1">IFERROR(__xludf.DUMMYFUNCTION("""COMPUTED_VALUE"""),"REA-K3217")</f>
        <v>REA-K3217</v>
      </c>
    </row>
    <row r="738" spans="1:5" x14ac:dyDescent="0.2">
      <c r="A738" s="22">
        <f ca="1">IFERROR(__xludf.DUMMYFUNCTION("""COMPUTED_VALUE"""),45420)</f>
        <v>45420</v>
      </c>
      <c r="B738" s="23" t="str">
        <f ca="1">IFERROR(__xludf.DUMMYFUNCTION("""COMPUTED_VALUE"""),"LISTWA SPADKOWA CZARNA 140 cm LEWA")</f>
        <v>LISTWA SPADKOWA CZARNA 140 cm LEWA</v>
      </c>
      <c r="C738" s="23"/>
      <c r="D738" s="24">
        <f ca="1">IFERROR(__xludf.DUMMYFUNCTION("""COMPUTED_VALUE"""),129)</f>
        <v>129</v>
      </c>
      <c r="E738" s="25" t="str">
        <f ca="1">IFERROR(__xludf.DUMMYFUNCTION("""COMPUTED_VALUE"""),"REA-K3218")</f>
        <v>REA-K3218</v>
      </c>
    </row>
    <row r="739" spans="1:5" x14ac:dyDescent="0.2">
      <c r="A739" s="22">
        <f ca="1">IFERROR(__xludf.DUMMYFUNCTION("""COMPUTED_VALUE"""),45420)</f>
        <v>45420</v>
      </c>
      <c r="B739" s="23" t="str">
        <f ca="1">IFERROR(__xludf.DUMMYFUNCTION("""COMPUTED_VALUE"""),"LISTWA SPADKOWA CZARNA 140 cm PRAWA")</f>
        <v>LISTWA SPADKOWA CZARNA 140 cm PRAWA</v>
      </c>
      <c r="C739" s="23"/>
      <c r="D739" s="24">
        <f ca="1">IFERROR(__xludf.DUMMYFUNCTION("""COMPUTED_VALUE"""),129)</f>
        <v>129</v>
      </c>
      <c r="E739" s="25" t="str">
        <f ca="1">IFERROR(__xludf.DUMMYFUNCTION("""COMPUTED_VALUE"""),"REA-K3220")</f>
        <v>REA-K3220</v>
      </c>
    </row>
    <row r="740" spans="1:5" x14ac:dyDescent="0.2">
      <c r="A740" s="22">
        <f ca="1">IFERROR(__xludf.DUMMYFUNCTION("""COMPUTED_VALUE"""),45420)</f>
        <v>45420</v>
      </c>
      <c r="B740" s="23" t="str">
        <f ca="1">IFERROR(__xludf.DUMMYFUNCTION("""COMPUTED_VALUE"""),"LISTWA SPADKOWA NIKIEL SZCZOTKOWANY 140 cm LEWA")</f>
        <v>LISTWA SPADKOWA NIKIEL SZCZOTKOWANY 140 cm LEWA</v>
      </c>
      <c r="C740" s="23"/>
      <c r="D740" s="24">
        <f ca="1">IFERROR(__xludf.DUMMYFUNCTION("""COMPUTED_VALUE"""),129)</f>
        <v>129</v>
      </c>
      <c r="E740" s="25" t="str">
        <f ca="1">IFERROR(__xludf.DUMMYFUNCTION("""COMPUTED_VALUE"""),"REA-K3221")</f>
        <v>REA-K3221</v>
      </c>
    </row>
    <row r="741" spans="1:5" x14ac:dyDescent="0.2">
      <c r="A741" s="22">
        <f ca="1">IFERROR(__xludf.DUMMYFUNCTION("""COMPUTED_VALUE"""),45420)</f>
        <v>45420</v>
      </c>
      <c r="B741" s="23" t="str">
        <f ca="1">IFERROR(__xludf.DUMMYFUNCTION("""COMPUTED_VALUE"""),"LISTWA SPADKOWA NIKIEL SZCZOTKOWANY 140 cm PRAWA")</f>
        <v>LISTWA SPADKOWA NIKIEL SZCZOTKOWANY 140 cm PRAWA</v>
      </c>
      <c r="C741" s="23"/>
      <c r="D741" s="24">
        <f ca="1">IFERROR(__xludf.DUMMYFUNCTION("""COMPUTED_VALUE"""),129)</f>
        <v>129</v>
      </c>
      <c r="E741" s="25" t="str">
        <f ca="1">IFERROR(__xludf.DUMMYFUNCTION("""COMPUTED_VALUE"""),"REA-K3222")</f>
        <v>REA-K3222</v>
      </c>
    </row>
    <row r="742" spans="1:5" x14ac:dyDescent="0.2">
      <c r="A742" s="22">
        <f ca="1">IFERROR(__xludf.DUMMYFUNCTION("""COMPUTED_VALUE"""),45420)</f>
        <v>45420</v>
      </c>
      <c r="B742" s="23" t="str">
        <f ca="1">IFERROR(__xludf.DUMMYFUNCTION("""COMPUTED_VALUE"""),"LISTWA SPADKOWA ZŁOTA 140 cm LEWA")</f>
        <v>LISTWA SPADKOWA ZŁOTA 140 cm LEWA</v>
      </c>
      <c r="C742" s="23"/>
      <c r="D742" s="24">
        <f ca="1">IFERROR(__xludf.DUMMYFUNCTION("""COMPUTED_VALUE"""),169)</f>
        <v>169</v>
      </c>
      <c r="E742" s="25" t="str">
        <f ca="1">IFERROR(__xludf.DUMMYFUNCTION("""COMPUTED_VALUE"""),"REA-K3223")</f>
        <v>REA-K3223</v>
      </c>
    </row>
    <row r="743" spans="1:5" x14ac:dyDescent="0.2">
      <c r="A743" s="22">
        <f ca="1">IFERROR(__xludf.DUMMYFUNCTION("""COMPUTED_VALUE"""),45420)</f>
        <v>45420</v>
      </c>
      <c r="B743" s="23" t="str">
        <f ca="1">IFERROR(__xludf.DUMMYFUNCTION("""COMPUTED_VALUE"""),"LISTWA SPADKOWA ZŁOTA 140 cm PRAWA")</f>
        <v>LISTWA SPADKOWA ZŁOTA 140 cm PRAWA</v>
      </c>
      <c r="C743" s="23"/>
      <c r="D743" s="24">
        <f ca="1">IFERROR(__xludf.DUMMYFUNCTION("""COMPUTED_VALUE"""),169)</f>
        <v>169</v>
      </c>
      <c r="E743" s="25" t="str">
        <f ca="1">IFERROR(__xludf.DUMMYFUNCTION("""COMPUTED_VALUE"""),"REA-K3224")</f>
        <v>REA-K3224</v>
      </c>
    </row>
    <row r="744" spans="1:5" x14ac:dyDescent="0.2">
      <c r="A744" s="22">
        <f ca="1">IFERROR(__xludf.DUMMYFUNCTION("""COMPUTED_VALUE"""),45420)</f>
        <v>45420</v>
      </c>
      <c r="B744" s="23" t="str">
        <f ca="1">IFERROR(__xludf.DUMMYFUNCTION("""COMPUTED_VALUE"""),"LISTWA SPADKOWA ZŁOTA SZCZOTKOWANA 140 cm LEWA")</f>
        <v>LISTWA SPADKOWA ZŁOTA SZCZOTKOWANA 140 cm LEWA</v>
      </c>
      <c r="C744" s="23"/>
      <c r="D744" s="24">
        <f ca="1">IFERROR(__xludf.DUMMYFUNCTION("""COMPUTED_VALUE"""),169)</f>
        <v>169</v>
      </c>
      <c r="E744" s="25" t="str">
        <f ca="1">IFERROR(__xludf.DUMMYFUNCTION("""COMPUTED_VALUE"""),"REA-K3225")</f>
        <v>REA-K3225</v>
      </c>
    </row>
    <row r="745" spans="1:5" x14ac:dyDescent="0.2">
      <c r="A745" s="22">
        <f ca="1">IFERROR(__xludf.DUMMYFUNCTION("""COMPUTED_VALUE"""),45420)</f>
        <v>45420</v>
      </c>
      <c r="B745" s="23" t="str">
        <f ca="1">IFERROR(__xludf.DUMMYFUNCTION("""COMPUTED_VALUE"""),"LISTWA SPADKOWA ZŁOTA SZCZOTKOWANA 140 cm PRAWA")</f>
        <v>LISTWA SPADKOWA ZŁOTA SZCZOTKOWANA 140 cm PRAWA</v>
      </c>
      <c r="C745" s="23"/>
      <c r="D745" s="24">
        <f ca="1">IFERROR(__xludf.DUMMYFUNCTION("""COMPUTED_VALUE"""),169)</f>
        <v>169</v>
      </c>
      <c r="E745" s="25" t="str">
        <f ca="1">IFERROR(__xludf.DUMMYFUNCTION("""COMPUTED_VALUE"""),"REA-K3226")</f>
        <v>REA-K3226</v>
      </c>
    </row>
    <row r="746" spans="1:5" x14ac:dyDescent="0.2">
      <c r="A746" s="22">
        <f ca="1">IFERROR(__xludf.DUMMYFUNCTION("""COMPUTED_VALUE"""),45412)</f>
        <v>45412</v>
      </c>
      <c r="B746" s="23" t="str">
        <f ca="1">IFERROR(__xludf.DUMMYFUNCTION("""COMPUTED_VALUE"""),"PARAWAN WANNOWY AGAT GOLD BRUSH 80")</f>
        <v>PARAWAN WANNOWY AGAT GOLD BRUSH 80</v>
      </c>
      <c r="C746" s="23"/>
      <c r="D746" s="24">
        <f ca="1">IFERROR(__xludf.DUMMYFUNCTION("""COMPUTED_VALUE"""),699)</f>
        <v>699</v>
      </c>
      <c r="E746" s="25" t="str">
        <f ca="1">IFERROR(__xludf.DUMMYFUNCTION("""COMPUTED_VALUE"""),"REA-W2500")</f>
        <v>REA-W2500</v>
      </c>
    </row>
    <row r="747" spans="1:5" x14ac:dyDescent="0.2">
      <c r="A747" s="22">
        <f ca="1">IFERROR(__xludf.DUMMYFUNCTION("""COMPUTED_VALUE"""),45412)</f>
        <v>45412</v>
      </c>
      <c r="B747" s="23" t="str">
        <f ca="1">IFERROR(__xludf.DUMMYFUNCTION("""COMPUTED_VALUE"""),"PARAWAN WANNOWY AGAT GOLD BRUSH 120")</f>
        <v>PARAWAN WANNOWY AGAT GOLD BRUSH 120</v>
      </c>
      <c r="C747" s="23"/>
      <c r="D747" s="24">
        <f ca="1">IFERROR(__xludf.DUMMYFUNCTION("""COMPUTED_VALUE"""),799)</f>
        <v>799</v>
      </c>
      <c r="E747" s="25" t="str">
        <f ca="1">IFERROR(__xludf.DUMMYFUNCTION("""COMPUTED_VALUE"""),"REA-W2501")</f>
        <v>REA-W2501</v>
      </c>
    </row>
    <row r="748" spans="1:5" x14ac:dyDescent="0.2">
      <c r="A748" s="22">
        <f ca="1">IFERROR(__xludf.DUMMYFUNCTION("""COMPUTED_VALUE"""),45412)</f>
        <v>45412</v>
      </c>
      <c r="B748" s="23" t="str">
        <f ca="1">IFERROR(__xludf.DUMMYFUNCTION("""COMPUTED_VALUE"""),"DRZWI PRYSZNICOWE RAPID SWING GOLD BRUSH 90")</f>
        <v>DRZWI PRYSZNICOWE RAPID SWING GOLD BRUSH 90</v>
      </c>
      <c r="C748" s="23"/>
      <c r="D748" s="24">
        <f ca="1">IFERROR(__xludf.DUMMYFUNCTION("""COMPUTED_VALUE"""),1179)</f>
        <v>1179</v>
      </c>
      <c r="E748" s="25" t="str">
        <f ca="1">IFERROR(__xludf.DUMMYFUNCTION("""COMPUTED_VALUE"""),"REA-K2502")</f>
        <v>REA-K2502</v>
      </c>
    </row>
    <row r="749" spans="1:5" x14ac:dyDescent="0.2">
      <c r="A749" s="22">
        <f ca="1">IFERROR(__xludf.DUMMYFUNCTION("""COMPUTED_VALUE"""),45412)</f>
        <v>45412</v>
      </c>
      <c r="B749" s="23" t="str">
        <f ca="1">IFERROR(__xludf.DUMMYFUNCTION("""COMPUTED_VALUE"""),"DRZWI PRYSZNICOWE RAPID SWING GOLD BRUSH 100")</f>
        <v>DRZWI PRYSZNICOWE RAPID SWING GOLD BRUSH 100</v>
      </c>
      <c r="C749" s="23"/>
      <c r="D749" s="24">
        <f ca="1">IFERROR(__xludf.DUMMYFUNCTION("""COMPUTED_VALUE"""),1199)</f>
        <v>1199</v>
      </c>
      <c r="E749" s="25" t="str">
        <f ca="1">IFERROR(__xludf.DUMMYFUNCTION("""COMPUTED_VALUE"""),"REA-K2503")</f>
        <v>REA-K2503</v>
      </c>
    </row>
    <row r="750" spans="1:5" x14ac:dyDescent="0.2">
      <c r="A750" s="22">
        <f ca="1">IFERROR(__xludf.DUMMYFUNCTION("""COMPUTED_VALUE"""),45412)</f>
        <v>45412</v>
      </c>
      <c r="B750" s="23" t="str">
        <f ca="1">IFERROR(__xludf.DUMMYFUNCTION("""COMPUTED_VALUE"""),"DRZWI PRYSZNICOWE ALEX GOLD BRUSH 100")</f>
        <v>DRZWI PRYSZNICOWE ALEX GOLD BRUSH 100</v>
      </c>
      <c r="C750" s="23"/>
      <c r="D750" s="24">
        <f ca="1">IFERROR(__xludf.DUMMYFUNCTION("""COMPUTED_VALUE"""),1099)</f>
        <v>1099</v>
      </c>
      <c r="E750" s="25" t="str">
        <f ca="1">IFERROR(__xludf.DUMMYFUNCTION("""COMPUTED_VALUE"""),"REA-K2500")</f>
        <v>REA-K2500</v>
      </c>
    </row>
    <row r="751" spans="1:5" x14ac:dyDescent="0.2">
      <c r="A751" s="22">
        <f ca="1">IFERROR(__xludf.DUMMYFUNCTION("""COMPUTED_VALUE"""),45412)</f>
        <v>45412</v>
      </c>
      <c r="B751" s="23" t="str">
        <f ca="1">IFERROR(__xludf.DUMMYFUNCTION("""COMPUTED_VALUE"""),"DRZWI PRYSZNICOWE ALEX GOLD BRUSH 120")</f>
        <v>DRZWI PRYSZNICOWE ALEX GOLD BRUSH 120</v>
      </c>
      <c r="C751" s="23"/>
      <c r="D751" s="24">
        <f ca="1">IFERROR(__xludf.DUMMYFUNCTION("""COMPUTED_VALUE"""),1149)</f>
        <v>1149</v>
      </c>
      <c r="E751" s="25" t="str">
        <f ca="1">IFERROR(__xludf.DUMMYFUNCTION("""COMPUTED_VALUE"""),"REA-K2501")</f>
        <v>REA-K2501</v>
      </c>
    </row>
    <row r="752" spans="1:5" x14ac:dyDescent="0.2">
      <c r="A752" s="22">
        <f ca="1">IFERROR(__xludf.DUMMYFUNCTION("""COMPUTED_VALUE"""),45412)</f>
        <v>45412</v>
      </c>
      <c r="B752" s="23" t="str">
        <f ca="1">IFERROR(__xludf.DUMMYFUNCTION("""COMPUTED_VALUE"""),"DRZWI PRYSZNICOWE ALEX-805  130")</f>
        <v>DRZWI PRYSZNICOWE ALEX-805  130</v>
      </c>
      <c r="C752" s="23"/>
      <c r="D752" s="24">
        <f ca="1">IFERROR(__xludf.DUMMYFUNCTION("""COMPUTED_VALUE"""),1059)</f>
        <v>1059</v>
      </c>
      <c r="E752" s="25" t="str">
        <f ca="1">IFERROR(__xludf.DUMMYFUNCTION("""COMPUTED_VALUE"""),"REA-K0923")</f>
        <v>REA-K0923</v>
      </c>
    </row>
    <row r="753" spans="1:5" x14ac:dyDescent="0.2">
      <c r="A753" s="22">
        <f ca="1">IFERROR(__xludf.DUMMYFUNCTION("""COMPUTED_VALUE"""),45412)</f>
        <v>45412</v>
      </c>
      <c r="B753" s="23" t="str">
        <f ca="1">IFERROR(__xludf.DUMMYFUNCTION("""COMPUTED_VALUE"""),"DRZWI PRYSZNICOWE HUGO BLACK 80")</f>
        <v>DRZWI PRYSZNICOWE HUGO BLACK 80</v>
      </c>
      <c r="C753" s="23"/>
      <c r="D753" s="24">
        <f ca="1">IFERROR(__xludf.DUMMYFUNCTION("""COMPUTED_VALUE"""),1069)</f>
        <v>1069</v>
      </c>
      <c r="E753" s="25" t="str">
        <f ca="1">IFERROR(__xludf.DUMMYFUNCTION("""COMPUTED_VALUE"""),"REA-K6603")</f>
        <v>REA-K6603</v>
      </c>
    </row>
    <row r="754" spans="1:5" x14ac:dyDescent="0.2">
      <c r="A754" s="22">
        <f ca="1">IFERROR(__xludf.DUMMYFUNCTION("""COMPUTED_VALUE"""),45412)</f>
        <v>45412</v>
      </c>
      <c r="B754" s="23" t="str">
        <f ca="1">IFERROR(__xludf.DUMMYFUNCTION("""COMPUTED_VALUE"""),"WANNA LOTOS 170 WHITE")</f>
        <v>WANNA LOTOS 170 WHITE</v>
      </c>
      <c r="C754" s="23"/>
      <c r="D754" s="24">
        <f ca="1">IFERROR(__xludf.DUMMYFUNCTION("""COMPUTED_VALUE"""),3299)</f>
        <v>3299</v>
      </c>
      <c r="E754" s="25" t="str">
        <f ca="1">IFERROR(__xludf.DUMMYFUNCTION("""COMPUTED_VALUE"""),"CAL-W3000")</f>
        <v>CAL-W3000</v>
      </c>
    </row>
    <row r="755" spans="1:5" x14ac:dyDescent="0.2">
      <c r="A755" s="22">
        <f ca="1">IFERROR(__xludf.DUMMYFUNCTION("""COMPUTED_VALUE"""),45412)</f>
        <v>45412</v>
      </c>
      <c r="B755" s="23" t="str">
        <f ca="1">IFERROR(__xludf.DUMMYFUNCTION("""COMPUTED_VALUE"""),"WANNA LOTOS 170 WHITE BLACK")</f>
        <v>WANNA LOTOS 170 WHITE BLACK</v>
      </c>
      <c r="C755" s="23"/>
      <c r="D755" s="24">
        <f ca="1">IFERROR(__xludf.DUMMYFUNCTION("""COMPUTED_VALUE"""),3399)</f>
        <v>3399</v>
      </c>
      <c r="E755" s="25" t="str">
        <f ca="1">IFERROR(__xludf.DUMMYFUNCTION("""COMPUTED_VALUE"""),"CAL-W3001")</f>
        <v>CAL-W3001</v>
      </c>
    </row>
    <row r="756" spans="1:5" x14ac:dyDescent="0.2">
      <c r="A756" s="22">
        <f ca="1">IFERROR(__xludf.DUMMYFUNCTION("""COMPUTED_VALUE"""),45412)</f>
        <v>45412</v>
      </c>
      <c r="B756" s="23" t="str">
        <f ca="1">IFERROR(__xludf.DUMMYFUNCTION("""COMPUTED_VALUE"""),"ŚCIANKA PRYSZNICOWA SOLEO 120")</f>
        <v>ŚCIANKA PRYSZNICOWA SOLEO 120</v>
      </c>
      <c r="C756" s="23"/>
      <c r="D756" s="24">
        <f ca="1">IFERROR(__xludf.DUMMYFUNCTION("""COMPUTED_VALUE"""),859)</f>
        <v>859</v>
      </c>
      <c r="E756" s="25" t="str">
        <f ca="1">IFERROR(__xludf.DUMMYFUNCTION("""COMPUTED_VALUE"""),"CAL-K6013")</f>
        <v>CAL-K6013</v>
      </c>
    </row>
    <row r="757" spans="1:5" x14ac:dyDescent="0.2">
      <c r="A757" s="22">
        <f ca="1">IFERROR(__xludf.DUMMYFUNCTION("""COMPUTED_VALUE"""),45412)</f>
        <v>45412</v>
      </c>
      <c r="B757" s="23" t="str">
        <f ca="1">IFERROR(__xludf.DUMMYFUNCTION("""COMPUTED_VALUE"""),"ŚCIANKA PRYSZNICOWA SOLEO 110")</f>
        <v>ŚCIANKA PRYSZNICOWA SOLEO 110</v>
      </c>
      <c r="C757" s="23"/>
      <c r="D757" s="24">
        <f ca="1">IFERROR(__xludf.DUMMYFUNCTION("""COMPUTED_VALUE"""),799)</f>
        <v>799</v>
      </c>
      <c r="E757" s="25" t="str">
        <f ca="1">IFERROR(__xludf.DUMMYFUNCTION("""COMPUTED_VALUE"""),"CAL-K6012")</f>
        <v>CAL-K6012</v>
      </c>
    </row>
    <row r="758" spans="1:5" x14ac:dyDescent="0.2">
      <c r="A758" s="22">
        <f ca="1">IFERROR(__xludf.DUMMYFUNCTION("""COMPUTED_VALUE"""),45412)</f>
        <v>45412</v>
      </c>
      <c r="B758" s="23" t="str">
        <f ca="1">IFERROR(__xludf.DUMMYFUNCTION("""COMPUTED_VALUE"""),"KABINA VITO 80*100 BLACK")</f>
        <v>KABINA VITO 80*100 BLACK</v>
      </c>
      <c r="C758" s="23"/>
      <c r="D758" s="24">
        <f ca="1">IFERROR(__xludf.DUMMYFUNCTION("""COMPUTED_VALUE"""),899)</f>
        <v>899</v>
      </c>
      <c r="E758" s="25" t="str">
        <f ca="1">IFERROR(__xludf.DUMMYFUNCTION("""COMPUTED_VALUE"""),"CAL-K6004")</f>
        <v>CAL-K6004</v>
      </c>
    </row>
    <row r="759" spans="1:5" x14ac:dyDescent="0.2">
      <c r="A759" s="22">
        <f ca="1">IFERROR(__xludf.DUMMYFUNCTION("""COMPUTED_VALUE"""),45412)</f>
        <v>45412</v>
      </c>
      <c r="B759" s="23" t="str">
        <f ca="1">IFERROR(__xludf.DUMMYFUNCTION("""COMPUTED_VALUE"""),"PARAWAN WANNOWY CALANI FARO 70")</f>
        <v>PARAWAN WANNOWY CALANI FARO 70</v>
      </c>
      <c r="C759" s="23"/>
      <c r="D759" s="24">
        <f ca="1">IFERROR(__xludf.DUMMYFUNCTION("""COMPUTED_VALUE"""),299)</f>
        <v>299</v>
      </c>
      <c r="E759" s="25" t="str">
        <f ca="1">IFERROR(__xludf.DUMMYFUNCTION("""COMPUTED_VALUE"""),"CAL-W0002")</f>
        <v>CAL-W0002</v>
      </c>
    </row>
    <row r="760" spans="1:5" x14ac:dyDescent="0.2">
      <c r="A760" s="22">
        <f ca="1">IFERROR(__xludf.DUMMYFUNCTION("""COMPUTED_VALUE"""),45412)</f>
        <v>45412</v>
      </c>
      <c r="B760" s="23" t="str">
        <f ca="1">IFERROR(__xludf.DUMMYFUNCTION("""COMPUTED_VALUE"""),"BATERIA CALANI UMYWALKOWA PODTYNKOWA NEXOS C CHROM")</f>
        <v>BATERIA CALANI UMYWALKOWA PODTYNKOWA NEXOS C CHROM</v>
      </c>
      <c r="C760" s="23"/>
      <c r="D760" s="24">
        <f ca="1">IFERROR(__xludf.DUMMYFUNCTION("""COMPUTED_VALUE"""),169)</f>
        <v>169</v>
      </c>
      <c r="E760" s="25" t="str">
        <f ca="1">IFERROR(__xludf.DUMMYFUNCTION("""COMPUTED_VALUE"""),"CAL-B0008")</f>
        <v>CAL-B0008</v>
      </c>
    </row>
    <row r="761" spans="1:5" x14ac:dyDescent="0.2">
      <c r="A761" s="22">
        <f ca="1">IFERROR(__xludf.DUMMYFUNCTION("""COMPUTED_VALUE"""),45412)</f>
        <v>45412</v>
      </c>
      <c r="B761" s="23" t="str">
        <f ca="1">IFERROR(__xludf.DUMMYFUNCTION("""COMPUTED_VALUE"""),"BATERIA CALANI UMYWALKOWA PODTYNKOWA NEXOS C GOLD")</f>
        <v>BATERIA CALANI UMYWALKOWA PODTYNKOWA NEXOS C GOLD</v>
      </c>
      <c r="C761" s="23"/>
      <c r="D761" s="24">
        <f ca="1">IFERROR(__xludf.DUMMYFUNCTION("""COMPUTED_VALUE"""),299)</f>
        <v>299</v>
      </c>
      <c r="E761" s="25" t="str">
        <f ca="1">IFERROR(__xludf.DUMMYFUNCTION("""COMPUTED_VALUE"""),"CAL-B0007")</f>
        <v>CAL-B0007</v>
      </c>
    </row>
    <row r="762" spans="1:5" x14ac:dyDescent="0.2">
      <c r="A762" s="22">
        <f ca="1">IFERROR(__xludf.DUMMYFUNCTION("""COMPUTED_VALUE"""),45412)</f>
        <v>45412</v>
      </c>
      <c r="B762" s="23" t="str">
        <f ca="1">IFERROR(__xludf.DUMMYFUNCTION("""COMPUTED_VALUE"""),"ŚCIANKA PRYSZNICOWA SOLEO 80")</f>
        <v>ŚCIANKA PRYSZNICOWA SOLEO 80</v>
      </c>
      <c r="C762" s="23"/>
      <c r="D762" s="24">
        <f ca="1">IFERROR(__xludf.DUMMYFUNCTION("""COMPUTED_VALUE"""),599)</f>
        <v>599</v>
      </c>
      <c r="E762" s="25" t="str">
        <f ca="1">IFERROR(__xludf.DUMMYFUNCTION("""COMPUTED_VALUE"""),"CAL-K6030")</f>
        <v>CAL-K6030</v>
      </c>
    </row>
    <row r="763" spans="1:5" x14ac:dyDescent="0.2">
      <c r="A763" s="22">
        <f ca="1">IFERROR(__xludf.DUMMYFUNCTION("""COMPUTED_VALUE"""),45412)</f>
        <v>45412</v>
      </c>
      <c r="B763" s="23" t="str">
        <f ca="1">IFERROR(__xludf.DUMMYFUNCTION("""COMPUTED_VALUE"""),"UMYWALKA FRIDA - WOLNOSTOJĄCA")</f>
        <v>UMYWALKA FRIDA - WOLNOSTOJĄCA</v>
      </c>
      <c r="C763" s="23"/>
      <c r="D763" s="24">
        <f ca="1">IFERROR(__xludf.DUMMYFUNCTION("""COMPUTED_VALUE"""),999)</f>
        <v>999</v>
      </c>
      <c r="E763" s="25" t="str">
        <f ca="1">IFERROR(__xludf.DUMMYFUNCTION("""COMPUTED_VALUE"""),"CAL-00501")</f>
        <v>CAL-00501</v>
      </c>
    </row>
    <row r="764" spans="1:5" x14ac:dyDescent="0.2">
      <c r="A764" s="22">
        <f ca="1">IFERROR(__xludf.DUMMYFUNCTION("""COMPUTED_VALUE"""),45412)</f>
        <v>45412</v>
      </c>
      <c r="B764" s="23" t="str">
        <f ca="1">IFERROR(__xludf.DUMMYFUNCTION("""COMPUTED_VALUE"""),"KABINA CALANI ORION 90*90 CHROM ")</f>
        <v xml:space="preserve">KABINA CALANI ORION 90*90 CHROM </v>
      </c>
      <c r="C764" s="23"/>
      <c r="D764" s="24">
        <f ca="1">IFERROR(__xludf.DUMMYFUNCTION("""COMPUTED_VALUE"""),999)</f>
        <v>999</v>
      </c>
      <c r="E764" s="25" t="str">
        <f ca="1">IFERROR(__xludf.DUMMYFUNCTION("""COMPUTED_VALUE"""),"CAL-K0201")</f>
        <v>CAL-K0201</v>
      </c>
    </row>
    <row r="765" spans="1:5" x14ac:dyDescent="0.2">
      <c r="A765" s="22">
        <f ca="1">IFERROR(__xludf.DUMMYFUNCTION("""COMPUTED_VALUE"""),45412)</f>
        <v>45412</v>
      </c>
      <c r="B765" s="23" t="str">
        <f ca="1">IFERROR(__xludf.DUMMYFUNCTION("""COMPUTED_VALUE"""),"BATERIA CALANI UMYWALKOWA PODTYNKOWA NEXOS C BLACK")</f>
        <v>BATERIA CALANI UMYWALKOWA PODTYNKOWA NEXOS C BLACK</v>
      </c>
      <c r="C765" s="23"/>
      <c r="D765" s="24">
        <f ca="1">IFERROR(__xludf.DUMMYFUNCTION("""COMPUTED_VALUE"""),229)</f>
        <v>229</v>
      </c>
      <c r="E765" s="25" t="str">
        <f ca="1">IFERROR(__xludf.DUMMYFUNCTION("""COMPUTED_VALUE"""),"CAL-B0005")</f>
        <v>CAL-B0005</v>
      </c>
    </row>
    <row r="766" spans="1:5" x14ac:dyDescent="0.2">
      <c r="A766" s="22">
        <f ca="1">IFERROR(__xludf.DUMMYFUNCTION("""COMPUTED_VALUE"""),45412)</f>
        <v>45412</v>
      </c>
      <c r="B766" s="23" t="str">
        <f ca="1">IFERROR(__xludf.DUMMYFUNCTION("""COMPUTED_VALUE"""),"ŚCIANKA PRYSZNICOWA SOLEO 90")</f>
        <v>ŚCIANKA PRYSZNICOWA SOLEO 90</v>
      </c>
      <c r="C766" s="23"/>
      <c r="D766" s="24">
        <f ca="1">IFERROR(__xludf.DUMMYFUNCTION("""COMPUTED_VALUE"""),690)</f>
        <v>690</v>
      </c>
      <c r="E766" s="25" t="str">
        <f ca="1">IFERROR(__xludf.DUMMYFUNCTION("""COMPUTED_VALUE"""),"CAL-K6010")</f>
        <v>CAL-K6010</v>
      </c>
    </row>
    <row r="767" spans="1:5" x14ac:dyDescent="0.2">
      <c r="A767" s="22">
        <f ca="1">IFERROR(__xludf.DUMMYFUNCTION("""COMPUTED_VALUE"""),45412)</f>
        <v>45412</v>
      </c>
      <c r="B767" s="23" t="str">
        <f ca="1">IFERROR(__xludf.DUMMYFUNCTION("""COMPUTED_VALUE"""),"ODPŁYW CALANI ECO360 SLIM 90 BLACK")</f>
        <v>ODPŁYW CALANI ECO360 SLIM 90 BLACK</v>
      </c>
      <c r="C767" s="23"/>
      <c r="D767" s="24">
        <f ca="1">IFERROR(__xludf.DUMMYFUNCTION("""COMPUTED_VALUE"""),179)</f>
        <v>179</v>
      </c>
      <c r="E767" s="25" t="str">
        <f ca="1">IFERROR(__xludf.DUMMYFUNCTION("""COMPUTED_VALUE"""),"CAL-G0028")</f>
        <v>CAL-G0028</v>
      </c>
    </row>
    <row r="768" spans="1:5" x14ac:dyDescent="0.2">
      <c r="A768" s="22">
        <f ca="1">IFERROR(__xludf.DUMMYFUNCTION("""COMPUTED_VALUE"""),45412)</f>
        <v>45412</v>
      </c>
      <c r="B768" s="23" t="str">
        <f ca="1">IFERROR(__xludf.DUMMYFUNCTION("""COMPUTED_VALUE"""),"KABINA VITO 80*80 BLACK")</f>
        <v>KABINA VITO 80*80 BLACK</v>
      </c>
      <c r="C768" s="23"/>
      <c r="D768" s="24">
        <f ca="1">IFERROR(__xludf.DUMMYFUNCTION("""COMPUTED_VALUE"""),699)</f>
        <v>699</v>
      </c>
      <c r="E768" s="25" t="str">
        <f ca="1">IFERROR(__xludf.DUMMYFUNCTION("""COMPUTED_VALUE"""),"CAL-K6002")</f>
        <v>CAL-K6002</v>
      </c>
    </row>
    <row r="769" spans="1:5" x14ac:dyDescent="0.2">
      <c r="A769" s="22">
        <f ca="1">IFERROR(__xludf.DUMMYFUNCTION("""COMPUTED_VALUE"""),45412)</f>
        <v>45412</v>
      </c>
      <c r="B769" s="23" t="str">
        <f ca="1">IFERROR(__xludf.DUMMYFUNCTION("""COMPUTED_VALUE"""),"ODPŁYW CALANI ECO360 SLIM 70 BLACK")</f>
        <v>ODPŁYW CALANI ECO360 SLIM 70 BLACK</v>
      </c>
      <c r="C769" s="23"/>
      <c r="D769" s="24">
        <f ca="1">IFERROR(__xludf.DUMMYFUNCTION("""COMPUTED_VALUE"""),159)</f>
        <v>159</v>
      </c>
      <c r="E769" s="25" t="str">
        <f ca="1">IFERROR(__xludf.DUMMYFUNCTION("""COMPUTED_VALUE"""),"CAL-G0026")</f>
        <v>CAL-G0026</v>
      </c>
    </row>
    <row r="770" spans="1:5" x14ac:dyDescent="0.2">
      <c r="A770" s="22">
        <f ca="1">IFERROR(__xludf.DUMMYFUNCTION("""COMPUTED_VALUE"""),45412)</f>
        <v>45412</v>
      </c>
      <c r="B770" s="23" t="str">
        <f ca="1">IFERROR(__xludf.DUMMYFUNCTION("""COMPUTED_VALUE"""),"BATERIA CALANI UMYWALKOWA ASTRAL NISKA L GOLD")</f>
        <v>BATERIA CALANI UMYWALKOWA ASTRAL NISKA L GOLD</v>
      </c>
      <c r="C770" s="23"/>
      <c r="D770" s="24">
        <f ca="1">IFERROR(__xludf.DUMMYFUNCTION("""COMPUTED_VALUE"""),169)</f>
        <v>169</v>
      </c>
      <c r="E770" s="25" t="str">
        <f ca="1">IFERROR(__xludf.DUMMYFUNCTION("""COMPUTED_VALUE"""),"CAL-B0011")</f>
        <v>CAL-B0011</v>
      </c>
    </row>
    <row r="771" spans="1:5" x14ac:dyDescent="0.2">
      <c r="A771" s="22">
        <f ca="1">IFERROR(__xludf.DUMMYFUNCTION("""COMPUTED_VALUE"""),45412)</f>
        <v>45412</v>
      </c>
      <c r="B771" s="23" t="str">
        <f ca="1">IFERROR(__xludf.DUMMYFUNCTION("""COMPUTED_VALUE"""),"KABINA CALANI ORION 80*80 CHROM")</f>
        <v>KABINA CALANI ORION 80*80 CHROM</v>
      </c>
      <c r="C771" s="23"/>
      <c r="D771" s="24">
        <f ca="1">IFERROR(__xludf.DUMMYFUNCTION("""COMPUTED_VALUE"""),999)</f>
        <v>999</v>
      </c>
      <c r="E771" s="25" t="str">
        <f ca="1">IFERROR(__xludf.DUMMYFUNCTION("""COMPUTED_VALUE"""),"CAL-K0200")</f>
        <v>CAL-K0200</v>
      </c>
    </row>
    <row r="772" spans="1:5" x14ac:dyDescent="0.2">
      <c r="A772" s="22">
        <f ca="1">IFERROR(__xludf.DUMMYFUNCTION("""COMPUTED_VALUE"""),45412)</f>
        <v>45412</v>
      </c>
      <c r="B772" s="23" t="str">
        <f ca="1">IFERROR(__xludf.DUMMYFUNCTION("""COMPUTED_VALUE"""),"BATERIA CALANI UMYWALKOWA NEXOS NISKA L GOLD")</f>
        <v>BATERIA CALANI UMYWALKOWA NEXOS NISKA L GOLD</v>
      </c>
      <c r="C772" s="23"/>
      <c r="D772" s="24">
        <f ca="1">IFERROR(__xludf.DUMMYFUNCTION("""COMPUTED_VALUE"""),139)</f>
        <v>139</v>
      </c>
      <c r="E772" s="25" t="str">
        <f ca="1">IFERROR(__xludf.DUMMYFUNCTION("""COMPUTED_VALUE"""),"CAL-B0026")</f>
        <v>CAL-B0026</v>
      </c>
    </row>
    <row r="773" spans="1:5" x14ac:dyDescent="0.2">
      <c r="A773" s="22">
        <f ca="1">IFERROR(__xludf.DUMMYFUNCTION("""COMPUTED_VALUE"""),45412)</f>
        <v>45412</v>
      </c>
      <c r="B773" s="23" t="str">
        <f ca="1">IFERROR(__xludf.DUMMYFUNCTION("""COMPUTED_VALUE"""),"WC- CALANI LOYD BLACK")</f>
        <v>WC- CALANI LOYD BLACK</v>
      </c>
      <c r="C773" s="23"/>
      <c r="D773" s="24">
        <f ca="1">IFERROR(__xludf.DUMMYFUNCTION("""COMPUTED_VALUE"""),799)</f>
        <v>799</v>
      </c>
      <c r="E773" s="25" t="str">
        <f ca="1">IFERROR(__xludf.DUMMYFUNCTION("""COMPUTED_VALUE"""),"CAL-C0020")</f>
        <v>CAL-C0020</v>
      </c>
    </row>
    <row r="774" spans="1:5" x14ac:dyDescent="0.2">
      <c r="A774" s="22">
        <f ca="1">IFERROR(__xludf.DUMMYFUNCTION("""COMPUTED_VALUE"""),45412)</f>
        <v>45412</v>
      </c>
      <c r="B774" s="23" t="str">
        <f ca="1">IFERROR(__xludf.DUMMYFUNCTION("""COMPUTED_VALUE"""),"BATERIA CALANI UMYWALKOWA SIENA NISKA L BLACK")</f>
        <v>BATERIA CALANI UMYWALKOWA SIENA NISKA L BLACK</v>
      </c>
      <c r="C774" s="23"/>
      <c r="D774" s="24">
        <f ca="1">IFERROR(__xludf.DUMMYFUNCTION("""COMPUTED_VALUE"""),199)</f>
        <v>199</v>
      </c>
      <c r="E774" s="25" t="str">
        <f ca="1">IFERROR(__xludf.DUMMYFUNCTION("""COMPUTED_VALUE"""),"CAL-B0040")</f>
        <v>CAL-B0040</v>
      </c>
    </row>
    <row r="775" spans="1:5" x14ac:dyDescent="0.2">
      <c r="A775" s="22">
        <f ca="1">IFERROR(__xludf.DUMMYFUNCTION("""COMPUTED_VALUE"""),45412)</f>
        <v>45412</v>
      </c>
      <c r="B775" s="23" t="str">
        <f ca="1">IFERROR(__xludf.DUMMYFUNCTION("""COMPUTED_VALUE"""),"BATERIA CALANI UMYWALKOWA NEXOS NISKA L CHROME")</f>
        <v>BATERIA CALANI UMYWALKOWA NEXOS NISKA L CHROME</v>
      </c>
      <c r="C775" s="23"/>
      <c r="D775" s="24">
        <f ca="1">IFERROR(__xludf.DUMMYFUNCTION("""COMPUTED_VALUE"""),99)</f>
        <v>99</v>
      </c>
      <c r="E775" s="25" t="str">
        <f ca="1">IFERROR(__xludf.DUMMYFUNCTION("""COMPUTED_VALUE"""),"CAL-B0050")</f>
        <v>CAL-B0050</v>
      </c>
    </row>
    <row r="776" spans="1:5" x14ac:dyDescent="0.2">
      <c r="A776" s="22">
        <f ca="1">IFERROR(__xludf.DUMMYFUNCTION("""COMPUTED_VALUE"""),45412)</f>
        <v>45412</v>
      </c>
      <c r="B776" s="23" t="str">
        <f ca="1">IFERROR(__xludf.DUMMYFUNCTION("""COMPUTED_VALUE"""),"UMYWALKA FIESTA BLACK WHITE - NABLATOWA")</f>
        <v>UMYWALKA FIESTA BLACK WHITE - NABLATOWA</v>
      </c>
      <c r="C776" s="23"/>
      <c r="D776" s="24">
        <f ca="1">IFERROR(__xludf.DUMMYFUNCTION("""COMPUTED_VALUE"""),229)</f>
        <v>229</v>
      </c>
      <c r="E776" s="25" t="str">
        <f ca="1">IFERROR(__xludf.DUMMYFUNCTION("""COMPUTED_VALUE"""),"CAL-00023")</f>
        <v>CAL-00023</v>
      </c>
    </row>
    <row r="777" spans="1:5" x14ac:dyDescent="0.2">
      <c r="A777" s="22">
        <f ca="1">IFERROR(__xludf.DUMMYFUNCTION("""COMPUTED_VALUE"""),45412)</f>
        <v>45412</v>
      </c>
      <c r="B777" s="23" t="str">
        <f ca="1">IFERROR(__xludf.DUMMYFUNCTION("""COMPUTED_VALUE"""),"ODPŁYW CALANI ECO360 SLIM 60 BLACK")</f>
        <v>ODPŁYW CALANI ECO360 SLIM 60 BLACK</v>
      </c>
      <c r="C777" s="23"/>
      <c r="D777" s="24">
        <f ca="1">IFERROR(__xludf.DUMMYFUNCTION("""COMPUTED_VALUE"""),149)</f>
        <v>149</v>
      </c>
      <c r="E777" s="25" t="str">
        <f ca="1">IFERROR(__xludf.DUMMYFUNCTION("""COMPUTED_VALUE"""),"CAL-G0025")</f>
        <v>CAL-G0025</v>
      </c>
    </row>
    <row r="778" spans="1:5" x14ac:dyDescent="0.2">
      <c r="A778" s="22">
        <f ca="1">IFERROR(__xludf.DUMMYFUNCTION("""COMPUTED_VALUE"""),45412)</f>
        <v>45412</v>
      </c>
      <c r="B778" s="23" t="str">
        <f ca="1">IFERROR(__xludf.DUMMYFUNCTION("""COMPUTED_VALUE"""),"BATERIA CALANI UMYWALKOWA ASTRAL NISKA L BLACK")</f>
        <v>BATERIA CALANI UMYWALKOWA ASTRAL NISKA L BLACK</v>
      </c>
      <c r="C778" s="23"/>
      <c r="D778" s="24">
        <f ca="1">IFERROR(__xludf.DUMMYFUNCTION("""COMPUTED_VALUE"""),99)</f>
        <v>99</v>
      </c>
      <c r="E778" s="25" t="str">
        <f ca="1">IFERROR(__xludf.DUMMYFUNCTION("""COMPUTED_VALUE"""),"CAL-B0002")</f>
        <v>CAL-B0002</v>
      </c>
    </row>
    <row r="779" spans="1:5" x14ac:dyDescent="0.2">
      <c r="A779" s="22">
        <f ca="1">IFERROR(__xludf.DUMMYFUNCTION("""COMPUTED_VALUE"""),45412)</f>
        <v>45412</v>
      </c>
      <c r="B779" s="23" t="str">
        <f ca="1">IFERROR(__xludf.DUMMYFUNCTION("""COMPUTED_VALUE"""),"KABINA CALANI DELTA 90*90 ")</f>
        <v xml:space="preserve">KABINA CALANI DELTA 90*90 </v>
      </c>
      <c r="C779" s="23"/>
      <c r="D779" s="24">
        <f ca="1">IFERROR(__xludf.DUMMYFUNCTION("""COMPUTED_VALUE"""),799)</f>
        <v>799</v>
      </c>
      <c r="E779" s="25" t="str">
        <f ca="1">IFERROR(__xludf.DUMMYFUNCTION("""COMPUTED_VALUE"""),"CAL-K6521")</f>
        <v>CAL-K6521</v>
      </c>
    </row>
    <row r="780" spans="1:5" x14ac:dyDescent="0.2">
      <c r="A780" s="22">
        <f ca="1">IFERROR(__xludf.DUMMYFUNCTION("""COMPUTED_VALUE"""),45412)</f>
        <v>45412</v>
      </c>
      <c r="B780" s="23" t="str">
        <f ca="1">IFERROR(__xludf.DUMMYFUNCTION("""COMPUTED_VALUE"""),"UMYWALKA PAULA - NABLATOWA")</f>
        <v>UMYWALKA PAULA - NABLATOWA</v>
      </c>
      <c r="C780" s="23"/>
      <c r="D780" s="24">
        <f ca="1">IFERROR(__xludf.DUMMYFUNCTION("""COMPUTED_VALUE"""),139)</f>
        <v>139</v>
      </c>
      <c r="E780" s="25" t="str">
        <f ca="1">IFERROR(__xludf.DUMMYFUNCTION("""COMPUTED_VALUE"""),"CAL-00008")</f>
        <v>CAL-00008</v>
      </c>
    </row>
    <row r="781" spans="1:5" x14ac:dyDescent="0.2">
      <c r="A781" s="22">
        <f ca="1">IFERROR(__xludf.DUMMYFUNCTION("""COMPUTED_VALUE"""),45412)</f>
        <v>45412</v>
      </c>
      <c r="B781" s="23" t="str">
        <f ca="1">IFERROR(__xludf.DUMMYFUNCTION("""COMPUTED_VALUE"""),"ODPŁYW CALANI ECO360 SLIM 80 BLACK")</f>
        <v>ODPŁYW CALANI ECO360 SLIM 80 BLACK</v>
      </c>
      <c r="C781" s="23"/>
      <c r="D781" s="24">
        <f ca="1">IFERROR(__xludf.DUMMYFUNCTION("""COMPUTED_VALUE"""),169)</f>
        <v>169</v>
      </c>
      <c r="E781" s="25" t="str">
        <f ca="1">IFERROR(__xludf.DUMMYFUNCTION("""COMPUTED_VALUE"""),"CAL-G0027")</f>
        <v>CAL-G0027</v>
      </c>
    </row>
    <row r="782" spans="1:5" x14ac:dyDescent="0.2">
      <c r="A782" s="22">
        <f ca="1">IFERROR(__xludf.DUMMYFUNCTION("""COMPUTED_VALUE"""),45412)</f>
        <v>45412</v>
      </c>
      <c r="B782" s="23" t="str">
        <f ca="1">IFERROR(__xludf.DUMMYFUNCTION("""COMPUTED_VALUE"""),"BATERIA CALANI UMYWALKOWA ASTRAL WYSOKA H BLACK")</f>
        <v>BATERIA CALANI UMYWALKOWA ASTRAL WYSOKA H BLACK</v>
      </c>
      <c r="C782" s="23"/>
      <c r="D782" s="24">
        <f ca="1">IFERROR(__xludf.DUMMYFUNCTION("""COMPUTED_VALUE"""),139)</f>
        <v>139</v>
      </c>
      <c r="E782" s="25" t="str">
        <f ca="1">IFERROR(__xludf.DUMMYFUNCTION("""COMPUTED_VALUE"""),"CAL-B0010")</f>
        <v>CAL-B0010</v>
      </c>
    </row>
    <row r="783" spans="1:5" x14ac:dyDescent="0.2">
      <c r="A783" s="22">
        <f ca="1">IFERROR(__xludf.DUMMYFUNCTION("""COMPUTED_VALUE"""),45412)</f>
        <v>45412</v>
      </c>
      <c r="B783" s="23" t="str">
        <f ca="1">IFERROR(__xludf.DUMMYFUNCTION("""COMPUTED_VALUE"""),"BATERIA CALANI UMYWALKOWA ASTRAL WYSOKA H CHROME")</f>
        <v>BATERIA CALANI UMYWALKOWA ASTRAL WYSOKA H CHROME</v>
      </c>
      <c r="C783" s="23"/>
      <c r="D783" s="24">
        <f ca="1">IFERROR(__xludf.DUMMYFUNCTION("""COMPUTED_VALUE"""),129)</f>
        <v>129</v>
      </c>
      <c r="E783" s="25" t="str">
        <f ca="1">IFERROR(__xludf.DUMMYFUNCTION("""COMPUTED_VALUE"""),"CAL-B0051")</f>
        <v>CAL-B0051</v>
      </c>
    </row>
    <row r="784" spans="1:5" x14ac:dyDescent="0.2">
      <c r="A784" s="22">
        <f ca="1">IFERROR(__xludf.DUMMYFUNCTION("""COMPUTED_VALUE"""),45412)</f>
        <v>45412</v>
      </c>
      <c r="B784" s="23" t="str">
        <f ca="1">IFERROR(__xludf.DUMMYFUNCTION("""COMPUTED_VALUE"""),"ODPŁYW CALANI ECO360 SLIM 90")</f>
        <v>ODPŁYW CALANI ECO360 SLIM 90</v>
      </c>
      <c r="C784" s="23"/>
      <c r="D784" s="24">
        <f ca="1">IFERROR(__xludf.DUMMYFUNCTION("""COMPUTED_VALUE"""),139)</f>
        <v>139</v>
      </c>
      <c r="E784" s="25" t="str">
        <f ca="1">IFERROR(__xludf.DUMMYFUNCTION("""COMPUTED_VALUE"""),"CAL-G0022")</f>
        <v>CAL-G0022</v>
      </c>
    </row>
    <row r="785" spans="1:5" x14ac:dyDescent="0.2">
      <c r="A785" s="22">
        <f ca="1">IFERROR(__xludf.DUMMYFUNCTION("""COMPUTED_VALUE"""),45412)</f>
        <v>45412</v>
      </c>
      <c r="B785" s="23" t="str">
        <f ca="1">IFERROR(__xludf.DUMMYFUNCTION("""COMPUTED_VALUE"""),"ZESTAW NATRYSKOWY CALANI DAYTON BLACK")</f>
        <v>ZESTAW NATRYSKOWY CALANI DAYTON BLACK</v>
      </c>
      <c r="C785" s="23"/>
      <c r="D785" s="24">
        <f ca="1">IFERROR(__xludf.DUMMYFUNCTION("""COMPUTED_VALUE"""),339)</f>
        <v>339</v>
      </c>
      <c r="E785" s="25" t="str">
        <f ca="1">IFERROR(__xludf.DUMMYFUNCTION("""COMPUTED_VALUE"""),"CAL-P0009")</f>
        <v>CAL-P0009</v>
      </c>
    </row>
    <row r="786" spans="1:5" x14ac:dyDescent="0.2">
      <c r="A786" s="22">
        <f ca="1">IFERROR(__xludf.DUMMYFUNCTION("""COMPUTED_VALUE"""),45412)</f>
        <v>45412</v>
      </c>
      <c r="B786" s="23" t="str">
        <f ca="1">IFERROR(__xludf.DUMMYFUNCTION("""COMPUTED_VALUE"""),"BATERIA CALANI UMYWALKOWA SIENA NISKA L CHROM")</f>
        <v>BATERIA CALANI UMYWALKOWA SIENA NISKA L CHROM</v>
      </c>
      <c r="C786" s="23"/>
      <c r="D786" s="24">
        <f ca="1">IFERROR(__xludf.DUMMYFUNCTION("""COMPUTED_VALUE"""),169)</f>
        <v>169</v>
      </c>
      <c r="E786" s="25" t="str">
        <f ca="1">IFERROR(__xludf.DUMMYFUNCTION("""COMPUTED_VALUE"""),"CAL-B0016")</f>
        <v>CAL-B0016</v>
      </c>
    </row>
    <row r="787" spans="1:5" x14ac:dyDescent="0.2">
      <c r="A787" s="22">
        <f ca="1">IFERROR(__xludf.DUMMYFUNCTION("""COMPUTED_VALUE"""),45412)</f>
        <v>45412</v>
      </c>
      <c r="B787" s="23" t="str">
        <f ca="1">IFERROR(__xludf.DUMMYFUNCTION("""COMPUTED_VALUE"""),"ODPŁYW CALANI ECO360 SLIM 80")</f>
        <v>ODPŁYW CALANI ECO360 SLIM 80</v>
      </c>
      <c r="C787" s="23"/>
      <c r="D787" s="24">
        <f ca="1">IFERROR(__xludf.DUMMYFUNCTION("""COMPUTED_VALUE"""),129)</f>
        <v>129</v>
      </c>
      <c r="E787" s="25" t="str">
        <f ca="1">IFERROR(__xludf.DUMMYFUNCTION("""COMPUTED_VALUE"""),"CAL-G0021")</f>
        <v>CAL-G0021</v>
      </c>
    </row>
    <row r="788" spans="1:5" x14ac:dyDescent="0.2">
      <c r="A788" s="22">
        <f ca="1">IFERROR(__xludf.DUMMYFUNCTION("""COMPUTED_VALUE"""),45412)</f>
        <v>45412</v>
      </c>
      <c r="B788" s="23" t="str">
        <f ca="1">IFERROR(__xludf.DUMMYFUNCTION("""COMPUTED_VALUE"""),"ODPŁYW CALANI ECO360 SLIM 70")</f>
        <v>ODPŁYW CALANI ECO360 SLIM 70</v>
      </c>
      <c r="C788" s="23"/>
      <c r="D788" s="24">
        <f ca="1">IFERROR(__xludf.DUMMYFUNCTION("""COMPUTED_VALUE"""),119)</f>
        <v>119</v>
      </c>
      <c r="E788" s="25" t="str">
        <f ca="1">IFERROR(__xludf.DUMMYFUNCTION("""COMPUTED_VALUE"""),"CAL-G0020")</f>
        <v>CAL-G0020</v>
      </c>
    </row>
    <row r="789" spans="1:5" x14ac:dyDescent="0.2">
      <c r="A789" s="22">
        <f ca="1">IFERROR(__xludf.DUMMYFUNCTION("""COMPUTED_VALUE"""),45412)</f>
        <v>45412</v>
      </c>
      <c r="B789" s="23" t="str">
        <f ca="1">IFERROR(__xludf.DUMMYFUNCTION("""COMPUTED_VALUE"""),"BATERIA CALANI UMYWALKOWA LOTUS WYSOKA H L.GOLD")</f>
        <v>BATERIA CALANI UMYWALKOWA LOTUS WYSOKA H L.GOLD</v>
      </c>
      <c r="C789" s="23"/>
      <c r="D789" s="24">
        <f ca="1">IFERROR(__xludf.DUMMYFUNCTION("""COMPUTED_VALUE"""),149)</f>
        <v>149</v>
      </c>
      <c r="E789" s="25" t="str">
        <f ca="1">IFERROR(__xludf.DUMMYFUNCTION("""COMPUTED_VALUE"""),"CAL-B0033")</f>
        <v>CAL-B0033</v>
      </c>
    </row>
    <row r="790" spans="1:5" x14ac:dyDescent="0.2">
      <c r="A790" s="22">
        <f ca="1">IFERROR(__xludf.DUMMYFUNCTION("""COMPUTED_VALUE"""),45412)</f>
        <v>45412</v>
      </c>
      <c r="B790" s="23" t="str">
        <f ca="1">IFERROR(__xludf.DUMMYFUNCTION("""COMPUTED_VALUE"""),"BATERIA CALANI LUPI BLACK")</f>
        <v>BATERIA CALANI LUPI BLACK</v>
      </c>
      <c r="C790" s="23"/>
      <c r="D790" s="24">
        <f ca="1">IFERROR(__xludf.DUMMYFUNCTION("""COMPUTED_VALUE"""),89)</f>
        <v>89</v>
      </c>
      <c r="E790" s="25" t="str">
        <f ca="1">IFERROR(__xludf.DUMMYFUNCTION("""COMPUTED_VALUE"""),"CAL-B0015")</f>
        <v>CAL-B0015</v>
      </c>
    </row>
    <row r="791" spans="1:5" x14ac:dyDescent="0.2">
      <c r="A791" s="22">
        <f ca="1">IFERROR(__xludf.DUMMYFUNCTION("""COMPUTED_VALUE"""),45412)</f>
        <v>45412</v>
      </c>
      <c r="B791" s="23" t="str">
        <f ca="1">IFERROR(__xludf.DUMMYFUNCTION("""COMPUTED_VALUE"""),"ZESTAW NATRYSKOWY CALANI DAYTON CHROM")</f>
        <v>ZESTAW NATRYSKOWY CALANI DAYTON CHROM</v>
      </c>
      <c r="C791" s="23"/>
      <c r="D791" s="24">
        <f ca="1">IFERROR(__xludf.DUMMYFUNCTION("""COMPUTED_VALUE"""),339)</f>
        <v>339</v>
      </c>
      <c r="E791" s="25" t="str">
        <f ca="1">IFERROR(__xludf.DUMMYFUNCTION("""COMPUTED_VALUE"""),"CAL-P0010")</f>
        <v>CAL-P0010</v>
      </c>
    </row>
    <row r="792" spans="1:5" x14ac:dyDescent="0.2">
      <c r="A792" s="22">
        <f ca="1">IFERROR(__xludf.DUMMYFUNCTION("""COMPUTED_VALUE"""),45412)</f>
        <v>45412</v>
      </c>
      <c r="B792" s="23" t="str">
        <f ca="1">IFERROR(__xludf.DUMMYFUNCTION("""COMPUTED_VALUE"""),"ODPŁYW CALANI ECO360 SLIM 60")</f>
        <v>ODPŁYW CALANI ECO360 SLIM 60</v>
      </c>
      <c r="C792" s="23"/>
      <c r="D792" s="24">
        <f ca="1">IFERROR(__xludf.DUMMYFUNCTION("""COMPUTED_VALUE"""),119)</f>
        <v>119</v>
      </c>
      <c r="E792" s="25" t="str">
        <f ca="1">IFERROR(__xludf.DUMMYFUNCTION("""COMPUTED_VALUE"""),"CAL-G0019")</f>
        <v>CAL-G0019</v>
      </c>
    </row>
    <row r="793" spans="1:5" x14ac:dyDescent="0.2">
      <c r="A793" s="22">
        <f ca="1">IFERROR(__xludf.DUMMYFUNCTION("""COMPUTED_VALUE"""),45412)</f>
        <v>45412</v>
      </c>
      <c r="B793" s="23" t="str">
        <f ca="1">IFERROR(__xludf.DUMMYFUNCTION("""COMPUTED_VALUE"""),"BATERIA CALANI UMYWALKOWA NEXOS WYSOKA H GOLD")</f>
        <v>BATERIA CALANI UMYWALKOWA NEXOS WYSOKA H GOLD</v>
      </c>
      <c r="C793" s="23"/>
      <c r="D793" s="24">
        <f ca="1">IFERROR(__xludf.DUMMYFUNCTION("""COMPUTED_VALUE"""),169)</f>
        <v>169</v>
      </c>
      <c r="E793" s="25" t="str">
        <f ca="1">IFERROR(__xludf.DUMMYFUNCTION("""COMPUTED_VALUE"""),"CAL-B0025")</f>
        <v>CAL-B0025</v>
      </c>
    </row>
    <row r="794" spans="1:5" x14ac:dyDescent="0.2">
      <c r="A794" s="22">
        <f ca="1">IFERROR(__xludf.DUMMYFUNCTION("""COMPUTED_VALUE"""),45412)</f>
        <v>45412</v>
      </c>
      <c r="B794" s="23" t="str">
        <f ca="1">IFERROR(__xludf.DUMMYFUNCTION("""COMPUTED_VALUE"""),"BATERIA CALANI UMYWALKOWA NEXOS NISKA L BLACK")</f>
        <v>BATERIA CALANI UMYWALKOWA NEXOS NISKA L BLACK</v>
      </c>
      <c r="C794" s="23"/>
      <c r="D794" s="24">
        <f ca="1">IFERROR(__xludf.DUMMYFUNCTION("""COMPUTED_VALUE"""),99)</f>
        <v>99</v>
      </c>
      <c r="E794" s="25" t="str">
        <f ca="1">IFERROR(__xludf.DUMMYFUNCTION("""COMPUTED_VALUE"""),"CAL-B0362")</f>
        <v>CAL-B0362</v>
      </c>
    </row>
    <row r="795" spans="1:5" x14ac:dyDescent="0.2">
      <c r="A795" s="22">
        <f ca="1">IFERROR(__xludf.DUMMYFUNCTION("""COMPUTED_VALUE"""),45412)</f>
        <v>45412</v>
      </c>
      <c r="B795" s="23" t="str">
        <f ca="1">IFERROR(__xludf.DUMMYFUNCTION("""COMPUTED_VALUE"""),"BATERIA CALANI UMYWALKOWA LOTUS WYSOKA H BLACK")</f>
        <v>BATERIA CALANI UMYWALKOWA LOTUS WYSOKA H BLACK</v>
      </c>
      <c r="C795" s="23"/>
      <c r="D795" s="24">
        <f ca="1">IFERROR(__xludf.DUMMYFUNCTION("""COMPUTED_VALUE"""),159)</f>
        <v>159</v>
      </c>
      <c r="E795" s="25" t="str">
        <f ca="1">IFERROR(__xludf.DUMMYFUNCTION("""COMPUTED_VALUE"""),"CAL-B0001")</f>
        <v>CAL-B0001</v>
      </c>
    </row>
    <row r="796" spans="1:5" x14ac:dyDescent="0.2">
      <c r="A796" s="22">
        <f ca="1">IFERROR(__xludf.DUMMYFUNCTION("""COMPUTED_VALUE"""),45397)</f>
        <v>45397</v>
      </c>
      <c r="B796" s="23" t="str">
        <f ca="1">IFERROR(__xludf.DUMMYFUNCTION("""COMPUTED_VALUE"""),"BRODZIK MAGNUM GREY 90x90")</f>
        <v>BRODZIK MAGNUM GREY 90x90</v>
      </c>
      <c r="C796" s="23"/>
      <c r="D796" s="24">
        <f ca="1">IFERROR(__xludf.DUMMYFUNCTION("""COMPUTED_VALUE"""),659)</f>
        <v>659</v>
      </c>
      <c r="E796" s="25" t="str">
        <f ca="1">IFERROR(__xludf.DUMMYFUNCTION("""COMPUTED_VALUE"""),"REA-K4106")</f>
        <v>REA-K4106</v>
      </c>
    </row>
    <row r="797" spans="1:5" x14ac:dyDescent="0.2">
      <c r="A797" s="22">
        <f ca="1">IFERROR(__xludf.DUMMYFUNCTION("""COMPUTED_VALUE"""),45397)</f>
        <v>45397</v>
      </c>
      <c r="B797" s="23" t="str">
        <f ca="1">IFERROR(__xludf.DUMMYFUNCTION("""COMPUTED_VALUE"""),"BRODZIK MAGNUM GREY 80x100")</f>
        <v>BRODZIK MAGNUM GREY 80x100</v>
      </c>
      <c r="C797" s="23"/>
      <c r="D797" s="24">
        <f ca="1">IFERROR(__xludf.DUMMYFUNCTION("""COMPUTED_VALUE"""),659)</f>
        <v>659</v>
      </c>
      <c r="E797" s="25" t="str">
        <f ca="1">IFERROR(__xludf.DUMMYFUNCTION("""COMPUTED_VALUE"""),"REA-K4107")</f>
        <v>REA-K4107</v>
      </c>
    </row>
    <row r="798" spans="1:5" x14ac:dyDescent="0.2">
      <c r="A798" s="22">
        <f ca="1">IFERROR(__xludf.DUMMYFUNCTION("""COMPUTED_VALUE"""),45397)</f>
        <v>45397</v>
      </c>
      <c r="B798" s="23" t="str">
        <f ca="1">IFERROR(__xludf.DUMMYFUNCTION("""COMPUTED_VALUE"""),"BRODZIK MAGNUM GREY 90x120")</f>
        <v>BRODZIK MAGNUM GREY 90x120</v>
      </c>
      <c r="C798" s="23"/>
      <c r="D798" s="24">
        <f ca="1">IFERROR(__xludf.DUMMYFUNCTION("""COMPUTED_VALUE"""),759)</f>
        <v>759</v>
      </c>
      <c r="E798" s="25" t="str">
        <f ca="1">IFERROR(__xludf.DUMMYFUNCTION("""COMPUTED_VALUE"""),"REA-K4108")</f>
        <v>REA-K4108</v>
      </c>
    </row>
    <row r="799" spans="1:5" x14ac:dyDescent="0.2">
      <c r="A799" s="22">
        <f ca="1">IFERROR(__xludf.DUMMYFUNCTION("""COMPUTED_VALUE"""),45397)</f>
        <v>45397</v>
      </c>
      <c r="B799" s="23" t="str">
        <f ca="1">IFERROR(__xludf.DUMMYFUNCTION("""COMPUTED_VALUE"""),"BRODZIK BAZALT WHITE 90x120")</f>
        <v>BRODZIK BAZALT WHITE 90x120</v>
      </c>
      <c r="C799" s="23"/>
      <c r="D799" s="24">
        <f ca="1">IFERROR(__xludf.DUMMYFUNCTION("""COMPUTED_VALUE"""),929)</f>
        <v>929</v>
      </c>
      <c r="E799" s="25" t="str">
        <f ca="1">IFERROR(__xludf.DUMMYFUNCTION("""COMPUTED_VALUE"""),"REA-K3302")</f>
        <v>REA-K3302</v>
      </c>
    </row>
    <row r="800" spans="1:5" x14ac:dyDescent="0.2">
      <c r="A800" s="22">
        <f ca="1">IFERROR(__xludf.DUMMYFUNCTION("""COMPUTED_VALUE"""),45397)</f>
        <v>45397</v>
      </c>
      <c r="B800" s="23" t="str">
        <f ca="1">IFERROR(__xludf.DUMMYFUNCTION("""COMPUTED_VALUE"""),"BRODZIK BAZALT GREY 90x90")</f>
        <v>BRODZIK BAZALT GREY 90x90</v>
      </c>
      <c r="C800" s="23"/>
      <c r="D800" s="24">
        <f ca="1">IFERROR(__xludf.DUMMYFUNCTION("""COMPUTED_VALUE"""),759)</f>
        <v>759</v>
      </c>
      <c r="E800" s="25" t="str">
        <f ca="1">IFERROR(__xludf.DUMMYFUNCTION("""COMPUTED_VALUE"""),"REA-K4105")</f>
        <v>REA-K4105</v>
      </c>
    </row>
    <row r="801" spans="1:5" x14ac:dyDescent="0.2">
      <c r="A801" s="22">
        <f ca="1">IFERROR(__xludf.DUMMYFUNCTION("""COMPUTED_VALUE"""),45397)</f>
        <v>45397</v>
      </c>
      <c r="B801" s="23" t="str">
        <f ca="1">IFERROR(__xludf.DUMMYFUNCTION("""COMPUTED_VALUE"""),"BRODZIK BAZALT BLACK 90x90")</f>
        <v>BRODZIK BAZALT BLACK 90x90</v>
      </c>
      <c r="C801" s="23"/>
      <c r="D801" s="24">
        <f ca="1">IFERROR(__xludf.DUMMYFUNCTION("""COMPUTED_VALUE"""),759)</f>
        <v>759</v>
      </c>
      <c r="E801" s="25" t="str">
        <f ca="1">IFERROR(__xludf.DUMMYFUNCTION("""COMPUTED_VALUE"""),"REA-K3307")</f>
        <v>REA-K3307</v>
      </c>
    </row>
    <row r="802" spans="1:5" x14ac:dyDescent="0.2">
      <c r="A802" s="22">
        <f ca="1">IFERROR(__xludf.DUMMYFUNCTION("""COMPUTED_VALUE"""),45397)</f>
        <v>45397</v>
      </c>
      <c r="B802" s="23" t="str">
        <f ca="1">IFERROR(__xludf.DUMMYFUNCTION("""COMPUTED_VALUE"""),"BRODZIK BAZALT WHITE 90x90")</f>
        <v>BRODZIK BAZALT WHITE 90x90</v>
      </c>
      <c r="C802" s="23"/>
      <c r="D802" s="24">
        <f ca="1">IFERROR(__xludf.DUMMYFUNCTION("""COMPUTED_VALUE"""),719)</f>
        <v>719</v>
      </c>
      <c r="E802" s="25" t="str">
        <f ca="1">IFERROR(__xludf.DUMMYFUNCTION("""COMPUTED_VALUE"""),"REA-K3303")</f>
        <v>REA-K3303</v>
      </c>
    </row>
    <row r="803" spans="1:5" x14ac:dyDescent="0.2">
      <c r="A803" s="22">
        <f ca="1">IFERROR(__xludf.DUMMYFUNCTION("""COMPUTED_VALUE"""),45397)</f>
        <v>45397</v>
      </c>
      <c r="B803" s="23" t="str">
        <f ca="1">IFERROR(__xludf.DUMMYFUNCTION("""COMPUTED_VALUE"""),"BRODZIK BAZALT WHITE 80x100")</f>
        <v>BRODZIK BAZALT WHITE 80x100</v>
      </c>
      <c r="C803" s="23"/>
      <c r="D803" s="24">
        <f ca="1">IFERROR(__xludf.DUMMYFUNCTION("""COMPUTED_VALUE"""),719)</f>
        <v>719</v>
      </c>
      <c r="E803" s="25" t="str">
        <f ca="1">IFERROR(__xludf.DUMMYFUNCTION("""COMPUTED_VALUE"""),"REA-K3300")</f>
        <v>REA-K3300</v>
      </c>
    </row>
    <row r="804" spans="1:5" x14ac:dyDescent="0.2">
      <c r="A804" s="22">
        <f ca="1">IFERROR(__xludf.DUMMYFUNCTION("""COMPUTED_VALUE"""),45397)</f>
        <v>45397</v>
      </c>
      <c r="B804" s="23" t="str">
        <f ca="1">IFERROR(__xludf.DUMMYFUNCTION("""COMPUTED_VALUE"""),"KABINA 90X90 PUNTO BLACK")</f>
        <v>KABINA 90X90 PUNTO BLACK</v>
      </c>
      <c r="C804" s="23"/>
      <c r="D804" s="24">
        <f ca="1">IFERROR(__xludf.DUMMYFUNCTION("""COMPUTED_VALUE"""),889)</f>
        <v>889</v>
      </c>
      <c r="E804" s="25" t="str">
        <f ca="1">IFERROR(__xludf.DUMMYFUNCTION("""COMPUTED_VALUE"""),"REA-K4801")</f>
        <v>REA-K4801</v>
      </c>
    </row>
    <row r="805" spans="1:5" x14ac:dyDescent="0.2">
      <c r="A805" s="22">
        <f ca="1">IFERROR(__xludf.DUMMYFUNCTION("""COMPUTED_VALUE"""),45397)</f>
        <v>45397</v>
      </c>
      <c r="B805" s="23" t="str">
        <f ca="1">IFERROR(__xludf.DUMMYFUNCTION("""COMPUTED_VALUE"""),"BATERIA WANNOWA JS-701303B FOSS CZARNA")</f>
        <v>BATERIA WANNOWA JS-701303B FOSS CZARNA</v>
      </c>
      <c r="C805" s="23"/>
      <c r="D805" s="24">
        <f ca="1">IFERROR(__xludf.DUMMYFUNCTION("""COMPUTED_VALUE"""),299)</f>
        <v>299</v>
      </c>
      <c r="E805" s="25" t="str">
        <f ca="1">IFERROR(__xludf.DUMMYFUNCTION("""COMPUTED_VALUE"""),"REA-B5099")</f>
        <v>REA-B5099</v>
      </c>
    </row>
    <row r="806" spans="1:5" x14ac:dyDescent="0.2">
      <c r="A806" s="22">
        <f ca="1">IFERROR(__xludf.DUMMYFUNCTION("""COMPUTED_VALUE"""),45397)</f>
        <v>45397</v>
      </c>
      <c r="B806" s="23" t="str">
        <f ca="1">IFERROR(__xludf.DUMMYFUNCTION("""COMPUTED_VALUE"""),"BATERIA PRYSZNICOWA JS-701304B FOSS CZARNA")</f>
        <v>BATERIA PRYSZNICOWA JS-701304B FOSS CZARNA</v>
      </c>
      <c r="C806" s="23"/>
      <c r="D806" s="24">
        <f ca="1">IFERROR(__xludf.DUMMYFUNCTION("""COMPUTED_VALUE"""),199)</f>
        <v>199</v>
      </c>
      <c r="E806" s="25" t="str">
        <f ca="1">IFERROR(__xludf.DUMMYFUNCTION("""COMPUTED_VALUE"""),"REA-B5110")</f>
        <v>REA-B5110</v>
      </c>
    </row>
    <row r="807" spans="1:5" x14ac:dyDescent="0.2">
      <c r="A807" s="22">
        <f ca="1">IFERROR(__xludf.DUMMYFUNCTION("""COMPUTED_VALUE"""),45397)</f>
        <v>45397</v>
      </c>
      <c r="B807" s="23" t="str">
        <f ca="1">IFERROR(__xludf.DUMMYFUNCTION("""COMPUTED_VALUE"""),"BATERIA WANNOWA JS-701303BG FOSS ZŁOTY SZCZOT")</f>
        <v>BATERIA WANNOWA JS-701303BG FOSS ZŁOTY SZCZOT</v>
      </c>
      <c r="C807" s="23"/>
      <c r="D807" s="24">
        <f ca="1">IFERROR(__xludf.DUMMYFUNCTION("""COMPUTED_VALUE"""),459)</f>
        <v>459</v>
      </c>
      <c r="E807" s="25" t="str">
        <f ca="1">IFERROR(__xludf.DUMMYFUNCTION("""COMPUTED_VALUE"""),"REA-B5112")</f>
        <v>REA-B5112</v>
      </c>
    </row>
    <row r="808" spans="1:5" x14ac:dyDescent="0.2">
      <c r="A808" s="22">
        <f ca="1">IFERROR(__xludf.DUMMYFUNCTION("""COMPUTED_VALUE"""),45397)</f>
        <v>45397</v>
      </c>
      <c r="B808" s="23" t="str">
        <f ca="1">IFERROR(__xludf.DUMMYFUNCTION("""COMPUTED_VALUE"""),"BATERIA PRYSZNICOWA JS-701304BG FOSS ZŁOTY SZCZOT")</f>
        <v>BATERIA PRYSZNICOWA JS-701304BG FOSS ZŁOTY SZCZOT</v>
      </c>
      <c r="C808" s="23"/>
      <c r="D808" s="24">
        <f ca="1">IFERROR(__xludf.DUMMYFUNCTION("""COMPUTED_VALUE"""),379)</f>
        <v>379</v>
      </c>
      <c r="E808" s="25" t="str">
        <f ca="1">IFERROR(__xludf.DUMMYFUNCTION("""COMPUTED_VALUE"""),"REA-B5113")</f>
        <v>REA-B5113</v>
      </c>
    </row>
    <row r="809" spans="1:5" x14ac:dyDescent="0.2">
      <c r="A809" s="22">
        <f ca="1">IFERROR(__xludf.DUMMYFUNCTION("""COMPUTED_VALUE"""),45397)</f>
        <v>45397</v>
      </c>
      <c r="B809" s="23" t="str">
        <f ca="1">IFERROR(__xludf.DUMMYFUNCTION("""COMPUTED_VALUE"""),"BATERIA WANNOWA JS-702303B CLIF CZARNA")</f>
        <v>BATERIA WANNOWA JS-702303B CLIF CZARNA</v>
      </c>
      <c r="C809" s="23"/>
      <c r="D809" s="24">
        <f ca="1">IFERROR(__xludf.DUMMYFUNCTION("""COMPUTED_VALUE"""),399)</f>
        <v>399</v>
      </c>
      <c r="E809" s="25" t="str">
        <f ca="1">IFERROR(__xludf.DUMMYFUNCTION("""COMPUTED_VALUE"""),"REA-B4240")</f>
        <v>REA-B4240</v>
      </c>
    </row>
    <row r="810" spans="1:5" x14ac:dyDescent="0.2">
      <c r="A810" s="22">
        <f ca="1">IFERROR(__xludf.DUMMYFUNCTION("""COMPUTED_VALUE"""),45397)</f>
        <v>45397</v>
      </c>
      <c r="B810" s="23" t="str">
        <f ca="1">IFERROR(__xludf.DUMMYFUNCTION("""COMPUTED_VALUE"""),"BATERIA PRYSZNICOWA JS-702304B CLIF CZARNA")</f>
        <v>BATERIA PRYSZNICOWA JS-702304B CLIF CZARNA</v>
      </c>
      <c r="C810" s="23"/>
      <c r="D810" s="24">
        <f ca="1">IFERROR(__xludf.DUMMYFUNCTION("""COMPUTED_VALUE"""),299)</f>
        <v>299</v>
      </c>
      <c r="E810" s="25" t="str">
        <f ca="1">IFERROR(__xludf.DUMMYFUNCTION("""COMPUTED_VALUE"""),"REA-B4241")</f>
        <v>REA-B4241</v>
      </c>
    </row>
    <row r="811" spans="1:5" x14ac:dyDescent="0.2">
      <c r="A811" s="22">
        <f ca="1">IFERROR(__xludf.DUMMYFUNCTION("""COMPUTED_VALUE"""),45397)</f>
        <v>45397</v>
      </c>
      <c r="B811" s="23" t="str">
        <f ca="1">IFERROR(__xludf.DUMMYFUNCTION("""COMPUTED_VALUE"""),"BATERIA WANNOWA JS-702303BG CLIF ZŁOTY SZCZOT")</f>
        <v>BATERIA WANNOWA JS-702303BG CLIF ZŁOTY SZCZOT</v>
      </c>
      <c r="C811" s="23"/>
      <c r="D811" s="24">
        <f ca="1">IFERROR(__xludf.DUMMYFUNCTION("""COMPUTED_VALUE"""),459)</f>
        <v>459</v>
      </c>
      <c r="E811" s="25" t="str">
        <f ca="1">IFERROR(__xludf.DUMMYFUNCTION("""COMPUTED_VALUE"""),"REA-B4242")</f>
        <v>REA-B4242</v>
      </c>
    </row>
    <row r="812" spans="1:5" x14ac:dyDescent="0.2">
      <c r="A812" s="22">
        <f ca="1">IFERROR(__xludf.DUMMYFUNCTION("""COMPUTED_VALUE"""),45397)</f>
        <v>45397</v>
      </c>
      <c r="B812" s="23" t="str">
        <f ca="1">IFERROR(__xludf.DUMMYFUNCTION("""COMPUTED_VALUE"""),"BATERIA PRYSZNICOWA JS-702304BG CLIF ZŁOTY SZCZOT")</f>
        <v>BATERIA PRYSZNICOWA JS-702304BG CLIF ZŁOTY SZCZOT</v>
      </c>
      <c r="C812" s="23"/>
      <c r="D812" s="24">
        <f ca="1">IFERROR(__xludf.DUMMYFUNCTION("""COMPUTED_VALUE"""),379)</f>
        <v>379</v>
      </c>
      <c r="E812" s="25" t="str">
        <f ca="1">IFERROR(__xludf.DUMMYFUNCTION("""COMPUTED_VALUE"""),"REA-B4243")</f>
        <v>REA-B4243</v>
      </c>
    </row>
    <row r="813" spans="1:5" x14ac:dyDescent="0.2">
      <c r="A813" s="22">
        <f ca="1">IFERROR(__xludf.DUMMYFUNCTION("""COMPUTED_VALUE"""),45397)</f>
        <v>45397</v>
      </c>
      <c r="B813" s="23" t="str">
        <f ca="1">IFERROR(__xludf.DUMMYFUNCTION("""COMPUTED_VALUE"""),"KABINA PUNTO GOLD 80X100")</f>
        <v>KABINA PUNTO GOLD 80X100</v>
      </c>
      <c r="C813" s="23"/>
      <c r="D813" s="24">
        <f ca="1">IFERROR(__xludf.DUMMYFUNCTION("""COMPUTED_VALUE"""),989)</f>
        <v>989</v>
      </c>
      <c r="E813" s="25" t="str">
        <f ca="1">IFERROR(__xludf.DUMMYFUNCTION("""COMPUTED_VALUE"""),"REA-K6442")</f>
        <v>REA-K6442</v>
      </c>
    </row>
    <row r="814" spans="1:5" x14ac:dyDescent="0.2">
      <c r="A814" s="22">
        <f ca="1">IFERROR(__xludf.DUMMYFUNCTION("""COMPUTED_VALUE"""),45397)</f>
        <v>45397</v>
      </c>
      <c r="B814" s="23" t="str">
        <f ca="1">IFERROR(__xludf.DUMMYFUNCTION("""COMPUTED_VALUE"""),"KABINA PUNTO GOLD 80X80")</f>
        <v>KABINA PUNTO GOLD 80X80</v>
      </c>
      <c r="C814" s="23"/>
      <c r="D814" s="24">
        <f ca="1">IFERROR(__xludf.DUMMYFUNCTION("""COMPUTED_VALUE"""),939)</f>
        <v>939</v>
      </c>
      <c r="E814" s="25" t="str">
        <f ca="1">IFERROR(__xludf.DUMMYFUNCTION("""COMPUTED_VALUE"""),"REA-K6441")</f>
        <v>REA-K6441</v>
      </c>
    </row>
    <row r="815" spans="1:5" x14ac:dyDescent="0.2">
      <c r="A815" s="22">
        <f ca="1">IFERROR(__xludf.DUMMYFUNCTION("""COMPUTED_VALUE"""),45397)</f>
        <v>45397</v>
      </c>
      <c r="B815" s="23" t="str">
        <f ca="1">IFERROR(__xludf.DUMMYFUNCTION("""COMPUTED_VALUE"""),"KABINA PUNTO GOLD 90x90")</f>
        <v>KABINA PUNTO GOLD 90x90</v>
      </c>
      <c r="C815" s="23"/>
      <c r="D815" s="24">
        <f ca="1">IFERROR(__xludf.DUMMYFUNCTION("""COMPUTED_VALUE"""),969)</f>
        <v>969</v>
      </c>
      <c r="E815" s="25" t="str">
        <f ca="1">IFERROR(__xludf.DUMMYFUNCTION("""COMPUTED_VALUE"""),"REA-K6440")</f>
        <v>REA-K6440</v>
      </c>
    </row>
    <row r="816" spans="1:5" x14ac:dyDescent="0.2">
      <c r="A816" s="22">
        <f ca="1">IFERROR(__xludf.DUMMYFUNCTION("""COMPUTED_VALUE"""),45397)</f>
        <v>45397</v>
      </c>
      <c r="B816" s="23" t="str">
        <f ca="1">IFERROR(__xludf.DUMMYFUNCTION("""COMPUTED_VALUE"""),"WANNA OLIMPIA 150")</f>
        <v>WANNA OLIMPIA 150</v>
      </c>
      <c r="C816" s="23"/>
      <c r="D816" s="24">
        <f ca="1">IFERROR(__xludf.DUMMYFUNCTION("""COMPUTED_VALUE"""),3599)</f>
        <v>3599</v>
      </c>
      <c r="E816" s="25" t="str">
        <f ca="1">IFERROR(__xludf.DUMMYFUNCTION("""COMPUTED_VALUE"""),"REA-W0634")</f>
        <v>REA-W0634</v>
      </c>
    </row>
    <row r="817" spans="1:5" x14ac:dyDescent="0.2">
      <c r="A817" s="22">
        <f ca="1">IFERROR(__xludf.DUMMYFUNCTION("""COMPUTED_VALUE"""),45397)</f>
        <v>45397</v>
      </c>
      <c r="B817" s="23" t="str">
        <f ca="1">IFERROR(__xludf.DUMMYFUNCTION("""COMPUTED_VALUE"""),"WANNA OLIMPIA 170")</f>
        <v>WANNA OLIMPIA 170</v>
      </c>
      <c r="C817" s="23"/>
      <c r="D817" s="24">
        <f ca="1">IFERROR(__xludf.DUMMYFUNCTION("""COMPUTED_VALUE"""),3699)</f>
        <v>3699</v>
      </c>
      <c r="E817" s="25" t="str">
        <f ca="1">IFERROR(__xludf.DUMMYFUNCTION("""COMPUTED_VALUE"""),"REA-W0633")</f>
        <v>REA-W0633</v>
      </c>
    </row>
    <row r="818" spans="1:5" x14ac:dyDescent="0.2">
      <c r="A818" s="22">
        <f ca="1">IFERROR(__xludf.DUMMYFUNCTION("""COMPUTED_VALUE"""),45397)</f>
        <v>45397</v>
      </c>
      <c r="B818" s="23" t="str">
        <f ca="1">IFERROR(__xludf.DUMMYFUNCTION("""COMPUTED_VALUE"""),"WC - CARLO MINI TORNADO/DUROPLAST/SLIM/ZM")</f>
        <v>WC - CARLO MINI TORNADO/DUROPLAST/SLIM/ZM</v>
      </c>
      <c r="C818" s="23"/>
      <c r="D818" s="24">
        <f ca="1">IFERROR(__xludf.DUMMYFUNCTION("""COMPUTED_VALUE"""),669)</f>
        <v>669</v>
      </c>
      <c r="E818" s="25" t="str">
        <f ca="1">IFERROR(__xludf.DUMMYFUNCTION("""COMPUTED_VALUE"""),"REA-C1259")</f>
        <v>REA-C1259</v>
      </c>
    </row>
    <row r="819" spans="1:5" x14ac:dyDescent="0.2">
      <c r="A819" s="22">
        <f ca="1">IFERROR(__xludf.DUMMYFUNCTION("""COMPUTED_VALUE"""),45397)</f>
        <v>45397</v>
      </c>
      <c r="B819" s="23" t="str">
        <f ca="1">IFERROR(__xludf.DUMMYFUNCTION("""COMPUTED_VALUE"""),"UMYWALKA MARINA BLUE - NABLATOWA")</f>
        <v>UMYWALKA MARINA BLUE - NABLATOWA</v>
      </c>
      <c r="C819" s="23"/>
      <c r="D819" s="24">
        <f ca="1">IFERROR(__xludf.DUMMYFUNCTION("""COMPUTED_VALUE"""),579)</f>
        <v>579</v>
      </c>
      <c r="E819" s="25" t="str">
        <f ca="1">IFERROR(__xludf.DUMMYFUNCTION("""COMPUTED_VALUE"""),"REA-U3300")</f>
        <v>REA-U3300</v>
      </c>
    </row>
    <row r="820" spans="1:5" x14ac:dyDescent="0.2">
      <c r="A820" s="22">
        <f ca="1">IFERROR(__xludf.DUMMYFUNCTION("""COMPUTED_VALUE"""),45397)</f>
        <v>45397</v>
      </c>
      <c r="B820" s="23" t="str">
        <f ca="1">IFERROR(__xludf.DUMMYFUNCTION("""COMPUTED_VALUE"""),"UMYWALKA WILMA RUSTIC - NABLATOWA")</f>
        <v>UMYWALKA WILMA RUSTIC - NABLATOWA</v>
      </c>
      <c r="C820" s="23"/>
      <c r="D820" s="24">
        <f ca="1">IFERROR(__xludf.DUMMYFUNCTION("""COMPUTED_VALUE"""),439)</f>
        <v>439</v>
      </c>
      <c r="E820" s="25" t="str">
        <f ca="1">IFERROR(__xludf.DUMMYFUNCTION("""COMPUTED_VALUE"""),"REA-U3305")</f>
        <v>REA-U3305</v>
      </c>
    </row>
    <row r="821" spans="1:5" x14ac:dyDescent="0.2">
      <c r="A821" s="22">
        <f ca="1">IFERROR(__xludf.DUMMYFUNCTION("""COMPUTED_VALUE"""),45397)</f>
        <v>45397</v>
      </c>
      <c r="B821" s="23" t="str">
        <f ca="1">IFERROR(__xludf.DUMMYFUNCTION("""COMPUTED_VALUE"""),"UMYWALKA FLORISA - NABLATOWA")</f>
        <v>UMYWALKA FLORISA - NABLATOWA</v>
      </c>
      <c r="C821" s="23"/>
      <c r="D821" s="24">
        <f ca="1">IFERROR(__xludf.DUMMYFUNCTION("""COMPUTED_VALUE"""),459)</f>
        <v>459</v>
      </c>
      <c r="E821" s="25" t="str">
        <f ca="1">IFERROR(__xludf.DUMMYFUNCTION("""COMPUTED_VALUE"""),"REA-U3308")</f>
        <v>REA-U3308</v>
      </c>
    </row>
    <row r="822" spans="1:5" x14ac:dyDescent="0.2">
      <c r="A822" s="22">
        <f ca="1">IFERROR(__xludf.DUMMYFUNCTION("""COMPUTED_VALUE"""),45397)</f>
        <v>45397</v>
      </c>
      <c r="B822" s="23" t="str">
        <f ca="1">IFERROR(__xludf.DUMMYFUNCTION("""COMPUTED_VALUE"""),"UMYWALKA INGRID GREY - NABLATOWA")</f>
        <v>UMYWALKA INGRID GREY - NABLATOWA</v>
      </c>
      <c r="C822" s="23"/>
      <c r="D822" s="24">
        <f ca="1">IFERROR(__xludf.DUMMYFUNCTION("""COMPUTED_VALUE"""),599)</f>
        <v>599</v>
      </c>
      <c r="E822" s="25" t="str">
        <f ca="1">IFERROR(__xludf.DUMMYFUNCTION("""COMPUTED_VALUE"""),"REA-U0279")</f>
        <v>REA-U0279</v>
      </c>
    </row>
    <row r="823" spans="1:5" x14ac:dyDescent="0.2">
      <c r="A823" s="22">
        <f ca="1">IFERROR(__xludf.DUMMYFUNCTION("""COMPUTED_VALUE"""),45397)</f>
        <v>45397</v>
      </c>
      <c r="B823" s="23" t="str">
        <f ca="1">IFERROR(__xludf.DUMMYFUNCTION("""COMPUTED_VALUE"""),"BATERIA JS-B253-1B LEVEL BLACK WYSOKA")</f>
        <v>BATERIA JS-B253-1B LEVEL BLACK WYSOKA</v>
      </c>
      <c r="C823" s="23"/>
      <c r="D823" s="24">
        <f ca="1">IFERROR(__xludf.DUMMYFUNCTION("""COMPUTED_VALUE"""),199)</f>
        <v>199</v>
      </c>
      <c r="E823" s="25" t="str">
        <f ca="1">IFERROR(__xludf.DUMMYFUNCTION("""COMPUTED_VALUE"""),"REA-B2047")</f>
        <v>REA-B2047</v>
      </c>
    </row>
    <row r="824" spans="1:5" x14ac:dyDescent="0.2">
      <c r="A824" s="22">
        <f ca="1">IFERROR(__xludf.DUMMYFUNCTION("""COMPUTED_VALUE"""),45397)</f>
        <v>45397</v>
      </c>
      <c r="B824" s="23" t="str">
        <f ca="1">IFERROR(__xludf.DUMMYFUNCTION("""COMPUTED_VALUE"""),"BATERIA JS-B253B LEVEL BLACK NISKA")</f>
        <v>BATERIA JS-B253B LEVEL BLACK NISKA</v>
      </c>
      <c r="C824" s="23"/>
      <c r="D824" s="24">
        <f ca="1">IFERROR(__xludf.DUMMYFUNCTION("""COMPUTED_VALUE"""),149)</f>
        <v>149</v>
      </c>
      <c r="E824" s="25" t="str">
        <f ca="1">IFERROR(__xludf.DUMMYFUNCTION("""COMPUTED_VALUE"""),"REA-B2046")</f>
        <v>REA-B2046</v>
      </c>
    </row>
    <row r="825" spans="1:5" x14ac:dyDescent="0.2">
      <c r="A825" s="22">
        <f ca="1">IFERROR(__xludf.DUMMYFUNCTION("""COMPUTED_VALUE"""),45380)</f>
        <v>45380</v>
      </c>
      <c r="B825" s="23" t="str">
        <f ca="1">IFERROR(__xludf.DUMMYFUNCTION("""COMPUTED_VALUE"""),"BATERIA JS-634901-1B VIRAL BLACK WYSOKA")</f>
        <v>BATERIA JS-634901-1B VIRAL BLACK WYSOKA</v>
      </c>
      <c r="C825" s="23"/>
      <c r="D825" s="24">
        <f ca="1">IFERROR(__xludf.DUMMYFUNCTION("""COMPUTED_VALUE"""),339)</f>
        <v>339</v>
      </c>
      <c r="E825" s="25" t="str">
        <f ca="1">IFERROR(__xludf.DUMMYFUNCTION("""COMPUTED_VALUE"""),"REA-B2029")</f>
        <v>REA-B2029</v>
      </c>
    </row>
    <row r="826" spans="1:5" x14ac:dyDescent="0.2">
      <c r="A826" s="22">
        <f ca="1">IFERROR(__xludf.DUMMYFUNCTION("""COMPUTED_VALUE"""),45380)</f>
        <v>45380</v>
      </c>
      <c r="B826" s="23" t="str">
        <f ca="1">IFERROR(__xludf.DUMMYFUNCTION("""COMPUTED_VALUE"""),"BATERIA JS-634903G WANNOWA VIRAL GOLD")</f>
        <v>BATERIA JS-634903G WANNOWA VIRAL GOLD</v>
      </c>
      <c r="C826" s="23"/>
      <c r="D826" s="24">
        <f ca="1">IFERROR(__xludf.DUMMYFUNCTION("""COMPUTED_VALUE"""),379)</f>
        <v>379</v>
      </c>
      <c r="E826" s="25" t="str">
        <f ca="1">IFERROR(__xludf.DUMMYFUNCTION("""COMPUTED_VALUE"""),"REA-B2024")</f>
        <v>REA-B2024</v>
      </c>
    </row>
    <row r="827" spans="1:5" x14ac:dyDescent="0.2">
      <c r="A827" s="22">
        <f ca="1">IFERROR(__xludf.DUMMYFUNCTION("""COMPUTED_VALUE"""),45380)</f>
        <v>45380</v>
      </c>
      <c r="B827" s="23" t="str">
        <f ca="1">IFERROR(__xludf.DUMMYFUNCTION("""COMPUTED_VALUE"""),"BATERIA JS-634901G VIRAL GOLD NISKA")</f>
        <v>BATERIA JS-634901G VIRAL GOLD NISKA</v>
      </c>
      <c r="C827" s="23"/>
      <c r="D827" s="24">
        <f ca="1">IFERROR(__xludf.DUMMYFUNCTION("""COMPUTED_VALUE"""),199)</f>
        <v>199</v>
      </c>
      <c r="E827" s="25" t="str">
        <f ca="1">IFERROR(__xludf.DUMMYFUNCTION("""COMPUTED_VALUE"""),"REA-B2022")</f>
        <v>REA-B2022</v>
      </c>
    </row>
    <row r="828" spans="1:5" x14ac:dyDescent="0.2">
      <c r="A828" s="22">
        <f ca="1">IFERROR(__xludf.DUMMYFUNCTION("""COMPUTED_VALUE"""),45380)</f>
        <v>45380</v>
      </c>
      <c r="B828" s="23" t="str">
        <f ca="1">IFERROR(__xludf.DUMMYFUNCTION("""COMPUTED_VALUE"""),"BATERIA JS-634901-1G VIRAL GOLD WYSOKA")</f>
        <v>BATERIA JS-634901-1G VIRAL GOLD WYSOKA</v>
      </c>
      <c r="C828" s="23"/>
      <c r="D828" s="24">
        <f ca="1">IFERROR(__xludf.DUMMYFUNCTION("""COMPUTED_VALUE"""),229)</f>
        <v>229</v>
      </c>
      <c r="E828" s="25" t="str">
        <f ca="1">IFERROR(__xludf.DUMMYFUNCTION("""COMPUTED_VALUE"""),"REA-B2023")</f>
        <v>REA-B2023</v>
      </c>
    </row>
    <row r="829" spans="1:5" x14ac:dyDescent="0.2">
      <c r="A829" s="22">
        <f ca="1">IFERROR(__xludf.DUMMYFUNCTION("""COMPUTED_VALUE"""),45380)</f>
        <v>45380</v>
      </c>
      <c r="B829" s="23" t="str">
        <f ca="1">IFERROR(__xludf.DUMMYFUNCTION("""COMPUTED_VALUE"""),"BATERIA JS-634901-1 VIRAL CHROM WYSOKA")</f>
        <v>BATERIA JS-634901-1 VIRAL CHROM WYSOKA</v>
      </c>
      <c r="C829" s="23"/>
      <c r="D829" s="24">
        <f ca="1">IFERROR(__xludf.DUMMYFUNCTION("""COMPUTED_VALUE"""),249)</f>
        <v>249</v>
      </c>
      <c r="E829" s="25" t="str">
        <f ca="1">IFERROR(__xludf.DUMMYFUNCTION("""COMPUTED_VALUE"""),"REA-B2020")</f>
        <v>REA-B2020</v>
      </c>
    </row>
    <row r="830" spans="1:5" x14ac:dyDescent="0.2">
      <c r="A830" s="22">
        <f ca="1">IFERROR(__xludf.DUMMYFUNCTION("""COMPUTED_VALUE"""),45380)</f>
        <v>45380</v>
      </c>
      <c r="B830" s="23" t="str">
        <f ca="1">IFERROR(__xludf.DUMMYFUNCTION("""COMPUTED_VALUE"""),"BATERIA JS-B215G ORBIT GOLD NISKA")</f>
        <v>BATERIA JS-B215G ORBIT GOLD NISKA</v>
      </c>
      <c r="C830" s="23"/>
      <c r="D830" s="24">
        <f ca="1">IFERROR(__xludf.DUMMYFUNCTION("""COMPUTED_VALUE"""),299)</f>
        <v>299</v>
      </c>
      <c r="E830" s="25" t="str">
        <f ca="1">IFERROR(__xludf.DUMMYFUNCTION("""COMPUTED_VALUE"""),"REA-B2050")</f>
        <v>REA-B2050</v>
      </c>
    </row>
    <row r="831" spans="1:5" x14ac:dyDescent="0.2">
      <c r="A831" s="22">
        <f ca="1">IFERROR(__xludf.DUMMYFUNCTION("""COMPUTED_VALUE"""),45380)</f>
        <v>45380</v>
      </c>
      <c r="B831" s="23" t="str">
        <f ca="1">IFERROR(__xludf.DUMMYFUNCTION("""COMPUTED_VALUE"""),"BATERIA JS-B215-1WG ORBIT WHITE/GOLD WYSOKA")</f>
        <v>BATERIA JS-B215-1WG ORBIT WHITE/GOLD WYSOKA</v>
      </c>
      <c r="C831" s="23"/>
      <c r="D831" s="24">
        <f ca="1">IFERROR(__xludf.DUMMYFUNCTION("""COMPUTED_VALUE"""),389)</f>
        <v>389</v>
      </c>
      <c r="E831" s="25" t="str">
        <f ca="1">IFERROR(__xludf.DUMMYFUNCTION("""COMPUTED_VALUE"""),"REA-B2053")</f>
        <v>REA-B2053</v>
      </c>
    </row>
    <row r="832" spans="1:5" x14ac:dyDescent="0.2">
      <c r="A832" s="22">
        <f ca="1">IFERROR(__xludf.DUMMYFUNCTION("""COMPUTED_VALUE"""),45380)</f>
        <v>45380</v>
      </c>
      <c r="B832" s="23" t="str">
        <f ca="1">IFERROR(__xludf.DUMMYFUNCTION("""COMPUTED_VALUE"""),"BATERIA JS-B215-1G ORBIT GOLD WYSOKA")</f>
        <v>BATERIA JS-B215-1G ORBIT GOLD WYSOKA</v>
      </c>
      <c r="C832" s="23"/>
      <c r="D832" s="24">
        <f ca="1">IFERROR(__xludf.DUMMYFUNCTION("""COMPUTED_VALUE"""),399)</f>
        <v>399</v>
      </c>
      <c r="E832" s="25" t="str">
        <f ca="1">IFERROR(__xludf.DUMMYFUNCTION("""COMPUTED_VALUE"""),"REA-B2051")</f>
        <v>REA-B2051</v>
      </c>
    </row>
    <row r="833" spans="1:5" x14ac:dyDescent="0.2">
      <c r="A833" s="22">
        <f ca="1">IFERROR(__xludf.DUMMYFUNCTION("""COMPUTED_VALUE"""),45380)</f>
        <v>45380</v>
      </c>
      <c r="B833" s="23" t="str">
        <f ca="1">IFERROR(__xludf.DUMMYFUNCTION("""COMPUTED_VALUE"""),"BATERIA JS-B215-1 ORBIT CHROM WYSOKA")</f>
        <v>BATERIA JS-B215-1 ORBIT CHROM WYSOKA</v>
      </c>
      <c r="C833" s="23"/>
      <c r="D833" s="24">
        <f ca="1">IFERROR(__xludf.DUMMYFUNCTION("""COMPUTED_VALUE"""),359)</f>
        <v>359</v>
      </c>
      <c r="E833" s="25" t="str">
        <f ca="1">IFERROR(__xludf.DUMMYFUNCTION("""COMPUTED_VALUE"""),"REA-B2049")</f>
        <v>REA-B2049</v>
      </c>
    </row>
    <row r="834" spans="1:5" x14ac:dyDescent="0.2">
      <c r="A834" s="22">
        <f ca="1">IFERROR(__xludf.DUMMYFUNCTION("""COMPUTED_VALUE"""),45378)</f>
        <v>45378</v>
      </c>
      <c r="B834" s="23" t="str">
        <f ca="1">IFERROR(__xludf.DUMMYFUNCTION("""COMPUTED_VALUE"""),"ŚCIANKA PRYSZNICOWA BLER 100")</f>
        <v>ŚCIANKA PRYSZNICOWA BLER 100</v>
      </c>
      <c r="C834" s="23"/>
      <c r="D834" s="24">
        <f ca="1">IFERROR(__xludf.DUMMYFUNCTION("""COMPUTED_VALUE"""),899)</f>
        <v>899</v>
      </c>
      <c r="E834" s="25" t="str">
        <f ca="1">IFERROR(__xludf.DUMMYFUNCTION("""COMPUTED_VALUE"""),"REA-K7634")</f>
        <v>REA-K7634</v>
      </c>
    </row>
    <row r="835" spans="1:5" x14ac:dyDescent="0.2">
      <c r="A835" s="22">
        <f ca="1">IFERROR(__xludf.DUMMYFUNCTION("""COMPUTED_VALUE"""),45378)</f>
        <v>45378</v>
      </c>
      <c r="B835" s="23" t="str">
        <f ca="1">IFERROR(__xludf.DUMMYFUNCTION("""COMPUTED_VALUE"""),"DRZWI PRYSZNICOWE RAPID FOLD GOLD 80")</f>
        <v>DRZWI PRYSZNICOWE RAPID FOLD GOLD 80</v>
      </c>
      <c r="C835" s="23"/>
      <c r="D835" s="24">
        <f ca="1">IFERROR(__xludf.DUMMYFUNCTION("""COMPUTED_VALUE"""),899)</f>
        <v>899</v>
      </c>
      <c r="E835" s="25" t="str">
        <f ca="1">IFERROR(__xludf.DUMMYFUNCTION("""COMPUTED_VALUE"""),"REA-K4128")</f>
        <v>REA-K4128</v>
      </c>
    </row>
    <row r="836" spans="1:5" x14ac:dyDescent="0.2">
      <c r="A836" s="22">
        <f ca="1">IFERROR(__xludf.DUMMYFUNCTION("""COMPUTED_VALUE"""),45378)</f>
        <v>45378</v>
      </c>
      <c r="B836" s="23" t="str">
        <f ca="1">IFERROR(__xludf.DUMMYFUNCTION("""COMPUTED_VALUE"""),"PARAWAN WANNOWY AGAT GOLD BRUSH 100")</f>
        <v>PARAWAN WANNOWY AGAT GOLD BRUSH 100</v>
      </c>
      <c r="C836" s="23"/>
      <c r="D836" s="24">
        <f ca="1">IFERROR(__xludf.DUMMYFUNCTION("""COMPUTED_VALUE"""),669)</f>
        <v>669</v>
      </c>
      <c r="E836" s="25" t="str">
        <f ca="1">IFERROR(__xludf.DUMMYFUNCTION("""COMPUTED_VALUE"""),"REA-K9777")</f>
        <v>REA-K9777</v>
      </c>
    </row>
    <row r="837" spans="1:5" x14ac:dyDescent="0.2">
      <c r="A837" s="22">
        <f ca="1">IFERROR(__xludf.DUMMYFUNCTION("""COMPUTED_VALUE"""),45378)</f>
        <v>45378</v>
      </c>
      <c r="B837" s="23" t="str">
        <f ca="1">IFERROR(__xludf.DUMMYFUNCTION("""COMPUTED_VALUE"""),"KABINA FARGO BLACK 90X120 U")</f>
        <v>KABINA FARGO BLACK 90X120 U</v>
      </c>
      <c r="C837" s="23"/>
      <c r="D837" s="24">
        <f ca="1">IFERROR(__xludf.DUMMYFUNCTION("""COMPUTED_VALUE"""),1749)</f>
        <v>1749</v>
      </c>
      <c r="E837" s="25" t="str">
        <f ca="1">IFERROR(__xludf.DUMMYFUNCTION("""COMPUTED_VALUE"""),"REA-K3214")</f>
        <v>REA-K3214</v>
      </c>
    </row>
    <row r="838" spans="1:5" x14ac:dyDescent="0.2">
      <c r="A838" s="22">
        <f ca="1">IFERROR(__xludf.DUMMYFUNCTION("""COMPUTED_VALUE"""),45378)</f>
        <v>45378</v>
      </c>
      <c r="B838" s="23" t="str">
        <f ca="1">IFERROR(__xludf.DUMMYFUNCTION("""COMPUTED_VALUE"""),"DRZWI PRYSZNICOWE RAPID FOLD GOLD 90")</f>
        <v>DRZWI PRYSZNICOWE RAPID FOLD GOLD 90</v>
      </c>
      <c r="C838" s="23"/>
      <c r="D838" s="24">
        <f ca="1">IFERROR(__xludf.DUMMYFUNCTION("""COMPUTED_VALUE"""),959)</f>
        <v>959</v>
      </c>
      <c r="E838" s="25" t="str">
        <f ca="1">IFERROR(__xludf.DUMMYFUNCTION("""COMPUTED_VALUE"""),"REA-K4129")</f>
        <v>REA-K4129</v>
      </c>
    </row>
    <row r="839" spans="1:5" x14ac:dyDescent="0.2">
      <c r="A839" s="22">
        <f ca="1">IFERROR(__xludf.DUMMYFUNCTION("""COMPUTED_VALUE"""),45378)</f>
        <v>45378</v>
      </c>
      <c r="B839" s="23" t="str">
        <f ca="1">IFERROR(__xludf.DUMMYFUNCTION("""COMPUTED_VALUE"""),"DRZWI PRYSZNICOWE MOLIER 100 BLACK + ADAPTER")</f>
        <v>DRZWI PRYSZNICOWE MOLIER 100 BLACK + ADAPTER</v>
      </c>
      <c r="C839" s="23"/>
      <c r="D839" s="24">
        <f ca="1">IFERROR(__xludf.DUMMYFUNCTION("""COMPUTED_VALUE"""),1129)</f>
        <v>1129</v>
      </c>
      <c r="E839" s="26"/>
    </row>
    <row r="840" spans="1:5" x14ac:dyDescent="0.2">
      <c r="A840" s="22">
        <f ca="1">IFERROR(__xludf.DUMMYFUNCTION("""COMPUTED_VALUE"""),45378)</f>
        <v>45378</v>
      </c>
      <c r="B840" s="23" t="str">
        <f ca="1">IFERROR(__xludf.DUMMYFUNCTION("""COMPUTED_VALUE"""),"DRZWI PRYSZNICOWE MOLIER 100 BLACK")</f>
        <v>DRZWI PRYSZNICOWE MOLIER 100 BLACK</v>
      </c>
      <c r="C840" s="23"/>
      <c r="D840" s="24">
        <f ca="1">IFERROR(__xludf.DUMMYFUNCTION("""COMPUTED_VALUE"""),959)</f>
        <v>959</v>
      </c>
      <c r="E840" s="25" t="str">
        <f ca="1">IFERROR(__xludf.DUMMYFUNCTION("""COMPUTED_VALUE"""),"REA-K6963")</f>
        <v>REA-K6963</v>
      </c>
    </row>
    <row r="841" spans="1:5" x14ac:dyDescent="0.2">
      <c r="A841" s="22">
        <f ca="1">IFERROR(__xludf.DUMMYFUNCTION("""COMPUTED_VALUE"""),45378)</f>
        <v>45378</v>
      </c>
      <c r="B841" s="23" t="str">
        <f ca="1">IFERROR(__xludf.DUMMYFUNCTION("""COMPUTED_VALUE"""),"DRZWI PRYSZNICOWE MOLIER 80 BLACK + ADAPTER")</f>
        <v>DRZWI PRYSZNICOWE MOLIER 80 BLACK + ADAPTER</v>
      </c>
      <c r="C841" s="23"/>
      <c r="D841" s="24">
        <f ca="1">IFERROR(__xludf.DUMMYFUNCTION("""COMPUTED_VALUE"""),1069)</f>
        <v>1069</v>
      </c>
      <c r="E841" s="26"/>
    </row>
    <row r="842" spans="1:5" x14ac:dyDescent="0.2">
      <c r="A842" s="22">
        <f ca="1">IFERROR(__xludf.DUMMYFUNCTION("""COMPUTED_VALUE"""),45378)</f>
        <v>45378</v>
      </c>
      <c r="B842" s="23" t="str">
        <f ca="1">IFERROR(__xludf.DUMMYFUNCTION("""COMPUTED_VALUE"""),"DRZWI PRYSZNICOWE MOLIER 80 BLACK")</f>
        <v>DRZWI PRYSZNICOWE MOLIER 80 BLACK</v>
      </c>
      <c r="C842" s="23"/>
      <c r="D842" s="24">
        <f ca="1">IFERROR(__xludf.DUMMYFUNCTION("""COMPUTED_VALUE"""),899)</f>
        <v>899</v>
      </c>
      <c r="E842" s="25" t="str">
        <f ca="1">IFERROR(__xludf.DUMMYFUNCTION("""COMPUTED_VALUE"""),"REA-K8537")</f>
        <v>REA-K8537</v>
      </c>
    </row>
    <row r="843" spans="1:5" x14ac:dyDescent="0.2">
      <c r="A843" s="22">
        <f ca="1">IFERROR(__xludf.DUMMYFUNCTION("""COMPUTED_VALUE"""),45378)</f>
        <v>45378</v>
      </c>
      <c r="B843" s="23" t="str">
        <f ca="1">IFERROR(__xludf.DUMMYFUNCTION("""COMPUTED_VALUE"""),"PARAWAN WANNOWY FABIAN GOLD 100")</f>
        <v>PARAWAN WANNOWY FABIAN GOLD 100</v>
      </c>
      <c r="C843" s="23"/>
      <c r="D843" s="24">
        <f ca="1">IFERROR(__xludf.DUMMYFUNCTION("""COMPUTED_VALUE"""),839)</f>
        <v>839</v>
      </c>
      <c r="E843" s="25" t="str">
        <f ca="1">IFERROR(__xludf.DUMMYFUNCTION("""COMPUTED_VALUE"""),"REA-K6526")</f>
        <v>REA-K6526</v>
      </c>
    </row>
    <row r="844" spans="1:5" x14ac:dyDescent="0.2">
      <c r="A844" s="22">
        <f ca="1">IFERROR(__xludf.DUMMYFUNCTION("""COMPUTED_VALUE"""),45378)</f>
        <v>45378</v>
      </c>
      <c r="B844" s="23" t="str">
        <f ca="1">IFERROR(__xludf.DUMMYFUNCTION("""COMPUTED_VALUE"""),"DRZWI PRYSZNICOWE HUGO BLACK 100 + ADAPTER")</f>
        <v>DRZWI PRYSZNICOWE HUGO BLACK 100 + ADAPTER</v>
      </c>
      <c r="C844" s="23"/>
      <c r="D844" s="24">
        <f ca="1">IFERROR(__xludf.DUMMYFUNCTION("""COMPUTED_VALUE"""),1269)</f>
        <v>1269</v>
      </c>
      <c r="E844" s="26"/>
    </row>
    <row r="845" spans="1:5" x14ac:dyDescent="0.2">
      <c r="A845" s="22">
        <f ca="1">IFERROR(__xludf.DUMMYFUNCTION("""COMPUTED_VALUE"""),45378)</f>
        <v>45378</v>
      </c>
      <c r="B845" s="23" t="str">
        <f ca="1">IFERROR(__xludf.DUMMYFUNCTION("""COMPUTED_VALUE"""),"DRZWI PRYSZNICOWE HUGO BLACK 100")</f>
        <v>DRZWI PRYSZNICOWE HUGO BLACK 100</v>
      </c>
      <c r="C845" s="23"/>
      <c r="D845" s="24">
        <f ca="1">IFERROR(__xludf.DUMMYFUNCTION("""COMPUTED_VALUE"""),1069)</f>
        <v>1069</v>
      </c>
      <c r="E845" s="25" t="str">
        <f ca="1">IFERROR(__xludf.DUMMYFUNCTION("""COMPUTED_VALUE"""),"REA-K6008")</f>
        <v>REA-K6008</v>
      </c>
    </row>
    <row r="846" spans="1:5" x14ac:dyDescent="0.2">
      <c r="A846" s="22">
        <f ca="1">IFERROR(__xludf.DUMMYFUNCTION("""COMPUTED_VALUE"""),45378)</f>
        <v>45378</v>
      </c>
      <c r="B846" s="23" t="str">
        <f ca="1">IFERROR(__xludf.DUMMYFUNCTION("""COMPUTED_VALUE"""),"ŚCIANKA PRYSZNICOWA BLER 120")</f>
        <v>ŚCIANKA PRYSZNICOWA BLER 120</v>
      </c>
      <c r="C846" s="23"/>
      <c r="D846" s="24">
        <f ca="1">IFERROR(__xludf.DUMMYFUNCTION("""COMPUTED_VALUE"""),999)</f>
        <v>999</v>
      </c>
      <c r="E846" s="25" t="str">
        <f ca="1">IFERROR(__xludf.DUMMYFUNCTION("""COMPUTED_VALUE"""),"REA-K7631")</f>
        <v>REA-K7631</v>
      </c>
    </row>
    <row r="847" spans="1:5" x14ac:dyDescent="0.2">
      <c r="A847" s="22">
        <f ca="1">IFERROR(__xludf.DUMMYFUNCTION("""COMPUTED_VALUE"""),45378)</f>
        <v>45378</v>
      </c>
      <c r="B847" s="23" t="str">
        <f ca="1">IFERROR(__xludf.DUMMYFUNCTION("""COMPUTED_VALUE"""),"DRZWI PRYSZNICOWE RAPID SWING CHROM 90")</f>
        <v>DRZWI PRYSZNICOWE RAPID SWING CHROM 90</v>
      </c>
      <c r="C847" s="23"/>
      <c r="D847" s="24">
        <f ca="1">IFERROR(__xludf.DUMMYFUNCTION("""COMPUTED_VALUE"""),859)</f>
        <v>859</v>
      </c>
      <c r="E847" s="25" t="str">
        <f ca="1">IFERROR(__xludf.DUMMYFUNCTION("""COMPUTED_VALUE"""),"REA-K5606")</f>
        <v>REA-K5606</v>
      </c>
    </row>
    <row r="848" spans="1:5" x14ac:dyDescent="0.2">
      <c r="A848" s="22">
        <f ca="1">IFERROR(__xludf.DUMMYFUNCTION("""COMPUTED_VALUE"""),45378)</f>
        <v>45378</v>
      </c>
      <c r="B848" s="23" t="str">
        <f ca="1">IFERROR(__xludf.DUMMYFUNCTION("""COMPUTED_VALUE"""),"KABINA FARGO BLACK 80X100 U")</f>
        <v>KABINA FARGO BLACK 80X100 U</v>
      </c>
      <c r="C848" s="23"/>
      <c r="D848" s="24">
        <f ca="1">IFERROR(__xludf.DUMMYFUNCTION("""COMPUTED_VALUE"""),1629)</f>
        <v>1629</v>
      </c>
      <c r="E848" s="25" t="str">
        <f ca="1">IFERROR(__xludf.DUMMYFUNCTION("""COMPUTED_VALUE"""),"REA-K6950")</f>
        <v>REA-K6950</v>
      </c>
    </row>
    <row r="849" spans="1:5" x14ac:dyDescent="0.2">
      <c r="A849" s="22">
        <f ca="1">IFERROR(__xludf.DUMMYFUNCTION("""COMPUTED_VALUE"""),45378)</f>
        <v>45378</v>
      </c>
      <c r="B849" s="23" t="str">
        <f ca="1">IFERROR(__xludf.DUMMYFUNCTION("""COMPUTED_VALUE"""),"DRZWI PRYSZNICOWE MOLIER 90 BLACK + ADAPTER")</f>
        <v>DRZWI PRYSZNICOWE MOLIER 90 BLACK + ADAPTER</v>
      </c>
      <c r="C849" s="23"/>
      <c r="D849" s="24">
        <f ca="1">IFERROR(__xludf.DUMMYFUNCTION("""COMPUTED_VALUE"""),1099)</f>
        <v>1099</v>
      </c>
      <c r="E849" s="26"/>
    </row>
    <row r="850" spans="1:5" x14ac:dyDescent="0.2">
      <c r="A850" s="22">
        <f ca="1">IFERROR(__xludf.DUMMYFUNCTION("""COMPUTED_VALUE"""),45378)</f>
        <v>45378</v>
      </c>
      <c r="B850" s="23" t="str">
        <f ca="1">IFERROR(__xludf.DUMMYFUNCTION("""COMPUTED_VALUE"""),"DRZWI PRYSZNICOWE MOLIER 90 BLACK")</f>
        <v>DRZWI PRYSZNICOWE MOLIER 90 BLACK</v>
      </c>
      <c r="C850" s="23"/>
      <c r="D850" s="24">
        <f ca="1">IFERROR(__xludf.DUMMYFUNCTION("""COMPUTED_VALUE"""),929)</f>
        <v>929</v>
      </c>
      <c r="E850" s="25" t="str">
        <f ca="1">IFERROR(__xludf.DUMMYFUNCTION("""COMPUTED_VALUE"""),"REA-K8538")</f>
        <v>REA-K8538</v>
      </c>
    </row>
    <row r="851" spans="1:5" x14ac:dyDescent="0.2">
      <c r="A851" s="22">
        <f ca="1">IFERROR(__xludf.DUMMYFUNCTION("""COMPUTED_VALUE"""),45378)</f>
        <v>45378</v>
      </c>
      <c r="B851" s="23" t="str">
        <f ca="1">IFERROR(__xludf.DUMMYFUNCTION("""COMPUTED_VALUE"""),"ŚCIANKA PRYSZNICOWA AERO 100 GOLD")</f>
        <v>ŚCIANKA PRYSZNICOWA AERO 100 GOLD</v>
      </c>
      <c r="C851" s="23"/>
      <c r="D851" s="24">
        <f ca="1">IFERROR(__xludf.DUMMYFUNCTION("""COMPUTED_VALUE"""),979)</f>
        <v>979</v>
      </c>
      <c r="E851" s="25" t="str">
        <f ca="1">IFERROR(__xludf.DUMMYFUNCTION("""COMPUTED_VALUE"""),"REA-K8440")</f>
        <v>REA-K8440</v>
      </c>
    </row>
    <row r="852" spans="1:5" x14ac:dyDescent="0.2">
      <c r="A852" s="22">
        <f ca="1">IFERROR(__xludf.DUMMYFUNCTION("""COMPUTED_VALUE"""),45378)</f>
        <v>45378</v>
      </c>
      <c r="B852" s="23" t="str">
        <f ca="1">IFERROR(__xludf.DUMMYFUNCTION("""COMPUTED_VALUE"""),"KABINA FARGO BLACK 90X90 U")</f>
        <v>KABINA FARGO BLACK 90X90 U</v>
      </c>
      <c r="C852" s="23"/>
      <c r="D852" s="24">
        <f ca="1">IFERROR(__xludf.DUMMYFUNCTION("""COMPUTED_VALUE"""),1599)</f>
        <v>1599</v>
      </c>
      <c r="E852" s="25" t="str">
        <f ca="1">IFERROR(__xludf.DUMMYFUNCTION("""COMPUTED_VALUE"""),"REA-K6318")</f>
        <v>REA-K6318</v>
      </c>
    </row>
    <row r="853" spans="1:5" x14ac:dyDescent="0.2">
      <c r="A853" s="22">
        <f ca="1">IFERROR(__xludf.DUMMYFUNCTION("""COMPUTED_VALUE"""),45378)</f>
        <v>45378</v>
      </c>
      <c r="B853" s="23" t="str">
        <f ca="1">IFERROR(__xludf.DUMMYFUNCTION("""COMPUTED_VALUE"""),"DRZWI PRYSZNICOWE RAPID SWING 80")</f>
        <v>DRZWI PRYSZNICOWE RAPID SWING 80</v>
      </c>
      <c r="C853" s="23"/>
      <c r="D853" s="24">
        <f ca="1">IFERROR(__xludf.DUMMYFUNCTION("""COMPUTED_VALUE"""),859)</f>
        <v>859</v>
      </c>
      <c r="E853" s="25" t="str">
        <f ca="1">IFERROR(__xludf.DUMMYFUNCTION("""COMPUTED_VALUE"""),"REA-K6408")</f>
        <v>REA-K6408</v>
      </c>
    </row>
    <row r="854" spans="1:5" x14ac:dyDescent="0.2">
      <c r="A854" s="22">
        <f ca="1">IFERROR(__xludf.DUMMYFUNCTION("""COMPUTED_VALUE"""),45378)</f>
        <v>45378</v>
      </c>
      <c r="B854" s="23" t="str">
        <f ca="1">IFERROR(__xludf.DUMMYFUNCTION("""COMPUTED_VALUE"""),"DRZWI PRYSZNICOWE RAPID SWING 70")</f>
        <v>DRZWI PRYSZNICOWE RAPID SWING 70</v>
      </c>
      <c r="C854" s="23"/>
      <c r="D854" s="24">
        <f ca="1">IFERROR(__xludf.DUMMYFUNCTION("""COMPUTED_VALUE"""),829)</f>
        <v>829</v>
      </c>
      <c r="E854" s="25" t="str">
        <f ca="1">IFERROR(__xludf.DUMMYFUNCTION("""COMPUTED_VALUE"""),"REA-K6407")</f>
        <v>REA-K6407</v>
      </c>
    </row>
    <row r="855" spans="1:5" x14ac:dyDescent="0.2">
      <c r="A855" s="22">
        <f ca="1">IFERROR(__xludf.DUMMYFUNCTION("""COMPUTED_VALUE"""),45378)</f>
        <v>45378</v>
      </c>
      <c r="B855" s="23" t="str">
        <f ca="1">IFERROR(__xludf.DUMMYFUNCTION("""COMPUTED_VALUE"""),"ŚCIANKA PRYSZNICOWA MOLIER 90 BLACK")</f>
        <v>ŚCIANKA PRYSZNICOWA MOLIER 90 BLACK</v>
      </c>
      <c r="C855" s="23"/>
      <c r="D855" s="24">
        <f ca="1">IFERROR(__xludf.DUMMYFUNCTION("""COMPUTED_VALUE"""),630)</f>
        <v>630</v>
      </c>
      <c r="E855" s="25" t="str">
        <f ca="1">IFERROR(__xludf.DUMMYFUNCTION("""COMPUTED_VALUE"""),"REA-K8531")</f>
        <v>REA-K8531</v>
      </c>
    </row>
    <row r="856" spans="1:5" x14ac:dyDescent="0.2">
      <c r="A856" s="22">
        <f ca="1">IFERROR(__xludf.DUMMYFUNCTION("""COMPUTED_VALUE"""),45378)</f>
        <v>45378</v>
      </c>
      <c r="B856" s="23" t="str">
        <f ca="1">IFERROR(__xludf.DUMMYFUNCTION("""COMPUTED_VALUE"""),"ŚCIANKA DO KABINY NIXON-2  80")</f>
        <v>ŚCIANKA DO KABINY NIXON-2  80</v>
      </c>
      <c r="C856" s="23"/>
      <c r="D856" s="24">
        <f ca="1">IFERROR(__xludf.DUMMYFUNCTION("""COMPUTED_VALUE"""),580)</f>
        <v>580</v>
      </c>
      <c r="E856" s="25" t="str">
        <f ca="1">IFERROR(__xludf.DUMMYFUNCTION("""COMPUTED_VALUE"""),"REA-K5010")</f>
        <v>REA-K5010</v>
      </c>
    </row>
    <row r="857" spans="1:5" x14ac:dyDescent="0.2">
      <c r="A857" s="22">
        <f ca="1">IFERROR(__xludf.DUMMYFUNCTION("""COMPUTED_VALUE"""),45378)</f>
        <v>45378</v>
      </c>
      <c r="B857" s="23" t="str">
        <f ca="1">IFERROR(__xludf.DUMMYFUNCTION("""COMPUTED_VALUE"""),"DRZWI PRYSZNICOWE NIXON-2  120 P")</f>
        <v>DRZWI PRYSZNICOWE NIXON-2  120 P</v>
      </c>
      <c r="C857" s="23"/>
      <c r="D857" s="24">
        <f ca="1">IFERROR(__xludf.DUMMYFUNCTION("""COMPUTED_VALUE"""),1219)</f>
        <v>1219</v>
      </c>
      <c r="E857" s="25" t="str">
        <f ca="1">IFERROR(__xludf.DUMMYFUNCTION("""COMPUTED_VALUE"""),"REA-K5003")</f>
        <v>REA-K5003</v>
      </c>
    </row>
    <row r="858" spans="1:5" x14ac:dyDescent="0.2">
      <c r="A858" s="22">
        <f ca="1">IFERROR(__xludf.DUMMYFUNCTION("""COMPUTED_VALUE"""),45378)</f>
        <v>45378</v>
      </c>
      <c r="B858" s="23" t="str">
        <f ca="1">IFERROR(__xludf.DUMMYFUNCTION("""COMPUTED_VALUE"""),"DRZWI PRYSZNICOWE NIXON-2  120 L")</f>
        <v>DRZWI PRYSZNICOWE NIXON-2  120 L</v>
      </c>
      <c r="C858" s="23"/>
      <c r="D858" s="24">
        <f ca="1">IFERROR(__xludf.DUMMYFUNCTION("""COMPUTED_VALUE"""),1219)</f>
        <v>1219</v>
      </c>
      <c r="E858" s="25" t="str">
        <f ca="1">IFERROR(__xludf.DUMMYFUNCTION("""COMPUTED_VALUE"""),"REA-K5002")</f>
        <v>REA-K5002</v>
      </c>
    </row>
    <row r="859" spans="1:5" x14ac:dyDescent="0.2">
      <c r="A859" s="22">
        <f ca="1">IFERROR(__xludf.DUMMYFUNCTION("""COMPUTED_VALUE"""),45376)</f>
        <v>45376</v>
      </c>
      <c r="B859" s="23" t="str">
        <f ca="1">IFERROR(__xludf.DUMMYFUNCTION("""COMPUTED_VALUE"""),"ZESTAW NATRYSKOWY TOM ZŁOTY SZCZOTKOWANY")</f>
        <v>ZESTAW NATRYSKOWY TOM ZŁOTY SZCZOTKOWANY</v>
      </c>
      <c r="C859" s="23"/>
      <c r="D859" s="24">
        <f ca="1">IFERROR(__xludf.DUMMYFUNCTION("""COMPUTED_VALUE"""),839)</f>
        <v>839</v>
      </c>
      <c r="E859" s="25" t="str">
        <f ca="1">IFERROR(__xludf.DUMMYFUNCTION("""COMPUTED_VALUE"""),"REA-P5004")</f>
        <v>REA-P5004</v>
      </c>
    </row>
    <row r="860" spans="1:5" x14ac:dyDescent="0.2">
      <c r="A860" s="22"/>
      <c r="B860" s="23" t="str">
        <f ca="1">IFERROR(__xludf.DUMMYFUNCTION("""COMPUTED_VALUE"""),"WC - JULIO RIMLESS DUROPLAST/FLAT/ZM BLACK MATT")</f>
        <v>WC - JULIO RIMLESS DUROPLAST/FLAT/ZM BLACK MATT</v>
      </c>
      <c r="C860" s="23"/>
      <c r="D860" s="24">
        <f ca="1">IFERROR(__xludf.DUMMYFUNCTION("""COMPUTED_VALUE"""),999)</f>
        <v>999</v>
      </c>
      <c r="E860" s="25" t="str">
        <f ca="1">IFERROR(__xludf.DUMMYFUNCTION("""COMPUTED_VALUE"""),"REA-C6550")</f>
        <v>REA-C6550</v>
      </c>
    </row>
    <row r="861" spans="1:5" x14ac:dyDescent="0.2">
      <c r="A861" s="22"/>
      <c r="B861" s="23" t="str">
        <f ca="1">IFERROR(__xludf.DUMMYFUNCTION("""COMPUTED_VALUE"""),"ZESTAW NATRYSKOWY BERGAMO BRĄZ ANTYCZNY ")</f>
        <v xml:space="preserve">ZESTAW NATRYSKOWY BERGAMO BRĄZ ANTYCZNY </v>
      </c>
      <c r="C861" s="23"/>
      <c r="D861" s="24">
        <f ca="1">IFERROR(__xludf.DUMMYFUNCTION("""COMPUTED_VALUE"""),1059)</f>
        <v>1059</v>
      </c>
      <c r="E861" s="25" t="str">
        <f ca="1">IFERROR(__xludf.DUMMYFUNCTION("""COMPUTED_VALUE"""),"REA-P5002")</f>
        <v>REA-P5002</v>
      </c>
    </row>
    <row r="862" spans="1:5" x14ac:dyDescent="0.2">
      <c r="A862" s="22"/>
      <c r="B862" s="23" t="str">
        <f ca="1">IFERROR(__xludf.DUMMYFUNCTION("""COMPUTED_VALUE"""),"ZESTAW NATRYSKOWY BERGAMO CZARNY PRZECIERANY")</f>
        <v>ZESTAW NATRYSKOWY BERGAMO CZARNY PRZECIERANY</v>
      </c>
      <c r="C862" s="23"/>
      <c r="D862" s="24">
        <f ca="1">IFERROR(__xludf.DUMMYFUNCTION("""COMPUTED_VALUE"""),999)</f>
        <v>999</v>
      </c>
      <c r="E862" s="25" t="str">
        <f ca="1">IFERROR(__xludf.DUMMYFUNCTION("""COMPUTED_VALUE"""),"REA-P5001")</f>
        <v>REA-P5001</v>
      </c>
    </row>
    <row r="863" spans="1:5" x14ac:dyDescent="0.2">
      <c r="A863" s="22"/>
      <c r="B863" s="23" t="str">
        <f ca="1">IFERROR(__xludf.DUMMYFUNCTION("""COMPUTED_VALUE"""),"PRZEDŁUŻKA OBROTOWA COLT CHROM ")</f>
        <v xml:space="preserve">PRZEDŁUŻKA OBROTOWA COLT CHROM </v>
      </c>
      <c r="C863" s="23"/>
      <c r="D863" s="24">
        <f ca="1">IFERROR(__xludf.DUMMYFUNCTION("""COMPUTED_VALUE"""),59)</f>
        <v>59</v>
      </c>
      <c r="E863" s="25" t="str">
        <f ca="1">IFERROR(__xludf.DUMMYFUNCTION("""COMPUTED_VALUE"""),"REA-B0660")</f>
        <v>REA-B0660</v>
      </c>
    </row>
    <row r="864" spans="1:5" x14ac:dyDescent="0.2">
      <c r="A864" s="22">
        <f ca="1">IFERROR(__xludf.DUMMYFUNCTION("""COMPUTED_VALUE"""),45366)</f>
        <v>45366</v>
      </c>
      <c r="B864" s="23" t="str">
        <f ca="1">IFERROR(__xludf.DUMMYFUNCTION("""COMPUTED_VALUE"""),"DRZWI PRYSZNICOWE MOLIER 100 CHROM")</f>
        <v>DRZWI PRYSZNICOWE MOLIER 100 CHROM</v>
      </c>
      <c r="C864" s="23"/>
      <c r="D864" s="24">
        <f ca="1">IFERROR(__xludf.DUMMYFUNCTION("""COMPUTED_VALUE"""),929)</f>
        <v>929</v>
      </c>
      <c r="E864" s="25" t="str">
        <f ca="1">IFERROR(__xludf.DUMMYFUNCTION("""COMPUTED_VALUE"""),"REA-K6371")</f>
        <v>REA-K6371</v>
      </c>
    </row>
    <row r="865" spans="1:5" x14ac:dyDescent="0.2">
      <c r="A865" s="22">
        <f ca="1">IFERROR(__xludf.DUMMYFUNCTION("""COMPUTED_VALUE"""),45366)</f>
        <v>45366</v>
      </c>
      <c r="B865" s="23" t="str">
        <f ca="1">IFERROR(__xludf.DUMMYFUNCTION("""COMPUTED_VALUE"""),"DRZWI PRYSZNICOWE MOLIER CHROM 100 + ADAPTER")</f>
        <v>DRZWI PRYSZNICOWE MOLIER CHROM 100 + ADAPTER</v>
      </c>
      <c r="C865" s="23"/>
      <c r="D865" s="24">
        <f ca="1">IFERROR(__xludf.DUMMYFUNCTION("""COMPUTED_VALUE"""),1089)</f>
        <v>1089</v>
      </c>
      <c r="E865" s="26"/>
    </row>
    <row r="866" spans="1:5" x14ac:dyDescent="0.2">
      <c r="A866" s="22">
        <f ca="1">IFERROR(__xludf.DUMMYFUNCTION("""COMPUTED_VALUE"""),45366)</f>
        <v>45366</v>
      </c>
      <c r="B866" s="23" t="str">
        <f ca="1">IFERROR(__xludf.DUMMYFUNCTION("""COMPUTED_VALUE"""),"BRODZIK DIAMOND 90*90*5cm WHITE")</f>
        <v>BRODZIK DIAMOND 90*90*5cm WHITE</v>
      </c>
      <c r="C866" s="23"/>
      <c r="D866" s="24">
        <f ca="1">IFERROR(__xludf.DUMMYFUNCTION("""COMPUTED_VALUE"""),629)</f>
        <v>629</v>
      </c>
      <c r="E866" s="25" t="str">
        <f ca="1">IFERROR(__xludf.DUMMYFUNCTION("""COMPUTED_VALUE"""),"REA-K6522")</f>
        <v>REA-K6522</v>
      </c>
    </row>
    <row r="867" spans="1:5" x14ac:dyDescent="0.2">
      <c r="A867" s="22">
        <f ca="1">IFERROR(__xludf.DUMMYFUNCTION("""COMPUTED_VALUE"""),45366)</f>
        <v>45366</v>
      </c>
      <c r="B867" s="23" t="str">
        <f ca="1">IFERROR(__xludf.DUMMYFUNCTION("""COMPUTED_VALUE"""),"BRODZIK DIAMOND 80*80*5cm WHITE")</f>
        <v>BRODZIK DIAMOND 80*80*5cm WHITE</v>
      </c>
      <c r="C867" s="23"/>
      <c r="D867" s="24">
        <f ca="1">IFERROR(__xludf.DUMMYFUNCTION("""COMPUTED_VALUE"""),599)</f>
        <v>599</v>
      </c>
      <c r="E867" s="25" t="str">
        <f ca="1">IFERROR(__xludf.DUMMYFUNCTION("""COMPUTED_VALUE"""),"REA-K8544")</f>
        <v>REA-K8544</v>
      </c>
    </row>
    <row r="868" spans="1:5" x14ac:dyDescent="0.2">
      <c r="A868" s="22">
        <f ca="1">IFERROR(__xludf.DUMMYFUNCTION("""COMPUTED_VALUE"""),45366)</f>
        <v>45366</v>
      </c>
      <c r="B868" s="23" t="str">
        <f ca="1">IFERROR(__xludf.DUMMYFUNCTION("""COMPUTED_VALUE"""),"DRZWI PRYSZNICOWE RAPID SWING 100")</f>
        <v>DRZWI PRYSZNICOWE RAPID SWING 100</v>
      </c>
      <c r="C868" s="23"/>
      <c r="D868" s="24">
        <f ca="1">IFERROR(__xludf.DUMMYFUNCTION("""COMPUTED_VALUE"""),919)</f>
        <v>919</v>
      </c>
      <c r="E868" s="25" t="str">
        <f ca="1">IFERROR(__xludf.DUMMYFUNCTION("""COMPUTED_VALUE"""),"REA-K6410")</f>
        <v>REA-K6410</v>
      </c>
    </row>
    <row r="869" spans="1:5" x14ac:dyDescent="0.2">
      <c r="A869" s="22">
        <f ca="1">IFERROR(__xludf.DUMMYFUNCTION("""COMPUTED_VALUE"""),45366)</f>
        <v>45366</v>
      </c>
      <c r="B869" s="23" t="str">
        <f ca="1">IFERROR(__xludf.DUMMYFUNCTION("""COMPUTED_VALUE"""),"DRZWI PRYSZNICOWE RAPID SWING 90")</f>
        <v>DRZWI PRYSZNICOWE RAPID SWING 90</v>
      </c>
      <c r="C869" s="23"/>
      <c r="D869" s="24">
        <f ca="1">IFERROR(__xludf.DUMMYFUNCTION("""COMPUTED_VALUE"""),889)</f>
        <v>889</v>
      </c>
      <c r="E869" s="25" t="str">
        <f ca="1">IFERROR(__xludf.DUMMYFUNCTION("""COMPUTED_VALUE"""),"REA-K6409")</f>
        <v>REA-K6409</v>
      </c>
    </row>
    <row r="870" spans="1:5" x14ac:dyDescent="0.2">
      <c r="A870" s="22">
        <f ca="1">IFERROR(__xludf.DUMMYFUNCTION("""COMPUTED_VALUE"""),45366)</f>
        <v>45366</v>
      </c>
      <c r="B870" s="23" t="str">
        <f ca="1">IFERROR(__xludf.DUMMYFUNCTION("""COMPUTED_VALUE"""),"DRZWI PRYSZNICOWE RAPID SWING 80")</f>
        <v>DRZWI PRYSZNICOWE RAPID SWING 80</v>
      </c>
      <c r="C870" s="23"/>
      <c r="D870" s="24">
        <f ca="1">IFERROR(__xludf.DUMMYFUNCTION("""COMPUTED_VALUE"""),859)</f>
        <v>859</v>
      </c>
      <c r="E870" s="25" t="str">
        <f ca="1">IFERROR(__xludf.DUMMYFUNCTION("""COMPUTED_VALUE"""),"REA-K6408")</f>
        <v>REA-K6408</v>
      </c>
    </row>
    <row r="871" spans="1:5" x14ac:dyDescent="0.2">
      <c r="A871" s="22">
        <f ca="1">IFERROR(__xludf.DUMMYFUNCTION("""COMPUTED_VALUE"""),45366)</f>
        <v>45366</v>
      </c>
      <c r="B871" s="23" t="str">
        <f ca="1">IFERROR(__xludf.DUMMYFUNCTION("""COMPUTED_VALUE"""),"DRZWI PRYSZNICOWE RAPID SLIDE GOLD 120")</f>
        <v>DRZWI PRYSZNICOWE RAPID SLIDE GOLD 120</v>
      </c>
      <c r="C871" s="23"/>
      <c r="D871" s="24">
        <f ca="1">IFERROR(__xludf.DUMMYFUNCTION("""COMPUTED_VALUE"""),999)</f>
        <v>999</v>
      </c>
      <c r="E871" s="25" t="str">
        <f ca="1">IFERROR(__xludf.DUMMYFUNCTION("""COMPUTED_VALUE"""),"REA-K5614")</f>
        <v>REA-K5614</v>
      </c>
    </row>
    <row r="872" spans="1:5" x14ac:dyDescent="0.2">
      <c r="A872" s="22">
        <f ca="1">IFERROR(__xludf.DUMMYFUNCTION("""COMPUTED_VALUE"""),45366)</f>
        <v>45366</v>
      </c>
      <c r="B872" s="23" t="str">
        <f ca="1">IFERROR(__xludf.DUMMYFUNCTION("""COMPUTED_VALUE"""),"DRZWI PRYSZNICOWE RAPID SLIDE 130")</f>
        <v>DRZWI PRYSZNICOWE RAPID SLIDE 130</v>
      </c>
      <c r="C872" s="23"/>
      <c r="D872" s="24">
        <f ca="1">IFERROR(__xludf.DUMMYFUNCTION("""COMPUTED_VALUE"""),999)</f>
        <v>999</v>
      </c>
      <c r="E872" s="25" t="str">
        <f ca="1">IFERROR(__xludf.DUMMYFUNCTION("""COMPUTED_VALUE"""),"REA-K6403")</f>
        <v>REA-K6403</v>
      </c>
    </row>
    <row r="873" spans="1:5" x14ac:dyDescent="0.2">
      <c r="A873" s="22">
        <f ca="1">IFERROR(__xludf.DUMMYFUNCTION("""COMPUTED_VALUE"""),45366)</f>
        <v>45366</v>
      </c>
      <c r="B873" s="23" t="str">
        <f ca="1">IFERROR(__xludf.DUMMYFUNCTION("""COMPUTED_VALUE"""),"DRZWI PRYSZNICOWE RAPID SLIDE CHROM 130")</f>
        <v>DRZWI PRYSZNICOWE RAPID SLIDE CHROM 130</v>
      </c>
      <c r="C873" s="23"/>
      <c r="D873" s="24">
        <f ca="1">IFERROR(__xludf.DUMMYFUNCTION("""COMPUTED_VALUE"""),929)</f>
        <v>929</v>
      </c>
      <c r="E873" s="25" t="str">
        <f ca="1">IFERROR(__xludf.DUMMYFUNCTION("""COMPUTED_VALUE"""),"REA-K5603")</f>
        <v>REA-K5603</v>
      </c>
    </row>
    <row r="874" spans="1:5" x14ac:dyDescent="0.2">
      <c r="A874" s="22">
        <f ca="1">IFERROR(__xludf.DUMMYFUNCTION("""COMPUTED_VALUE"""),45366)</f>
        <v>45366</v>
      </c>
      <c r="B874" s="23" t="str">
        <f ca="1">IFERROR(__xludf.DUMMYFUNCTION("""COMPUTED_VALUE"""),"DRZWI PRYSZNICOWE RAPID SLIDE CHROM 120")</f>
        <v>DRZWI PRYSZNICOWE RAPID SLIDE CHROM 120</v>
      </c>
      <c r="C874" s="23"/>
      <c r="D874" s="24">
        <f ca="1">IFERROR(__xludf.DUMMYFUNCTION("""COMPUTED_VALUE"""),909)</f>
        <v>909</v>
      </c>
      <c r="E874" s="25" t="str">
        <f ca="1">IFERROR(__xludf.DUMMYFUNCTION("""COMPUTED_VALUE"""),"REA-K5602")</f>
        <v>REA-K5602</v>
      </c>
    </row>
    <row r="875" spans="1:5" x14ac:dyDescent="0.2">
      <c r="A875" s="22">
        <f ca="1">IFERROR(__xludf.DUMMYFUNCTION("""COMPUTED_VALUE"""),45366)</f>
        <v>45366</v>
      </c>
      <c r="B875" s="23" t="str">
        <f ca="1">IFERROR(__xludf.DUMMYFUNCTION("""COMPUTED_VALUE"""),"DRZWI PRYSZNICOWE RAPID SLIDE CHROM 110")</f>
        <v>DRZWI PRYSZNICOWE RAPID SLIDE CHROM 110</v>
      </c>
      <c r="C875" s="23"/>
      <c r="D875" s="24">
        <f ca="1">IFERROR(__xludf.DUMMYFUNCTION("""COMPUTED_VALUE"""),899)</f>
        <v>899</v>
      </c>
      <c r="E875" s="25" t="str">
        <f ca="1">IFERROR(__xludf.DUMMYFUNCTION("""COMPUTED_VALUE"""),"REA-K5601")</f>
        <v>REA-K5601</v>
      </c>
    </row>
    <row r="876" spans="1:5" x14ac:dyDescent="0.2">
      <c r="A876" s="22">
        <f ca="1">IFERROR(__xludf.DUMMYFUNCTION("""COMPUTED_VALUE"""),45366)</f>
        <v>45366</v>
      </c>
      <c r="B876" s="23" t="str">
        <f ca="1">IFERROR(__xludf.DUMMYFUNCTION("""COMPUTED_VALUE"""),"KABINA SOLAR BLACK 90X120")</f>
        <v>KABINA SOLAR BLACK 90X120</v>
      </c>
      <c r="C876" s="23"/>
      <c r="D876" s="24">
        <f ca="1">IFERROR(__xludf.DUMMYFUNCTION("""COMPUTED_VALUE"""),1279)</f>
        <v>1279</v>
      </c>
      <c r="E876" s="25" t="str">
        <f ca="1">IFERROR(__xludf.DUMMYFUNCTION("""COMPUTED_VALUE"""),"REA-K6311")</f>
        <v>REA-K6311</v>
      </c>
    </row>
    <row r="877" spans="1:5" x14ac:dyDescent="0.2">
      <c r="A877" s="22">
        <f ca="1">IFERROR(__xludf.DUMMYFUNCTION("""COMPUTED_VALUE"""),45366)</f>
        <v>45366</v>
      </c>
      <c r="B877" s="23" t="str">
        <f ca="1">IFERROR(__xludf.DUMMYFUNCTION("""COMPUTED_VALUE"""),"KABINA SOLAR BLACK 80X100")</f>
        <v>KABINA SOLAR BLACK 80X100</v>
      </c>
      <c r="C877" s="23"/>
      <c r="D877" s="24">
        <f ca="1">IFERROR(__xludf.DUMMYFUNCTION("""COMPUTED_VALUE"""),1189)</f>
        <v>1189</v>
      </c>
      <c r="E877" s="25" t="str">
        <f ca="1">IFERROR(__xludf.DUMMYFUNCTION("""COMPUTED_VALUE"""),"REA-K6310")</f>
        <v>REA-K6310</v>
      </c>
    </row>
    <row r="878" spans="1:5" x14ac:dyDescent="0.2">
      <c r="A878" s="22">
        <f ca="1">IFERROR(__xludf.DUMMYFUNCTION("""COMPUTED_VALUE"""),45366)</f>
        <v>45366</v>
      </c>
      <c r="B878" s="23" t="str">
        <f ca="1">IFERROR(__xludf.DUMMYFUNCTION("""COMPUTED_VALUE"""),"KABINA FOLD N2 90*90 TRANSP")</f>
        <v>KABINA FOLD N2 90*90 TRANSP</v>
      </c>
      <c r="C878" s="23"/>
      <c r="D878" s="24">
        <f ca="1">IFERROR(__xludf.DUMMYFUNCTION("""COMPUTED_VALUE"""),1599)</f>
        <v>1599</v>
      </c>
      <c r="E878" s="25" t="str">
        <f ca="1">IFERROR(__xludf.DUMMYFUNCTION("""COMPUTED_VALUE"""),"REA-K9991")</f>
        <v>REA-K9991</v>
      </c>
    </row>
    <row r="879" spans="1:5" x14ac:dyDescent="0.2">
      <c r="A879" s="22">
        <f ca="1">IFERROR(__xludf.DUMMYFUNCTION("""COMPUTED_VALUE"""),45366)</f>
        <v>45366</v>
      </c>
      <c r="B879" s="23" t="str">
        <f ca="1">IFERROR(__xludf.DUMMYFUNCTION("""COMPUTED_VALUE"""),"MODUŁ KABINY FOLD N2 110")</f>
        <v>MODUŁ KABINY FOLD N2 110</v>
      </c>
      <c r="C879" s="23"/>
      <c r="D879" s="24">
        <f ca="1">IFERROR(__xludf.DUMMYFUNCTION("""COMPUTED_VALUE"""),899)</f>
        <v>899</v>
      </c>
      <c r="E879" s="25" t="str">
        <f ca="1">IFERROR(__xludf.DUMMYFUNCTION("""COMPUTED_VALUE"""),"REA-K7438")</f>
        <v>REA-K7438</v>
      </c>
    </row>
    <row r="880" spans="1:5" x14ac:dyDescent="0.2">
      <c r="A880" s="22">
        <f ca="1">IFERROR(__xludf.DUMMYFUNCTION("""COMPUTED_VALUE"""),45366)</f>
        <v>45366</v>
      </c>
      <c r="B880" s="23" t="str">
        <f ca="1">IFERROR(__xludf.DUMMYFUNCTION("""COMPUTED_VALUE"""),"MODUŁ KABINY FOLD N2 100")</f>
        <v>MODUŁ KABINY FOLD N2 100</v>
      </c>
      <c r="C880" s="23"/>
      <c r="D880" s="24">
        <f ca="1">IFERROR(__xludf.DUMMYFUNCTION("""COMPUTED_VALUE"""),869)</f>
        <v>869</v>
      </c>
      <c r="E880" s="25" t="str">
        <f ca="1">IFERROR(__xludf.DUMMYFUNCTION("""COMPUTED_VALUE"""),"REA-K7439")</f>
        <v>REA-K7439</v>
      </c>
    </row>
    <row r="881" spans="1:5" x14ac:dyDescent="0.2">
      <c r="A881" s="22">
        <f ca="1">IFERROR(__xludf.DUMMYFUNCTION("""COMPUTED_VALUE"""),45366)</f>
        <v>45366</v>
      </c>
      <c r="B881" s="23" t="str">
        <f ca="1">IFERROR(__xludf.DUMMYFUNCTION("""COMPUTED_VALUE"""),"MODUŁ KABINY FOLD N2 90")</f>
        <v>MODUŁ KABINY FOLD N2 90</v>
      </c>
      <c r="C881" s="23"/>
      <c r="D881" s="24">
        <f ca="1">IFERROR(__xludf.DUMMYFUNCTION("""COMPUTED_VALUE"""),859)</f>
        <v>859</v>
      </c>
      <c r="E881" s="25" t="str">
        <f ca="1">IFERROR(__xludf.DUMMYFUNCTION("""COMPUTED_VALUE"""),"REA-K7442")</f>
        <v>REA-K7442</v>
      </c>
    </row>
    <row r="882" spans="1:5" x14ac:dyDescent="0.2">
      <c r="A882" s="22">
        <f ca="1">IFERROR(__xludf.DUMMYFUNCTION("""COMPUTED_VALUE"""),45366)</f>
        <v>45366</v>
      </c>
      <c r="B882" s="23" t="str">
        <f ca="1">IFERROR(__xludf.DUMMYFUNCTION("""COMPUTED_VALUE"""),"MODUŁ KABINY FOLD N2 70")</f>
        <v>MODUŁ KABINY FOLD N2 70</v>
      </c>
      <c r="C882" s="23"/>
      <c r="D882" s="24">
        <f ca="1">IFERROR(__xludf.DUMMYFUNCTION("""COMPUTED_VALUE"""),779)</f>
        <v>779</v>
      </c>
      <c r="E882" s="25" t="str">
        <f ca="1">IFERROR(__xludf.DUMMYFUNCTION("""COMPUTED_VALUE"""),"REA-K7444")</f>
        <v>REA-K7444</v>
      </c>
    </row>
    <row r="883" spans="1:5" x14ac:dyDescent="0.2">
      <c r="A883" s="22">
        <f ca="1">IFERROR(__xludf.DUMMYFUNCTION("""COMPUTED_VALUE"""),45366)</f>
        <v>45366</v>
      </c>
      <c r="B883" s="23" t="str">
        <f ca="1">IFERROR(__xludf.DUMMYFUNCTION("""COMPUTED_VALUE"""),"BATERIA UMYWALKOWA MONACO ZŁOTA NISKA")</f>
        <v>BATERIA UMYWALKOWA MONACO ZŁOTA NISKA</v>
      </c>
      <c r="C883" s="23"/>
      <c r="D883" s="24">
        <f ca="1">IFERROR(__xludf.DUMMYFUNCTION("""COMPUTED_VALUE"""),399)</f>
        <v>399</v>
      </c>
      <c r="E883" s="25" t="str">
        <f ca="1">IFERROR(__xludf.DUMMYFUNCTION("""COMPUTED_VALUE"""),"REA-B2501")</f>
        <v>REA-B2501</v>
      </c>
    </row>
    <row r="884" spans="1:5" x14ac:dyDescent="0.2">
      <c r="A884" s="22">
        <f ca="1">IFERROR(__xludf.DUMMYFUNCTION("""COMPUTED_VALUE"""),45366)</f>
        <v>45366</v>
      </c>
      <c r="B884" s="23" t="str">
        <f ca="1">IFERROR(__xludf.DUMMYFUNCTION("""COMPUTED_VALUE"""),"BATERIA UMYWALKOWA MONACO ZŁOTA WYSOKA")</f>
        <v>BATERIA UMYWALKOWA MONACO ZŁOTA WYSOKA</v>
      </c>
      <c r="C884" s="23"/>
      <c r="D884" s="24">
        <f ca="1">IFERROR(__xludf.DUMMYFUNCTION("""COMPUTED_VALUE"""),499)</f>
        <v>499</v>
      </c>
      <c r="E884" s="25" t="str">
        <f ca="1">IFERROR(__xludf.DUMMYFUNCTION("""COMPUTED_VALUE"""),"REA-B2502")</f>
        <v>REA-B2502</v>
      </c>
    </row>
    <row r="885" spans="1:5" x14ac:dyDescent="0.2">
      <c r="A885" s="22">
        <f ca="1">IFERROR(__xludf.DUMMYFUNCTION("""COMPUTED_VALUE"""),45366)</f>
        <v>45366</v>
      </c>
      <c r="B885" s="23" t="str">
        <f ca="1">IFERROR(__xludf.DUMMYFUNCTION("""COMPUTED_VALUE"""),"BATERIA UMYWALKOWA MONACO CHROM WYSOKA")</f>
        <v>BATERIA UMYWALKOWA MONACO CHROM WYSOKA</v>
      </c>
      <c r="C885" s="23"/>
      <c r="D885" s="24">
        <f ca="1">IFERROR(__xludf.DUMMYFUNCTION("""COMPUTED_VALUE"""),469)</f>
        <v>469</v>
      </c>
      <c r="E885" s="25" t="str">
        <f ca="1">IFERROR(__xludf.DUMMYFUNCTION("""COMPUTED_VALUE"""),"REA-B2503")</f>
        <v>REA-B2503</v>
      </c>
    </row>
    <row r="886" spans="1:5" x14ac:dyDescent="0.2">
      <c r="A886" s="22">
        <f ca="1">IFERROR(__xludf.DUMMYFUNCTION("""COMPUTED_VALUE"""),45366)</f>
        <v>45366</v>
      </c>
      <c r="B886" s="23" t="str">
        <f ca="1">IFERROR(__xludf.DUMMYFUNCTION("""COMPUTED_VALUE"""),"BATERIA UMYWALKOWA LUNGO ART L.GOLD WYSOKA")</f>
        <v>BATERIA UMYWALKOWA LUNGO ART L.GOLD WYSOKA</v>
      </c>
      <c r="C886" s="23"/>
      <c r="D886" s="24">
        <f ca="1">IFERROR(__xludf.DUMMYFUNCTION("""COMPUTED_VALUE"""),359)</f>
        <v>359</v>
      </c>
      <c r="E886" s="25" t="str">
        <f ca="1">IFERROR(__xludf.DUMMYFUNCTION("""COMPUTED_VALUE"""),"REA-B8821")</f>
        <v>REA-B8821</v>
      </c>
    </row>
    <row r="887" spans="1:5" x14ac:dyDescent="0.2">
      <c r="A887" s="22">
        <f ca="1">IFERROR(__xludf.DUMMYFUNCTION("""COMPUTED_VALUE"""),45366)</f>
        <v>45366</v>
      </c>
      <c r="B887" s="23" t="str">
        <f ca="1">IFERROR(__xludf.DUMMYFUNCTION("""COMPUTED_VALUE"""),"BATERIA UMYWALKOWA LUNGO ART L.GOLD NISKA")</f>
        <v>BATERIA UMYWALKOWA LUNGO ART L.GOLD NISKA</v>
      </c>
      <c r="C887" s="23"/>
      <c r="D887" s="24">
        <f ca="1">IFERROR(__xludf.DUMMYFUNCTION("""COMPUTED_VALUE"""),299)</f>
        <v>299</v>
      </c>
      <c r="E887" s="25" t="str">
        <f ca="1">IFERROR(__xludf.DUMMYFUNCTION("""COMPUTED_VALUE"""),"REA-B6322")</f>
        <v>REA-B6322</v>
      </c>
    </row>
    <row r="888" spans="1:5" x14ac:dyDescent="0.2">
      <c r="A888" s="22">
        <f ca="1">IFERROR(__xludf.DUMMYFUNCTION("""COMPUTED_VALUE"""),45366)</f>
        <v>45366</v>
      </c>
      <c r="B888" s="23" t="str">
        <f ca="1">IFERROR(__xludf.DUMMYFUNCTION("""COMPUTED_VALUE"""),"ZESTAW NATRYSKOWY LUNGO ZŁOTY TERMOSTAT ")</f>
        <v xml:space="preserve">ZESTAW NATRYSKOWY LUNGO ZŁOTY TERMOSTAT </v>
      </c>
      <c r="C888" s="23"/>
      <c r="D888" s="24">
        <f ca="1">IFERROR(__xludf.DUMMYFUNCTION("""COMPUTED_VALUE"""),1119)</f>
        <v>1119</v>
      </c>
      <c r="E888" s="25" t="str">
        <f ca="1">IFERROR(__xludf.DUMMYFUNCTION("""COMPUTED_VALUE"""),"REA-P8550")</f>
        <v>REA-P8550</v>
      </c>
    </row>
    <row r="889" spans="1:5" x14ac:dyDescent="0.2">
      <c r="A889" s="22">
        <f ca="1">IFERROR(__xludf.DUMMYFUNCTION("""COMPUTED_VALUE"""),45366)</f>
        <v>45366</v>
      </c>
      <c r="B889" s="23" t="str">
        <f ca="1">IFERROR(__xludf.DUMMYFUNCTION("""COMPUTED_VALUE"""),"UMYWALKA NAOMI")</f>
        <v>UMYWALKA NAOMI</v>
      </c>
      <c r="C889" s="23"/>
      <c r="D889" s="24">
        <f ca="1">IFERROR(__xludf.DUMMYFUNCTION("""COMPUTED_VALUE"""),249)</f>
        <v>249</v>
      </c>
      <c r="E889" s="25" t="str">
        <f ca="1">IFERROR(__xludf.DUMMYFUNCTION("""COMPUTED_VALUE"""),"REA-U0630")</f>
        <v>REA-U0630</v>
      </c>
    </row>
    <row r="890" spans="1:5" x14ac:dyDescent="0.2">
      <c r="A890" s="22">
        <f ca="1">IFERROR(__xludf.DUMMYFUNCTION("""COMPUTED_VALUE"""),45366)</f>
        <v>45366</v>
      </c>
      <c r="B890" s="23" t="str">
        <f ca="1">IFERROR(__xludf.DUMMYFUNCTION("""COMPUTED_VALUE"""),"UMYWALKA CLARA - NABLATOWA")</f>
        <v>UMYWALKA CLARA - NABLATOWA</v>
      </c>
      <c r="C890" s="23"/>
      <c r="D890" s="24">
        <f ca="1">IFERROR(__xludf.DUMMYFUNCTION("""COMPUTED_VALUE"""),279)</f>
        <v>279</v>
      </c>
      <c r="E890" s="25" t="str">
        <f ca="1">IFERROR(__xludf.DUMMYFUNCTION("""COMPUTED_VALUE"""),"REA-U0631")</f>
        <v>REA-U0631</v>
      </c>
    </row>
    <row r="891" spans="1:5" x14ac:dyDescent="0.2">
      <c r="A891" s="22">
        <f ca="1">IFERROR(__xludf.DUMMYFUNCTION("""COMPUTED_VALUE"""),45366)</f>
        <v>45366</v>
      </c>
      <c r="B891" s="23" t="str">
        <f ca="1">IFERROR(__xludf.DUMMYFUNCTION("""COMPUTED_VALUE"""),"ZESTAW NATRYSKOWY LUNGO CZARNY TERMOSTAT")</f>
        <v>ZESTAW NATRYSKOWY LUNGO CZARNY TERMOSTAT</v>
      </c>
      <c r="C891" s="23"/>
      <c r="D891" s="24">
        <f ca="1">IFERROR(__xludf.DUMMYFUNCTION("""COMPUTED_VALUE"""),1079)</f>
        <v>1079</v>
      </c>
      <c r="E891" s="25" t="str">
        <f ca="1">IFERROR(__xludf.DUMMYFUNCTION("""COMPUTED_VALUE"""),"REA-P8549")</f>
        <v>REA-P8549</v>
      </c>
    </row>
    <row r="892" spans="1:5" x14ac:dyDescent="0.2">
      <c r="A892" s="22">
        <f ca="1">IFERROR(__xludf.DUMMYFUNCTION("""COMPUTED_VALUE"""),45366)</f>
        <v>45366</v>
      </c>
      <c r="B892" s="23" t="str">
        <f ca="1">IFERROR(__xludf.DUMMYFUNCTION("""COMPUTED_VALUE"""),"PÓŁKA TORI NIKIEL SZCZOTKOWANY")</f>
        <v>PÓŁKA TORI NIKIEL SZCZOTKOWANY</v>
      </c>
      <c r="C892" s="23"/>
      <c r="D892" s="24">
        <f ca="1">IFERROR(__xludf.DUMMYFUNCTION("""COMPUTED_VALUE"""),189)</f>
        <v>189</v>
      </c>
      <c r="E892" s="25" t="str">
        <f ca="1">IFERROR(__xludf.DUMMYFUNCTION("""COMPUTED_VALUE"""),"REA-85002")</f>
        <v>REA-85002</v>
      </c>
    </row>
    <row r="893" spans="1:5" x14ac:dyDescent="0.2">
      <c r="A893" s="22">
        <f ca="1">IFERROR(__xludf.DUMMYFUNCTION("""COMPUTED_VALUE"""),45366)</f>
        <v>45366</v>
      </c>
      <c r="B893" s="23" t="str">
        <f ca="1">IFERROR(__xludf.DUMMYFUNCTION("""COMPUTED_VALUE"""),"PÓŁKA TORI BLACK")</f>
        <v>PÓŁKA TORI BLACK</v>
      </c>
      <c r="C893" s="23"/>
      <c r="D893" s="24">
        <f ca="1">IFERROR(__xludf.DUMMYFUNCTION("""COMPUTED_VALUE"""),169)</f>
        <v>169</v>
      </c>
      <c r="E893" s="25" t="str">
        <f ca="1">IFERROR(__xludf.DUMMYFUNCTION("""COMPUTED_VALUE"""),"REA-85000")</f>
        <v>REA-85000</v>
      </c>
    </row>
    <row r="894" spans="1:5" x14ac:dyDescent="0.2">
      <c r="A894" s="22">
        <f ca="1">IFERROR(__xludf.DUMMYFUNCTION("""COMPUTED_VALUE"""),45366)</f>
        <v>45366</v>
      </c>
      <c r="B894" s="23" t="str">
        <f ca="1">IFERROR(__xludf.DUMMYFUNCTION("""COMPUTED_VALUE"""),"UMYWALKA VANDA - NABLATOWA")</f>
        <v>UMYWALKA VANDA - NABLATOWA</v>
      </c>
      <c r="C894" s="23"/>
      <c r="D894" s="24">
        <f ca="1">IFERROR(__xludf.DUMMYFUNCTION("""COMPUTED_VALUE"""),279)</f>
        <v>279</v>
      </c>
      <c r="E894" s="25" t="str">
        <f ca="1">IFERROR(__xludf.DUMMYFUNCTION("""COMPUTED_VALUE"""),"REA-U0603")</f>
        <v>REA-U0603</v>
      </c>
    </row>
    <row r="895" spans="1:5" x14ac:dyDescent="0.2">
      <c r="A895" s="22">
        <f ca="1">IFERROR(__xludf.DUMMYFUNCTION("""COMPUTED_VALUE"""),45366)</f>
        <v>45366</v>
      </c>
      <c r="B895" s="23" t="str">
        <f ca="1">IFERROR(__xludf.DUMMYFUNCTION("""COMPUTED_VALUE"""),"BATERIA UMYWALKOWA DART CZARNA WYSOKA")</f>
        <v>BATERIA UMYWALKOWA DART CZARNA WYSOKA</v>
      </c>
      <c r="C895" s="23"/>
      <c r="D895" s="24">
        <f ca="1">IFERROR(__xludf.DUMMYFUNCTION("""COMPUTED_VALUE"""),399)</f>
        <v>399</v>
      </c>
      <c r="E895" s="25" t="str">
        <f ca="1">IFERROR(__xludf.DUMMYFUNCTION("""COMPUTED_VALUE"""),"REA-B0670")</f>
        <v>REA-B0670</v>
      </c>
    </row>
    <row r="896" spans="1:5" x14ac:dyDescent="0.2">
      <c r="A896" s="22">
        <f ca="1">IFERROR(__xludf.DUMMYFUNCTION("""COMPUTED_VALUE"""),45366)</f>
        <v>45366</v>
      </c>
      <c r="B896" s="23" t="str">
        <f ca="1">IFERROR(__xludf.DUMMYFUNCTION("""COMPUTED_VALUE"""),"BATERIA WYSOKA TESS L.GOLD SZCZOTKOWANA")</f>
        <v>BATERIA WYSOKA TESS L.GOLD SZCZOTKOWANA</v>
      </c>
      <c r="C896" s="23"/>
      <c r="D896" s="24">
        <f ca="1">IFERROR(__xludf.DUMMYFUNCTION("""COMPUTED_VALUE"""),319)</f>
        <v>319</v>
      </c>
      <c r="E896" s="25" t="str">
        <f ca="1">IFERROR(__xludf.DUMMYFUNCTION("""COMPUTED_VALUE"""),"REA-B5660")</f>
        <v>REA-B5660</v>
      </c>
    </row>
    <row r="897" spans="1:5" x14ac:dyDescent="0.2">
      <c r="A897" s="22">
        <f ca="1">IFERROR(__xludf.DUMMYFUNCTION("""COMPUTED_VALUE"""),45366)</f>
        <v>45366</v>
      </c>
      <c r="B897" s="23" t="str">
        <f ca="1">IFERROR(__xludf.DUMMYFUNCTION("""COMPUTED_VALUE"""),"UMYWALKA SOFIA BLACK WHITE - NABLATOWA")</f>
        <v>UMYWALKA SOFIA BLACK WHITE - NABLATOWA</v>
      </c>
      <c r="C897" s="23"/>
      <c r="D897" s="24">
        <f ca="1">IFERROR(__xludf.DUMMYFUNCTION("""COMPUTED_VALUE"""),299)</f>
        <v>299</v>
      </c>
      <c r="E897" s="25" t="str">
        <f ca="1">IFERROR(__xludf.DUMMYFUNCTION("""COMPUTED_VALUE"""),"REA-U8749")</f>
        <v>REA-U8749</v>
      </c>
    </row>
    <row r="898" spans="1:5" x14ac:dyDescent="0.2">
      <c r="A898" s="22">
        <f ca="1">IFERROR(__xludf.DUMMYFUNCTION("""COMPUTED_VALUE"""),45366)</f>
        <v>45366</v>
      </c>
      <c r="B898" s="23" t="str">
        <f ca="1">IFERROR(__xludf.DUMMYFUNCTION("""COMPUTED_VALUE"""),"WC - RAUL RIMLESS DUROPLAST/SLIM/ZM BLACK MATT")</f>
        <v>WC - RAUL RIMLESS DUROPLAST/SLIM/ZM BLACK MATT</v>
      </c>
      <c r="C898" s="23"/>
      <c r="D898" s="24">
        <f ca="1">IFERROR(__xludf.DUMMYFUNCTION("""COMPUTED_VALUE"""),999)</f>
        <v>999</v>
      </c>
      <c r="E898" s="25" t="str">
        <f ca="1">IFERROR(__xludf.DUMMYFUNCTION("""COMPUTED_VALUE"""),"REA-C1100")</f>
        <v>REA-C1100</v>
      </c>
    </row>
    <row r="899" spans="1:5" x14ac:dyDescent="0.2">
      <c r="A899" s="22">
        <f ca="1">IFERROR(__xludf.DUMMYFUNCTION("""COMPUTED_VALUE"""),45366)</f>
        <v>45366</v>
      </c>
      <c r="B899" s="23" t="str">
        <f ca="1">IFERROR(__xludf.DUMMYFUNCTION("""COMPUTED_VALUE"""),"WC - CARLO MINI RIML DUR/FLAT/ZM GOLD BRUSH/BLACK")</f>
        <v>WC - CARLO MINI RIML DUR/FLAT/ZM GOLD BRUSH/BLACK</v>
      </c>
      <c r="C899" s="23"/>
      <c r="D899" s="24">
        <f ca="1">IFERROR(__xludf.DUMMYFUNCTION("""COMPUTED_VALUE"""),1449)</f>
        <v>1449</v>
      </c>
      <c r="E899" s="25" t="str">
        <f ca="1">IFERROR(__xludf.DUMMYFUNCTION("""COMPUTED_VALUE"""),"REA-C3300")</f>
        <v>REA-C3300</v>
      </c>
    </row>
    <row r="900" spans="1:5" x14ac:dyDescent="0.2">
      <c r="A900" s="22">
        <f ca="1">IFERROR(__xludf.DUMMYFUNCTION("""COMPUTED_VALUE"""),45366)</f>
        <v>45366</v>
      </c>
      <c r="B900" s="23" t="str">
        <f ca="1">IFERROR(__xludf.DUMMYFUNCTION("""COMPUTED_VALUE"""),"WC - CARLOS RIMLESS DUROPLAST/FLAT/ZM AIAX SHINY")</f>
        <v>WC - CARLOS RIMLESS DUROPLAST/FLAT/ZM AIAX SHINY</v>
      </c>
      <c r="C900" s="23"/>
      <c r="D900" s="24">
        <f ca="1">IFERROR(__xludf.DUMMYFUNCTION("""COMPUTED_VALUE"""),1099)</f>
        <v>1099</v>
      </c>
      <c r="E900" s="25" t="str">
        <f ca="1">IFERROR(__xludf.DUMMYFUNCTION("""COMPUTED_VALUE"""),"REA-C6385")</f>
        <v>REA-C6385</v>
      </c>
    </row>
    <row r="901" spans="1:5" x14ac:dyDescent="0.2">
      <c r="A901" s="22">
        <f ca="1">IFERROR(__xludf.DUMMYFUNCTION("""COMPUTED_VALUE"""),45366)</f>
        <v>45366</v>
      </c>
      <c r="B901" s="23" t="str">
        <f ca="1">IFERROR(__xludf.DUMMYFUNCTION("""COMPUTED_VALUE"""),"ZESTAW NATRYSKOWY BRAVO ZŁOTY SZCZOTKOWANY")</f>
        <v>ZESTAW NATRYSKOWY BRAVO ZŁOTY SZCZOTKOWANY</v>
      </c>
      <c r="C901" s="23"/>
      <c r="D901" s="24">
        <f ca="1">IFERROR(__xludf.DUMMYFUNCTION("""COMPUTED_VALUE"""),599)</f>
        <v>599</v>
      </c>
      <c r="E901" s="25" t="str">
        <f ca="1">IFERROR(__xludf.DUMMYFUNCTION("""COMPUTED_VALUE"""),"REA-P4121")</f>
        <v>REA-P4121</v>
      </c>
    </row>
    <row r="902" spans="1:5" x14ac:dyDescent="0.2">
      <c r="A902" s="22">
        <f ca="1">IFERROR(__xludf.DUMMYFUNCTION("""COMPUTED_VALUE"""),45366)</f>
        <v>45366</v>
      </c>
      <c r="B902" s="23" t="str">
        <f ca="1">IFERROR(__xludf.DUMMYFUNCTION("""COMPUTED_VALUE"""),"ZESTAW NATRYSKOWY JACK GOLD")</f>
        <v>ZESTAW NATRYSKOWY JACK GOLD</v>
      </c>
      <c r="C902" s="23"/>
      <c r="D902" s="24">
        <f ca="1">IFERROR(__xludf.DUMMYFUNCTION("""COMPUTED_VALUE"""),889)</f>
        <v>889</v>
      </c>
      <c r="E902" s="25" t="str">
        <f ca="1">IFERROR(__xludf.DUMMYFUNCTION("""COMPUTED_VALUE"""),"REA-P7008")</f>
        <v>REA-P7008</v>
      </c>
    </row>
    <row r="903" spans="1:5" x14ac:dyDescent="0.2">
      <c r="A903" s="22">
        <f ca="1">IFERROR(__xludf.DUMMYFUNCTION("""COMPUTED_VALUE"""),45366)</f>
        <v>45366</v>
      </c>
      <c r="B903" s="23" t="str">
        <f ca="1">IFERROR(__xludf.DUMMYFUNCTION("""COMPUTED_VALUE"""),"ZESTAW NATRYSKOWY JACK ZŁOTY SZCZOTKOWANY")</f>
        <v>ZESTAW NATRYSKOWY JACK ZŁOTY SZCZOTKOWANY</v>
      </c>
      <c r="C903" s="23"/>
      <c r="D903" s="24">
        <f ca="1">IFERROR(__xludf.DUMMYFUNCTION("""COMPUTED_VALUE"""),919)</f>
        <v>919</v>
      </c>
      <c r="E903" s="25" t="str">
        <f ca="1">IFERROR(__xludf.DUMMYFUNCTION("""COMPUTED_VALUE"""),"REA-P7050")</f>
        <v>REA-P7050</v>
      </c>
    </row>
    <row r="904" spans="1:5" x14ac:dyDescent="0.2">
      <c r="A904" s="22">
        <f ca="1">IFERROR(__xludf.DUMMYFUNCTION("""COMPUTED_VALUE"""),45366)</f>
        <v>45366</v>
      </c>
      <c r="B904" s="23" t="str">
        <f ca="1">IFERROR(__xludf.DUMMYFUNCTION("""COMPUTED_VALUE"""),"KABINA 80X80 PUNTO BLACK")</f>
        <v>KABINA 80X80 PUNTO BLACK</v>
      </c>
      <c r="C904" s="23"/>
      <c r="D904" s="24">
        <f ca="1">IFERROR(__xludf.DUMMYFUNCTION("""COMPUTED_VALUE"""),799)</f>
        <v>799</v>
      </c>
      <c r="E904" s="25" t="str">
        <f ca="1">IFERROR(__xludf.DUMMYFUNCTION("""COMPUTED_VALUE"""),"REA-K4800")</f>
        <v>REA-K4800</v>
      </c>
    </row>
    <row r="905" spans="1:5" x14ac:dyDescent="0.2">
      <c r="A905" s="22">
        <f ca="1">IFERROR(__xludf.DUMMYFUNCTION("""COMPUTED_VALUE"""),45359)</f>
        <v>45359</v>
      </c>
      <c r="B905" s="23" t="str">
        <f ca="1">IFERROR(__xludf.DUMMYFUNCTION("""COMPUTED_VALUE"""),"KABINA CITY GOLD BRUSH 90x90")</f>
        <v>KABINA CITY GOLD BRUSH 90x90</v>
      </c>
      <c r="C905" s="23"/>
      <c r="D905" s="24">
        <f ca="1">IFERROR(__xludf.DUMMYFUNCTION("""COMPUTED_VALUE"""),979)</f>
        <v>979</v>
      </c>
      <c r="E905" s="25" t="str">
        <f ca="1">IFERROR(__xludf.DUMMYFUNCTION("""COMPUTED_VALUE"""),"REA-K6443")</f>
        <v>REA-K6443</v>
      </c>
    </row>
    <row r="906" spans="1:5" x14ac:dyDescent="0.2">
      <c r="A906" s="22">
        <f ca="1">IFERROR(__xludf.DUMMYFUNCTION("""COMPUTED_VALUE"""),45359)</f>
        <v>45359</v>
      </c>
      <c r="B906" s="23" t="str">
        <f ca="1">IFERROR(__xludf.DUMMYFUNCTION("""COMPUTED_VALUE"""),"KABINA CITY GOLD BRUSH 80X80")</f>
        <v>KABINA CITY GOLD BRUSH 80X80</v>
      </c>
      <c r="C906" s="23"/>
      <c r="D906" s="24">
        <f ca="1">IFERROR(__xludf.DUMMYFUNCTION("""COMPUTED_VALUE"""),949)</f>
        <v>949</v>
      </c>
      <c r="E906" s="25" t="str">
        <f ca="1">IFERROR(__xludf.DUMMYFUNCTION("""COMPUTED_VALUE"""),"REA-K6444")</f>
        <v>REA-K6444</v>
      </c>
    </row>
    <row r="907" spans="1:5" x14ac:dyDescent="0.2">
      <c r="A907" s="22">
        <f ca="1">IFERROR(__xludf.DUMMYFUNCTION("""COMPUTED_VALUE"""),45359)</f>
        <v>45359</v>
      </c>
      <c r="B907" s="23" t="str">
        <f ca="1">IFERROR(__xludf.DUMMYFUNCTION("""COMPUTED_VALUE"""),"KABINA CITY GOLD BRUSH 80X100")</f>
        <v>KABINA CITY GOLD BRUSH 80X100</v>
      </c>
      <c r="C907" s="23"/>
      <c r="D907" s="24">
        <f ca="1">IFERROR(__xludf.DUMMYFUNCTION("""COMPUTED_VALUE"""),999)</f>
        <v>999</v>
      </c>
      <c r="E907" s="25" t="str">
        <f ca="1">IFERROR(__xludf.DUMMYFUNCTION("""COMPUTED_VALUE"""),"REA-K6445")</f>
        <v>REA-K6445</v>
      </c>
    </row>
    <row r="908" spans="1:5" x14ac:dyDescent="0.2">
      <c r="A908" s="22">
        <f ca="1">IFERROR(__xludf.DUMMYFUNCTION("""COMPUTED_VALUE"""),45359)</f>
        <v>45359</v>
      </c>
      <c r="B908" s="23" t="str">
        <f ca="1">IFERROR(__xludf.DUMMYFUNCTION("""COMPUTED_VALUE"""),"BATERIA KUCHENNA VENICE BRĄZ ANTYCZNY WYSOKA")</f>
        <v>BATERIA KUCHENNA VENICE BRĄZ ANTYCZNY WYSOKA</v>
      </c>
      <c r="C908" s="23"/>
      <c r="D908" s="24">
        <f ca="1">IFERROR(__xludf.DUMMYFUNCTION("""COMPUTED_VALUE"""),429)</f>
        <v>429</v>
      </c>
      <c r="E908" s="25" t="str">
        <f ca="1">IFERROR(__xludf.DUMMYFUNCTION("""COMPUTED_VALUE"""),"REA-B2500")</f>
        <v>REA-B2500</v>
      </c>
    </row>
    <row r="909" spans="1:5" x14ac:dyDescent="0.2">
      <c r="A909" s="22">
        <f ca="1">IFERROR(__xludf.DUMMYFUNCTION("""COMPUTED_VALUE"""),45359)</f>
        <v>45359</v>
      </c>
      <c r="B909" s="23" t="str">
        <f ca="1">IFERROR(__xludf.DUMMYFUNCTION("""COMPUTED_VALUE"""),"UCHWYT PRYSZNICOWY 01 ZŁOTY SZCZOTKOWANY")</f>
        <v>UCHWYT PRYSZNICOWY 01 ZŁOTY SZCZOTKOWANY</v>
      </c>
      <c r="C909" s="23"/>
      <c r="D909" s="24">
        <f ca="1">IFERROR(__xludf.DUMMYFUNCTION("""COMPUTED_VALUE"""),129)</f>
        <v>129</v>
      </c>
      <c r="E909" s="25" t="str">
        <f ca="1">IFERROR(__xludf.DUMMYFUNCTION("""COMPUTED_VALUE"""),"REA-P6500")</f>
        <v>REA-P6500</v>
      </c>
    </row>
    <row r="910" spans="1:5" x14ac:dyDescent="0.2">
      <c r="A910" s="22">
        <f ca="1">IFERROR(__xludf.DUMMYFUNCTION("""COMPUTED_VALUE"""),45359)</f>
        <v>45359</v>
      </c>
      <c r="B910" s="23" t="str">
        <f ca="1">IFERROR(__xludf.DUMMYFUNCTION("""COMPUTED_VALUE"""),"BATERIA WANNOWA VERSO GOLD SZCZOTKOWANA ")</f>
        <v xml:space="preserve">BATERIA WANNOWA VERSO GOLD SZCZOTKOWANA </v>
      </c>
      <c r="C910" s="23"/>
      <c r="D910" s="24">
        <f ca="1">IFERROR(__xludf.DUMMYFUNCTION("""COMPUTED_VALUE"""),519)</f>
        <v>519</v>
      </c>
      <c r="E910" s="25" t="str">
        <f ca="1">IFERROR(__xludf.DUMMYFUNCTION("""COMPUTED_VALUE"""),"REA-B6565")</f>
        <v>REA-B6565</v>
      </c>
    </row>
    <row r="911" spans="1:5" x14ac:dyDescent="0.2">
      <c r="A911" s="22">
        <f ca="1">IFERROR(__xludf.DUMMYFUNCTION("""COMPUTED_VALUE"""),45359)</f>
        <v>45359</v>
      </c>
      <c r="B911" s="23" t="str">
        <f ca="1">IFERROR(__xludf.DUMMYFUNCTION("""COMPUTED_VALUE"""),"BATERIA PRYSZNICOWA VERSO GOLD SZCZOTKOWANA ")</f>
        <v xml:space="preserve">BATERIA PRYSZNICOWA VERSO GOLD SZCZOTKOWANA </v>
      </c>
      <c r="C911" s="23"/>
      <c r="D911" s="24">
        <f ca="1">IFERROR(__xludf.DUMMYFUNCTION("""COMPUTED_VALUE"""),399)</f>
        <v>399</v>
      </c>
      <c r="E911" s="25" t="str">
        <f ca="1">IFERROR(__xludf.DUMMYFUNCTION("""COMPUTED_VALUE"""),"REA-B6566")</f>
        <v>REA-B6566</v>
      </c>
    </row>
    <row r="912" spans="1:5" x14ac:dyDescent="0.2">
      <c r="A912" s="22">
        <f ca="1">IFERROR(__xludf.DUMMYFUNCTION("""COMPUTED_VALUE"""),45359)</f>
        <v>45359</v>
      </c>
      <c r="B912" s="23" t="str">
        <f ca="1">IFERROR(__xludf.DUMMYFUNCTION("""COMPUTED_VALUE"""),"ZESTAW NATRYSKOWY OVAL BLACK + ECO BOX")</f>
        <v>ZESTAW NATRYSKOWY OVAL BLACK + ECO BOX</v>
      </c>
      <c r="C912" s="23"/>
      <c r="D912" s="24">
        <f ca="1">IFERROR(__xludf.DUMMYFUNCTION("""COMPUTED_VALUE"""),799)</f>
        <v>799</v>
      </c>
      <c r="E912" s="25" t="str">
        <f ca="1">IFERROR(__xludf.DUMMYFUNCTION("""COMPUTED_VALUE"""),"REA-P8467")</f>
        <v>REA-P8467</v>
      </c>
    </row>
    <row r="913" spans="1:5" x14ac:dyDescent="0.2">
      <c r="A913" s="22">
        <f ca="1">IFERROR(__xludf.DUMMYFUNCTION("""COMPUTED_VALUE"""),45359)</f>
        <v>45359</v>
      </c>
      <c r="B913" s="23" t="str">
        <f ca="1">IFERROR(__xludf.DUMMYFUNCTION("""COMPUTED_VALUE"""),"BATERIA WANNOWA RIVEN CHROM")</f>
        <v>BATERIA WANNOWA RIVEN CHROM</v>
      </c>
      <c r="C913" s="23"/>
      <c r="D913" s="24">
        <f ca="1">IFERROR(__xludf.DUMMYFUNCTION("""COMPUTED_VALUE"""),519)</f>
        <v>519</v>
      </c>
      <c r="E913" s="25" t="str">
        <f ca="1">IFERROR(__xludf.DUMMYFUNCTION("""COMPUTED_VALUE"""),"REA-B0457")</f>
        <v>REA-B0457</v>
      </c>
    </row>
    <row r="914" spans="1:5" x14ac:dyDescent="0.2">
      <c r="A914" s="22">
        <f ca="1">IFERROR(__xludf.DUMMYFUNCTION("""COMPUTED_VALUE"""),45359)</f>
        <v>45359</v>
      </c>
      <c r="B914" s="23" t="str">
        <f ca="1">IFERROR(__xludf.DUMMYFUNCTION("""COMPUTED_VALUE"""),"BATERIA WANNOWA RIVEN GOLD")</f>
        <v>BATERIA WANNOWA RIVEN GOLD</v>
      </c>
      <c r="C914" s="23"/>
      <c r="D914" s="24">
        <f ca="1">IFERROR(__xludf.DUMMYFUNCTION("""COMPUTED_VALUE"""),499)</f>
        <v>499</v>
      </c>
      <c r="E914" s="25" t="str">
        <f ca="1">IFERROR(__xludf.DUMMYFUNCTION("""COMPUTED_VALUE"""),"REA-B0497")</f>
        <v>REA-B0497</v>
      </c>
    </row>
    <row r="915" spans="1:5" x14ac:dyDescent="0.2">
      <c r="A915" s="22">
        <f ca="1">IFERROR(__xludf.DUMMYFUNCTION("""COMPUTED_VALUE"""),45359)</f>
        <v>45359</v>
      </c>
      <c r="B915" s="23" t="str">
        <f ca="1">IFERROR(__xludf.DUMMYFUNCTION("""COMPUTED_VALUE"""),"BATERIA WANNOWA ŚCIENNA FENIX L.GOLD")</f>
        <v>BATERIA WANNOWA ŚCIENNA FENIX L.GOLD</v>
      </c>
      <c r="C915" s="23"/>
      <c r="D915" s="24">
        <f ca="1">IFERROR(__xludf.DUMMYFUNCTION("""COMPUTED_VALUE"""),599)</f>
        <v>599</v>
      </c>
      <c r="E915" s="25" t="str">
        <f ca="1">IFERROR(__xludf.DUMMYFUNCTION("""COMPUTED_VALUE"""),"REA-B5666")</f>
        <v>REA-B5666</v>
      </c>
    </row>
    <row r="916" spans="1:5" x14ac:dyDescent="0.2">
      <c r="A916" s="22">
        <f ca="1">IFERROR(__xludf.DUMMYFUNCTION("""COMPUTED_VALUE"""),45359)</f>
        <v>45359</v>
      </c>
      <c r="B916" s="23" t="str">
        <f ca="1">IFERROR(__xludf.DUMMYFUNCTION("""COMPUTED_VALUE"""),"BATERIA WANNOWA FENIX CHROM")</f>
        <v>BATERIA WANNOWA FENIX CHROM</v>
      </c>
      <c r="C916" s="23"/>
      <c r="D916" s="24">
        <f ca="1">IFERROR(__xludf.DUMMYFUNCTION("""COMPUTED_VALUE"""),519)</f>
        <v>519</v>
      </c>
      <c r="E916" s="25" t="str">
        <f ca="1">IFERROR(__xludf.DUMMYFUNCTION("""COMPUTED_VALUE"""),"REA-B8880")</f>
        <v>REA-B8880</v>
      </c>
    </row>
    <row r="917" spans="1:5" x14ac:dyDescent="0.2">
      <c r="A917" s="22">
        <f ca="1">IFERROR(__xludf.DUMMYFUNCTION("""COMPUTED_VALUE"""),45359)</f>
        <v>45359</v>
      </c>
      <c r="B917" s="23" t="str">
        <f ca="1">IFERROR(__xludf.DUMMYFUNCTION("""COMPUTED_VALUE"""),"BATERIA UMYWALKOWA FENIX BLACK NISKA")</f>
        <v>BATERIA UMYWALKOWA FENIX BLACK NISKA</v>
      </c>
      <c r="C917" s="23"/>
      <c r="D917" s="24">
        <f ca="1">IFERROR(__xludf.DUMMYFUNCTION("""COMPUTED_VALUE"""),299)</f>
        <v>299</v>
      </c>
      <c r="E917" s="25" t="str">
        <f ca="1">IFERROR(__xludf.DUMMYFUNCTION("""COMPUTED_VALUE"""),"REA-B7894")</f>
        <v>REA-B7894</v>
      </c>
    </row>
    <row r="918" spans="1:5" x14ac:dyDescent="0.2">
      <c r="A918" s="22">
        <f ca="1">IFERROR(__xludf.DUMMYFUNCTION("""COMPUTED_VALUE"""),45359)</f>
        <v>45359</v>
      </c>
      <c r="B918" s="23" t="str">
        <f ca="1">IFERROR(__xludf.DUMMYFUNCTION("""COMPUTED_VALUE"""),"WANNA CAPRI 170")</f>
        <v>WANNA CAPRI 170</v>
      </c>
      <c r="C918" s="23"/>
      <c r="D918" s="24">
        <f ca="1">IFERROR(__xludf.DUMMYFUNCTION("""COMPUTED_VALUE"""),3259)</f>
        <v>3259</v>
      </c>
      <c r="E918" s="25" t="str">
        <f ca="1">IFERROR(__xludf.DUMMYFUNCTION("""COMPUTED_VALUE"""),"REA-W9801")</f>
        <v>REA-W9801</v>
      </c>
    </row>
    <row r="919" spans="1:5" x14ac:dyDescent="0.2">
      <c r="A919" s="22">
        <f ca="1">IFERROR(__xludf.DUMMYFUNCTION("""COMPUTED_VALUE"""),45359)</f>
        <v>45359</v>
      </c>
      <c r="B919" s="23" t="str">
        <f ca="1">IFERROR(__xludf.DUMMYFUNCTION("""COMPUTED_VALUE"""),"WANNA CAPRI 150")</f>
        <v>WANNA CAPRI 150</v>
      </c>
      <c r="C919" s="23"/>
      <c r="D919" s="24">
        <f ca="1">IFERROR(__xludf.DUMMYFUNCTION("""COMPUTED_VALUE"""),3119)</f>
        <v>3119</v>
      </c>
      <c r="E919" s="25" t="str">
        <f ca="1">IFERROR(__xludf.DUMMYFUNCTION("""COMPUTED_VALUE"""),"REA-W9800")</f>
        <v>REA-W9800</v>
      </c>
    </row>
    <row r="920" spans="1:5" x14ac:dyDescent="0.2">
      <c r="A920" s="22">
        <f ca="1">IFERROR(__xludf.DUMMYFUNCTION("""COMPUTED_VALUE"""),45359)</f>
        <v>45359</v>
      </c>
      <c r="B920" s="23" t="str">
        <f ca="1">IFERROR(__xludf.DUMMYFUNCTION("""COMPUTED_VALUE"""),"WANNA BELLANTO 170 LEWA")</f>
        <v>WANNA BELLANTO 170 LEWA</v>
      </c>
      <c r="C920" s="23"/>
      <c r="D920" s="24">
        <f ca="1">IFERROR(__xludf.DUMMYFUNCTION("""COMPUTED_VALUE"""),3899)</f>
        <v>3899</v>
      </c>
      <c r="E920" s="25" t="str">
        <f ca="1">IFERROR(__xludf.DUMMYFUNCTION("""COMPUTED_VALUE"""),"REA-W6901")</f>
        <v>REA-W6901</v>
      </c>
    </row>
    <row r="921" spans="1:5" x14ac:dyDescent="0.2">
      <c r="A921" s="22">
        <f ca="1">IFERROR(__xludf.DUMMYFUNCTION("""COMPUTED_VALUE"""),45359)</f>
        <v>45359</v>
      </c>
      <c r="B921" s="23" t="str">
        <f ca="1">IFERROR(__xludf.DUMMYFUNCTION("""COMPUTED_VALUE"""),"WANNA BELLANTO 170 PRAWA")</f>
        <v>WANNA BELLANTO 170 PRAWA</v>
      </c>
      <c r="C921" s="23"/>
      <c r="D921" s="24">
        <f ca="1">IFERROR(__xludf.DUMMYFUNCTION("""COMPUTED_VALUE"""),3899)</f>
        <v>3899</v>
      </c>
      <c r="E921" s="25" t="str">
        <f ca="1">IFERROR(__xludf.DUMMYFUNCTION("""COMPUTED_VALUE"""),"REA-W6900")</f>
        <v>REA-W6900</v>
      </c>
    </row>
    <row r="922" spans="1:5" x14ac:dyDescent="0.2">
      <c r="A922" s="22">
        <f ca="1">IFERROR(__xludf.DUMMYFUNCTION("""COMPUTED_VALUE"""),45352)</f>
        <v>45352</v>
      </c>
      <c r="B922" s="23" t="str">
        <f ca="1">IFERROR(__xludf.DUMMYFUNCTION("""COMPUTED_VALUE"""),"KABINA CITY BLACK 90x90")</f>
        <v>KABINA CITY BLACK 90x90</v>
      </c>
      <c r="C922" s="23"/>
      <c r="D922" s="24">
        <f ca="1">IFERROR(__xludf.DUMMYFUNCTION("""COMPUTED_VALUE"""),859)</f>
        <v>859</v>
      </c>
      <c r="E922" s="25" t="str">
        <f ca="1">IFERROR(__xludf.DUMMYFUNCTION("""COMPUTED_VALUE"""),"REA-K6446")</f>
        <v>REA-K6446</v>
      </c>
    </row>
    <row r="923" spans="1:5" x14ac:dyDescent="0.2">
      <c r="A923" s="22">
        <f ca="1">IFERROR(__xludf.DUMMYFUNCTION("""COMPUTED_VALUE"""),45352)</f>
        <v>45352</v>
      </c>
      <c r="B923" s="23" t="str">
        <f ca="1">IFERROR(__xludf.DUMMYFUNCTION("""COMPUTED_VALUE"""),"KABINA CITY BLACK 80X80 ")</f>
        <v xml:space="preserve">KABINA CITY BLACK 80X80 </v>
      </c>
      <c r="C923" s="23"/>
      <c r="D923" s="24">
        <f ca="1">IFERROR(__xludf.DUMMYFUNCTION("""COMPUTED_VALUE"""),829)</f>
        <v>829</v>
      </c>
      <c r="E923" s="25" t="str">
        <f ca="1">IFERROR(__xludf.DUMMYFUNCTION("""COMPUTED_VALUE"""),"REA-K6448")</f>
        <v>REA-K6448</v>
      </c>
    </row>
    <row r="924" spans="1:5" x14ac:dyDescent="0.2">
      <c r="A924" s="22">
        <f ca="1">IFERROR(__xludf.DUMMYFUNCTION("""COMPUTED_VALUE"""),45352)</f>
        <v>45352</v>
      </c>
      <c r="B924" s="23" t="str">
        <f ca="1">IFERROR(__xludf.DUMMYFUNCTION("""COMPUTED_VALUE"""),"KABINA CITY BLACK 80X100")</f>
        <v>KABINA CITY BLACK 80X100</v>
      </c>
      <c r="C924" s="23"/>
      <c r="D924" s="24">
        <f ca="1">IFERROR(__xludf.DUMMYFUNCTION("""COMPUTED_VALUE"""),889)</f>
        <v>889</v>
      </c>
      <c r="E924" s="25" t="str">
        <f ca="1">IFERROR(__xludf.DUMMYFUNCTION("""COMPUTED_VALUE"""),"REA-K6449")</f>
        <v>REA-K6449</v>
      </c>
    </row>
    <row r="925" spans="1:5" x14ac:dyDescent="0.2">
      <c r="A925" s="22">
        <f ca="1">IFERROR(__xludf.DUMMYFUNCTION("""COMPUTED_VALUE"""),45352)</f>
        <v>45352</v>
      </c>
      <c r="B925" s="23" t="str">
        <f ca="1">IFERROR(__xludf.DUMMYFUNCTION("""COMPUTED_VALUE"""),"RAMIĘ DO RAPID PRZYŚCIENNEJ CHROM")</f>
        <v>RAMIĘ DO RAPID PRZYŚCIENNEJ CHROM</v>
      </c>
      <c r="C925" s="23"/>
      <c r="D925" s="24">
        <f ca="1">IFERROR(__xludf.DUMMYFUNCTION("""COMPUTED_VALUE"""),100)</f>
        <v>100</v>
      </c>
      <c r="E925" s="25" t="str">
        <f ca="1">IFERROR(__xludf.DUMMYFUNCTION("""COMPUTED_VALUE"""),"REA-K5699")</f>
        <v>REA-K5699</v>
      </c>
    </row>
    <row r="926" spans="1:5" x14ac:dyDescent="0.2">
      <c r="A926" s="22">
        <f ca="1">IFERROR(__xludf.DUMMYFUNCTION("""COMPUTED_VALUE"""),45352)</f>
        <v>45352</v>
      </c>
      <c r="B926" s="23" t="str">
        <f ca="1">IFERROR(__xludf.DUMMYFUNCTION("""COMPUTED_VALUE"""),"RAMIĘ DO RAPID PRZYŚCIENNEJ BLACK")</f>
        <v>RAMIĘ DO RAPID PRZYŚCIENNEJ BLACK</v>
      </c>
      <c r="C926" s="23"/>
      <c r="D926" s="24">
        <f ca="1">IFERROR(__xludf.DUMMYFUNCTION("""COMPUTED_VALUE"""),100)</f>
        <v>100</v>
      </c>
      <c r="E926" s="25" t="str">
        <f ca="1">IFERROR(__xludf.DUMMYFUNCTION("""COMPUTED_VALUE"""),"REA-K5670")</f>
        <v>REA-K5670</v>
      </c>
    </row>
    <row r="927" spans="1:5" x14ac:dyDescent="0.2">
      <c r="A927" s="22">
        <f ca="1">IFERROR(__xludf.DUMMYFUNCTION("""COMPUTED_VALUE"""),45352)</f>
        <v>45352</v>
      </c>
      <c r="B927" s="23" t="str">
        <f ca="1">IFERROR(__xludf.DUMMYFUNCTION("""COMPUTED_VALUE"""),"RAMIĘ DO RAPID PRZYŚCIENNEJ GOLD")</f>
        <v>RAMIĘ DO RAPID PRZYŚCIENNEJ GOLD</v>
      </c>
      <c r="C927" s="23"/>
      <c r="D927" s="24">
        <f ca="1">IFERROR(__xludf.DUMMYFUNCTION("""COMPUTED_VALUE"""),140)</f>
        <v>140</v>
      </c>
      <c r="E927" s="25" t="str">
        <f ca="1">IFERROR(__xludf.DUMMYFUNCTION("""COMPUTED_VALUE"""),"REA-08542")</f>
        <v>REA-08542</v>
      </c>
    </row>
    <row r="928" spans="1:5" x14ac:dyDescent="0.2">
      <c r="A928" s="22">
        <f ca="1">IFERROR(__xludf.DUMMYFUNCTION("""COMPUTED_VALUE"""),45352)</f>
        <v>45352</v>
      </c>
      <c r="B928" s="23" t="str">
        <f ca="1">IFERROR(__xludf.DUMMYFUNCTION("""COMPUTED_VALUE"""),"RAMIĘ DO RAPID PRZYŚCIENNEJ GOLD BRUSH")</f>
        <v>RAMIĘ DO RAPID PRZYŚCIENNEJ GOLD BRUSH</v>
      </c>
      <c r="C928" s="23"/>
      <c r="D928" s="24">
        <f ca="1">IFERROR(__xludf.DUMMYFUNCTION("""COMPUTED_VALUE"""),140)</f>
        <v>140</v>
      </c>
      <c r="E928" s="25" t="str">
        <f ca="1">IFERROR(__xludf.DUMMYFUNCTION("""COMPUTED_VALUE"""),"REA-K6130")</f>
        <v>REA-K6130</v>
      </c>
    </row>
    <row r="929" spans="1:5" x14ac:dyDescent="0.2">
      <c r="A929" s="22">
        <f ca="1">IFERROR(__xludf.DUMMYFUNCTION("""COMPUTED_VALUE"""),45352)</f>
        <v>45352</v>
      </c>
      <c r="B929" s="23" t="str">
        <f ca="1">IFERROR(__xludf.DUMMYFUNCTION("""COMPUTED_VALUE"""),"DRZWI PRYSZNICOWE RAPID SLIDE GOLD 140")</f>
        <v>DRZWI PRYSZNICOWE RAPID SLIDE GOLD 140</v>
      </c>
      <c r="C929" s="23"/>
      <c r="D929" s="24">
        <f ca="1">IFERROR(__xludf.DUMMYFUNCTION("""COMPUTED_VALUE"""),1059)</f>
        <v>1059</v>
      </c>
      <c r="E929" s="25" t="str">
        <f ca="1">IFERROR(__xludf.DUMMYFUNCTION("""COMPUTED_VALUE"""),"REA-K5616")</f>
        <v>REA-K5616</v>
      </c>
    </row>
    <row r="930" spans="1:5" x14ac:dyDescent="0.2">
      <c r="A930" s="22">
        <f ca="1">IFERROR(__xludf.DUMMYFUNCTION("""COMPUTED_VALUE"""),45352)</f>
        <v>45352</v>
      </c>
      <c r="B930" s="23" t="str">
        <f ca="1">IFERROR(__xludf.DUMMYFUNCTION("""COMPUTED_VALUE"""),"DRZWI PRYSZNICOWE RAPID SLIDE 100")</f>
        <v>DRZWI PRYSZNICOWE RAPID SLIDE 100</v>
      </c>
      <c r="C930" s="23"/>
      <c r="D930" s="24">
        <f ca="1">IFERROR(__xludf.DUMMYFUNCTION("""COMPUTED_VALUE"""),899)</f>
        <v>899</v>
      </c>
      <c r="E930" s="25" t="str">
        <f ca="1">IFERROR(__xludf.DUMMYFUNCTION("""COMPUTED_VALUE"""),"REA-K6400")</f>
        <v>REA-K6400</v>
      </c>
    </row>
    <row r="931" spans="1:5" x14ac:dyDescent="0.2">
      <c r="A931" s="22">
        <f ca="1">IFERROR(__xludf.DUMMYFUNCTION("""COMPUTED_VALUE"""),45352)</f>
        <v>45352</v>
      </c>
      <c r="B931" s="23" t="str">
        <f ca="1">IFERROR(__xludf.DUMMYFUNCTION("""COMPUTED_VALUE"""),"DRZWI PRYSZNICOWE RAPID SLIDE 110")</f>
        <v>DRZWI PRYSZNICOWE RAPID SLIDE 110</v>
      </c>
      <c r="C931" s="23"/>
      <c r="D931" s="24">
        <f ca="1">IFERROR(__xludf.DUMMYFUNCTION("""COMPUTED_VALUE"""),939)</f>
        <v>939</v>
      </c>
      <c r="E931" s="25" t="str">
        <f ca="1">IFERROR(__xludf.DUMMYFUNCTION("""COMPUTED_VALUE"""),"REA-K6401")</f>
        <v>REA-K6401</v>
      </c>
    </row>
    <row r="932" spans="1:5" x14ac:dyDescent="0.2">
      <c r="A932" s="22">
        <f ca="1">IFERROR(__xludf.DUMMYFUNCTION("""COMPUTED_VALUE"""),45352)</f>
        <v>45352</v>
      </c>
      <c r="B932" s="23" t="str">
        <f ca="1">IFERROR(__xludf.DUMMYFUNCTION("""COMPUTED_VALUE"""),"KABINA DIAMOND GOLD 100x100")</f>
        <v>KABINA DIAMOND GOLD 100x100</v>
      </c>
      <c r="C932" s="23"/>
      <c r="D932" s="24">
        <f ca="1">IFERROR(__xludf.DUMMYFUNCTION("""COMPUTED_VALUE"""),1990)</f>
        <v>1990</v>
      </c>
      <c r="E932" s="25" t="str">
        <f ca="1">IFERROR(__xludf.DUMMYFUNCTION("""COMPUTED_VALUE"""),"REA-K6616")</f>
        <v>REA-K6616</v>
      </c>
    </row>
    <row r="933" spans="1:5" x14ac:dyDescent="0.2">
      <c r="A933" s="22">
        <f ca="1">IFERROR(__xludf.DUMMYFUNCTION("""COMPUTED_VALUE"""),45352)</f>
        <v>45352</v>
      </c>
      <c r="B933" s="23" t="str">
        <f ca="1">IFERROR(__xludf.DUMMYFUNCTION("""COMPUTED_VALUE"""),"UMYWALKA ASANTI - NABLATOWA")</f>
        <v>UMYWALKA ASANTI - NABLATOWA</v>
      </c>
      <c r="C933" s="23"/>
      <c r="D933" s="24">
        <f ca="1">IFERROR(__xludf.DUMMYFUNCTION("""COMPUTED_VALUE"""),549)</f>
        <v>549</v>
      </c>
      <c r="E933" s="25" t="str">
        <f ca="1">IFERROR(__xludf.DUMMYFUNCTION("""COMPUTED_VALUE"""),"REA-U7506")</f>
        <v>REA-U7506</v>
      </c>
    </row>
    <row r="934" spans="1:5" x14ac:dyDescent="0.2">
      <c r="A934" s="22">
        <f ca="1">IFERROR(__xludf.DUMMYFUNCTION("""COMPUTED_VALUE"""),45352)</f>
        <v>45352</v>
      </c>
      <c r="B934" s="23" t="str">
        <f ca="1">IFERROR(__xludf.DUMMYFUNCTION("""COMPUTED_VALUE"""),"UMYWALKA SEVILLA - NABLATOWA")</f>
        <v>UMYWALKA SEVILLA - NABLATOWA</v>
      </c>
      <c r="C934" s="23"/>
      <c r="D934" s="24">
        <f ca="1">IFERROR(__xludf.DUMMYFUNCTION("""COMPUTED_VALUE"""),549)</f>
        <v>549</v>
      </c>
      <c r="E934" s="25" t="str">
        <f ca="1">IFERROR(__xludf.DUMMYFUNCTION("""COMPUTED_VALUE"""),"REA-U7505")</f>
        <v>REA-U7505</v>
      </c>
    </row>
    <row r="935" spans="1:5" x14ac:dyDescent="0.2">
      <c r="A935" s="22">
        <f ca="1">IFERROR(__xludf.DUMMYFUNCTION("""COMPUTED_VALUE"""),45352)</f>
        <v>45352</v>
      </c>
      <c r="B935" s="23" t="str">
        <f ca="1">IFERROR(__xludf.DUMMYFUNCTION("""COMPUTED_VALUE"""),"UMYWALKA FELICIA - NABLATOWA")</f>
        <v>UMYWALKA FELICIA - NABLATOWA</v>
      </c>
      <c r="C935" s="23"/>
      <c r="D935" s="24">
        <f ca="1">IFERROR(__xludf.DUMMYFUNCTION("""COMPUTED_VALUE"""),549)</f>
        <v>549</v>
      </c>
      <c r="E935" s="25" t="str">
        <f ca="1">IFERROR(__xludf.DUMMYFUNCTION("""COMPUTED_VALUE"""),"REA-U7504")</f>
        <v>REA-U7504</v>
      </c>
    </row>
    <row r="936" spans="1:5" x14ac:dyDescent="0.2">
      <c r="A936" s="22">
        <f ca="1">IFERROR(__xludf.DUMMYFUNCTION("""COMPUTED_VALUE"""),45352)</f>
        <v>45352</v>
      </c>
      <c r="B936" s="23" t="str">
        <f ca="1">IFERROR(__xludf.DUMMYFUNCTION("""COMPUTED_VALUE"""),"UMYWALKA BELLA - NABLATOWA")</f>
        <v>UMYWALKA BELLA - NABLATOWA</v>
      </c>
      <c r="C936" s="23"/>
      <c r="D936" s="24">
        <f ca="1">IFERROR(__xludf.DUMMYFUNCTION("""COMPUTED_VALUE"""),499)</f>
        <v>499</v>
      </c>
      <c r="E936" s="25" t="str">
        <f ca="1">IFERROR(__xludf.DUMMYFUNCTION("""COMPUTED_VALUE"""),"REA-U7503")</f>
        <v>REA-U7503</v>
      </c>
    </row>
    <row r="937" spans="1:5" x14ac:dyDescent="0.2">
      <c r="A937" s="22">
        <f ca="1">IFERROR(__xludf.DUMMYFUNCTION("""COMPUTED_VALUE"""),45352)</f>
        <v>45352</v>
      </c>
      <c r="B937" s="23" t="str">
        <f ca="1">IFERROR(__xludf.DUMMYFUNCTION("""COMPUTED_VALUE"""),"UMYWALKA MANDALA - NABLATOWA")</f>
        <v>UMYWALKA MANDALA - NABLATOWA</v>
      </c>
      <c r="C937" s="23"/>
      <c r="D937" s="24">
        <f ca="1">IFERROR(__xludf.DUMMYFUNCTION("""COMPUTED_VALUE"""),399)</f>
        <v>399</v>
      </c>
      <c r="E937" s="25" t="str">
        <f ca="1">IFERROR(__xludf.DUMMYFUNCTION("""COMPUTED_VALUE"""),"REA-U7502")</f>
        <v>REA-U7502</v>
      </c>
    </row>
    <row r="938" spans="1:5" x14ac:dyDescent="0.2">
      <c r="A938" s="22">
        <f ca="1">IFERROR(__xludf.DUMMYFUNCTION("""COMPUTED_VALUE"""),45352)</f>
        <v>45352</v>
      </c>
      <c r="B938" s="23" t="str">
        <f ca="1">IFERROR(__xludf.DUMMYFUNCTION("""COMPUTED_VALUE"""),"UMYWALKA AZTEC - NABLATOWA")</f>
        <v>UMYWALKA AZTEC - NABLATOWA</v>
      </c>
      <c r="C938" s="23"/>
      <c r="D938" s="24">
        <f ca="1">IFERROR(__xludf.DUMMYFUNCTION("""COMPUTED_VALUE"""),399)</f>
        <v>399</v>
      </c>
      <c r="E938" s="25" t="str">
        <f ca="1">IFERROR(__xludf.DUMMYFUNCTION("""COMPUTED_VALUE"""),"REA-U7501")</f>
        <v>REA-U7501</v>
      </c>
    </row>
    <row r="939" spans="1:5" x14ac:dyDescent="0.2">
      <c r="A939" s="22">
        <f ca="1">IFERROR(__xludf.DUMMYFUNCTION("""COMPUTED_VALUE"""),45352)</f>
        <v>45352</v>
      </c>
      <c r="B939" s="23" t="str">
        <f ca="1">IFERROR(__xludf.DUMMYFUNCTION("""COMPUTED_VALUE"""),"UMYWALKA ETNO - NABLATOWA")</f>
        <v>UMYWALKA ETNO - NABLATOWA</v>
      </c>
      <c r="C939" s="23"/>
      <c r="D939" s="24">
        <f ca="1">IFERROR(__xludf.DUMMYFUNCTION("""COMPUTED_VALUE"""),399)</f>
        <v>399</v>
      </c>
      <c r="E939" s="25" t="str">
        <f ca="1">IFERROR(__xludf.DUMMYFUNCTION("""COMPUTED_VALUE"""),"REA-U7500")</f>
        <v>REA-U7500</v>
      </c>
    </row>
    <row r="940" spans="1:5" x14ac:dyDescent="0.2">
      <c r="A940" s="22">
        <f ca="1">IFERROR(__xludf.DUMMYFUNCTION("""COMPUTED_VALUE"""),45352)</f>
        <v>45352</v>
      </c>
      <c r="B940" s="23" t="str">
        <f ca="1">IFERROR(__xludf.DUMMYFUNCTION("""COMPUTED_VALUE"""),"DESKA WC - UF DUROPLAST FLAT WHITE CARLO CARTER")</f>
        <v>DESKA WC - UF DUROPLAST FLAT WHITE CARLO CARTER</v>
      </c>
      <c r="C940" s="23"/>
      <c r="D940" s="24">
        <f ca="1">IFERROR(__xludf.DUMMYFUNCTION("""COMPUTED_VALUE"""),159)</f>
        <v>159</v>
      </c>
      <c r="E940" s="25" t="str">
        <f ca="1">IFERROR(__xludf.DUMMYFUNCTION("""COMPUTED_VALUE"""),"REA-C6001")</f>
        <v>REA-C6001</v>
      </c>
    </row>
    <row r="941" spans="1:5" x14ac:dyDescent="0.2">
      <c r="A941" s="22">
        <f ca="1">IFERROR(__xludf.DUMMYFUNCTION("""COMPUTED_VALUE"""),45352)</f>
        <v>45352</v>
      </c>
      <c r="B941" s="23" t="str">
        <f ca="1">IFERROR(__xludf.DUMMYFUNCTION("""COMPUTED_VALUE"""),"WC - MARTIN RIMLESS DUROPLAST/SLIM/ZM")</f>
        <v>WC - MARTIN RIMLESS DUROPLAST/SLIM/ZM</v>
      </c>
      <c r="C941" s="23"/>
      <c r="D941" s="24">
        <f ca="1">IFERROR(__xludf.DUMMYFUNCTION("""COMPUTED_VALUE"""),669)</f>
        <v>669</v>
      </c>
      <c r="E941" s="25" t="str">
        <f ca="1">IFERROR(__xludf.DUMMYFUNCTION("""COMPUTED_VALUE"""),"REA-C8006")</f>
        <v>REA-C8006</v>
      </c>
    </row>
    <row r="942" spans="1:5" x14ac:dyDescent="0.2">
      <c r="A942" s="22">
        <f ca="1">IFERROR(__xludf.DUMMYFUNCTION("""COMPUTED_VALUE"""),45352)</f>
        <v>45352</v>
      </c>
      <c r="B942" s="23" t="str">
        <f ca="1">IFERROR(__xludf.DUMMYFUNCTION("""COMPUTED_VALUE"""),"UMYWALKA SAMI WHITE GOLD EDGE - NABLATOWA")</f>
        <v>UMYWALKA SAMI WHITE GOLD EDGE - NABLATOWA</v>
      </c>
      <c r="C942" s="23"/>
      <c r="D942" s="24">
        <f ca="1">IFERROR(__xludf.DUMMYFUNCTION("""COMPUTED_VALUE"""),339)</f>
        <v>339</v>
      </c>
      <c r="E942" s="25" t="str">
        <f ca="1">IFERROR(__xludf.DUMMYFUNCTION("""COMPUTED_VALUE"""),"REA-U6758")</f>
        <v>REA-U6758</v>
      </c>
    </row>
    <row r="943" spans="1:5" x14ac:dyDescent="0.2">
      <c r="A943" s="22">
        <f ca="1">IFERROR(__xludf.DUMMYFUNCTION("""COMPUTED_VALUE"""),45352)</f>
        <v>45352</v>
      </c>
      <c r="B943" s="23" t="str">
        <f ca="1">IFERROR(__xludf.DUMMYFUNCTION("""COMPUTED_VALUE"""),"UMYWALKA BELINDA GOLD BRUSH/BLACK - NABLATOWA")</f>
        <v>UMYWALKA BELINDA GOLD BRUSH/BLACK - NABLATOWA</v>
      </c>
      <c r="C943" s="23"/>
      <c r="D943" s="24">
        <f ca="1">IFERROR(__xludf.DUMMYFUNCTION("""COMPUTED_VALUE"""),479)</f>
        <v>479</v>
      </c>
      <c r="E943" s="25" t="str">
        <f ca="1">IFERROR(__xludf.DUMMYFUNCTION("""COMPUTED_VALUE"""),"REA-U8780")</f>
        <v>REA-U8780</v>
      </c>
    </row>
    <row r="944" spans="1:5" x14ac:dyDescent="0.2">
      <c r="A944" s="22">
        <f ca="1">IFERROR(__xludf.DUMMYFUNCTION("""COMPUTED_VALUE"""),45352)</f>
        <v>45352</v>
      </c>
      <c r="B944" s="23" t="str">
        <f ca="1">IFERROR(__xludf.DUMMYFUNCTION("""COMPUTED_VALUE"""),"UMYWALKA BELINDA SLIM - NABLATOWA")</f>
        <v>UMYWALKA BELINDA SLIM - NABLATOWA</v>
      </c>
      <c r="C944" s="23"/>
      <c r="D944" s="24">
        <f ca="1">IFERROR(__xludf.DUMMYFUNCTION("""COMPUTED_VALUE"""),229)</f>
        <v>229</v>
      </c>
      <c r="E944" s="25" t="str">
        <f ca="1">IFERROR(__xludf.DUMMYFUNCTION("""COMPUTED_VALUE"""),"REA-U6521")</f>
        <v>REA-U6521</v>
      </c>
    </row>
    <row r="945" spans="1:5" x14ac:dyDescent="0.2">
      <c r="A945" s="22">
        <f ca="1">IFERROR(__xludf.DUMMYFUNCTION("""COMPUTED_VALUE"""),45352)</f>
        <v>45352</v>
      </c>
      <c r="B945" s="23" t="str">
        <f ca="1">IFERROR(__xludf.DUMMYFUNCTION("""COMPUTED_VALUE"""),"UMYWALKA PAMELA BLACK MARBLE SHINY - NABLATOWA")</f>
        <v>UMYWALKA PAMELA BLACK MARBLE SHINY - NABLATOWA</v>
      </c>
      <c r="C945" s="23"/>
      <c r="D945" s="24">
        <f ca="1">IFERROR(__xludf.DUMMYFUNCTION("""COMPUTED_VALUE"""),349)</f>
        <v>349</v>
      </c>
      <c r="E945" s="25" t="str">
        <f ca="1">IFERROR(__xludf.DUMMYFUNCTION("""COMPUTED_VALUE"""),"REA-U5067")</f>
        <v>REA-U5067</v>
      </c>
    </row>
    <row r="946" spans="1:5" x14ac:dyDescent="0.2">
      <c r="A946" s="22">
        <f ca="1">IFERROR(__xludf.DUMMYFUNCTION("""COMPUTED_VALUE"""),45348)</f>
        <v>45348</v>
      </c>
      <c r="B946" s="23" t="str">
        <f ca="1">IFERROR(__xludf.DUMMYFUNCTION("""COMPUTED_VALUE"""),"UMYWALKA PAMELA SHINY AIAX - NABLATOWA")</f>
        <v>UMYWALKA PAMELA SHINY AIAX - NABLATOWA</v>
      </c>
      <c r="C946" s="23"/>
      <c r="D946" s="24">
        <f ca="1">IFERROR(__xludf.DUMMYFUNCTION("""COMPUTED_VALUE"""),349)</f>
        <v>349</v>
      </c>
      <c r="E946" s="25" t="str">
        <f ca="1">IFERROR(__xludf.DUMMYFUNCTION("""COMPUTED_VALUE"""),"REA-U9685")</f>
        <v>REA-U9685</v>
      </c>
    </row>
    <row r="947" spans="1:5" x14ac:dyDescent="0.2">
      <c r="A947" s="22">
        <f ca="1">IFERROR(__xludf.DUMMYFUNCTION("""COMPUTED_VALUE"""),45348)</f>
        <v>45348</v>
      </c>
      <c r="B947" s="23" t="str">
        <f ca="1">IFERROR(__xludf.DUMMYFUNCTION("""COMPUTED_VALUE"""),"UMYWALKA MELANIA - NABLATOWA")</f>
        <v>UMYWALKA MELANIA - NABLATOWA</v>
      </c>
      <c r="C947" s="23"/>
      <c r="D947" s="24">
        <f ca="1">IFERROR(__xludf.DUMMYFUNCTION("""COMPUTED_VALUE"""),269)</f>
        <v>269</v>
      </c>
      <c r="E947" s="25" t="str">
        <f ca="1">IFERROR(__xludf.DUMMYFUNCTION("""COMPUTED_VALUE"""),"REA-U0656")</f>
        <v>REA-U0656</v>
      </c>
    </row>
    <row r="948" spans="1:5" x14ac:dyDescent="0.2">
      <c r="A948" s="22">
        <f ca="1">IFERROR(__xludf.DUMMYFUNCTION("""COMPUTED_VALUE"""),45348)</f>
        <v>45348</v>
      </c>
      <c r="B948" s="23" t="str">
        <f ca="1">IFERROR(__xludf.DUMMYFUNCTION("""COMPUTED_VALUE"""),"KABINA LOOK CHROME 80x80")</f>
        <v>KABINA LOOK CHROME 80x80</v>
      </c>
      <c r="C948" s="23"/>
      <c r="D948" s="24">
        <f ca="1">IFERROR(__xludf.DUMMYFUNCTION("""COMPUTED_VALUE"""),839)</f>
        <v>839</v>
      </c>
      <c r="E948" s="25" t="str">
        <f ca="1">IFERROR(__xludf.DUMMYFUNCTION("""COMPUTED_VALUE"""),"REA-K7904")</f>
        <v>REA-K7904</v>
      </c>
    </row>
    <row r="949" spans="1:5" x14ac:dyDescent="0.2">
      <c r="A949" s="22">
        <f ca="1">IFERROR(__xludf.DUMMYFUNCTION("""COMPUTED_VALUE"""),45348)</f>
        <v>45348</v>
      </c>
      <c r="B949" s="23" t="str">
        <f ca="1">IFERROR(__xludf.DUMMYFUNCTION("""COMPUTED_VALUE"""),"KABINA 80X100 PUNTO TRANSP")</f>
        <v>KABINA 80X100 PUNTO TRANSP</v>
      </c>
      <c r="C949" s="23"/>
      <c r="D949" s="24">
        <f ca="1">IFERROR(__xludf.DUMMYFUNCTION("""COMPUTED_VALUE"""),899)</f>
        <v>899</v>
      </c>
      <c r="E949" s="25" t="str">
        <f ca="1">IFERROR(__xludf.DUMMYFUNCTION("""COMPUTED_VALUE"""),"REA-K1889")</f>
        <v>REA-K1889</v>
      </c>
    </row>
    <row r="950" spans="1:5" x14ac:dyDescent="0.2">
      <c r="A950" s="22">
        <f ca="1">IFERROR(__xludf.DUMMYFUNCTION("""COMPUTED_VALUE"""),45348)</f>
        <v>45348</v>
      </c>
      <c r="B950" s="23" t="str">
        <f ca="1">IFERROR(__xludf.DUMMYFUNCTION("""COMPUTED_VALUE"""),"KABINA 90X90 PUNTO TRANSP")</f>
        <v>KABINA 90X90 PUNTO TRANSP</v>
      </c>
      <c r="C950" s="23"/>
      <c r="D950" s="24">
        <f ca="1">IFERROR(__xludf.DUMMYFUNCTION("""COMPUTED_VALUE"""),859)</f>
        <v>859</v>
      </c>
      <c r="E950" s="25" t="str">
        <f ca="1">IFERROR(__xludf.DUMMYFUNCTION("""COMPUTED_VALUE"""),"REA-K0867")</f>
        <v>REA-K0867</v>
      </c>
    </row>
    <row r="951" spans="1:5" x14ac:dyDescent="0.2">
      <c r="A951" s="22">
        <f ca="1">IFERROR(__xludf.DUMMYFUNCTION("""COMPUTED_VALUE"""),45348)</f>
        <v>45348</v>
      </c>
      <c r="B951" s="23" t="str">
        <f ca="1">IFERROR(__xludf.DUMMYFUNCTION("""COMPUTED_VALUE"""),"KABINA 80X100 PUNTO BLACK")</f>
        <v>KABINA 80X100 PUNTO BLACK</v>
      </c>
      <c r="C951" s="23"/>
      <c r="D951" s="24">
        <f ca="1">IFERROR(__xludf.DUMMYFUNCTION("""COMPUTED_VALUE"""),899)</f>
        <v>899</v>
      </c>
      <c r="E951" s="25" t="str">
        <f ca="1">IFERROR(__xludf.DUMMYFUNCTION("""COMPUTED_VALUE"""),"REA-K4806")</f>
        <v>REA-K4806</v>
      </c>
    </row>
    <row r="952" spans="1:5" x14ac:dyDescent="0.2">
      <c r="A952" s="22">
        <f ca="1">IFERROR(__xludf.DUMMYFUNCTION("""COMPUTED_VALUE"""),45344)</f>
        <v>45344</v>
      </c>
      <c r="B952" s="23" t="str">
        <f ca="1">IFERROR(__xludf.DUMMYFUNCTION("""COMPUTED_VALUE"""),"UMYWALKA SAMI GREEN MATT - NABLATOWA")</f>
        <v>UMYWALKA SAMI GREEN MATT - NABLATOWA</v>
      </c>
      <c r="C952" s="23"/>
      <c r="D952" s="24">
        <f ca="1">IFERROR(__xludf.DUMMYFUNCTION("""COMPUTED_VALUE"""),499)</f>
        <v>499</v>
      </c>
      <c r="E952" s="25" t="str">
        <f ca="1">IFERROR(__xludf.DUMMYFUNCTION("""COMPUTED_VALUE"""),"REA-U4567")</f>
        <v>REA-U4567</v>
      </c>
    </row>
    <row r="953" spans="1:5" x14ac:dyDescent="0.2">
      <c r="A953" s="22">
        <f ca="1">IFERROR(__xludf.DUMMYFUNCTION("""COMPUTED_VALUE"""),45344)</f>
        <v>45344</v>
      </c>
      <c r="B953" s="23" t="str">
        <f ca="1">IFERROR(__xludf.DUMMYFUNCTION("""COMPUTED_VALUE"""),"UMYWALKA SAMI TERRA MATT - NABLATOWA")</f>
        <v>UMYWALKA SAMI TERRA MATT - NABLATOWA</v>
      </c>
      <c r="C953" s="23"/>
      <c r="D953" s="24">
        <f ca="1">IFERROR(__xludf.DUMMYFUNCTION("""COMPUTED_VALUE"""),499)</f>
        <v>499</v>
      </c>
      <c r="E953" s="25" t="str">
        <f ca="1">IFERROR(__xludf.DUMMYFUNCTION("""COMPUTED_VALUE"""),"REA-U4566")</f>
        <v>REA-U4566</v>
      </c>
    </row>
    <row r="954" spans="1:5" x14ac:dyDescent="0.2">
      <c r="A954" s="22">
        <f ca="1">IFERROR(__xludf.DUMMYFUNCTION("""COMPUTED_VALUE"""),45344)</f>
        <v>45344</v>
      </c>
      <c r="B954" s="23" t="str">
        <f ca="1">IFERROR(__xludf.DUMMYFUNCTION("""COMPUTED_VALUE"""),"UMYWALKA LINDA LAVA - NABLATOWA")</f>
        <v>UMYWALKA LINDA LAVA - NABLATOWA</v>
      </c>
      <c r="C954" s="23"/>
      <c r="D954" s="24">
        <f ca="1">IFERROR(__xludf.DUMMYFUNCTION("""COMPUTED_VALUE"""),359)</f>
        <v>359</v>
      </c>
      <c r="E954" s="25" t="str">
        <f ca="1">IFERROR(__xludf.DUMMYFUNCTION("""COMPUTED_VALUE"""),"REA-U8695")</f>
        <v>REA-U8695</v>
      </c>
    </row>
    <row r="955" spans="1:5" x14ac:dyDescent="0.2">
      <c r="A955" s="22">
        <f ca="1">IFERROR(__xludf.DUMMYFUNCTION("""COMPUTED_VALUE"""),45344)</f>
        <v>45344</v>
      </c>
      <c r="B955" s="23" t="str">
        <f ca="1">IFERROR(__xludf.DUMMYFUNCTION("""COMPUTED_VALUE"""),"UMYWALKA LINDA LAVA MATT - NABLATOWA")</f>
        <v>UMYWALKA LINDA LAVA MATT - NABLATOWA</v>
      </c>
      <c r="C955" s="23"/>
      <c r="D955" s="24">
        <f ca="1">IFERROR(__xludf.DUMMYFUNCTION("""COMPUTED_VALUE"""),359)</f>
        <v>359</v>
      </c>
      <c r="E955" s="25" t="str">
        <f ca="1">IFERROR(__xludf.DUMMYFUNCTION("""COMPUTED_VALUE"""),"REA-U8568")</f>
        <v>REA-U8568</v>
      </c>
    </row>
    <row r="956" spans="1:5" x14ac:dyDescent="0.2">
      <c r="A956" s="22">
        <f ca="1">IFERROR(__xludf.DUMMYFUNCTION("""COMPUTED_VALUE"""),45344)</f>
        <v>45344</v>
      </c>
      <c r="B956" s="23" t="str">
        <f ca="1">IFERROR(__xludf.DUMMYFUNCTION("""COMPUTED_VALUE"""),"UMYWALKA LIVIA BEIGE - NABLATOWA")</f>
        <v>UMYWALKA LIVIA BEIGE - NABLATOWA</v>
      </c>
      <c r="C956" s="23"/>
      <c r="D956" s="24">
        <f ca="1">IFERROR(__xludf.DUMMYFUNCTION("""COMPUTED_VALUE"""),349)</f>
        <v>349</v>
      </c>
      <c r="E956" s="25" t="str">
        <f ca="1">IFERROR(__xludf.DUMMYFUNCTION("""COMPUTED_VALUE"""),"REA-U3802")</f>
        <v>REA-U3802</v>
      </c>
    </row>
    <row r="957" spans="1:5" x14ac:dyDescent="0.2">
      <c r="A957" s="22">
        <f ca="1">IFERROR(__xludf.DUMMYFUNCTION("""COMPUTED_VALUE"""),45344)</f>
        <v>45344</v>
      </c>
      <c r="B957" s="23" t="str">
        <f ca="1">IFERROR(__xludf.DUMMYFUNCTION("""COMPUTED_VALUE"""),"UMYWALKA LIVIA GREY - NABLATOWA")</f>
        <v>UMYWALKA LIVIA GREY - NABLATOWA</v>
      </c>
      <c r="C957" s="23"/>
      <c r="D957" s="24">
        <f ca="1">IFERROR(__xludf.DUMMYFUNCTION("""COMPUTED_VALUE"""),349)</f>
        <v>349</v>
      </c>
      <c r="E957" s="25" t="str">
        <f ca="1">IFERROR(__xludf.DUMMYFUNCTION("""COMPUTED_VALUE"""),"REA-U3801")</f>
        <v>REA-U3801</v>
      </c>
    </row>
    <row r="958" spans="1:5" x14ac:dyDescent="0.2">
      <c r="A958" s="22">
        <f ca="1">IFERROR(__xludf.DUMMYFUNCTION("""COMPUTED_VALUE"""),45344)</f>
        <v>45344</v>
      </c>
      <c r="B958" s="23" t="str">
        <f ca="1">IFERROR(__xludf.DUMMYFUNCTION("""COMPUTED_VALUE"""),"UMYWALKA SOFIA STONE - NABLATOWA")</f>
        <v>UMYWALKA SOFIA STONE - NABLATOWA</v>
      </c>
      <c r="C958" s="23"/>
      <c r="D958" s="24">
        <f ca="1">IFERROR(__xludf.DUMMYFUNCTION("""COMPUTED_VALUE"""),349)</f>
        <v>349</v>
      </c>
      <c r="E958" s="25" t="str">
        <f ca="1">IFERROR(__xludf.DUMMYFUNCTION("""COMPUTED_VALUE"""),"REA-U9908")</f>
        <v>REA-U9908</v>
      </c>
    </row>
    <row r="959" spans="1:5" x14ac:dyDescent="0.2">
      <c r="A959" s="22">
        <f ca="1">IFERROR(__xludf.DUMMYFUNCTION("""COMPUTED_VALUE"""),45344)</f>
        <v>45344</v>
      </c>
      <c r="B959" s="23" t="str">
        <f ca="1">IFERROR(__xludf.DUMMYFUNCTION("""COMPUTED_VALUE"""),"UMYWALKA SOFIA LIGHT STONE - NABLATOWA")</f>
        <v>UMYWALKA SOFIA LIGHT STONE - NABLATOWA</v>
      </c>
      <c r="C959" s="23"/>
      <c r="D959" s="24">
        <f ca="1">IFERROR(__xludf.DUMMYFUNCTION("""COMPUTED_VALUE"""),349)</f>
        <v>349</v>
      </c>
      <c r="E959" s="25" t="str">
        <f ca="1">IFERROR(__xludf.DUMMYFUNCTION("""COMPUTED_VALUE"""),"REA-U0165")</f>
        <v>REA-U0165</v>
      </c>
    </row>
    <row r="960" spans="1:5" x14ac:dyDescent="0.2">
      <c r="A960" s="22">
        <f ca="1">IFERROR(__xludf.DUMMYFUNCTION("""COMPUTED_VALUE"""),45344)</f>
        <v>45344</v>
      </c>
      <c r="B960" s="23" t="str">
        <f ca="1">IFERROR(__xludf.DUMMYFUNCTION("""COMPUTED_VALUE"""),"BIDET CARLO MINI GOLD WHITE")</f>
        <v>BIDET CARLO MINI GOLD WHITE</v>
      </c>
      <c r="C960" s="23"/>
      <c r="D960" s="24">
        <f ca="1">IFERROR(__xludf.DUMMYFUNCTION("""COMPUTED_VALUE"""),999)</f>
        <v>999</v>
      </c>
      <c r="E960" s="25" t="str">
        <f ca="1">IFERROR(__xludf.DUMMYFUNCTION("""COMPUTED_VALUE"""),"REA-C2288")</f>
        <v>REA-C2288</v>
      </c>
    </row>
    <row r="961" spans="1:5" x14ac:dyDescent="0.2">
      <c r="A961" s="22">
        <f ca="1">IFERROR(__xludf.DUMMYFUNCTION("""COMPUTED_VALUE"""),45344)</f>
        <v>45344</v>
      </c>
      <c r="B961" s="23" t="str">
        <f ca="1">IFERROR(__xludf.DUMMYFUNCTION("""COMPUTED_VALUE"""),"BIDET CARLO MINI WHITE GOLD EDGE")</f>
        <v>BIDET CARLO MINI WHITE GOLD EDGE</v>
      </c>
      <c r="C961" s="23"/>
      <c r="D961" s="24">
        <f ca="1">IFERROR(__xludf.DUMMYFUNCTION("""COMPUTED_VALUE"""),729)</f>
        <v>729</v>
      </c>
      <c r="E961" s="25" t="str">
        <f ca="1">IFERROR(__xludf.DUMMYFUNCTION("""COMPUTED_VALUE"""),"REA-C6990")</f>
        <v>REA-C6990</v>
      </c>
    </row>
    <row r="962" spans="1:5" x14ac:dyDescent="0.2">
      <c r="A962" s="22">
        <f ca="1">IFERROR(__xludf.DUMMYFUNCTION("""COMPUTED_VALUE"""),45344)</f>
        <v>45344</v>
      </c>
      <c r="B962" s="23" t="str">
        <f ca="1">IFERROR(__xludf.DUMMYFUNCTION("""COMPUTED_VALUE"""),"UMYWALKA DELIA - NABLATOWA")</f>
        <v>UMYWALKA DELIA - NABLATOWA</v>
      </c>
      <c r="C962" s="23"/>
      <c r="D962" s="24">
        <f ca="1">IFERROR(__xludf.DUMMYFUNCTION("""COMPUTED_VALUE"""),259)</f>
        <v>259</v>
      </c>
      <c r="E962" s="25" t="str">
        <f ca="1">IFERROR(__xludf.DUMMYFUNCTION("""COMPUTED_VALUE"""),"REA-U0601")</f>
        <v>REA-U0601</v>
      </c>
    </row>
    <row r="963" spans="1:5" x14ac:dyDescent="0.2">
      <c r="A963" s="22">
        <f ca="1">IFERROR(__xludf.DUMMYFUNCTION("""COMPUTED_VALUE"""),45344)</f>
        <v>45344</v>
      </c>
      <c r="B963" s="23" t="str">
        <f ca="1">IFERROR(__xludf.DUMMYFUNCTION("""COMPUTED_VALUE"""),"UMYWALKA FONDA - NABLATOWA")</f>
        <v>UMYWALKA FONDA - NABLATOWA</v>
      </c>
      <c r="C963" s="23"/>
      <c r="D963" s="24">
        <f ca="1">IFERROR(__xludf.DUMMYFUNCTION("""COMPUTED_VALUE"""),229)</f>
        <v>229</v>
      </c>
      <c r="E963" s="25" t="str">
        <f ca="1">IFERROR(__xludf.DUMMYFUNCTION("""COMPUTED_VALUE"""),"REA-U0604")</f>
        <v>REA-U0604</v>
      </c>
    </row>
    <row r="964" spans="1:5" x14ac:dyDescent="0.2">
      <c r="A964" s="22">
        <f ca="1">IFERROR(__xludf.DUMMYFUNCTION("""COMPUTED_VALUE"""),45336)</f>
        <v>45336</v>
      </c>
      <c r="B964" s="23" t="str">
        <f ca="1">IFERROR(__xludf.DUMMYFUNCTION("""COMPUTED_VALUE"""),"BATERIA WANNOWA MY2061-3GG HASS ZŁOTA SZCZOTKOWANA")</f>
        <v>BATERIA WANNOWA MY2061-3GG HASS ZŁOTA SZCZOTKOWANA</v>
      </c>
      <c r="C964" s="23"/>
      <c r="D964" s="24">
        <f ca="1">IFERROR(__xludf.DUMMYFUNCTION("""COMPUTED_VALUE"""),499)</f>
        <v>499</v>
      </c>
      <c r="E964" s="25" t="str">
        <f ca="1">IFERROR(__xludf.DUMMYFUNCTION("""COMPUTED_VALUE"""),"REA-B7100")</f>
        <v>REA-B7100</v>
      </c>
    </row>
    <row r="965" spans="1:5" x14ac:dyDescent="0.2">
      <c r="A965" s="22">
        <f ca="1">IFERROR(__xludf.DUMMYFUNCTION("""COMPUTED_VALUE"""),45336)</f>
        <v>45336</v>
      </c>
      <c r="B965" s="23" t="str">
        <f ca="1">IFERROR(__xludf.DUMMYFUNCTION("""COMPUTED_VALUE"""),"BATERIA UMYWALKOWA MY1906-2G SOUL GOLD NISKA")</f>
        <v>BATERIA UMYWALKOWA MY1906-2G SOUL GOLD NISKA</v>
      </c>
      <c r="C965" s="23"/>
      <c r="D965" s="24">
        <f ca="1">IFERROR(__xludf.DUMMYFUNCTION("""COMPUTED_VALUE"""),319)</f>
        <v>319</v>
      </c>
      <c r="E965" s="25" t="str">
        <f ca="1">IFERROR(__xludf.DUMMYFUNCTION("""COMPUTED_VALUE"""),"REA-B9999")</f>
        <v>REA-B9999</v>
      </c>
    </row>
    <row r="966" spans="1:5" x14ac:dyDescent="0.2">
      <c r="A966" s="22">
        <f ca="1">IFERROR(__xludf.DUMMYFUNCTION("""COMPUTED_VALUE"""),45336)</f>
        <v>45336</v>
      </c>
      <c r="B966" s="23" t="str">
        <f ca="1">IFERROR(__xludf.DUMMYFUNCTION("""COMPUTED_VALUE"""),"BATERIA UMYWALKOWA MY1906-2B SOUL BLACK NISKA")</f>
        <v>BATERIA UMYWALKOWA MY1906-2B SOUL BLACK NISKA</v>
      </c>
      <c r="C966" s="23"/>
      <c r="D966" s="24">
        <f ca="1">IFERROR(__xludf.DUMMYFUNCTION("""COMPUTED_VALUE"""),269)</f>
        <v>269</v>
      </c>
      <c r="E966" s="25" t="str">
        <f ca="1">IFERROR(__xludf.DUMMYFUNCTION("""COMPUTED_VALUE"""),"REA-B9994")</f>
        <v>REA-B9994</v>
      </c>
    </row>
    <row r="967" spans="1:5" x14ac:dyDescent="0.2">
      <c r="A967" s="22">
        <f ca="1">IFERROR(__xludf.DUMMYFUNCTION("""COMPUTED_VALUE"""),45336)</f>
        <v>45336</v>
      </c>
      <c r="B967" s="23" t="str">
        <f ca="1">IFERROR(__xludf.DUMMYFUNCTION("""COMPUTED_VALUE"""),"BATERIA UMYWALKOWA MY1902-2G STORM GOLD NISKA")</f>
        <v>BATERIA UMYWALKOWA MY1902-2G STORM GOLD NISKA</v>
      </c>
      <c r="C967" s="23"/>
      <c r="D967" s="24">
        <f ca="1">IFERROR(__xludf.DUMMYFUNCTION("""COMPUTED_VALUE"""),299)</f>
        <v>299</v>
      </c>
      <c r="E967" s="25" t="str">
        <f ca="1">IFERROR(__xludf.DUMMYFUNCTION("""COMPUTED_VALUE"""),"REA-B9981")</f>
        <v>REA-B9981</v>
      </c>
    </row>
    <row r="968" spans="1:5" x14ac:dyDescent="0.2">
      <c r="A968" s="22">
        <f ca="1">IFERROR(__xludf.DUMMYFUNCTION("""COMPUTED_VALUE"""),45336)</f>
        <v>45336</v>
      </c>
      <c r="B968" s="23" t="str">
        <f ca="1">IFERROR(__xludf.DUMMYFUNCTION("""COMPUTED_VALUE"""),"BATERIA BIDETOWA MY1805-9CW BLOOM WHITE/CHROME")</f>
        <v>BATERIA BIDETOWA MY1805-9CW BLOOM WHITE/CHROME</v>
      </c>
      <c r="C968" s="23"/>
      <c r="D968" s="24">
        <f ca="1">IFERROR(__xludf.DUMMYFUNCTION("""COMPUTED_VALUE"""),259)</f>
        <v>259</v>
      </c>
      <c r="E968" s="25" t="str">
        <f ca="1">IFERROR(__xludf.DUMMYFUNCTION("""COMPUTED_VALUE"""),"REA-B9916")</f>
        <v>REA-B9916</v>
      </c>
    </row>
    <row r="969" spans="1:5" x14ac:dyDescent="0.2">
      <c r="A969" s="22">
        <f ca="1">IFERROR(__xludf.DUMMYFUNCTION("""COMPUTED_VALUE"""),45336)</f>
        <v>45336</v>
      </c>
      <c r="B969" s="23" t="str">
        <f ca="1">IFERROR(__xludf.DUMMYFUNCTION("""COMPUTED_VALUE"""),"BATERIA UMYWAL MY1805-2CW BLOOM WHITE/CHROME NISKA")</f>
        <v>BATERIA UMYWAL MY1805-2CW BLOOM WHITE/CHROME NISKA</v>
      </c>
      <c r="C969" s="23"/>
      <c r="D969" s="24">
        <f ca="1">IFERROR(__xludf.DUMMYFUNCTION("""COMPUTED_VALUE"""),259)</f>
        <v>259</v>
      </c>
      <c r="E969" s="25" t="str">
        <f ca="1">IFERROR(__xludf.DUMMYFUNCTION("""COMPUTED_VALUE"""),"REA-B9915")</f>
        <v>REA-B9915</v>
      </c>
    </row>
    <row r="970" spans="1:5" x14ac:dyDescent="0.2">
      <c r="A970" s="22">
        <f ca="1">IFERROR(__xludf.DUMMYFUNCTION("""COMPUTED_VALUE"""),45336)</f>
        <v>45336</v>
      </c>
      <c r="B970" s="23" t="str">
        <f ca="1">IFERROR(__xludf.DUMMYFUNCTION("""COMPUTED_VALUE"""),"BATERIA UMYWALKOWA MY1802-2G URBAN GOLD NISKA")</f>
        <v>BATERIA UMYWALKOWA MY1802-2G URBAN GOLD NISKA</v>
      </c>
      <c r="C970" s="23"/>
      <c r="D970" s="24">
        <f ca="1">IFERROR(__xludf.DUMMYFUNCTION("""COMPUTED_VALUE"""),319)</f>
        <v>319</v>
      </c>
      <c r="E970" s="25" t="str">
        <f ca="1">IFERROR(__xludf.DUMMYFUNCTION("""COMPUTED_VALUE"""),"REA-B9911")</f>
        <v>REA-B9911</v>
      </c>
    </row>
    <row r="971" spans="1:5" x14ac:dyDescent="0.2">
      <c r="A971" s="22">
        <f ca="1">IFERROR(__xludf.DUMMYFUNCTION("""COMPUTED_VALUE"""),45336)</f>
        <v>45336</v>
      </c>
      <c r="B971" s="23" t="str">
        <f ca="1">IFERROR(__xludf.DUMMYFUNCTION("""COMPUTED_VALUE"""),"ŚCIANKA PRYSZNICOWA AERO GOLD BRUSH 100")</f>
        <v>ŚCIANKA PRYSZNICOWA AERO GOLD BRUSH 100</v>
      </c>
      <c r="C971" s="23"/>
      <c r="D971" s="24">
        <f ca="1">IFERROR(__xludf.DUMMYFUNCTION("""COMPUTED_VALUE"""),979)</f>
        <v>979</v>
      </c>
      <c r="E971" s="25" t="str">
        <f ca="1">IFERROR(__xludf.DUMMYFUNCTION("""COMPUTED_VALUE"""),"REA-K4701")</f>
        <v>REA-K4701</v>
      </c>
    </row>
    <row r="972" spans="1:5" x14ac:dyDescent="0.2">
      <c r="A972" s="22">
        <f ca="1">IFERROR(__xludf.DUMMYFUNCTION("""COMPUTED_VALUE"""),45336)</f>
        <v>45336</v>
      </c>
      <c r="B972" s="23" t="str">
        <f ca="1">IFERROR(__xludf.DUMMYFUNCTION("""COMPUTED_VALUE"""),"ŚCIANKA PRYSZNICOWA AERO GOLD BRUSH 110")</f>
        <v>ŚCIANKA PRYSZNICOWA AERO GOLD BRUSH 110</v>
      </c>
      <c r="C972" s="23"/>
      <c r="D972" s="24">
        <f ca="1">IFERROR(__xludf.DUMMYFUNCTION("""COMPUTED_VALUE"""),999)</f>
        <v>999</v>
      </c>
      <c r="E972" s="25" t="str">
        <f ca="1">IFERROR(__xludf.DUMMYFUNCTION("""COMPUTED_VALUE"""),"REA-K9840")</f>
        <v>REA-K9840</v>
      </c>
    </row>
    <row r="973" spans="1:5" x14ac:dyDescent="0.2">
      <c r="A973" s="22">
        <f ca="1">IFERROR(__xludf.DUMMYFUNCTION("""COMPUTED_VALUE"""),45336)</f>
        <v>45336</v>
      </c>
      <c r="B973" s="23" t="str">
        <f ca="1">IFERROR(__xludf.DUMMYFUNCTION("""COMPUTED_VALUE"""),"ŚCIANKA PRYSZNICOWA AERO GOLD BRUSH 120")</f>
        <v>ŚCIANKA PRYSZNICOWA AERO GOLD BRUSH 120</v>
      </c>
      <c r="C973" s="23"/>
      <c r="D973" s="24">
        <f ca="1">IFERROR(__xludf.DUMMYFUNCTION("""COMPUTED_VALUE"""),1059)</f>
        <v>1059</v>
      </c>
      <c r="E973" s="25" t="str">
        <f ca="1">IFERROR(__xludf.DUMMYFUNCTION("""COMPUTED_VALUE"""),"REA-K4702")</f>
        <v>REA-K4702</v>
      </c>
    </row>
    <row r="974" spans="1:5" x14ac:dyDescent="0.2">
      <c r="A974" s="22">
        <f ca="1">IFERROR(__xludf.DUMMYFUNCTION("""COMPUTED_VALUE"""),45336)</f>
        <v>45336</v>
      </c>
      <c r="B974" s="23" t="str">
        <f ca="1">IFERROR(__xludf.DUMMYFUNCTION("""COMPUTED_VALUE"""),"ŚCIANKA PRYSZNICOWA AERO GOLD BRUSH 90")</f>
        <v>ŚCIANKA PRYSZNICOWA AERO GOLD BRUSH 90</v>
      </c>
      <c r="C974" s="23"/>
      <c r="D974" s="24">
        <f ca="1">IFERROR(__xludf.DUMMYFUNCTION("""COMPUTED_VALUE"""),959)</f>
        <v>959</v>
      </c>
      <c r="E974" s="25" t="str">
        <f ca="1">IFERROR(__xludf.DUMMYFUNCTION("""COMPUTED_VALUE"""),"REA-K4700")</f>
        <v>REA-K4700</v>
      </c>
    </row>
    <row r="975" spans="1:5" x14ac:dyDescent="0.2">
      <c r="A975" s="22">
        <f ca="1">IFERROR(__xludf.DUMMYFUNCTION("""COMPUTED_VALUE"""),45331)</f>
        <v>45331</v>
      </c>
      <c r="B975" s="23" t="str">
        <f ca="1">IFERROR(__xludf.DUMMYFUNCTION("""COMPUTED_VALUE"""),"KABINA HEX 80X80 BLACK")</f>
        <v>KABINA HEX 80X80 BLACK</v>
      </c>
      <c r="C975" s="23"/>
      <c r="D975" s="24">
        <f ca="1">IFERROR(__xludf.DUMMYFUNCTION("""COMPUTED_VALUE"""),1199)</f>
        <v>1199</v>
      </c>
      <c r="E975" s="25" t="str">
        <f ca="1">IFERROR(__xludf.DUMMYFUNCTION("""COMPUTED_VALUE"""),"REA-K8969")</f>
        <v>REA-K8969</v>
      </c>
    </row>
    <row r="976" spans="1:5" x14ac:dyDescent="0.2">
      <c r="A976" s="22">
        <f ca="1">IFERROR(__xludf.DUMMYFUNCTION("""COMPUTED_VALUE"""),45331)</f>
        <v>45331</v>
      </c>
      <c r="B976" s="23" t="str">
        <f ca="1">IFERROR(__xludf.DUMMYFUNCTION("""COMPUTED_VALUE"""),"DRZWI PRYSZNICOWE RAPID SLIDE GOLD 150")</f>
        <v>DRZWI PRYSZNICOWE RAPID SLIDE GOLD 150</v>
      </c>
      <c r="C976" s="23"/>
      <c r="D976" s="24">
        <f ca="1">IFERROR(__xludf.DUMMYFUNCTION("""COMPUTED_VALUE"""),1279)</f>
        <v>1279</v>
      </c>
      <c r="E976" s="25" t="str">
        <f ca="1">IFERROR(__xludf.DUMMYFUNCTION("""COMPUTED_VALUE"""),"REA-K5617")</f>
        <v>REA-K5617</v>
      </c>
    </row>
    <row r="977" spans="1:5" x14ac:dyDescent="0.2">
      <c r="A977" s="22">
        <f ca="1">IFERROR(__xludf.DUMMYFUNCTION("""COMPUTED_VALUE"""),45331)</f>
        <v>45331</v>
      </c>
      <c r="B977" s="23" t="str">
        <f ca="1">IFERROR(__xludf.DUMMYFUNCTION("""COMPUTED_VALUE"""),"DRZWI PRYSZNICOWE RAPID SLIDE GOLD 140")</f>
        <v>DRZWI PRYSZNICOWE RAPID SLIDE GOLD 140</v>
      </c>
      <c r="C977" s="23"/>
      <c r="D977" s="24">
        <f ca="1">IFERROR(__xludf.DUMMYFUNCTION("""COMPUTED_VALUE"""),1059)</f>
        <v>1059</v>
      </c>
      <c r="E977" s="25" t="str">
        <f ca="1">IFERROR(__xludf.DUMMYFUNCTION("""COMPUTED_VALUE"""),"REA-K5616")</f>
        <v>REA-K5616</v>
      </c>
    </row>
    <row r="978" spans="1:5" x14ac:dyDescent="0.2">
      <c r="A978" s="22">
        <f ca="1">IFERROR(__xludf.DUMMYFUNCTION("""COMPUTED_VALUE"""),45331)</f>
        <v>45331</v>
      </c>
      <c r="B978" s="23" t="str">
        <f ca="1">IFERROR(__xludf.DUMMYFUNCTION("""COMPUTED_VALUE"""),"SYFON KLIK-KLAK UNIWERSALNY ROSE GOLD")</f>
        <v>SYFON KLIK-KLAK UNIWERSALNY ROSE GOLD</v>
      </c>
      <c r="C978" s="23"/>
      <c r="D978" s="24">
        <f ca="1">IFERROR(__xludf.DUMMYFUNCTION("""COMPUTED_VALUE"""),239)</f>
        <v>239</v>
      </c>
      <c r="E978" s="25" t="str">
        <f ca="1">IFERROR(__xludf.DUMMYFUNCTION("""COMPUTED_VALUE"""),"REA-A8541")</f>
        <v>REA-A8541</v>
      </c>
    </row>
    <row r="979" spans="1:5" x14ac:dyDescent="0.2">
      <c r="A979" s="22">
        <f ca="1">IFERROR(__xludf.DUMMYFUNCTION("""COMPUTED_VALUE"""),45331)</f>
        <v>45331</v>
      </c>
      <c r="B979" s="23" t="str">
        <f ca="1">IFERROR(__xludf.DUMMYFUNCTION("""COMPUTED_VALUE"""),"UMYWALKA AMELIA MINI STONE MATT - NABLATOWA")</f>
        <v>UMYWALKA AMELIA MINI STONE MATT - NABLATOWA</v>
      </c>
      <c r="C979" s="23"/>
      <c r="D979" s="24">
        <f ca="1">IFERROR(__xludf.DUMMYFUNCTION("""COMPUTED_VALUE"""),259)</f>
        <v>259</v>
      </c>
      <c r="E979" s="25" t="str">
        <f ca="1">IFERROR(__xludf.DUMMYFUNCTION("""COMPUTED_VALUE"""),"REA-U9109")</f>
        <v>REA-U9109</v>
      </c>
    </row>
    <row r="980" spans="1:5" x14ac:dyDescent="0.2">
      <c r="A980" s="22">
        <f ca="1">IFERROR(__xludf.DUMMYFUNCTION("""COMPUTED_VALUE"""),45331)</f>
        <v>45331</v>
      </c>
      <c r="B980" s="23" t="str">
        <f ca="1">IFERROR(__xludf.DUMMYFUNCTION("""COMPUTED_VALUE"""),"UMYWALKA ALMA - NABLATOWA")</f>
        <v>UMYWALKA ALMA - NABLATOWA</v>
      </c>
      <c r="C980" s="23"/>
      <c r="D980" s="24">
        <f ca="1">IFERROR(__xludf.DUMMYFUNCTION("""COMPUTED_VALUE"""),229)</f>
        <v>229</v>
      </c>
      <c r="E980" s="25" t="str">
        <f ca="1">IFERROR(__xludf.DUMMYFUNCTION("""COMPUTED_VALUE"""),"REA-U0600")</f>
        <v>REA-U0600</v>
      </c>
    </row>
    <row r="981" spans="1:5" x14ac:dyDescent="0.2">
      <c r="A981" s="22">
        <f ca="1">IFERROR(__xludf.DUMMYFUNCTION("""COMPUTED_VALUE"""),45331)</f>
        <v>45331</v>
      </c>
      <c r="B981" s="23" t="str">
        <f ca="1">IFERROR(__xludf.DUMMYFUNCTION("""COMPUTED_VALUE"""),"ŚCIANKA PRYSZNICOWA BLER 120")</f>
        <v>ŚCIANKA PRYSZNICOWA BLER 120</v>
      </c>
      <c r="C981" s="23"/>
      <c r="D981" s="24">
        <f ca="1">IFERROR(__xludf.DUMMYFUNCTION("""COMPUTED_VALUE"""),999)</f>
        <v>999</v>
      </c>
      <c r="E981" s="25" t="str">
        <f ca="1">IFERROR(__xludf.DUMMYFUNCTION("""COMPUTED_VALUE"""),"REA-K7631")</f>
        <v>REA-K7631</v>
      </c>
    </row>
    <row r="982" spans="1:5" x14ac:dyDescent="0.2">
      <c r="A982" s="22">
        <f ca="1">IFERROR(__xludf.DUMMYFUNCTION("""COMPUTED_VALUE"""),45331)</f>
        <v>45331</v>
      </c>
      <c r="B982" s="23" t="str">
        <f ca="1">IFERROR(__xludf.DUMMYFUNCTION("""COMPUTED_VALUE"""),"DRZWI PRYSZNICOWE RAPID SWING GOLD 90")</f>
        <v>DRZWI PRYSZNICOWE RAPID SWING GOLD 90</v>
      </c>
      <c r="C982" s="23"/>
      <c r="D982" s="24">
        <f ca="1">IFERROR(__xludf.DUMMYFUNCTION("""COMPUTED_VALUE"""),1169)</f>
        <v>1169</v>
      </c>
      <c r="E982" s="25" t="str">
        <f ca="1">IFERROR(__xludf.DUMMYFUNCTION("""COMPUTED_VALUE"""),"REA-K5618")</f>
        <v>REA-K5618</v>
      </c>
    </row>
    <row r="983" spans="1:5" x14ac:dyDescent="0.2">
      <c r="A983" s="22">
        <f ca="1">IFERROR(__xludf.DUMMYFUNCTION("""COMPUTED_VALUE"""),45331)</f>
        <v>45331</v>
      </c>
      <c r="B983" s="23" t="str">
        <f ca="1">IFERROR(__xludf.DUMMYFUNCTION("""COMPUTED_VALUE"""),"KABINA AXIN 90X90 CHROM")</f>
        <v>KABINA AXIN 90X90 CHROM</v>
      </c>
      <c r="C983" s="23"/>
      <c r="D983" s="24">
        <f ca="1">IFERROR(__xludf.DUMMYFUNCTION("""COMPUTED_VALUE"""),999)</f>
        <v>999</v>
      </c>
      <c r="E983" s="25" t="str">
        <f ca="1">IFERROR(__xludf.DUMMYFUNCTION("""COMPUTED_VALUE"""),"REA-K8779")</f>
        <v>REA-K8779</v>
      </c>
    </row>
    <row r="984" spans="1:5" x14ac:dyDescent="0.2">
      <c r="A984" s="22">
        <f ca="1">IFERROR(__xludf.DUMMYFUNCTION("""COMPUTED_VALUE"""),45331)</f>
        <v>45331</v>
      </c>
      <c r="B984" s="23" t="str">
        <f ca="1">IFERROR(__xludf.DUMMYFUNCTION("""COMPUTED_VALUE"""),"DRZWI PRYSZNICOWE MOLIER 80 CHROM + PROFIL")</f>
        <v>DRZWI PRYSZNICOWE MOLIER 80 CHROM + PROFIL</v>
      </c>
      <c r="C984" s="23"/>
      <c r="D984" s="24">
        <f ca="1">IFERROR(__xludf.DUMMYFUNCTION("""COMPUTED_VALUE"""),939)</f>
        <v>939</v>
      </c>
      <c r="E984" s="26"/>
    </row>
    <row r="985" spans="1:5" x14ac:dyDescent="0.2">
      <c r="A985" s="22">
        <f ca="1">IFERROR(__xludf.DUMMYFUNCTION("""COMPUTED_VALUE"""),45331)</f>
        <v>45331</v>
      </c>
      <c r="B985" s="23" t="str">
        <f ca="1">IFERROR(__xludf.DUMMYFUNCTION("""COMPUTED_VALUE"""),"DRZWI PRYSZNICOWE MOLIER 80 CHROM")</f>
        <v>DRZWI PRYSZNICOWE MOLIER 80 CHROM</v>
      </c>
      <c r="C985" s="23"/>
      <c r="D985" s="24">
        <f ca="1">IFERROR(__xludf.DUMMYFUNCTION("""COMPUTED_VALUE"""),819)</f>
        <v>819</v>
      </c>
      <c r="E985" s="25" t="str">
        <f ca="1">IFERROR(__xludf.DUMMYFUNCTION("""COMPUTED_VALUE"""),"REA-K6367")</f>
        <v>REA-K6367</v>
      </c>
    </row>
    <row r="986" spans="1:5" x14ac:dyDescent="0.2">
      <c r="A986" s="22">
        <f ca="1">IFERROR(__xludf.DUMMYFUNCTION("""COMPUTED_VALUE"""),45331)</f>
        <v>45331</v>
      </c>
      <c r="B986" s="23" t="str">
        <f ca="1">IFERROR(__xludf.DUMMYFUNCTION("""COMPUTED_VALUE"""),"BATERIA WANNOWA JAGER ZŁOTA")</f>
        <v>BATERIA WANNOWA JAGER ZŁOTA</v>
      </c>
      <c r="C986" s="23"/>
      <c r="D986" s="24">
        <f ca="1">IFERROR(__xludf.DUMMYFUNCTION("""COMPUTED_VALUE"""),399)</f>
        <v>399</v>
      </c>
      <c r="E986" s="25" t="str">
        <f ca="1">IFERROR(__xludf.DUMMYFUNCTION("""COMPUTED_VALUE"""),"REA-B0699")</f>
        <v>REA-B0699</v>
      </c>
    </row>
    <row r="987" spans="1:5" x14ac:dyDescent="0.2">
      <c r="A987" s="22">
        <f ca="1">IFERROR(__xludf.DUMMYFUNCTION("""COMPUTED_VALUE"""),45331)</f>
        <v>45331</v>
      </c>
      <c r="B987" s="23" t="str">
        <f ca="1">IFERROR(__xludf.DUMMYFUNCTION("""COMPUTED_VALUE"""),"BATERIA PODTYNKOWA VIVA BLACK+ BOX")</f>
        <v>BATERIA PODTYNKOWA VIVA BLACK+ BOX</v>
      </c>
      <c r="C987" s="23"/>
      <c r="D987" s="24">
        <f ca="1">IFERROR(__xludf.DUMMYFUNCTION("""COMPUTED_VALUE"""),399)</f>
        <v>399</v>
      </c>
      <c r="E987" s="25" t="str">
        <f ca="1">IFERROR(__xludf.DUMMYFUNCTION("""COMPUTED_VALUE"""),"REA-B0231")</f>
        <v>REA-B0231</v>
      </c>
    </row>
    <row r="988" spans="1:5" x14ac:dyDescent="0.2">
      <c r="A988" s="22">
        <f ca="1">IFERROR(__xludf.DUMMYFUNCTION("""COMPUTED_VALUE"""),45331)</f>
        <v>45331</v>
      </c>
      <c r="B988" s="23" t="str">
        <f ca="1">IFERROR(__xludf.DUMMYFUNCTION("""COMPUTED_VALUE"""),"ZESTAW NATRYSKOWY NAVARO")</f>
        <v>ZESTAW NATRYSKOWY NAVARO</v>
      </c>
      <c r="C988" s="23"/>
      <c r="D988" s="24">
        <f ca="1">IFERROR(__xludf.DUMMYFUNCTION("""COMPUTED_VALUE"""),759)</f>
        <v>759</v>
      </c>
      <c r="E988" s="25" t="str">
        <f ca="1">IFERROR(__xludf.DUMMYFUNCTION("""COMPUTED_VALUE"""),"REA-P0802")</f>
        <v>REA-P0802</v>
      </c>
    </row>
    <row r="989" spans="1:5" x14ac:dyDescent="0.2">
      <c r="A989" s="22">
        <f ca="1">IFERROR(__xludf.DUMMYFUNCTION("""COMPUTED_VALUE"""),45331)</f>
        <v>45331</v>
      </c>
      <c r="B989" s="23" t="str">
        <f ca="1">IFERROR(__xludf.DUMMYFUNCTION("""COMPUTED_VALUE"""),"ZESTAW WANNOWY PODTYNKOWY LUNGO BIAŁY + BOX")</f>
        <v>ZESTAW WANNOWY PODTYNKOWY LUNGO BIAŁY + BOX</v>
      </c>
      <c r="C989" s="23"/>
      <c r="D989" s="24">
        <f ca="1">IFERROR(__xludf.DUMMYFUNCTION("""COMPUTED_VALUE"""),729)</f>
        <v>729</v>
      </c>
      <c r="E989" s="25" t="str">
        <f ca="1">IFERROR(__xludf.DUMMYFUNCTION("""COMPUTED_VALUE"""),"REA-B6440")</f>
        <v>REA-B6440</v>
      </c>
    </row>
    <row r="990" spans="1:5" x14ac:dyDescent="0.2">
      <c r="A990" s="22">
        <f ca="1">IFERROR(__xludf.DUMMYFUNCTION("""COMPUTED_VALUE"""),45331)</f>
        <v>45331</v>
      </c>
      <c r="B990" s="23" t="str">
        <f ca="1">IFERROR(__xludf.DUMMYFUNCTION("""COMPUTED_VALUE"""),"ZESTAW WANNOWY PODTYNKOWY LUNGO BLACK")</f>
        <v>ZESTAW WANNOWY PODTYNKOWY LUNGO BLACK</v>
      </c>
      <c r="C990" s="23"/>
      <c r="D990" s="24">
        <f ca="1">IFERROR(__xludf.DUMMYFUNCTION("""COMPUTED_VALUE"""),759)</f>
        <v>759</v>
      </c>
      <c r="E990" s="25" t="str">
        <f ca="1">IFERROR(__xludf.DUMMYFUNCTION("""COMPUTED_VALUE"""),"REA-P6300")</f>
        <v>REA-P6300</v>
      </c>
    </row>
    <row r="991" spans="1:5" x14ac:dyDescent="0.2">
      <c r="A991" s="22">
        <f ca="1">IFERROR(__xludf.DUMMYFUNCTION("""COMPUTED_VALUE"""),45315)</f>
        <v>45315</v>
      </c>
      <c r="B991" s="23" t="str">
        <f ca="1">IFERROR(__xludf.DUMMYFUNCTION("""COMPUTED_VALUE"""),"DRZWI PRYSZNICOWE MOLIER 80 BLACK")</f>
        <v>DRZWI PRYSZNICOWE MOLIER 80 BLACK</v>
      </c>
      <c r="C991" s="23"/>
      <c r="D991" s="24">
        <f ca="1">IFERROR(__xludf.DUMMYFUNCTION("""COMPUTED_VALUE"""),899)</f>
        <v>899</v>
      </c>
      <c r="E991" s="25" t="str">
        <f ca="1">IFERROR(__xludf.DUMMYFUNCTION("""COMPUTED_VALUE"""),"REA-K8537")</f>
        <v>REA-K8537</v>
      </c>
    </row>
    <row r="992" spans="1:5" x14ac:dyDescent="0.2">
      <c r="A992" s="22">
        <f ca="1">IFERROR(__xludf.DUMMYFUNCTION("""COMPUTED_VALUE"""),45315)</f>
        <v>45315</v>
      </c>
      <c r="B992" s="23" t="str">
        <f ca="1">IFERROR(__xludf.DUMMYFUNCTION("""COMPUTED_VALUE"""),"DRZWI PRYSZNICOWE MOLIER 90 BLACK")</f>
        <v>DRZWI PRYSZNICOWE MOLIER 90 BLACK</v>
      </c>
      <c r="C992" s="23"/>
      <c r="D992" s="24">
        <f ca="1">IFERROR(__xludf.DUMMYFUNCTION("""COMPUTED_VALUE"""),929)</f>
        <v>929</v>
      </c>
      <c r="E992" s="25" t="str">
        <f ca="1">IFERROR(__xludf.DUMMYFUNCTION("""COMPUTED_VALUE"""),"REA-K8538")</f>
        <v>REA-K8538</v>
      </c>
    </row>
    <row r="993" spans="1:5" x14ac:dyDescent="0.2">
      <c r="A993" s="22">
        <f ca="1">IFERROR(__xludf.DUMMYFUNCTION("""COMPUTED_VALUE"""),45315)</f>
        <v>45315</v>
      </c>
      <c r="B993" s="23" t="str">
        <f ca="1">IFERROR(__xludf.DUMMYFUNCTION("""COMPUTED_VALUE"""),"DRZWI PRYSZNICOWE MOLIER 100 BLACK")</f>
        <v>DRZWI PRYSZNICOWE MOLIER 100 BLACK</v>
      </c>
      <c r="C993" s="23"/>
      <c r="D993" s="24">
        <f ca="1">IFERROR(__xludf.DUMMYFUNCTION("""COMPUTED_VALUE"""),959)</f>
        <v>959</v>
      </c>
      <c r="E993" s="25" t="str">
        <f ca="1">IFERROR(__xludf.DUMMYFUNCTION("""COMPUTED_VALUE"""),"REA-K6963")</f>
        <v>REA-K6963</v>
      </c>
    </row>
    <row r="994" spans="1:5" x14ac:dyDescent="0.2">
      <c r="A994" s="22">
        <f ca="1">IFERROR(__xludf.DUMMYFUNCTION("""COMPUTED_VALUE"""),45315)</f>
        <v>45315</v>
      </c>
      <c r="B994" s="23" t="str">
        <f ca="1">IFERROR(__xludf.DUMMYFUNCTION("""COMPUTED_VALUE"""),"Drzwi Molier Black 100 + adapter")</f>
        <v>Drzwi Molier Black 100 + adapter</v>
      </c>
      <c r="C994" s="23"/>
      <c r="D994" s="24">
        <f ca="1">IFERROR(__xludf.DUMMYFUNCTION("""COMPUTED_VALUE"""),1099)</f>
        <v>1099</v>
      </c>
      <c r="E994" s="26"/>
    </row>
    <row r="995" spans="1:5" x14ac:dyDescent="0.2">
      <c r="A995" s="22">
        <f ca="1">IFERROR(__xludf.DUMMYFUNCTION("""COMPUTED_VALUE"""),45315)</f>
        <v>45315</v>
      </c>
      <c r="B995" s="23" t="str">
        <f ca="1">IFERROR(__xludf.DUMMYFUNCTION("""COMPUTED_VALUE"""),"Drzwi Molier Black 90 + adapter")</f>
        <v>Drzwi Molier Black 90 + adapter</v>
      </c>
      <c r="C995" s="23"/>
      <c r="D995" s="24">
        <f ca="1">IFERROR(__xludf.DUMMYFUNCTION("""COMPUTED_VALUE"""),1059)</f>
        <v>1059</v>
      </c>
      <c r="E995" s="26"/>
    </row>
    <row r="996" spans="1:5" x14ac:dyDescent="0.2">
      <c r="A996" s="22">
        <f ca="1">IFERROR(__xludf.DUMMYFUNCTION("""COMPUTED_VALUE"""),45315)</f>
        <v>45315</v>
      </c>
      <c r="B996" s="23" t="str">
        <f ca="1">IFERROR(__xludf.DUMMYFUNCTION("""COMPUTED_VALUE"""),"Drzwi Molier Black 80 + adapter")</f>
        <v>Drzwi Molier Black 80 + adapter</v>
      </c>
      <c r="C996" s="23"/>
      <c r="D996" s="24">
        <f ca="1">IFERROR(__xludf.DUMMYFUNCTION("""COMPUTED_VALUE"""),1029)</f>
        <v>1029</v>
      </c>
      <c r="E996" s="26"/>
    </row>
    <row r="997" spans="1:5" x14ac:dyDescent="0.2">
      <c r="A997" s="22">
        <f ca="1">IFERROR(__xludf.DUMMYFUNCTION("""COMPUTED_VALUE"""),45315)</f>
        <v>45315</v>
      </c>
      <c r="B997" s="23" t="str">
        <f ca="1">IFERROR(__xludf.DUMMYFUNCTION("""COMPUTED_VALUE"""),"HUGO GOLD SZCZOTKOWANY 80 +LISTWA")</f>
        <v>HUGO GOLD SZCZOTKOWANY 80 +LISTWA</v>
      </c>
      <c r="C997" s="23"/>
      <c r="D997" s="24">
        <f ca="1">IFERROR(__xludf.DUMMYFUNCTION("""COMPUTED_VALUE"""),1279)</f>
        <v>1279</v>
      </c>
      <c r="E997" s="26"/>
    </row>
    <row r="998" spans="1:5" x14ac:dyDescent="0.2">
      <c r="A998" s="22">
        <f ca="1">IFERROR(__xludf.DUMMYFUNCTION("""COMPUTED_VALUE"""),45315)</f>
        <v>45315</v>
      </c>
      <c r="B998" s="23" t="str">
        <f ca="1">IFERROR(__xludf.DUMMYFUNCTION("""COMPUTED_VALUE"""),"HUGO GOLD SZCZOTKOWANY 90 +LISTWA")</f>
        <v>HUGO GOLD SZCZOTKOWANY 90 +LISTWA</v>
      </c>
      <c r="C998" s="23"/>
      <c r="D998" s="24">
        <f ca="1">IFERROR(__xludf.DUMMYFUNCTION("""COMPUTED_VALUE"""),1339)</f>
        <v>1339</v>
      </c>
      <c r="E998" s="26"/>
    </row>
    <row r="999" spans="1:5" x14ac:dyDescent="0.2">
      <c r="A999" s="22">
        <f ca="1">IFERROR(__xludf.DUMMYFUNCTION("""COMPUTED_VALUE"""),45315)</f>
        <v>45315</v>
      </c>
      <c r="B999" s="23" t="str">
        <f ca="1">IFERROR(__xludf.DUMMYFUNCTION("""COMPUTED_VALUE"""),"HUGO GOLD SZCZOTKOWANY 100 +LISTWA")</f>
        <v>HUGO GOLD SZCZOTKOWANY 100 +LISTWA</v>
      </c>
      <c r="C999" s="23"/>
      <c r="D999" s="24">
        <f ca="1">IFERROR(__xludf.DUMMYFUNCTION("""COMPUTED_VALUE"""),1439)</f>
        <v>1439</v>
      </c>
      <c r="E999" s="26"/>
    </row>
    <row r="1000" spans="1:5" x14ac:dyDescent="0.2">
      <c r="A1000" s="22">
        <f ca="1">IFERROR(__xludf.DUMMYFUNCTION("""COMPUTED_VALUE"""),45315)</f>
        <v>45315</v>
      </c>
      <c r="B1000" s="23" t="str">
        <f ca="1">IFERROR(__xludf.DUMMYFUNCTION("""COMPUTED_VALUE"""),"ŚCIANKA PRYSZNICOWA HUGO BLACK 90")</f>
        <v>ŚCIANKA PRYSZNICOWA HUGO BLACK 90</v>
      </c>
      <c r="C1000" s="23"/>
      <c r="D1000" s="24">
        <f ca="1">IFERROR(__xludf.DUMMYFUNCTION("""COMPUTED_VALUE"""),550)</f>
        <v>550</v>
      </c>
      <c r="E1000" s="25" t="str">
        <f ca="1">IFERROR(__xludf.DUMMYFUNCTION("""COMPUTED_VALUE"""),"REA-K6611")</f>
        <v>REA-K6611</v>
      </c>
    </row>
    <row r="1001" spans="1:5" x14ac:dyDescent="0.2">
      <c r="A1001" s="22">
        <f ca="1">IFERROR(__xludf.DUMMYFUNCTION("""COMPUTED_VALUE"""),45315)</f>
        <v>45315</v>
      </c>
      <c r="B1001" s="23" t="str">
        <f ca="1">IFERROR(__xludf.DUMMYFUNCTION("""COMPUTED_VALUE"""),"ŚCIANKA PRYSZNICOWA HUGO BLACK 80")</f>
        <v>ŚCIANKA PRYSZNICOWA HUGO BLACK 80</v>
      </c>
      <c r="C1001" s="23"/>
      <c r="D1001" s="24">
        <f ca="1">IFERROR(__xludf.DUMMYFUNCTION("""COMPUTED_VALUE"""),550)</f>
        <v>550</v>
      </c>
      <c r="E1001" s="25" t="str">
        <f ca="1">IFERROR(__xludf.DUMMYFUNCTION("""COMPUTED_VALUE"""),"REA-K6607")</f>
        <v>REA-K6607</v>
      </c>
    </row>
    <row r="1002" spans="1:5" x14ac:dyDescent="0.2">
      <c r="A1002" s="22">
        <f ca="1">IFERROR(__xludf.DUMMYFUNCTION("""COMPUTED_VALUE"""),45315)</f>
        <v>45315</v>
      </c>
      <c r="B1002" s="23" t="str">
        <f ca="1">IFERROR(__xludf.DUMMYFUNCTION("""COMPUTED_VALUE"""),"DRZWI PRYSZNICOWE HUGO GOLD SZCZOTKOWANY 100")</f>
        <v>DRZWI PRYSZNICOWE HUGO GOLD SZCZOTKOWANY 100</v>
      </c>
      <c r="C1002" s="23"/>
      <c r="D1002" s="24">
        <f ca="1">IFERROR(__xludf.DUMMYFUNCTION("""COMPUTED_VALUE"""),1259)</f>
        <v>1259</v>
      </c>
      <c r="E1002" s="25" t="str">
        <f ca="1">IFERROR(__xludf.DUMMYFUNCTION("""COMPUTED_VALUE"""),"REA-K8413")</f>
        <v>REA-K8413</v>
      </c>
    </row>
    <row r="1003" spans="1:5" x14ac:dyDescent="0.2">
      <c r="A1003" s="22">
        <f ca="1">IFERROR(__xludf.DUMMYFUNCTION("""COMPUTED_VALUE"""),45315)</f>
        <v>45315</v>
      </c>
      <c r="B1003" s="23" t="str">
        <f ca="1">IFERROR(__xludf.DUMMYFUNCTION("""COMPUTED_VALUE"""),"DRZWI PRYSZNICOWE HUGO GOLD SZCZOTKOWANY 90")</f>
        <v>DRZWI PRYSZNICOWE HUGO GOLD SZCZOTKOWANY 90</v>
      </c>
      <c r="C1003" s="23"/>
      <c r="D1003" s="24">
        <f ca="1">IFERROR(__xludf.DUMMYFUNCTION("""COMPUTED_VALUE"""),1239)</f>
        <v>1239</v>
      </c>
      <c r="E1003" s="25" t="str">
        <f ca="1">IFERROR(__xludf.DUMMYFUNCTION("""COMPUTED_VALUE"""),"REA-K8411")</f>
        <v>REA-K8411</v>
      </c>
    </row>
    <row r="1004" spans="1:5" x14ac:dyDescent="0.2">
      <c r="A1004" s="22">
        <f ca="1">IFERROR(__xludf.DUMMYFUNCTION("""COMPUTED_VALUE"""),45315)</f>
        <v>45315</v>
      </c>
      <c r="B1004" s="23" t="str">
        <f ca="1">IFERROR(__xludf.DUMMYFUNCTION("""COMPUTED_VALUE"""),"DRZWI PRYSZNICOWE HUGO GOLD SZCZOTKOWANY 80")</f>
        <v>DRZWI PRYSZNICOWE HUGO GOLD SZCZOTKOWANY 80</v>
      </c>
      <c r="C1004" s="23"/>
      <c r="D1004" s="24">
        <f ca="1">IFERROR(__xludf.DUMMYFUNCTION("""COMPUTED_VALUE"""),1199)</f>
        <v>1199</v>
      </c>
      <c r="E1004" s="25" t="str">
        <f ca="1">IFERROR(__xludf.DUMMYFUNCTION("""COMPUTED_VALUE"""),"REA-K8410")</f>
        <v>REA-K8410</v>
      </c>
    </row>
    <row r="1005" spans="1:5" x14ac:dyDescent="0.2">
      <c r="A1005" s="22">
        <f ca="1">IFERROR(__xludf.DUMMYFUNCTION("""COMPUTED_VALUE"""),45315)</f>
        <v>45315</v>
      </c>
      <c r="B1005" s="23" t="str">
        <f ca="1">IFERROR(__xludf.DUMMYFUNCTION("""COMPUTED_VALUE"""),"DRZWI PRYSZNICOWE RAPID SWING CHROM 90")</f>
        <v>DRZWI PRYSZNICOWE RAPID SWING CHROM 90</v>
      </c>
      <c r="C1005" s="23"/>
      <c r="D1005" s="24">
        <f ca="1">IFERROR(__xludf.DUMMYFUNCTION("""COMPUTED_VALUE"""),859)</f>
        <v>859</v>
      </c>
      <c r="E1005" s="25" t="str">
        <f ca="1">IFERROR(__xludf.DUMMYFUNCTION("""COMPUTED_VALUE"""),"REA-K5606")</f>
        <v>REA-K5606</v>
      </c>
    </row>
    <row r="1006" spans="1:5" x14ac:dyDescent="0.2">
      <c r="A1006" s="22">
        <f ca="1">IFERROR(__xludf.DUMMYFUNCTION("""COMPUTED_VALUE"""),45315)</f>
        <v>45315</v>
      </c>
      <c r="B1006" s="23" t="str">
        <f ca="1">IFERROR(__xludf.DUMMYFUNCTION("""COMPUTED_VALUE"""),"DRZWI PRYSZNICOWE RAPID SWING CHROM 100")</f>
        <v>DRZWI PRYSZNICOWE RAPID SWING CHROM 100</v>
      </c>
      <c r="C1006" s="23"/>
      <c r="D1006" s="24">
        <f ca="1">IFERROR(__xludf.DUMMYFUNCTION("""COMPUTED_VALUE"""),919)</f>
        <v>919</v>
      </c>
      <c r="E1006" s="25" t="str">
        <f ca="1">IFERROR(__xludf.DUMMYFUNCTION("""COMPUTED_VALUE"""),"REA-K5607")</f>
        <v>REA-K5607</v>
      </c>
    </row>
    <row r="1007" spans="1:5" x14ac:dyDescent="0.2">
      <c r="A1007" s="22">
        <f ca="1">IFERROR(__xludf.DUMMYFUNCTION("""COMPUTED_VALUE"""),45315)</f>
        <v>45315</v>
      </c>
      <c r="B1007" s="23" t="str">
        <f ca="1">IFERROR(__xludf.DUMMYFUNCTION("""COMPUTED_VALUE"""),"BATERIA WANNOWA RUSTICO CZARNA PRZECIERANA")</f>
        <v>BATERIA WANNOWA RUSTICO CZARNA PRZECIERANA</v>
      </c>
      <c r="C1007" s="23"/>
      <c r="D1007" s="24">
        <f ca="1">IFERROR(__xludf.DUMMYFUNCTION("""COMPUTED_VALUE"""),559)</f>
        <v>559</v>
      </c>
      <c r="E1007" s="25" t="str">
        <f ca="1">IFERROR(__xludf.DUMMYFUNCTION("""COMPUTED_VALUE"""),"REA-B0701")</f>
        <v>REA-B0701</v>
      </c>
    </row>
    <row r="1008" spans="1:5" x14ac:dyDescent="0.2">
      <c r="A1008" s="22">
        <f ca="1">IFERROR(__xludf.DUMMYFUNCTION("""COMPUTED_VALUE"""),45315)</f>
        <v>45315</v>
      </c>
      <c r="B1008" s="23" t="str">
        <f ca="1">IFERROR(__xludf.DUMMYFUNCTION("""COMPUTED_VALUE"""),"BATERIA WANNOWA RUSTICO ZŁOTA ANTYCZNA")</f>
        <v>BATERIA WANNOWA RUSTICO ZŁOTA ANTYCZNA</v>
      </c>
      <c r="C1008" s="23"/>
      <c r="D1008" s="24">
        <f ca="1">IFERROR(__xludf.DUMMYFUNCTION("""COMPUTED_VALUE"""),559)</f>
        <v>559</v>
      </c>
      <c r="E1008" s="25" t="str">
        <f ca="1">IFERROR(__xludf.DUMMYFUNCTION("""COMPUTED_VALUE"""),"REA-B0702")</f>
        <v>REA-B0702</v>
      </c>
    </row>
    <row r="1009" spans="1:5" x14ac:dyDescent="0.2">
      <c r="A1009" s="22">
        <f ca="1">IFERROR(__xludf.DUMMYFUNCTION("""COMPUTED_VALUE"""),45315)</f>
        <v>45315</v>
      </c>
      <c r="B1009" s="23" t="str">
        <f ca="1">IFERROR(__xludf.DUMMYFUNCTION("""COMPUTED_VALUE"""),"BATERIA UMYWALKOWA LUGANO L.GOLD WYSOKA")</f>
        <v>BATERIA UMYWALKOWA LUGANO L.GOLD WYSOKA</v>
      </c>
      <c r="C1009" s="23"/>
      <c r="D1009" s="24">
        <f ca="1">IFERROR(__xludf.DUMMYFUNCTION("""COMPUTED_VALUE"""),389)</f>
        <v>389</v>
      </c>
      <c r="E1009" s="25" t="str">
        <f ca="1">IFERROR(__xludf.DUMMYFUNCTION("""COMPUTED_VALUE"""),"REA-B5002")</f>
        <v>REA-B5002</v>
      </c>
    </row>
    <row r="1010" spans="1:5" x14ac:dyDescent="0.2">
      <c r="A1010" s="22">
        <f ca="1">IFERROR(__xludf.DUMMYFUNCTION("""COMPUTED_VALUE"""),45315)</f>
        <v>45315</v>
      </c>
      <c r="B1010" s="23" t="str">
        <f ca="1">IFERROR(__xludf.DUMMYFUNCTION("""COMPUTED_VALUE"""),"BATERIA WYSOKA BONA OLD GOLD")</f>
        <v>BATERIA WYSOKA BONA OLD GOLD</v>
      </c>
      <c r="C1010" s="23"/>
      <c r="D1010" s="24">
        <f ca="1">IFERROR(__xludf.DUMMYFUNCTION("""COMPUTED_VALUE"""),279)</f>
        <v>279</v>
      </c>
      <c r="E1010" s="25" t="str">
        <f ca="1">IFERROR(__xludf.DUMMYFUNCTION("""COMPUTED_VALUE"""),"REA-B2150")</f>
        <v>REA-B2150</v>
      </c>
    </row>
    <row r="1011" spans="1:5" x14ac:dyDescent="0.2">
      <c r="A1011" s="22">
        <f ca="1">IFERROR(__xludf.DUMMYFUNCTION("""COMPUTED_VALUE"""),45315)</f>
        <v>45315</v>
      </c>
      <c r="B1011" s="23" t="str">
        <f ca="1">IFERROR(__xludf.DUMMYFUNCTION("""COMPUTED_VALUE"""),"BATERIA WYSOKA BONA OLD BLACK")</f>
        <v>BATERIA WYSOKA BONA OLD BLACK</v>
      </c>
      <c r="C1011" s="23"/>
      <c r="D1011" s="24">
        <f ca="1">IFERROR(__xludf.DUMMYFUNCTION("""COMPUTED_VALUE"""),279)</f>
        <v>279</v>
      </c>
      <c r="E1011" s="25" t="str">
        <f ca="1">IFERROR(__xludf.DUMMYFUNCTION("""COMPUTED_VALUE"""),"REA-B0183")</f>
        <v>REA-B0183</v>
      </c>
    </row>
    <row r="1012" spans="1:5" x14ac:dyDescent="0.2">
      <c r="A1012" s="22">
        <f ca="1">IFERROR(__xludf.DUMMYFUNCTION("""COMPUTED_VALUE"""),45315)</f>
        <v>45315</v>
      </c>
      <c r="B1012" s="23" t="str">
        <f ca="1">IFERROR(__xludf.DUMMYFUNCTION("""COMPUTED_VALUE"""),"BATERIA KUCHENNA FRESH STAL SZCZOTKOWANA")</f>
        <v>BATERIA KUCHENNA FRESH STAL SZCZOTKOWANA</v>
      </c>
      <c r="C1012" s="23"/>
      <c r="D1012" s="24">
        <f ca="1">IFERROR(__xludf.DUMMYFUNCTION("""COMPUTED_VALUE"""),209)</f>
        <v>209</v>
      </c>
      <c r="E1012" s="25" t="str">
        <f ca="1">IFERROR(__xludf.DUMMYFUNCTION("""COMPUTED_VALUE"""),"REA-B9146")</f>
        <v>REA-B9146</v>
      </c>
    </row>
    <row r="1013" spans="1:5" x14ac:dyDescent="0.2">
      <c r="A1013" s="22">
        <f ca="1">IFERROR(__xludf.DUMMYFUNCTION("""COMPUTED_VALUE"""),45315)</f>
        <v>45315</v>
      </c>
      <c r="B1013" s="23" t="str">
        <f ca="1">IFERROR(__xludf.DUMMYFUNCTION("""COMPUTED_VALUE"""),"UMYWALKA BELINDA SAVANA - NABLATOWA")</f>
        <v>UMYWALKA BELINDA SAVANA - NABLATOWA</v>
      </c>
      <c r="C1013" s="23"/>
      <c r="D1013" s="24">
        <f ca="1">IFERROR(__xludf.DUMMYFUNCTION("""COMPUTED_VALUE"""),359)</f>
        <v>359</v>
      </c>
      <c r="E1013" s="25" t="str">
        <f ca="1">IFERROR(__xludf.DUMMYFUNCTION("""COMPUTED_VALUE"""),"REA-U3323")</f>
        <v>REA-U3323</v>
      </c>
    </row>
    <row r="1014" spans="1:5" x14ac:dyDescent="0.2">
      <c r="A1014" s="22">
        <f ca="1">IFERROR(__xludf.DUMMYFUNCTION("""COMPUTED_VALUE"""),45315)</f>
        <v>45315</v>
      </c>
      <c r="B1014" s="23" t="str">
        <f ca="1">IFERROR(__xludf.DUMMYFUNCTION("""COMPUTED_VALUE"""),"UMYWALKA AMELIA MINI AIAX SHINY - NABLATOWA")</f>
        <v>UMYWALKA AMELIA MINI AIAX SHINY - NABLATOWA</v>
      </c>
      <c r="C1014" s="23"/>
      <c r="D1014" s="24">
        <f ca="1">IFERROR(__xludf.DUMMYFUNCTION("""COMPUTED_VALUE"""),299)</f>
        <v>299</v>
      </c>
      <c r="E1014" s="25" t="str">
        <f ca="1">IFERROR(__xludf.DUMMYFUNCTION("""COMPUTED_VALUE"""),"REA-U9107")</f>
        <v>REA-U9107</v>
      </c>
    </row>
    <row r="1015" spans="1:5" x14ac:dyDescent="0.2">
      <c r="A1015" s="22">
        <f ca="1">IFERROR(__xludf.DUMMYFUNCTION("""COMPUTED_VALUE"""),45315)</f>
        <v>45315</v>
      </c>
      <c r="B1015" s="23" t="str">
        <f ca="1">IFERROR(__xludf.DUMMYFUNCTION("""COMPUTED_VALUE"""),"UMYWALKA AMELIA MINI - NABLATOWA")</f>
        <v>UMYWALKA AMELIA MINI - NABLATOWA</v>
      </c>
      <c r="C1015" s="23"/>
      <c r="D1015" s="24">
        <f ca="1">IFERROR(__xludf.DUMMYFUNCTION("""COMPUTED_VALUE"""),199)</f>
        <v>199</v>
      </c>
      <c r="E1015" s="25" t="str">
        <f ca="1">IFERROR(__xludf.DUMMYFUNCTION("""COMPUTED_VALUE"""),"REA-U3322")</f>
        <v>REA-U3322</v>
      </c>
    </row>
    <row r="1016" spans="1:5" x14ac:dyDescent="0.2">
      <c r="A1016" s="22">
        <f ca="1">IFERROR(__xludf.DUMMYFUNCTION("""COMPUTED_VALUE"""),45303)</f>
        <v>45303</v>
      </c>
      <c r="B1016" s="23" t="str">
        <f ca="1">IFERROR(__xludf.DUMMYFUNCTION("""COMPUTED_VALUE"""),"ŚCIANKA PRYSZNICOWA AERO GOLD BRUSH 110")</f>
        <v>ŚCIANKA PRYSZNICOWA AERO GOLD BRUSH 110</v>
      </c>
      <c r="C1016" s="23"/>
      <c r="D1016" s="24">
        <f ca="1">IFERROR(__xludf.DUMMYFUNCTION("""COMPUTED_VALUE"""),999)</f>
        <v>999</v>
      </c>
      <c r="E1016" s="25" t="str">
        <f ca="1">IFERROR(__xludf.DUMMYFUNCTION("""COMPUTED_VALUE"""),"REA-K9840")</f>
        <v>REA-K9840</v>
      </c>
    </row>
    <row r="1017" spans="1:5" x14ac:dyDescent="0.2">
      <c r="A1017" s="22">
        <f ca="1">IFERROR(__xludf.DUMMYFUNCTION("""COMPUTED_VALUE"""),45303)</f>
        <v>45303</v>
      </c>
      <c r="B1017" s="23" t="str">
        <f ca="1">IFERROR(__xludf.DUMMYFUNCTION("""COMPUTED_VALUE"""),"UMYWALKA MANDY")</f>
        <v>UMYWALKA MANDY</v>
      </c>
      <c r="C1017" s="23"/>
      <c r="D1017" s="24">
        <f ca="1">IFERROR(__xludf.DUMMYFUNCTION("""COMPUTED_VALUE"""),359)</f>
        <v>359</v>
      </c>
      <c r="E1017" s="25" t="str">
        <f ca="1">IFERROR(__xludf.DUMMYFUNCTION("""COMPUTED_VALUE"""),"REA-U3326")</f>
        <v>REA-U3326</v>
      </c>
    </row>
    <row r="1018" spans="1:5" x14ac:dyDescent="0.2">
      <c r="A1018" s="22">
        <f ca="1">IFERROR(__xludf.DUMMYFUNCTION("""COMPUTED_VALUE"""),45303)</f>
        <v>45303</v>
      </c>
      <c r="B1018" s="23" t="str">
        <f ca="1">IFERROR(__xludf.DUMMYFUNCTION("""COMPUTED_VALUE"""),"UMYWALKA VERONA")</f>
        <v>UMYWALKA VERONA</v>
      </c>
      <c r="C1018" s="23"/>
      <c r="D1018" s="24">
        <f ca="1">IFERROR(__xludf.DUMMYFUNCTION("""COMPUTED_VALUE"""),289)</f>
        <v>289</v>
      </c>
      <c r="E1018" s="25" t="str">
        <f ca="1">IFERROR(__xludf.DUMMYFUNCTION("""COMPUTED_VALUE"""),"REA-U3325")</f>
        <v>REA-U3325</v>
      </c>
    </row>
    <row r="1019" spans="1:5" x14ac:dyDescent="0.2">
      <c r="A1019" s="22">
        <f ca="1">IFERROR(__xludf.DUMMYFUNCTION("""COMPUTED_VALUE"""),45303)</f>
        <v>45303</v>
      </c>
      <c r="B1019" s="23" t="str">
        <f ca="1">IFERROR(__xludf.DUMMYFUNCTION("""COMPUTED_VALUE"""),"UMYWALKA BELINDA ASH - NABLATOWA")</f>
        <v>UMYWALKA BELINDA ASH - NABLATOWA</v>
      </c>
      <c r="C1019" s="23"/>
      <c r="D1019" s="24">
        <f ca="1">IFERROR(__xludf.DUMMYFUNCTION("""COMPUTED_VALUE"""),299)</f>
        <v>299</v>
      </c>
      <c r="E1019" s="25" t="str">
        <f ca="1">IFERROR(__xludf.DUMMYFUNCTION("""COMPUTED_VALUE"""),"REA-U3324")</f>
        <v>REA-U3324</v>
      </c>
    </row>
    <row r="1020" spans="1:5" x14ac:dyDescent="0.2">
      <c r="A1020" s="22">
        <f ca="1">IFERROR(__xludf.DUMMYFUNCTION("""COMPUTED_VALUE"""),45303)</f>
        <v>45303</v>
      </c>
      <c r="B1020" s="23" t="str">
        <f ca="1">IFERROR(__xludf.DUMMYFUNCTION("""COMPUTED_VALUE"""),"ŚCIANKA PRYSZNICOWA MOLIER 90 CHROM")</f>
        <v>ŚCIANKA PRYSZNICOWA MOLIER 90 CHROM</v>
      </c>
      <c r="C1020" s="23"/>
      <c r="D1020" s="24">
        <f ca="1">IFERROR(__xludf.DUMMYFUNCTION("""COMPUTED_VALUE"""),470)</f>
        <v>470</v>
      </c>
      <c r="E1020" s="25" t="str">
        <f ca="1">IFERROR(__xludf.DUMMYFUNCTION("""COMPUTED_VALUE"""),"REA-K8535")</f>
        <v>REA-K8535</v>
      </c>
    </row>
    <row r="1021" spans="1:5" x14ac:dyDescent="0.2">
      <c r="A1021" s="22">
        <f ca="1">IFERROR(__xludf.DUMMYFUNCTION("""COMPUTED_VALUE"""),45303)</f>
        <v>45303</v>
      </c>
      <c r="B1021" s="23" t="str">
        <f ca="1">IFERROR(__xludf.DUMMYFUNCTION("""COMPUTED_VALUE"""),"DRZWI PRYSZNICOWE RAPID SLIDE CHROM 150")</f>
        <v>DRZWI PRYSZNICOWE RAPID SLIDE CHROM 150</v>
      </c>
      <c r="C1021" s="23"/>
      <c r="D1021" s="24">
        <f ca="1">IFERROR(__xludf.DUMMYFUNCTION("""COMPUTED_VALUE"""),999)</f>
        <v>999</v>
      </c>
      <c r="E1021" s="25" t="str">
        <f ca="1">IFERROR(__xludf.DUMMYFUNCTION("""COMPUTED_VALUE"""),"REA-K5605")</f>
        <v>REA-K5605</v>
      </c>
    </row>
    <row r="1022" spans="1:5" x14ac:dyDescent="0.2">
      <c r="A1022" s="22">
        <f ca="1">IFERROR(__xludf.DUMMYFUNCTION("""COMPUTED_VALUE"""),45303)</f>
        <v>45303</v>
      </c>
      <c r="B1022" s="23" t="str">
        <f ca="1">IFERROR(__xludf.DUMMYFUNCTION("""COMPUTED_VALUE"""),"DRZWI PRYSZNICOWE RAPID SLIDE CHROM 140")</f>
        <v>DRZWI PRYSZNICOWE RAPID SLIDE CHROM 140</v>
      </c>
      <c r="C1022" s="23"/>
      <c r="D1022" s="24">
        <f ca="1">IFERROR(__xludf.DUMMYFUNCTION("""COMPUTED_VALUE"""),979)</f>
        <v>979</v>
      </c>
      <c r="E1022" s="25" t="str">
        <f ca="1">IFERROR(__xludf.DUMMYFUNCTION("""COMPUTED_VALUE"""),"REA-K5604")</f>
        <v>REA-K5604</v>
      </c>
    </row>
    <row r="1023" spans="1:5" x14ac:dyDescent="0.2">
      <c r="A1023" s="22">
        <f ca="1">IFERROR(__xludf.DUMMYFUNCTION("""COMPUTED_VALUE"""),45303)</f>
        <v>45303</v>
      </c>
      <c r="B1023" s="23" t="str">
        <f ca="1">IFERROR(__xludf.DUMMYFUNCTION("""COMPUTED_VALUE"""),"DRZWI PRYSZNICOWE RAPID SLIDE CHROM 100")</f>
        <v>DRZWI PRYSZNICOWE RAPID SLIDE CHROM 100</v>
      </c>
      <c r="C1023" s="23"/>
      <c r="D1023" s="24">
        <f ca="1">IFERROR(__xludf.DUMMYFUNCTION("""COMPUTED_VALUE"""),839)</f>
        <v>839</v>
      </c>
      <c r="E1023" s="25" t="str">
        <f ca="1">IFERROR(__xludf.DUMMYFUNCTION("""COMPUTED_VALUE"""),"REA-K5600")</f>
        <v>REA-K5600</v>
      </c>
    </row>
    <row r="1024" spans="1:5" x14ac:dyDescent="0.2">
      <c r="A1024" s="22">
        <f ca="1">IFERROR(__xludf.DUMMYFUNCTION("""COMPUTED_VALUE"""),45303)</f>
        <v>45303</v>
      </c>
      <c r="B1024" s="23" t="str">
        <f ca="1">IFERROR(__xludf.DUMMYFUNCTION("""COMPUTED_VALUE"""),"DRZWI PRYSZNICOWE RAPID SLIDE CHROM 110")</f>
        <v>DRZWI PRYSZNICOWE RAPID SLIDE CHROM 110</v>
      </c>
      <c r="C1024" s="23"/>
      <c r="D1024" s="24">
        <f ca="1">IFERROR(__xludf.DUMMYFUNCTION("""COMPUTED_VALUE"""),899)</f>
        <v>899</v>
      </c>
      <c r="E1024" s="25" t="str">
        <f ca="1">IFERROR(__xludf.DUMMYFUNCTION("""COMPUTED_VALUE"""),"REA-K5601")</f>
        <v>REA-K5601</v>
      </c>
    </row>
    <row r="1025" spans="1:5" x14ac:dyDescent="0.2">
      <c r="A1025" s="22">
        <f ca="1">IFERROR(__xludf.DUMMYFUNCTION("""COMPUTED_VALUE"""),45303)</f>
        <v>45303</v>
      </c>
      <c r="B1025" s="23" t="str">
        <f ca="1">IFERROR(__xludf.DUMMYFUNCTION("""COMPUTED_VALUE"""),"DRZWI PRYSZNICOWE RAPID SLIDE CHROM 120")</f>
        <v>DRZWI PRYSZNICOWE RAPID SLIDE CHROM 120</v>
      </c>
      <c r="C1025" s="23"/>
      <c r="D1025" s="24">
        <f ca="1">IFERROR(__xludf.DUMMYFUNCTION("""COMPUTED_VALUE"""),909)</f>
        <v>909</v>
      </c>
      <c r="E1025" s="25" t="str">
        <f ca="1">IFERROR(__xludf.DUMMYFUNCTION("""COMPUTED_VALUE"""),"REA-K5602")</f>
        <v>REA-K5602</v>
      </c>
    </row>
    <row r="1026" spans="1:5" x14ac:dyDescent="0.2">
      <c r="A1026" s="22">
        <f ca="1">IFERROR(__xludf.DUMMYFUNCTION("""COMPUTED_VALUE"""),45303)</f>
        <v>45303</v>
      </c>
      <c r="B1026" s="23" t="str">
        <f ca="1">IFERROR(__xludf.DUMMYFUNCTION("""COMPUTED_VALUE"""),"RAMIĘ DO RAPID PRZYŚCIENNEJ CHROM")</f>
        <v>RAMIĘ DO RAPID PRZYŚCIENNEJ CHROM</v>
      </c>
      <c r="C1026" s="23"/>
      <c r="D1026" s="24">
        <f ca="1">IFERROR(__xludf.DUMMYFUNCTION("""COMPUTED_VALUE"""),100)</f>
        <v>100</v>
      </c>
      <c r="E1026" s="25" t="str">
        <f ca="1">IFERROR(__xludf.DUMMYFUNCTION("""COMPUTED_VALUE"""),"REA-K5699")</f>
        <v>REA-K5699</v>
      </c>
    </row>
    <row r="1027" spans="1:5" x14ac:dyDescent="0.2">
      <c r="A1027" s="22">
        <f ca="1">IFERROR(__xludf.DUMMYFUNCTION("""COMPUTED_VALUE"""),45303)</f>
        <v>45303</v>
      </c>
      <c r="B1027" s="23" t="str">
        <f ca="1">IFERROR(__xludf.DUMMYFUNCTION("""COMPUTED_VALUE"""),"RAMIĘ DO RAPID PRZYŚCIENNEJ GOLD")</f>
        <v>RAMIĘ DO RAPID PRZYŚCIENNEJ GOLD</v>
      </c>
      <c r="C1027" s="23"/>
      <c r="D1027" s="24">
        <f ca="1">IFERROR(__xludf.DUMMYFUNCTION("""COMPUTED_VALUE"""),140)</f>
        <v>140</v>
      </c>
      <c r="E1027" s="25" t="str">
        <f ca="1">IFERROR(__xludf.DUMMYFUNCTION("""COMPUTED_VALUE"""),"REA-08542")</f>
        <v>REA-08542</v>
      </c>
    </row>
    <row r="1028" spans="1:5" x14ac:dyDescent="0.2">
      <c r="A1028" s="22">
        <f ca="1">IFERROR(__xludf.DUMMYFUNCTION("""COMPUTED_VALUE"""),45303)</f>
        <v>45303</v>
      </c>
      <c r="B1028" s="23" t="str">
        <f ca="1">IFERROR(__xludf.DUMMYFUNCTION("""COMPUTED_VALUE"""),"UMYWALKA BELINDA MINI STONE MATT - NABLATOWA")</f>
        <v>UMYWALKA BELINDA MINI STONE MATT - NABLATOWA</v>
      </c>
      <c r="C1028" s="23"/>
      <c r="D1028" s="24">
        <f ca="1">IFERROR(__xludf.DUMMYFUNCTION("""COMPUTED_VALUE"""),279)</f>
        <v>279</v>
      </c>
      <c r="E1028" s="25" t="str">
        <f ca="1">IFERROR(__xludf.DUMMYFUNCTION("""COMPUTED_VALUE"""),"REA-U3321")</f>
        <v>REA-U3321</v>
      </c>
    </row>
    <row r="1029" spans="1:5" x14ac:dyDescent="0.2">
      <c r="A1029" s="22">
        <f ca="1">IFERROR(__xludf.DUMMYFUNCTION("""COMPUTED_VALUE"""),45303)</f>
        <v>45303</v>
      </c>
      <c r="B1029" s="23" t="str">
        <f ca="1">IFERROR(__xludf.DUMMYFUNCTION("""COMPUTED_VALUE"""),"UMYWALKA LAYLA")</f>
        <v>UMYWALKA LAYLA</v>
      </c>
      <c r="C1029" s="23"/>
      <c r="D1029" s="24">
        <f ca="1">IFERROR(__xludf.DUMMYFUNCTION("""COMPUTED_VALUE"""),299)</f>
        <v>299</v>
      </c>
      <c r="E1029" s="25" t="str">
        <f ca="1">IFERROR(__xludf.DUMMYFUNCTION("""COMPUTED_VALUE"""),"REA-U9108")</f>
        <v>REA-U9108</v>
      </c>
    </row>
    <row r="1030" spans="1:5" x14ac:dyDescent="0.2">
      <c r="A1030" s="22">
        <f ca="1">IFERROR(__xludf.DUMMYFUNCTION("""COMPUTED_VALUE"""),45303)</f>
        <v>45303</v>
      </c>
      <c r="B1030" s="23" t="str">
        <f ca="1">IFERROR(__xludf.DUMMYFUNCTION("""COMPUTED_VALUE"""),"BATERIA UMYWALKOWA RUSTICO ZŁOTA ANTYCZNA WYSOKA")</f>
        <v>BATERIA UMYWALKOWA RUSTICO ZŁOTA ANTYCZNA WYSOKA</v>
      </c>
      <c r="C1030" s="23"/>
      <c r="D1030" s="24">
        <f ca="1">IFERROR(__xludf.DUMMYFUNCTION("""COMPUTED_VALUE"""),349)</f>
        <v>349</v>
      </c>
      <c r="E1030" s="25" t="str">
        <f ca="1">IFERROR(__xludf.DUMMYFUNCTION("""COMPUTED_VALUE"""),"REA-B5521")</f>
        <v>REA-B5521</v>
      </c>
    </row>
    <row r="1031" spans="1:5" x14ac:dyDescent="0.2">
      <c r="A1031" s="22">
        <f ca="1">IFERROR(__xludf.DUMMYFUNCTION("""COMPUTED_VALUE"""),45303)</f>
        <v>45303</v>
      </c>
      <c r="B1031" s="23" t="str">
        <f ca="1">IFERROR(__xludf.DUMMYFUNCTION("""COMPUTED_VALUE"""),"BATERIA UMYWALKO RUSTICO CZARNA PRZECIERANA WYSOKA")</f>
        <v>BATERIA UMYWALKO RUSTICO CZARNA PRZECIERANA WYSOKA</v>
      </c>
      <c r="C1031" s="23"/>
      <c r="D1031" s="24">
        <f ca="1">IFERROR(__xludf.DUMMYFUNCTION("""COMPUTED_VALUE"""),399)</f>
        <v>399</v>
      </c>
      <c r="E1031" s="25" t="str">
        <f ca="1">IFERROR(__xludf.DUMMYFUNCTION("""COMPUTED_VALUE"""),"REA-B5520")</f>
        <v>REA-B5520</v>
      </c>
    </row>
    <row r="1032" spans="1:5" x14ac:dyDescent="0.2">
      <c r="A1032" s="22">
        <f ca="1">IFERROR(__xludf.DUMMYFUNCTION("""COMPUTED_VALUE"""),45303)</f>
        <v>45303</v>
      </c>
      <c r="B1032" s="23" t="str">
        <f ca="1">IFERROR(__xludf.DUMMYFUNCTION("""COMPUTED_VALUE"""),"PÓŁKA PODTYNKOWA 01 30x30x10 NIKIEL SZCZOTKOWANY")</f>
        <v>PÓŁKA PODTYNKOWA 01 30x30x10 NIKIEL SZCZOTKOWANY</v>
      </c>
      <c r="C1032" s="23"/>
      <c r="D1032" s="24">
        <f ca="1">IFERROR(__xludf.DUMMYFUNCTION("""COMPUTED_VALUE"""),259)</f>
        <v>259</v>
      </c>
      <c r="E1032" s="25" t="str">
        <f ca="1">IFERROR(__xludf.DUMMYFUNCTION("""COMPUTED_VALUE"""),"REA-05600")</f>
        <v>REA-05600</v>
      </c>
    </row>
    <row r="1033" spans="1:5" x14ac:dyDescent="0.2">
      <c r="A1033" s="22">
        <f ca="1">IFERROR(__xludf.DUMMYFUNCTION("""COMPUTED_VALUE"""),45303)</f>
        <v>45303</v>
      </c>
      <c r="B1033" s="23" t="str">
        <f ca="1">IFERROR(__xludf.DUMMYFUNCTION("""COMPUTED_VALUE"""),"PÓŁKA PODTYNKOWA 02 30x45x10 NIKIEL SZCZOTKOWANY")</f>
        <v>PÓŁKA PODTYNKOWA 02 30x45x10 NIKIEL SZCZOTKOWANY</v>
      </c>
      <c r="C1033" s="23"/>
      <c r="D1033" s="24">
        <f ca="1">IFERROR(__xludf.DUMMYFUNCTION("""COMPUTED_VALUE"""),299)</f>
        <v>299</v>
      </c>
      <c r="E1033" s="25" t="str">
        <f ca="1">IFERROR(__xludf.DUMMYFUNCTION("""COMPUTED_VALUE"""),"REA-05601")</f>
        <v>REA-05601</v>
      </c>
    </row>
    <row r="1034" spans="1:5" x14ac:dyDescent="0.2">
      <c r="A1034" s="22">
        <f ca="1">IFERROR(__xludf.DUMMYFUNCTION("""COMPUTED_VALUE"""),45303)</f>
        <v>45303</v>
      </c>
      <c r="B1034" s="23" t="str">
        <f ca="1">IFERROR(__xludf.DUMMYFUNCTION("""COMPUTED_VALUE"""),"PÓŁKA PODTYNKOWA 03 30x60x10 NIKIEL SZCZOTKOWANY")</f>
        <v>PÓŁKA PODTYNKOWA 03 30x60x10 NIKIEL SZCZOTKOWANY</v>
      </c>
      <c r="C1034" s="23"/>
      <c r="D1034" s="24">
        <f ca="1">IFERROR(__xludf.DUMMYFUNCTION("""COMPUTED_VALUE"""),359)</f>
        <v>359</v>
      </c>
      <c r="E1034" s="25" t="str">
        <f ca="1">IFERROR(__xludf.DUMMYFUNCTION("""COMPUTED_VALUE"""),"REA-05602")</f>
        <v>REA-05602</v>
      </c>
    </row>
    <row r="1035" spans="1:5" x14ac:dyDescent="0.2">
      <c r="A1035" s="22">
        <f ca="1">IFERROR(__xludf.DUMMYFUNCTION("""COMPUTED_VALUE"""),45303)</f>
        <v>45303</v>
      </c>
      <c r="B1035" s="23" t="str">
        <f ca="1">IFERROR(__xludf.DUMMYFUNCTION("""COMPUTED_VALUE"""),"PÓŁKA PODTYNKOWA 04 30x30x10 CZARNA")</f>
        <v>PÓŁKA PODTYNKOWA 04 30x30x10 CZARNA</v>
      </c>
      <c r="C1035" s="23"/>
      <c r="D1035" s="24">
        <f ca="1">IFERROR(__xludf.DUMMYFUNCTION("""COMPUTED_VALUE"""),289)</f>
        <v>289</v>
      </c>
      <c r="E1035" s="25" t="str">
        <f ca="1">IFERROR(__xludf.DUMMYFUNCTION("""COMPUTED_VALUE"""),"REA-05603")</f>
        <v>REA-05603</v>
      </c>
    </row>
    <row r="1036" spans="1:5" x14ac:dyDescent="0.2">
      <c r="A1036" s="22">
        <f ca="1">IFERROR(__xludf.DUMMYFUNCTION("""COMPUTED_VALUE"""),45303)</f>
        <v>45303</v>
      </c>
      <c r="B1036" s="23" t="str">
        <f ca="1">IFERROR(__xludf.DUMMYFUNCTION("""COMPUTED_VALUE"""),"PÓŁKA PODTYNKOWA 05 30x45x10 CZARNA")</f>
        <v>PÓŁKA PODTYNKOWA 05 30x45x10 CZARNA</v>
      </c>
      <c r="C1036" s="23"/>
      <c r="D1036" s="24">
        <f ca="1">IFERROR(__xludf.DUMMYFUNCTION("""COMPUTED_VALUE"""),329)</f>
        <v>329</v>
      </c>
      <c r="E1036" s="25" t="str">
        <f ca="1">IFERROR(__xludf.DUMMYFUNCTION("""COMPUTED_VALUE"""),"REA-05604")</f>
        <v>REA-05604</v>
      </c>
    </row>
    <row r="1037" spans="1:5" x14ac:dyDescent="0.2">
      <c r="A1037" s="22">
        <f ca="1">IFERROR(__xludf.DUMMYFUNCTION("""COMPUTED_VALUE"""),45303)</f>
        <v>45303</v>
      </c>
      <c r="B1037" s="23" t="str">
        <f ca="1">IFERROR(__xludf.DUMMYFUNCTION("""COMPUTED_VALUE"""),"PÓŁKA PODTYNKOWA 06 30x60x10 CZARNA")</f>
        <v>PÓŁKA PODTYNKOWA 06 30x60x10 CZARNA</v>
      </c>
      <c r="C1037" s="23"/>
      <c r="D1037" s="24">
        <f ca="1">IFERROR(__xludf.DUMMYFUNCTION("""COMPUTED_VALUE"""),389)</f>
        <v>389</v>
      </c>
      <c r="E1037" s="25" t="str">
        <f ca="1">IFERROR(__xludf.DUMMYFUNCTION("""COMPUTED_VALUE"""),"REA-05605")</f>
        <v>REA-05605</v>
      </c>
    </row>
    <row r="1038" spans="1:5" x14ac:dyDescent="0.2">
      <c r="A1038" s="22">
        <f ca="1">IFERROR(__xludf.DUMMYFUNCTION("""COMPUTED_VALUE"""),45303)</f>
        <v>45303</v>
      </c>
      <c r="B1038" s="23" t="str">
        <f ca="1">IFERROR(__xludf.DUMMYFUNCTION("""COMPUTED_VALUE"""),"PÓŁKA PODTYNKOWA 07 30x30x10 ZŁOTY SZCZOTKOWANY")</f>
        <v>PÓŁKA PODTYNKOWA 07 30x30x10 ZŁOTY SZCZOTKOWANY</v>
      </c>
      <c r="C1038" s="23"/>
      <c r="D1038" s="24">
        <f ca="1">IFERROR(__xludf.DUMMYFUNCTION("""COMPUTED_VALUE"""),339)</f>
        <v>339</v>
      </c>
      <c r="E1038" s="25" t="str">
        <f ca="1">IFERROR(__xludf.DUMMYFUNCTION("""COMPUTED_VALUE"""),"REA-05606")</f>
        <v>REA-05606</v>
      </c>
    </row>
    <row r="1039" spans="1:5" x14ac:dyDescent="0.2">
      <c r="A1039" s="22">
        <f ca="1">IFERROR(__xludf.DUMMYFUNCTION("""COMPUTED_VALUE"""),45303)</f>
        <v>45303</v>
      </c>
      <c r="B1039" s="23" t="str">
        <f ca="1">IFERROR(__xludf.DUMMYFUNCTION("""COMPUTED_VALUE"""),"PÓŁKA PODTYNKOWA 08 30x45x10 ZŁOTY SZCZOTKOWANY")</f>
        <v>PÓŁKA PODTYNKOWA 08 30x45x10 ZŁOTY SZCZOTKOWANY</v>
      </c>
      <c r="C1039" s="23"/>
      <c r="D1039" s="24">
        <f ca="1">IFERROR(__xludf.DUMMYFUNCTION("""COMPUTED_VALUE"""),389)</f>
        <v>389</v>
      </c>
      <c r="E1039" s="25" t="str">
        <f ca="1">IFERROR(__xludf.DUMMYFUNCTION("""COMPUTED_VALUE"""),"REA-05607")</f>
        <v>REA-05607</v>
      </c>
    </row>
    <row r="1040" spans="1:5" x14ac:dyDescent="0.2">
      <c r="A1040" s="22">
        <f ca="1">IFERROR(__xludf.DUMMYFUNCTION("""COMPUTED_VALUE"""),45303)</f>
        <v>45303</v>
      </c>
      <c r="B1040" s="23" t="str">
        <f ca="1">IFERROR(__xludf.DUMMYFUNCTION("""COMPUTED_VALUE"""),"PÓŁKA PODTYNKOWA 09 30x60x10 ZŁOTY SZCZOTKOWANY")</f>
        <v>PÓŁKA PODTYNKOWA 09 30x60x10 ZŁOTY SZCZOTKOWANY</v>
      </c>
      <c r="C1040" s="23"/>
      <c r="D1040" s="24">
        <f ca="1">IFERROR(__xludf.DUMMYFUNCTION("""COMPUTED_VALUE"""),459)</f>
        <v>459</v>
      </c>
      <c r="E1040" s="25" t="str">
        <f ca="1">IFERROR(__xludf.DUMMYFUNCTION("""COMPUTED_VALUE"""),"REA-05608")</f>
        <v>REA-05608</v>
      </c>
    </row>
    <row r="1041" spans="1:5" x14ac:dyDescent="0.2">
      <c r="A1041" s="22">
        <f ca="1">IFERROR(__xludf.DUMMYFUNCTION("""COMPUTED_VALUE"""),45303)</f>
        <v>45303</v>
      </c>
      <c r="B1041" s="23" t="str">
        <f ca="1">IFERROR(__xludf.DUMMYFUNCTION("""COMPUTED_VALUE"""),"BATERIA UMYWALKOWA NISKA OVAL L.GOLD")</f>
        <v>BATERIA UMYWALKOWA NISKA OVAL L.GOLD</v>
      </c>
      <c r="C1041" s="23"/>
      <c r="D1041" s="24">
        <f ca="1">IFERROR(__xludf.DUMMYFUNCTION("""COMPUTED_VALUE"""),279)</f>
        <v>279</v>
      </c>
      <c r="E1041" s="25" t="str">
        <f ca="1">IFERROR(__xludf.DUMMYFUNCTION("""COMPUTED_VALUE"""),"REA-B6515")</f>
        <v>REA-B6515</v>
      </c>
    </row>
    <row r="1042" spans="1:5" x14ac:dyDescent="0.2">
      <c r="A1042" s="22">
        <f ca="1">IFERROR(__xludf.DUMMYFUNCTION("""COMPUTED_VALUE"""),45303)</f>
        <v>45303</v>
      </c>
      <c r="B1042" s="23" t="str">
        <f ca="1">IFERROR(__xludf.DUMMYFUNCTION("""COMPUTED_VALUE"""),"#N/A")</f>
        <v>#N/A</v>
      </c>
      <c r="C1042" s="23"/>
      <c r="D1042" s="24" t="str">
        <f ca="1">IFERROR(__xludf.DUMMYFUNCTION("""COMPUTED_VALUE"""),"#N/A")</f>
        <v>#N/A</v>
      </c>
      <c r="E1042" s="25" t="str">
        <f ca="1">IFERROR(__xludf.DUMMYFUNCTION("""COMPUTED_VALUE"""),"REA-85600")</f>
        <v>REA-85600</v>
      </c>
    </row>
    <row r="1043" spans="1:5" x14ac:dyDescent="0.2">
      <c r="A1043" s="22">
        <f ca="1">IFERROR(__xludf.DUMMYFUNCTION("""COMPUTED_VALUE"""),45303)</f>
        <v>45303</v>
      </c>
      <c r="B1043" s="23" t="str">
        <f ca="1">IFERROR(__xludf.DUMMYFUNCTION("""COMPUTED_VALUE"""),"PÓŁKA TORI BLACK")</f>
        <v>PÓŁKA TORI BLACK</v>
      </c>
      <c r="C1043" s="23"/>
      <c r="D1043" s="24">
        <f ca="1">IFERROR(__xludf.DUMMYFUNCTION("""COMPUTED_VALUE"""),169)</f>
        <v>169</v>
      </c>
      <c r="E1043" s="25" t="str">
        <f ca="1">IFERROR(__xludf.DUMMYFUNCTION("""COMPUTED_VALUE"""),"REA-85000")</f>
        <v>REA-85000</v>
      </c>
    </row>
    <row r="1044" spans="1:5" x14ac:dyDescent="0.2">
      <c r="A1044" s="22"/>
      <c r="B1044" s="23" t="str">
        <f ca="1">IFERROR(__xludf.DUMMYFUNCTION("""COMPUTED_VALUE"""),"ODPŁYW NEOX PRO ZŁOTY SZCZOTKOWANY 600")</f>
        <v>ODPŁYW NEOX PRO ZŁOTY SZCZOTKOWANY 600</v>
      </c>
      <c r="C1044" s="23"/>
      <c r="D1044" s="24">
        <f ca="1">IFERROR(__xludf.DUMMYFUNCTION("""COMPUTED_VALUE"""),279)</f>
        <v>279</v>
      </c>
      <c r="E1044" s="25" t="str">
        <f ca="1">IFERROR(__xludf.DUMMYFUNCTION("""COMPUTED_VALUE"""),"REA-G2701")</f>
        <v>REA-G2701</v>
      </c>
    </row>
    <row r="1045" spans="1:5" x14ac:dyDescent="0.2">
      <c r="A1045" s="22"/>
      <c r="B1045" s="23" t="str">
        <f ca="1">IFERROR(__xludf.DUMMYFUNCTION("""COMPUTED_VALUE"""),"ODPŁYW NEOX PRO ZŁOTY SZCZOTKOWANY 700")</f>
        <v>ODPŁYW NEOX PRO ZŁOTY SZCZOTKOWANY 700</v>
      </c>
      <c r="C1045" s="23"/>
      <c r="D1045" s="24">
        <f ca="1">IFERROR(__xludf.DUMMYFUNCTION("""COMPUTED_VALUE"""),289)</f>
        <v>289</v>
      </c>
      <c r="E1045" s="25" t="str">
        <f ca="1">IFERROR(__xludf.DUMMYFUNCTION("""COMPUTED_VALUE"""),"REA-G2702")</f>
        <v>REA-G2702</v>
      </c>
    </row>
    <row r="1046" spans="1:5" x14ac:dyDescent="0.2">
      <c r="A1046" s="22"/>
      <c r="B1046" s="23" t="str">
        <f ca="1">IFERROR(__xludf.DUMMYFUNCTION("""COMPUTED_VALUE"""),"ODPŁYW NEOX PRO ZŁOTY SZCZOTKOWANY 800")</f>
        <v>ODPŁYW NEOX PRO ZŁOTY SZCZOTKOWANY 800</v>
      </c>
      <c r="C1046" s="23"/>
      <c r="D1046" s="24">
        <f ca="1">IFERROR(__xludf.DUMMYFUNCTION("""COMPUTED_VALUE"""),309)</f>
        <v>309</v>
      </c>
      <c r="E1046" s="25" t="str">
        <f ca="1">IFERROR(__xludf.DUMMYFUNCTION("""COMPUTED_VALUE"""),"REA-G2703")</f>
        <v>REA-G2703</v>
      </c>
    </row>
    <row r="1047" spans="1:5" x14ac:dyDescent="0.2">
      <c r="A1047" s="22"/>
      <c r="B1047" s="23" t="str">
        <f ca="1">IFERROR(__xludf.DUMMYFUNCTION("""COMPUTED_VALUE"""),"ODPŁYW NEOX PRO ZŁOTY SZCZOTKOWANY 900")</f>
        <v>ODPŁYW NEOX PRO ZŁOTY SZCZOTKOWANY 900</v>
      </c>
      <c r="C1047" s="23"/>
      <c r="D1047" s="24">
        <f ca="1">IFERROR(__xludf.DUMMYFUNCTION("""COMPUTED_VALUE"""),329)</f>
        <v>329</v>
      </c>
      <c r="E1047" s="25" t="str">
        <f ca="1">IFERROR(__xludf.DUMMYFUNCTION("""COMPUTED_VALUE"""),"REA-G2704")</f>
        <v>REA-G2704</v>
      </c>
    </row>
    <row r="1048" spans="1:5" x14ac:dyDescent="0.2">
      <c r="A1048" s="22"/>
      <c r="B1048" s="23" t="str">
        <f ca="1">IFERROR(__xludf.DUMMYFUNCTION("""COMPUTED_VALUE"""),"ODPŁYW NEOX SUPERFLOW NIKIEL SZCZOTKOWANY 600")</f>
        <v>ODPŁYW NEOX SUPERFLOW NIKIEL SZCZOTKOWANY 600</v>
      </c>
      <c r="C1048" s="23"/>
      <c r="D1048" s="24">
        <f ca="1">IFERROR(__xludf.DUMMYFUNCTION("""COMPUTED_VALUE"""),239)</f>
        <v>239</v>
      </c>
      <c r="E1048" s="25" t="str">
        <f ca="1">IFERROR(__xludf.DUMMYFUNCTION("""COMPUTED_VALUE"""),"REA-G2705")</f>
        <v>REA-G2705</v>
      </c>
    </row>
    <row r="1049" spans="1:5" x14ac:dyDescent="0.2">
      <c r="A1049" s="22"/>
      <c r="B1049" s="23" t="str">
        <f ca="1">IFERROR(__xludf.DUMMYFUNCTION("""COMPUTED_VALUE"""),"ODPŁYW NEOX SUPERFLOW NIKIEL SZCZOTKOWANY 700")</f>
        <v>ODPŁYW NEOX SUPERFLOW NIKIEL SZCZOTKOWANY 700</v>
      </c>
      <c r="C1049" s="23"/>
      <c r="D1049" s="24">
        <f ca="1">IFERROR(__xludf.DUMMYFUNCTION("""COMPUTED_VALUE"""),249)</f>
        <v>249</v>
      </c>
      <c r="E1049" s="25" t="str">
        <f ca="1">IFERROR(__xludf.DUMMYFUNCTION("""COMPUTED_VALUE"""),"REA-G2706")</f>
        <v>REA-G2706</v>
      </c>
    </row>
    <row r="1050" spans="1:5" x14ac:dyDescent="0.2">
      <c r="A1050" s="22"/>
      <c r="B1050" s="23" t="str">
        <f ca="1">IFERROR(__xludf.DUMMYFUNCTION("""COMPUTED_VALUE"""),"ODPŁYW NEOX SUPERFLOW NIKIEL SZCZOTKOWANY 800")</f>
        <v>ODPŁYW NEOX SUPERFLOW NIKIEL SZCZOTKOWANY 800</v>
      </c>
      <c r="C1050" s="23"/>
      <c r="D1050" s="24">
        <f ca="1">IFERROR(__xludf.DUMMYFUNCTION("""COMPUTED_VALUE"""),269)</f>
        <v>269</v>
      </c>
      <c r="E1050" s="25" t="str">
        <f ca="1">IFERROR(__xludf.DUMMYFUNCTION("""COMPUTED_VALUE"""),"REA-G2707")</f>
        <v>REA-G2707</v>
      </c>
    </row>
    <row r="1051" spans="1:5" x14ac:dyDescent="0.2">
      <c r="A1051" s="22"/>
      <c r="B1051" s="23" t="str">
        <f ca="1">IFERROR(__xludf.DUMMYFUNCTION("""COMPUTED_VALUE"""),"ODPŁYW NEOX SUPERFLOW NIKIEL SZCZOTKOWANY 900")</f>
        <v>ODPŁYW NEOX SUPERFLOW NIKIEL SZCZOTKOWANY 900</v>
      </c>
      <c r="C1051" s="23"/>
      <c r="D1051" s="24">
        <f ca="1">IFERROR(__xludf.DUMMYFUNCTION("""COMPUTED_VALUE"""),279)</f>
        <v>279</v>
      </c>
      <c r="E1051" s="25" t="str">
        <f ca="1">IFERROR(__xludf.DUMMYFUNCTION("""COMPUTED_VALUE"""),"REA-G2708")</f>
        <v>REA-G2708</v>
      </c>
    </row>
    <row r="1052" spans="1:5" x14ac:dyDescent="0.2">
      <c r="A1052" s="22"/>
      <c r="B1052" s="23" t="str">
        <f ca="1">IFERROR(__xludf.DUMMYFUNCTION("""COMPUTED_VALUE"""),"ODPŁYW NEOX SLIM PRO CZARNY 600")</f>
        <v>ODPŁYW NEOX SLIM PRO CZARNY 600</v>
      </c>
      <c r="C1052" s="23"/>
      <c r="D1052" s="24">
        <f ca="1">IFERROR(__xludf.DUMMYFUNCTION("""COMPUTED_VALUE"""),219)</f>
        <v>219</v>
      </c>
      <c r="E1052" s="25" t="str">
        <f ca="1">IFERROR(__xludf.DUMMYFUNCTION("""COMPUTED_VALUE"""),"REA-G2700")</f>
        <v>REA-G2700</v>
      </c>
    </row>
    <row r="1053" spans="1:5" x14ac:dyDescent="0.2">
      <c r="A1053" s="22"/>
      <c r="B1053" s="23" t="str">
        <f ca="1">IFERROR(__xludf.DUMMYFUNCTION("""COMPUTED_VALUE"""),"ODPŁYW NEOX SLIM PRO CZARNY 700")</f>
        <v>ODPŁYW NEOX SLIM PRO CZARNY 700</v>
      </c>
      <c r="C1053" s="23"/>
      <c r="D1053" s="24">
        <f ca="1">IFERROR(__xludf.DUMMYFUNCTION("""COMPUTED_VALUE"""),229)</f>
        <v>229</v>
      </c>
      <c r="E1053" s="25" t="str">
        <f ca="1">IFERROR(__xludf.DUMMYFUNCTION("""COMPUTED_VALUE"""),"REA-G2709")</f>
        <v>REA-G2709</v>
      </c>
    </row>
    <row r="1054" spans="1:5" x14ac:dyDescent="0.2">
      <c r="A1054" s="22"/>
      <c r="B1054" s="23" t="str">
        <f ca="1">IFERROR(__xludf.DUMMYFUNCTION("""COMPUTED_VALUE"""),"ODPŁYW NEOX SLIM PRO CZARNY 800")</f>
        <v>ODPŁYW NEOX SLIM PRO CZARNY 800</v>
      </c>
      <c r="C1054" s="23"/>
      <c r="D1054" s="24">
        <f ca="1">IFERROR(__xludf.DUMMYFUNCTION("""COMPUTED_VALUE"""),239)</f>
        <v>239</v>
      </c>
      <c r="E1054" s="25" t="str">
        <f ca="1">IFERROR(__xludf.DUMMYFUNCTION("""COMPUTED_VALUE"""),"REA-G2710")</f>
        <v>REA-G2710</v>
      </c>
    </row>
    <row r="1055" spans="1:5" x14ac:dyDescent="0.2">
      <c r="A1055" s="22"/>
      <c r="B1055" s="23" t="str">
        <f ca="1">IFERROR(__xludf.DUMMYFUNCTION("""COMPUTED_VALUE"""),"ODPŁYW NEOX SLIM PRO CZARNY 900")</f>
        <v>ODPŁYW NEOX SLIM PRO CZARNY 900</v>
      </c>
      <c r="C1055" s="23"/>
      <c r="D1055" s="24">
        <f ca="1">IFERROR(__xludf.DUMMYFUNCTION("""COMPUTED_VALUE"""),249)</f>
        <v>249</v>
      </c>
      <c r="E1055" s="25" t="str">
        <f ca="1">IFERROR(__xludf.DUMMYFUNCTION("""COMPUTED_VALUE"""),"REA-G2711")</f>
        <v>REA-G2711</v>
      </c>
    </row>
    <row r="1056" spans="1:5" x14ac:dyDescent="0.2">
      <c r="A1056" s="22"/>
      <c r="B1056" s="23" t="str">
        <f ca="1">IFERROR(__xludf.DUMMYFUNCTION("""COMPUTED_VALUE"""),"ODPŁYW NEOX SLIM PRO CZARNY 1000")</f>
        <v>ODPŁYW NEOX SLIM PRO CZARNY 1000</v>
      </c>
      <c r="C1056" s="23"/>
      <c r="D1056" s="24">
        <f ca="1">IFERROR(__xludf.DUMMYFUNCTION("""COMPUTED_VALUE"""),269)</f>
        <v>269</v>
      </c>
      <c r="E1056" s="25" t="str">
        <f ca="1">IFERROR(__xludf.DUMMYFUNCTION("""COMPUTED_VALUE"""),"REA-G2712")</f>
        <v>REA-G2712</v>
      </c>
    </row>
    <row r="1057" spans="1:5" x14ac:dyDescent="0.2">
      <c r="A1057" s="22"/>
      <c r="B1057" s="23" t="str">
        <f ca="1">IFERROR(__xludf.DUMMYFUNCTION("""COMPUTED_VALUE"""),"ODPŁYW NEOX SLIM PRO ZŁOTY 600")</f>
        <v>ODPŁYW NEOX SLIM PRO ZŁOTY 600</v>
      </c>
      <c r="C1057" s="23"/>
      <c r="D1057" s="24">
        <f ca="1">IFERROR(__xludf.DUMMYFUNCTION("""COMPUTED_VALUE"""),239)</f>
        <v>239</v>
      </c>
      <c r="E1057" s="25" t="str">
        <f ca="1">IFERROR(__xludf.DUMMYFUNCTION("""COMPUTED_VALUE"""),"REA-G2717")</f>
        <v>REA-G2717</v>
      </c>
    </row>
    <row r="1058" spans="1:5" x14ac:dyDescent="0.2">
      <c r="A1058" s="22"/>
      <c r="B1058" s="23" t="str">
        <f ca="1">IFERROR(__xludf.DUMMYFUNCTION("""COMPUTED_VALUE"""),"ODPŁYW NEOX SLIM PRO ZŁOTY 700")</f>
        <v>ODPŁYW NEOX SLIM PRO ZŁOTY 700</v>
      </c>
      <c r="C1058" s="23"/>
      <c r="D1058" s="24">
        <f ca="1">IFERROR(__xludf.DUMMYFUNCTION("""COMPUTED_VALUE"""),259)</f>
        <v>259</v>
      </c>
      <c r="E1058" s="25" t="str">
        <f ca="1">IFERROR(__xludf.DUMMYFUNCTION("""COMPUTED_VALUE"""),"REA-G2718")</f>
        <v>REA-G2718</v>
      </c>
    </row>
    <row r="1059" spans="1:5" x14ac:dyDescent="0.2">
      <c r="A1059" s="22"/>
      <c r="B1059" s="23" t="str">
        <f ca="1">IFERROR(__xludf.DUMMYFUNCTION("""COMPUTED_VALUE"""),"ODPŁYW NEOX SLIM PRO ZŁOTY 800")</f>
        <v>ODPŁYW NEOX SLIM PRO ZŁOTY 800</v>
      </c>
      <c r="C1059" s="23"/>
      <c r="D1059" s="24">
        <f ca="1">IFERROR(__xludf.DUMMYFUNCTION("""COMPUTED_VALUE"""),269)</f>
        <v>269</v>
      </c>
      <c r="E1059" s="25" t="str">
        <f ca="1">IFERROR(__xludf.DUMMYFUNCTION("""COMPUTED_VALUE"""),"REA-G2719")</f>
        <v>REA-G2719</v>
      </c>
    </row>
    <row r="1060" spans="1:5" x14ac:dyDescent="0.2">
      <c r="A1060" s="22"/>
      <c r="B1060" s="23" t="str">
        <f ca="1">IFERROR(__xludf.DUMMYFUNCTION("""COMPUTED_VALUE"""),"ODPŁYW NEOX SLIM PRO ZŁOTY SZCZOTKOWANY 600")</f>
        <v>ODPŁYW NEOX SLIM PRO ZŁOTY SZCZOTKOWANY 600</v>
      </c>
      <c r="C1060" s="23"/>
      <c r="D1060" s="24">
        <f ca="1">IFERROR(__xludf.DUMMYFUNCTION("""COMPUTED_VALUE"""),259)</f>
        <v>259</v>
      </c>
      <c r="E1060" s="25" t="str">
        <f ca="1">IFERROR(__xludf.DUMMYFUNCTION("""COMPUTED_VALUE"""),"REA-G2713")</f>
        <v>REA-G2713</v>
      </c>
    </row>
    <row r="1061" spans="1:5" x14ac:dyDescent="0.2">
      <c r="A1061" s="22"/>
      <c r="B1061" s="23" t="str">
        <f ca="1">IFERROR(__xludf.DUMMYFUNCTION("""COMPUTED_VALUE"""),"ODPŁYW NEOX SLIM PRO ZŁOTY SZCZOTKOWANY 700")</f>
        <v>ODPŁYW NEOX SLIM PRO ZŁOTY SZCZOTKOWANY 700</v>
      </c>
      <c r="C1061" s="23"/>
      <c r="D1061" s="24">
        <f ca="1">IFERROR(__xludf.DUMMYFUNCTION("""COMPUTED_VALUE"""),269)</f>
        <v>269</v>
      </c>
      <c r="E1061" s="25" t="str">
        <f ca="1">IFERROR(__xludf.DUMMYFUNCTION("""COMPUTED_VALUE"""),"REA-G2714")</f>
        <v>REA-G2714</v>
      </c>
    </row>
    <row r="1062" spans="1:5" x14ac:dyDescent="0.2">
      <c r="A1062" s="22"/>
      <c r="B1062" s="23" t="str">
        <f ca="1">IFERROR(__xludf.DUMMYFUNCTION("""COMPUTED_VALUE"""),"ODPŁYW NEOX SLIM PRO ZŁOTY SZCZOTKOWANY 800")</f>
        <v>ODPŁYW NEOX SLIM PRO ZŁOTY SZCZOTKOWANY 800</v>
      </c>
      <c r="C1062" s="23"/>
      <c r="D1062" s="24">
        <f ca="1">IFERROR(__xludf.DUMMYFUNCTION("""COMPUTED_VALUE"""),279)</f>
        <v>279</v>
      </c>
      <c r="E1062" s="25" t="str">
        <f ca="1">IFERROR(__xludf.DUMMYFUNCTION("""COMPUTED_VALUE"""),"REA-G2715")</f>
        <v>REA-G2715</v>
      </c>
    </row>
    <row r="1063" spans="1:5" x14ac:dyDescent="0.2">
      <c r="A1063" s="22"/>
      <c r="B1063" s="23" t="str">
        <f ca="1">IFERROR(__xludf.DUMMYFUNCTION("""COMPUTED_VALUE"""),"ODPŁYW NEOX SLIM PRO ZŁOTY SZCZOTKOWANY 900")</f>
        <v>ODPŁYW NEOX SLIM PRO ZŁOTY SZCZOTKOWANY 900</v>
      </c>
      <c r="C1063" s="23"/>
      <c r="D1063" s="24">
        <f ca="1">IFERROR(__xludf.DUMMYFUNCTION("""COMPUTED_VALUE"""),289)</f>
        <v>289</v>
      </c>
      <c r="E1063" s="25" t="str">
        <f ca="1">IFERROR(__xludf.DUMMYFUNCTION("""COMPUTED_VALUE"""),"REA-G2716")</f>
        <v>REA-G2716</v>
      </c>
    </row>
    <row r="1064" spans="1:5" x14ac:dyDescent="0.2">
      <c r="A1064" s="22">
        <f ca="1">IFERROR(__xludf.DUMMYFUNCTION("""COMPUTED_VALUE"""),45282)</f>
        <v>45282</v>
      </c>
      <c r="B1064" s="23" t="str">
        <f ca="1">IFERROR(__xludf.DUMMYFUNCTION("""COMPUTED_VALUE"""),"WANNA BELLANTO 150 LEWA")</f>
        <v>WANNA BELLANTO 150 LEWA</v>
      </c>
      <c r="C1064" s="23"/>
      <c r="D1064" s="24">
        <f ca="1">IFERROR(__xludf.DUMMYFUNCTION("""COMPUTED_VALUE"""),3599)</f>
        <v>3599</v>
      </c>
      <c r="E1064" s="25" t="str">
        <f ca="1">IFERROR(__xludf.DUMMYFUNCTION("""COMPUTED_VALUE"""),"REA-W0250")</f>
        <v>REA-W0250</v>
      </c>
    </row>
    <row r="1065" spans="1:5" x14ac:dyDescent="0.2">
      <c r="A1065" s="22">
        <f ca="1">IFERROR(__xludf.DUMMYFUNCTION("""COMPUTED_VALUE"""),45282)</f>
        <v>45282</v>
      </c>
      <c r="B1065" s="23" t="str">
        <f ca="1">IFERROR(__xludf.DUMMYFUNCTION("""COMPUTED_VALUE"""),"WANNA BELLANTO 150 PRAWA")</f>
        <v>WANNA BELLANTO 150 PRAWA</v>
      </c>
      <c r="C1065" s="23"/>
      <c r="D1065" s="24">
        <f ca="1">IFERROR(__xludf.DUMMYFUNCTION("""COMPUTED_VALUE"""),3599)</f>
        <v>3599</v>
      </c>
      <c r="E1065" s="25" t="str">
        <f ca="1">IFERROR(__xludf.DUMMYFUNCTION("""COMPUTED_VALUE"""),"REA-W0251")</f>
        <v>REA-W0251</v>
      </c>
    </row>
    <row r="1066" spans="1:5" x14ac:dyDescent="0.2">
      <c r="A1066" s="22">
        <f ca="1">IFERROR(__xludf.DUMMYFUNCTION("""COMPUTED_VALUE"""),45282)</f>
        <v>45282</v>
      </c>
      <c r="B1066" s="23" t="str">
        <f ca="1">IFERROR(__xludf.DUMMYFUNCTION("""COMPUTED_VALUE"""),"WANNA BELLANTO 160 LEWA")</f>
        <v>WANNA BELLANTO 160 LEWA</v>
      </c>
      <c r="C1066" s="23"/>
      <c r="D1066" s="24">
        <f ca="1">IFERROR(__xludf.DUMMYFUNCTION("""COMPUTED_VALUE"""),3699)</f>
        <v>3699</v>
      </c>
      <c r="E1066" s="25" t="str">
        <f ca="1">IFERROR(__xludf.DUMMYFUNCTION("""COMPUTED_VALUE"""),"REA-W0252")</f>
        <v>REA-W0252</v>
      </c>
    </row>
    <row r="1067" spans="1:5" x14ac:dyDescent="0.2">
      <c r="A1067" s="22">
        <f ca="1">IFERROR(__xludf.DUMMYFUNCTION("""COMPUTED_VALUE"""),45282)</f>
        <v>45282</v>
      </c>
      <c r="B1067" s="23" t="str">
        <f ca="1">IFERROR(__xludf.DUMMYFUNCTION("""COMPUTED_VALUE"""),"WANNA BELLANTO 160 PRAWA")</f>
        <v>WANNA BELLANTO 160 PRAWA</v>
      </c>
      <c r="C1067" s="23"/>
      <c r="D1067" s="24">
        <f ca="1">IFERROR(__xludf.DUMMYFUNCTION("""COMPUTED_VALUE"""),3699)</f>
        <v>3699</v>
      </c>
      <c r="E1067" s="25" t="str">
        <f ca="1">IFERROR(__xludf.DUMMYFUNCTION("""COMPUTED_VALUE"""),"REA-W0253")</f>
        <v>REA-W0253</v>
      </c>
    </row>
    <row r="1068" spans="1:5" x14ac:dyDescent="0.2">
      <c r="A1068" s="22">
        <f ca="1">IFERROR(__xludf.DUMMYFUNCTION("""COMPUTED_VALUE"""),45282)</f>
        <v>45282</v>
      </c>
      <c r="B1068" s="23" t="str">
        <f ca="1">IFERROR(__xludf.DUMMYFUNCTION("""COMPUTED_VALUE"""),"WANNA BELLANTO 170 PRAWA")</f>
        <v>WANNA BELLANTO 170 PRAWA</v>
      </c>
      <c r="C1068" s="23"/>
      <c r="D1068" s="24">
        <f ca="1">IFERROR(__xludf.DUMMYFUNCTION("""COMPUTED_VALUE"""),3899)</f>
        <v>3899</v>
      </c>
      <c r="E1068" s="25" t="str">
        <f ca="1">IFERROR(__xludf.DUMMYFUNCTION("""COMPUTED_VALUE"""),"REA-W6900")</f>
        <v>REA-W6900</v>
      </c>
    </row>
    <row r="1069" spans="1:5" x14ac:dyDescent="0.2">
      <c r="A1069" s="22">
        <f ca="1">IFERROR(__xludf.DUMMYFUNCTION("""COMPUTED_VALUE"""),45282)</f>
        <v>45282</v>
      </c>
      <c r="B1069" s="23" t="str">
        <f ca="1">IFERROR(__xludf.DUMMYFUNCTION("""COMPUTED_VALUE"""),"WANNA BELLANTO 170 LEWA")</f>
        <v>WANNA BELLANTO 170 LEWA</v>
      </c>
      <c r="C1069" s="23"/>
      <c r="D1069" s="24">
        <f ca="1">IFERROR(__xludf.DUMMYFUNCTION("""COMPUTED_VALUE"""),3899)</f>
        <v>3899</v>
      </c>
      <c r="E1069" s="25" t="str">
        <f ca="1">IFERROR(__xludf.DUMMYFUNCTION("""COMPUTED_VALUE"""),"REA-W6901")</f>
        <v>REA-W6901</v>
      </c>
    </row>
    <row r="1070" spans="1:5" x14ac:dyDescent="0.2">
      <c r="A1070" s="22">
        <f ca="1">IFERROR(__xludf.DUMMYFUNCTION("""COMPUTED_VALUE"""),45282)</f>
        <v>45282</v>
      </c>
      <c r="B1070" s="23" t="str">
        <f ca="1">IFERROR(__xludf.DUMMYFUNCTION("""COMPUTED_VALUE"""),"WANNA VENETA 170")</f>
        <v>WANNA VENETA 170</v>
      </c>
      <c r="C1070" s="23"/>
      <c r="D1070" s="24">
        <f ca="1">IFERROR(__xludf.DUMMYFUNCTION("""COMPUTED_VALUE"""),3999)</f>
        <v>3999</v>
      </c>
      <c r="E1070" s="25" t="str">
        <f ca="1">IFERROR(__xludf.DUMMYFUNCTION("""COMPUTED_VALUE"""),"REA-W0254")</f>
        <v>REA-W0254</v>
      </c>
    </row>
    <row r="1071" spans="1:5" x14ac:dyDescent="0.2">
      <c r="A1071" s="22">
        <f ca="1">IFERROR(__xludf.DUMMYFUNCTION("""COMPUTED_VALUE"""),45282)</f>
        <v>45282</v>
      </c>
      <c r="B1071" s="23" t="str">
        <f ca="1">IFERROR(__xludf.DUMMYFUNCTION("""COMPUTED_VALUE"""),"WANNA OLIMPIA 170")</f>
        <v>WANNA OLIMPIA 170</v>
      </c>
      <c r="C1071" s="23"/>
      <c r="D1071" s="24">
        <f ca="1">IFERROR(__xludf.DUMMYFUNCTION("""COMPUTED_VALUE"""),3699)</f>
        <v>3699</v>
      </c>
      <c r="E1071" s="25" t="str">
        <f ca="1">IFERROR(__xludf.DUMMYFUNCTION("""COMPUTED_VALUE"""),"REA-W0633")</f>
        <v>REA-W0633</v>
      </c>
    </row>
    <row r="1072" spans="1:5" x14ac:dyDescent="0.2">
      <c r="A1072" s="22">
        <f ca="1">IFERROR(__xludf.DUMMYFUNCTION("""COMPUTED_VALUE"""),45282)</f>
        <v>45282</v>
      </c>
      <c r="B1072" s="23" t="str">
        <f ca="1">IFERROR(__xludf.DUMMYFUNCTION("""COMPUTED_VALUE"""),"KABINA 80X100 PUNTO BLACK")</f>
        <v>KABINA 80X100 PUNTO BLACK</v>
      </c>
      <c r="C1072" s="23"/>
      <c r="D1072" s="24">
        <f ca="1">IFERROR(__xludf.DUMMYFUNCTION("""COMPUTED_VALUE"""),899)</f>
        <v>899</v>
      </c>
      <c r="E1072" s="25" t="str">
        <f ca="1">IFERROR(__xludf.DUMMYFUNCTION("""COMPUTED_VALUE"""),"REA-K4806")</f>
        <v>REA-K4806</v>
      </c>
    </row>
    <row r="1073" spans="1:5" x14ac:dyDescent="0.2">
      <c r="A1073" s="22">
        <f ca="1">IFERROR(__xludf.DUMMYFUNCTION("""COMPUTED_VALUE"""),45279)</f>
        <v>45279</v>
      </c>
      <c r="B1073" s="23" t="str">
        <f ca="1">IFERROR(__xludf.DUMMYFUNCTION("""COMPUTED_VALUE"""),"KOREK KLIK-KLAK UNIWERSALNY ANTYCZNE ZŁOTO")</f>
        <v>KOREK KLIK-KLAK UNIWERSALNY ANTYCZNE ZŁOTO</v>
      </c>
      <c r="C1073" s="23"/>
      <c r="D1073" s="24">
        <f ca="1">IFERROR(__xludf.DUMMYFUNCTION("""COMPUTED_VALUE"""),99)</f>
        <v>99</v>
      </c>
      <c r="E1073" s="25" t="str">
        <f ca="1">IFERROR(__xludf.DUMMYFUNCTION("""COMPUTED_VALUE"""),"REA-A8110")</f>
        <v>REA-A8110</v>
      </c>
    </row>
    <row r="1074" spans="1:5" x14ac:dyDescent="0.2">
      <c r="A1074" s="22">
        <f ca="1">IFERROR(__xludf.DUMMYFUNCTION("""COMPUTED_VALUE"""),45279)</f>
        <v>45279</v>
      </c>
      <c r="B1074" s="23" t="str">
        <f ca="1">IFERROR(__xludf.DUMMYFUNCTION("""COMPUTED_VALUE"""),"BATERIA UMYWALKOWA LAGUNA ANTYCZNE ZŁOTO")</f>
        <v>BATERIA UMYWALKOWA LAGUNA ANTYCZNE ZŁOTO</v>
      </c>
      <c r="C1074" s="23"/>
      <c r="D1074" s="24">
        <f ca="1">IFERROR(__xludf.DUMMYFUNCTION("""COMPUTED_VALUE"""),399)</f>
        <v>399</v>
      </c>
      <c r="E1074" s="25" t="str">
        <f ca="1">IFERROR(__xludf.DUMMYFUNCTION("""COMPUTED_VALUE"""),"REA-B8120")</f>
        <v>REA-B8120</v>
      </c>
    </row>
    <row r="1075" spans="1:5" x14ac:dyDescent="0.2">
      <c r="A1075" s="22">
        <f ca="1">IFERROR(__xludf.DUMMYFUNCTION("""COMPUTED_VALUE"""),45279)</f>
        <v>45279</v>
      </c>
      <c r="B1075" s="23" t="str">
        <f ca="1">IFERROR(__xludf.DUMMYFUNCTION("""COMPUTED_VALUE"""),"BATERIA BIDETOWA LOOP ROSE GOLD")</f>
        <v>BATERIA BIDETOWA LOOP ROSE GOLD</v>
      </c>
      <c r="C1075" s="23"/>
      <c r="D1075" s="24">
        <f ca="1">IFERROR(__xludf.DUMMYFUNCTION("""COMPUTED_VALUE"""),399)</f>
        <v>399</v>
      </c>
      <c r="E1075" s="25" t="str">
        <f ca="1">IFERROR(__xludf.DUMMYFUNCTION("""COMPUTED_VALUE"""),"REA-B6523")</f>
        <v>REA-B6523</v>
      </c>
    </row>
    <row r="1076" spans="1:5" x14ac:dyDescent="0.2">
      <c r="A1076" s="22">
        <f ca="1">IFERROR(__xludf.DUMMYFUNCTION("""COMPUTED_VALUE"""),45279)</f>
        <v>45279</v>
      </c>
      <c r="B1076" s="23" t="str">
        <f ca="1">IFERROR(__xludf.DUMMYFUNCTION("""COMPUTED_VALUE"""),"BATERIA BIDETOWA LOOP BLACK")</f>
        <v>BATERIA BIDETOWA LOOP BLACK</v>
      </c>
      <c r="C1076" s="23"/>
      <c r="D1076" s="24">
        <f ca="1">IFERROR(__xludf.DUMMYFUNCTION("""COMPUTED_VALUE"""),399)</f>
        <v>399</v>
      </c>
      <c r="E1076" s="25" t="str">
        <f ca="1">IFERROR(__xludf.DUMMYFUNCTION("""COMPUTED_VALUE"""),"REA-B8978")</f>
        <v>REA-B8978</v>
      </c>
    </row>
    <row r="1077" spans="1:5" x14ac:dyDescent="0.2">
      <c r="A1077" s="22">
        <f ca="1">IFERROR(__xludf.DUMMYFUNCTION("""COMPUTED_VALUE"""),45279)</f>
        <v>45279</v>
      </c>
      <c r="B1077" s="23" t="str">
        <f ca="1">IFERROR(__xludf.DUMMYFUNCTION("""COMPUTED_VALUE"""),"BATERIA BIDETOWA LOOP L.GOLD")</f>
        <v>BATERIA BIDETOWA LOOP L.GOLD</v>
      </c>
      <c r="C1077" s="23"/>
      <c r="D1077" s="24">
        <f ca="1">IFERROR(__xludf.DUMMYFUNCTION("""COMPUTED_VALUE"""),399)</f>
        <v>399</v>
      </c>
      <c r="E1077" s="25" t="str">
        <f ca="1">IFERROR(__xludf.DUMMYFUNCTION("""COMPUTED_VALUE"""),"REA-B8979")</f>
        <v>REA-B8979</v>
      </c>
    </row>
    <row r="1078" spans="1:5" x14ac:dyDescent="0.2">
      <c r="A1078" s="22">
        <f ca="1">IFERROR(__xludf.DUMMYFUNCTION("""COMPUTED_VALUE"""),45279)</f>
        <v>45279</v>
      </c>
      <c r="B1078" s="23" t="str">
        <f ca="1">IFERROR(__xludf.DUMMYFUNCTION("""COMPUTED_VALUE"""),"ZESTAW NATRYSKOWY VINCENT NIKIEL SZCZOTKOWANY TERM")</f>
        <v>ZESTAW NATRYSKOWY VINCENT NIKIEL SZCZOTKOWANY TERM</v>
      </c>
      <c r="C1078" s="23"/>
      <c r="D1078" s="24">
        <f ca="1">IFERROR(__xludf.DUMMYFUNCTION("""COMPUTED_VALUE"""),899)</f>
        <v>899</v>
      </c>
      <c r="E1078" s="25" t="str">
        <f ca="1">IFERROR(__xludf.DUMMYFUNCTION("""COMPUTED_VALUE"""),"REA-P6603")</f>
        <v>REA-P6603</v>
      </c>
    </row>
    <row r="1079" spans="1:5" x14ac:dyDescent="0.2">
      <c r="A1079" s="22">
        <f ca="1">IFERROR(__xludf.DUMMYFUNCTION("""COMPUTED_VALUE"""),45279)</f>
        <v>45279</v>
      </c>
      <c r="B1079" s="23" t="str">
        <f ca="1">IFERROR(__xludf.DUMMYFUNCTION("""COMPUTED_VALUE"""),"ZESTAW NATRYSKOWY ORIX CHROME + BOX")</f>
        <v>ZESTAW NATRYSKOWY ORIX CHROME + BOX</v>
      </c>
      <c r="C1079" s="23"/>
      <c r="D1079" s="24">
        <f ca="1">IFERROR(__xludf.DUMMYFUNCTION("""COMPUTED_VALUE"""),729)</f>
        <v>729</v>
      </c>
      <c r="E1079" s="25" t="str">
        <f ca="1">IFERROR(__xludf.DUMMYFUNCTION("""COMPUTED_VALUE"""),"REA-P8463")</f>
        <v>REA-P8463</v>
      </c>
    </row>
    <row r="1080" spans="1:5" x14ac:dyDescent="0.2">
      <c r="A1080" s="22">
        <f ca="1">IFERROR(__xludf.DUMMYFUNCTION("""COMPUTED_VALUE"""),45279)</f>
        <v>45279</v>
      </c>
      <c r="B1080" s="23" t="str">
        <f ca="1">IFERROR(__xludf.DUMMYFUNCTION("""COMPUTED_VALUE"""),"ZESTAW NATRYSKOWY ORIX BLACK+ BOX")</f>
        <v>ZESTAW NATRYSKOWY ORIX BLACK+ BOX</v>
      </c>
      <c r="C1080" s="23"/>
      <c r="D1080" s="24">
        <f ca="1">IFERROR(__xludf.DUMMYFUNCTION("""COMPUTED_VALUE"""),799)</f>
        <v>799</v>
      </c>
      <c r="E1080" s="25" t="str">
        <f ca="1">IFERROR(__xludf.DUMMYFUNCTION("""COMPUTED_VALUE"""),"REA-P8465")</f>
        <v>REA-P8465</v>
      </c>
    </row>
    <row r="1081" spans="1:5" x14ac:dyDescent="0.2">
      <c r="A1081" s="22">
        <f ca="1">IFERROR(__xludf.DUMMYFUNCTION("""COMPUTED_VALUE"""),45279)</f>
        <v>45279</v>
      </c>
      <c r="B1081" s="23" t="str">
        <f ca="1">IFERROR(__xludf.DUMMYFUNCTION("""COMPUTED_VALUE"""),"ZESTAW NATRYSKOWY ORIX GOLD+ BOX")</f>
        <v>ZESTAW NATRYSKOWY ORIX GOLD+ BOX</v>
      </c>
      <c r="C1081" s="23"/>
      <c r="D1081" s="24">
        <f ca="1">IFERROR(__xludf.DUMMYFUNCTION("""COMPUTED_VALUE"""),929)</f>
        <v>929</v>
      </c>
      <c r="E1081" s="25" t="str">
        <f ca="1">IFERROR(__xludf.DUMMYFUNCTION("""COMPUTED_VALUE"""),"REA-P8464")</f>
        <v>REA-P8464</v>
      </c>
    </row>
    <row r="1082" spans="1:5" x14ac:dyDescent="0.2">
      <c r="A1082" s="22">
        <f ca="1">IFERROR(__xludf.DUMMYFUNCTION("""COMPUTED_VALUE"""),45279)</f>
        <v>45279</v>
      </c>
      <c r="B1082" s="23" t="str">
        <f ca="1">IFERROR(__xludf.DUMMYFUNCTION("""COMPUTED_VALUE"""),"BATERIA UMYWALKOWA NISKA OVAL CHROM")</f>
        <v>BATERIA UMYWALKOWA NISKA OVAL CHROM</v>
      </c>
      <c r="C1082" s="23"/>
      <c r="D1082" s="24">
        <f ca="1">IFERROR(__xludf.DUMMYFUNCTION("""COMPUTED_VALUE"""),249)</f>
        <v>249</v>
      </c>
      <c r="E1082" s="25" t="str">
        <f ca="1">IFERROR(__xludf.DUMMYFUNCTION("""COMPUTED_VALUE"""),"REA-B6514")</f>
        <v>REA-B6514</v>
      </c>
    </row>
    <row r="1083" spans="1:5" x14ac:dyDescent="0.2">
      <c r="A1083" s="22">
        <f ca="1">IFERROR(__xludf.DUMMYFUNCTION("""COMPUTED_VALUE"""),45279)</f>
        <v>45279</v>
      </c>
      <c r="B1083" s="23" t="str">
        <f ca="1">IFERROR(__xludf.DUMMYFUNCTION("""COMPUTED_VALUE"""),"BATERIA UMYWALKOWA NISKA OVAL BLACK")</f>
        <v>BATERIA UMYWALKOWA NISKA OVAL BLACK</v>
      </c>
      <c r="C1083" s="23"/>
      <c r="D1083" s="24">
        <f ca="1">IFERROR(__xludf.DUMMYFUNCTION("""COMPUTED_VALUE"""),259)</f>
        <v>259</v>
      </c>
      <c r="E1083" s="25" t="str">
        <f ca="1">IFERROR(__xludf.DUMMYFUNCTION("""COMPUTED_VALUE"""),"REA-B6516")</f>
        <v>REA-B6516</v>
      </c>
    </row>
    <row r="1084" spans="1:5" x14ac:dyDescent="0.2">
      <c r="A1084" s="22">
        <f ca="1">IFERROR(__xludf.DUMMYFUNCTION("""COMPUTED_VALUE"""),45279)</f>
        <v>45279</v>
      </c>
      <c r="B1084" s="23" t="str">
        <f ca="1">IFERROR(__xludf.DUMMYFUNCTION("""COMPUTED_VALUE"""),"BATERIA NISKA TESS L.GOLD SZCZOTKOWANA")</f>
        <v>BATERIA NISKA TESS L.GOLD SZCZOTKOWANA</v>
      </c>
      <c r="C1084" s="23"/>
      <c r="D1084" s="24">
        <f ca="1">IFERROR(__xludf.DUMMYFUNCTION("""COMPUTED_VALUE"""),259)</f>
        <v>259</v>
      </c>
      <c r="E1084" s="25" t="str">
        <f ca="1">IFERROR(__xludf.DUMMYFUNCTION("""COMPUTED_VALUE"""),"REA-B5661")</f>
        <v>REA-B5661</v>
      </c>
    </row>
    <row r="1085" spans="1:5" x14ac:dyDescent="0.2">
      <c r="A1085" s="22">
        <f ca="1">IFERROR(__xludf.DUMMYFUNCTION("""COMPUTED_VALUE"""),45279)</f>
        <v>45279</v>
      </c>
      <c r="B1085" s="23" t="str">
        <f ca="1">IFERROR(__xludf.DUMMYFUNCTION("""COMPUTED_VALUE"""),"ZESTAW WANNOWY PODTYNKOWY LUNGO BLACK")</f>
        <v>ZESTAW WANNOWY PODTYNKOWY LUNGO BLACK</v>
      </c>
      <c r="C1085" s="23"/>
      <c r="D1085" s="24">
        <f ca="1">IFERROR(__xludf.DUMMYFUNCTION("""COMPUTED_VALUE"""),759)</f>
        <v>759</v>
      </c>
      <c r="E1085" s="25" t="str">
        <f ca="1">IFERROR(__xludf.DUMMYFUNCTION("""COMPUTED_VALUE"""),"REA-P6300")</f>
        <v>REA-P6300</v>
      </c>
    </row>
    <row r="1086" spans="1:5" x14ac:dyDescent="0.2">
      <c r="A1086" s="22">
        <f ca="1">IFERROR(__xludf.DUMMYFUNCTION("""COMPUTED_VALUE"""),45279)</f>
        <v>45279</v>
      </c>
      <c r="B1086" s="23" t="str">
        <f ca="1">IFERROR(__xludf.DUMMYFUNCTION("""COMPUTED_VALUE"""),"ZESTAW NATRYSKOWO-WANNOWY Z WYLEWKĄ LUNGO BIAŁY")</f>
        <v>ZESTAW NATRYSKOWO-WANNOWY Z WYLEWKĄ LUNGO BIAŁY</v>
      </c>
      <c r="C1086" s="23"/>
      <c r="D1086" s="24">
        <f ca="1">IFERROR(__xludf.DUMMYFUNCTION("""COMPUTED_VALUE"""),999)</f>
        <v>999</v>
      </c>
      <c r="E1086" s="25" t="str">
        <f ca="1">IFERROR(__xludf.DUMMYFUNCTION("""COMPUTED_VALUE"""),"REA-P6611")</f>
        <v>REA-P6611</v>
      </c>
    </row>
    <row r="1087" spans="1:5" x14ac:dyDescent="0.2">
      <c r="A1087" s="22">
        <f ca="1">IFERROR(__xludf.DUMMYFUNCTION("""COMPUTED_VALUE"""),45279)</f>
        <v>45279</v>
      </c>
      <c r="B1087" s="23" t="str">
        <f ca="1">IFERROR(__xludf.DUMMYFUNCTION("""COMPUTED_VALUE"""),"ZESTAW NATRYSKOWO-WANNOWY Z WYLEWKĄ LUNGO L.GOLD")</f>
        <v>ZESTAW NATRYSKOWO-WANNOWY Z WYLEWKĄ LUNGO L.GOLD</v>
      </c>
      <c r="C1087" s="23"/>
      <c r="D1087" s="24">
        <f ca="1">IFERROR(__xludf.DUMMYFUNCTION("""COMPUTED_VALUE"""),1099)</f>
        <v>1099</v>
      </c>
      <c r="E1087" s="25" t="str">
        <f ca="1">IFERROR(__xludf.DUMMYFUNCTION("""COMPUTED_VALUE"""),"REA-P4125")</f>
        <v>REA-P4125</v>
      </c>
    </row>
    <row r="1088" spans="1:5" x14ac:dyDescent="0.2">
      <c r="A1088" s="22">
        <f ca="1">IFERROR(__xludf.DUMMYFUNCTION("""COMPUTED_VALUE"""),45273)</f>
        <v>45273</v>
      </c>
      <c r="B1088" s="23" t="str">
        <f ca="1">IFERROR(__xludf.DUMMYFUNCTION("""COMPUTED_VALUE"""),"DESKA WC - CARLO UF DUROPLAST FLAT BLACK MATT")</f>
        <v>DESKA WC - CARLO UF DUROPLAST FLAT BLACK MATT</v>
      </c>
      <c r="C1088" s="23"/>
      <c r="D1088" s="24">
        <f ca="1">IFERROR(__xludf.DUMMYFUNCTION("""COMPUTED_VALUE"""),169)</f>
        <v>169</v>
      </c>
      <c r="E1088" s="25" t="str">
        <f ca="1">IFERROR(__xludf.DUMMYFUNCTION("""COMPUTED_VALUE"""),"REA-C6004")</f>
        <v>REA-C6004</v>
      </c>
    </row>
    <row r="1089" spans="1:5" x14ac:dyDescent="0.2">
      <c r="A1089" s="22">
        <f ca="1">IFERROR(__xludf.DUMMYFUNCTION("""COMPUTED_VALUE"""),45273)</f>
        <v>45273</v>
      </c>
      <c r="B1089" s="23" t="str">
        <f ca="1">IFERROR(__xludf.DUMMYFUNCTION("""COMPUTED_VALUE"""),"UMYWALKA BELINDA BLACK MATT - NABLATOWA")</f>
        <v>UMYWALKA BELINDA BLACK MATT - NABLATOWA</v>
      </c>
      <c r="C1089" s="23"/>
      <c r="D1089" s="24">
        <f ca="1">IFERROR(__xludf.DUMMYFUNCTION("""COMPUTED_VALUE"""),399)</f>
        <v>399</v>
      </c>
      <c r="E1089" s="25" t="str">
        <f ca="1">IFERROR(__xludf.DUMMYFUNCTION("""COMPUTED_VALUE"""),"REA-U8470")</f>
        <v>REA-U8470</v>
      </c>
    </row>
    <row r="1090" spans="1:5" x14ac:dyDescent="0.2">
      <c r="A1090" s="22">
        <f ca="1">IFERROR(__xludf.DUMMYFUNCTION("""COMPUTED_VALUE"""),45273)</f>
        <v>45273</v>
      </c>
      <c r="B1090" s="23" t="str">
        <f ca="1">IFERROR(__xludf.DUMMYFUNCTION("""COMPUTED_VALUE"""),"BRODZIK DIAMOND 80*80*5cm WHITE")</f>
        <v>BRODZIK DIAMOND 80*80*5cm WHITE</v>
      </c>
      <c r="C1090" s="23"/>
      <c r="D1090" s="24">
        <f ca="1">IFERROR(__xludf.DUMMYFUNCTION("""COMPUTED_VALUE"""),599)</f>
        <v>599</v>
      </c>
      <c r="E1090" s="25" t="str">
        <f ca="1">IFERROR(__xludf.DUMMYFUNCTION("""COMPUTED_VALUE"""),"REA-K8544")</f>
        <v>REA-K8544</v>
      </c>
    </row>
    <row r="1091" spans="1:5" x14ac:dyDescent="0.2">
      <c r="A1091" s="22">
        <f ca="1">IFERROR(__xludf.DUMMYFUNCTION("""COMPUTED_VALUE"""),45273)</f>
        <v>45273</v>
      </c>
      <c r="B1091" s="23" t="str">
        <f ca="1">IFERROR(__xludf.DUMMYFUNCTION("""COMPUTED_VALUE"""),"BRODZIK DIAMOND 90*90*5cm WHITE")</f>
        <v>BRODZIK DIAMOND 90*90*5cm WHITE</v>
      </c>
      <c r="C1091" s="23"/>
      <c r="D1091" s="24">
        <f ca="1">IFERROR(__xludf.DUMMYFUNCTION("""COMPUTED_VALUE"""),629)</f>
        <v>629</v>
      </c>
      <c r="E1091" s="25" t="str">
        <f ca="1">IFERROR(__xludf.DUMMYFUNCTION("""COMPUTED_VALUE"""),"REA-K6522")</f>
        <v>REA-K6522</v>
      </c>
    </row>
    <row r="1092" spans="1:5" x14ac:dyDescent="0.2">
      <c r="A1092" s="22">
        <f ca="1">IFERROR(__xludf.DUMMYFUNCTION("""COMPUTED_VALUE"""),45273)</f>
        <v>45273</v>
      </c>
      <c r="B1092" s="23" t="str">
        <f ca="1">IFERROR(__xludf.DUMMYFUNCTION("""COMPUTED_VALUE"""),"Drzwi Molier Black 100 + adapter")</f>
        <v>Drzwi Molier Black 100 + adapter</v>
      </c>
      <c r="C1092" s="23"/>
      <c r="D1092" s="24">
        <f ca="1">IFERROR(__xludf.DUMMYFUNCTION("""COMPUTED_VALUE"""),1039)</f>
        <v>1039</v>
      </c>
      <c r="E1092" s="26"/>
    </row>
    <row r="1093" spans="1:5" x14ac:dyDescent="0.2">
      <c r="A1093" s="22">
        <f ca="1">IFERROR(__xludf.DUMMYFUNCTION("""COMPUTED_VALUE"""),45273)</f>
        <v>45273</v>
      </c>
      <c r="B1093" s="23" t="str">
        <f ca="1">IFERROR(__xludf.DUMMYFUNCTION("""COMPUTED_VALUE"""),"DRZWI PRYSZNICOWE MOLIER 100 BLACK")</f>
        <v>DRZWI PRYSZNICOWE MOLIER 100 BLACK</v>
      </c>
      <c r="C1093" s="23"/>
      <c r="D1093" s="24">
        <f ca="1">IFERROR(__xludf.DUMMYFUNCTION("""COMPUTED_VALUE"""),959)</f>
        <v>959</v>
      </c>
      <c r="E1093" s="25" t="str">
        <f ca="1">IFERROR(__xludf.DUMMYFUNCTION("""COMPUTED_VALUE"""),"REA-K6963")</f>
        <v>REA-K6963</v>
      </c>
    </row>
    <row r="1094" spans="1:5" x14ac:dyDescent="0.2">
      <c r="A1094" s="22">
        <f ca="1">IFERROR(__xludf.DUMMYFUNCTION("""COMPUTED_VALUE"""),45273)</f>
        <v>45273</v>
      </c>
      <c r="B1094" s="23" t="str">
        <f ca="1">IFERROR(__xludf.DUMMYFUNCTION("""COMPUTED_VALUE"""),"Drzwi Molier Black 90 + adapter")</f>
        <v>Drzwi Molier Black 90 + adapter</v>
      </c>
      <c r="C1094" s="23"/>
      <c r="D1094" s="24">
        <f ca="1">IFERROR(__xludf.DUMMYFUNCTION("""COMPUTED_VALUE"""),1009)</f>
        <v>1009</v>
      </c>
      <c r="E1094" s="26"/>
    </row>
    <row r="1095" spans="1:5" x14ac:dyDescent="0.2">
      <c r="A1095" s="22">
        <f ca="1">IFERROR(__xludf.DUMMYFUNCTION("""COMPUTED_VALUE"""),45273)</f>
        <v>45273</v>
      </c>
      <c r="B1095" s="23" t="str">
        <f ca="1">IFERROR(__xludf.DUMMYFUNCTION("""COMPUTED_VALUE"""),"DRZWI PRYSZNICOWE MOLIER 90 BLACK")</f>
        <v>DRZWI PRYSZNICOWE MOLIER 90 BLACK</v>
      </c>
      <c r="C1095" s="23"/>
      <c r="D1095" s="24">
        <f ca="1">IFERROR(__xludf.DUMMYFUNCTION("""COMPUTED_VALUE"""),929)</f>
        <v>929</v>
      </c>
      <c r="E1095" s="25" t="str">
        <f ca="1">IFERROR(__xludf.DUMMYFUNCTION("""COMPUTED_VALUE"""),"REA-K8538")</f>
        <v>REA-K8538</v>
      </c>
    </row>
    <row r="1096" spans="1:5" x14ac:dyDescent="0.2">
      <c r="A1096" s="22">
        <f ca="1">IFERROR(__xludf.DUMMYFUNCTION("""COMPUTED_VALUE"""),45273)</f>
        <v>45273</v>
      </c>
      <c r="B1096" s="23" t="str">
        <f ca="1">IFERROR(__xludf.DUMMYFUNCTION("""COMPUTED_VALUE"""),"Drzwi Molier Chrom 90 + adapter")</f>
        <v>Drzwi Molier Chrom 90 + adapter</v>
      </c>
      <c r="C1096" s="23"/>
      <c r="D1096" s="24">
        <f ca="1">IFERROR(__xludf.DUMMYFUNCTION("""COMPUTED_VALUE"""),959)</f>
        <v>959</v>
      </c>
      <c r="E1096" s="26"/>
    </row>
    <row r="1097" spans="1:5" x14ac:dyDescent="0.2">
      <c r="A1097" s="22">
        <f ca="1">IFERROR(__xludf.DUMMYFUNCTION("""COMPUTED_VALUE"""),45273)</f>
        <v>45273</v>
      </c>
      <c r="B1097" s="23" t="str">
        <f ca="1">IFERROR(__xludf.DUMMYFUNCTION("""COMPUTED_VALUE"""),"DRZWI PRYSZNICOWE MOLIER 90 CHROM")</f>
        <v>DRZWI PRYSZNICOWE MOLIER 90 CHROM</v>
      </c>
      <c r="C1097" s="23"/>
      <c r="D1097" s="24">
        <f ca="1">IFERROR(__xludf.DUMMYFUNCTION("""COMPUTED_VALUE"""),859)</f>
        <v>859</v>
      </c>
      <c r="E1097" s="25" t="str">
        <f ca="1">IFERROR(__xludf.DUMMYFUNCTION("""COMPUTED_VALUE"""),"REA-K8539")</f>
        <v>REA-K8539</v>
      </c>
    </row>
    <row r="1098" spans="1:5" x14ac:dyDescent="0.2">
      <c r="A1098" s="22">
        <f ca="1">IFERROR(__xludf.DUMMYFUNCTION("""COMPUTED_VALUE"""),45273)</f>
        <v>45273</v>
      </c>
      <c r="B1098" s="23" t="str">
        <f ca="1">IFERROR(__xludf.DUMMYFUNCTION("""COMPUTED_VALUE"""),"DRZWI PRYSZNICOWE ALEX-805 BLACK  100")</f>
        <v>DRZWI PRYSZNICOWE ALEX-805 BLACK  100</v>
      </c>
      <c r="C1098" s="23"/>
      <c r="D1098" s="24">
        <f ca="1">IFERROR(__xludf.DUMMYFUNCTION("""COMPUTED_VALUE"""),999)</f>
        <v>999</v>
      </c>
      <c r="E1098" s="25" t="str">
        <f ca="1">IFERROR(__xludf.DUMMYFUNCTION("""COMPUTED_VALUE"""),"REA-K9639")</f>
        <v>REA-K9639</v>
      </c>
    </row>
    <row r="1099" spans="1:5" x14ac:dyDescent="0.2">
      <c r="A1099" s="22">
        <f ca="1">IFERROR(__xludf.DUMMYFUNCTION("""COMPUTED_VALUE"""),45273)</f>
        <v>45273</v>
      </c>
      <c r="B1099" s="23" t="str">
        <f ca="1">IFERROR(__xludf.DUMMYFUNCTION("""COMPUTED_VALUE"""),"PARAWAN STAŁY LAGOS FIX 80")</f>
        <v>PARAWAN STAŁY LAGOS FIX 80</v>
      </c>
      <c r="C1099" s="23"/>
      <c r="D1099" s="24">
        <f ca="1">IFERROR(__xludf.DUMMYFUNCTION("""COMPUTED_VALUE"""),389)</f>
        <v>389</v>
      </c>
      <c r="E1099" s="25" t="str">
        <f ca="1">IFERROR(__xludf.DUMMYFUNCTION("""COMPUTED_VALUE"""),"REA-K7390")</f>
        <v>REA-K7390</v>
      </c>
    </row>
    <row r="1100" spans="1:5" x14ac:dyDescent="0.2">
      <c r="A1100" s="22">
        <f ca="1">IFERROR(__xludf.DUMMYFUNCTION("""COMPUTED_VALUE"""),45273)</f>
        <v>45273</v>
      </c>
      <c r="B1100" s="23" t="str">
        <f ca="1">IFERROR(__xludf.DUMMYFUNCTION("""COMPUTED_VALUE"""),"DRZWI PRYSZNICOWE HUGO GOLD SZCZOTKOWANY 100")</f>
        <v>DRZWI PRYSZNICOWE HUGO GOLD SZCZOTKOWANY 100</v>
      </c>
      <c r="C1100" s="23"/>
      <c r="D1100" s="24">
        <f ca="1">IFERROR(__xludf.DUMMYFUNCTION("""COMPUTED_VALUE"""),1259)</f>
        <v>1259</v>
      </c>
      <c r="E1100" s="25" t="str">
        <f ca="1">IFERROR(__xludf.DUMMYFUNCTION("""COMPUTED_VALUE"""),"REA-K8413")</f>
        <v>REA-K8413</v>
      </c>
    </row>
    <row r="1101" spans="1:5" x14ac:dyDescent="0.2">
      <c r="A1101" s="22">
        <f ca="1">IFERROR(__xludf.DUMMYFUNCTION("""COMPUTED_VALUE"""),45273)</f>
        <v>45273</v>
      </c>
      <c r="B1101" s="23" t="str">
        <f ca="1">IFERROR(__xludf.DUMMYFUNCTION("""COMPUTED_VALUE"""),"ŚCIANKA PRYSZNICOWA AERO GOLD BRUSH 90")</f>
        <v>ŚCIANKA PRYSZNICOWA AERO GOLD BRUSH 90</v>
      </c>
      <c r="C1101" s="23"/>
      <c r="D1101" s="24">
        <f ca="1">IFERROR(__xludf.DUMMYFUNCTION("""COMPUTED_VALUE"""),959)</f>
        <v>959</v>
      </c>
      <c r="E1101" s="25" t="str">
        <f ca="1">IFERROR(__xludf.DUMMYFUNCTION("""COMPUTED_VALUE"""),"REA-K4700")</f>
        <v>REA-K4700</v>
      </c>
    </row>
    <row r="1102" spans="1:5" x14ac:dyDescent="0.2">
      <c r="A1102" s="22">
        <f ca="1">IFERROR(__xludf.DUMMYFUNCTION("""COMPUTED_VALUE"""),45273)</f>
        <v>45273</v>
      </c>
      <c r="B1102" s="23" t="str">
        <f ca="1">IFERROR(__xludf.DUMMYFUNCTION("""COMPUTED_VALUE"""),"KABINA FOLD N2 80*80 TRANSP")</f>
        <v>KABINA FOLD N2 80*80 TRANSP</v>
      </c>
      <c r="C1102" s="23"/>
      <c r="D1102" s="24">
        <f ca="1">IFERROR(__xludf.DUMMYFUNCTION("""COMPUTED_VALUE"""),1499)</f>
        <v>1499</v>
      </c>
      <c r="E1102" s="25" t="str">
        <f ca="1">IFERROR(__xludf.DUMMYFUNCTION("""COMPUTED_VALUE"""),"REA-K9990")</f>
        <v>REA-K9990</v>
      </c>
    </row>
    <row r="1103" spans="1:5" x14ac:dyDescent="0.2">
      <c r="A1103" s="22">
        <f ca="1">IFERROR(__xludf.DUMMYFUNCTION("""COMPUTED_VALUE"""),45273)</f>
        <v>45273</v>
      </c>
      <c r="B1103" s="23" t="str">
        <f ca="1">IFERROR(__xludf.DUMMYFUNCTION("""COMPUTED_VALUE"""),"ŚCIANKA PRYSZNICOWA CORTIS 100")</f>
        <v>ŚCIANKA PRYSZNICOWA CORTIS 100</v>
      </c>
      <c r="C1103" s="23"/>
      <c r="D1103" s="24">
        <f ca="1">IFERROR(__xludf.DUMMYFUNCTION("""COMPUTED_VALUE"""),1029)</f>
        <v>1029</v>
      </c>
      <c r="E1103" s="25" t="str">
        <f ca="1">IFERROR(__xludf.DUMMYFUNCTION("""COMPUTED_VALUE"""),"REA-K7210")</f>
        <v>REA-K7210</v>
      </c>
    </row>
    <row r="1104" spans="1:5" x14ac:dyDescent="0.2">
      <c r="A1104" s="22">
        <f ca="1">IFERROR(__xludf.DUMMYFUNCTION("""COMPUTED_VALUE"""),45273)</f>
        <v>45273</v>
      </c>
      <c r="B1104" s="23" t="str">
        <f ca="1">IFERROR(__xludf.DUMMYFUNCTION("""COMPUTED_VALUE"""),"ŚCIANKA PRYSZNICOWA CORTIS 120")</f>
        <v>ŚCIANKA PRYSZNICOWA CORTIS 120</v>
      </c>
      <c r="C1104" s="23"/>
      <c r="D1104" s="24">
        <f ca="1">IFERROR(__xludf.DUMMYFUNCTION("""COMPUTED_VALUE"""),1099)</f>
        <v>1099</v>
      </c>
      <c r="E1104" s="25" t="str">
        <f ca="1">IFERROR(__xludf.DUMMYFUNCTION("""COMPUTED_VALUE"""),"REA-K7211")</f>
        <v>REA-K7211</v>
      </c>
    </row>
    <row r="1105" spans="1:5" x14ac:dyDescent="0.2">
      <c r="A1105" s="22">
        <f ca="1">IFERROR(__xludf.DUMMYFUNCTION("""COMPUTED_VALUE"""),45273)</f>
        <v>45273</v>
      </c>
      <c r="B1105" s="23" t="str">
        <f ca="1">IFERROR(__xludf.DUMMYFUNCTION("""COMPUTED_VALUE"""),"ZESTAW NATRYSKOWY VINTAGE OLD BLACK")</f>
        <v>ZESTAW NATRYSKOWY VINTAGE OLD BLACK</v>
      </c>
      <c r="C1105" s="23"/>
      <c r="D1105" s="24">
        <f ca="1">IFERROR(__xludf.DUMMYFUNCTION("""COMPUTED_VALUE"""),1299)</f>
        <v>1299</v>
      </c>
      <c r="E1105" s="25" t="str">
        <f ca="1">IFERROR(__xludf.DUMMYFUNCTION("""COMPUTED_VALUE"""),"REA-P2367")</f>
        <v>REA-P2367</v>
      </c>
    </row>
    <row r="1106" spans="1:5" x14ac:dyDescent="0.2">
      <c r="A1106" s="22">
        <f ca="1">IFERROR(__xludf.DUMMYFUNCTION("""COMPUTED_VALUE"""),45273)</f>
        <v>45273</v>
      </c>
      <c r="B1106" s="23" t="str">
        <f ca="1">IFERROR(__xludf.DUMMYFUNCTION("""COMPUTED_VALUE"""),"ZESTAW NATRYSKOWY VINCENT CZARNY TERMOSTAT")</f>
        <v>ZESTAW NATRYSKOWY VINCENT CZARNY TERMOSTAT</v>
      </c>
      <c r="C1106" s="23"/>
      <c r="D1106" s="24">
        <f ca="1">IFERROR(__xludf.DUMMYFUNCTION("""COMPUTED_VALUE"""),799)</f>
        <v>799</v>
      </c>
      <c r="E1106" s="25" t="str">
        <f ca="1">IFERROR(__xludf.DUMMYFUNCTION("""COMPUTED_VALUE"""),"REA-P6600")</f>
        <v>REA-P6600</v>
      </c>
    </row>
    <row r="1107" spans="1:5" x14ac:dyDescent="0.2">
      <c r="A1107" s="22">
        <f ca="1">IFERROR(__xludf.DUMMYFUNCTION("""COMPUTED_VALUE"""),45273)</f>
        <v>45273</v>
      </c>
      <c r="B1107" s="23" t="str">
        <f ca="1">IFERROR(__xludf.DUMMYFUNCTION("""COMPUTED_VALUE"""),"SYFON KLIK-KLAK UNIWERSALNY L.GOLD")</f>
        <v>SYFON KLIK-KLAK UNIWERSALNY L.GOLD</v>
      </c>
      <c r="C1107" s="23"/>
      <c r="D1107" s="24">
        <f ca="1">IFERROR(__xludf.DUMMYFUNCTION("""COMPUTED_VALUE"""),279)</f>
        <v>279</v>
      </c>
      <c r="E1107" s="25" t="str">
        <f ca="1">IFERROR(__xludf.DUMMYFUNCTION("""COMPUTED_VALUE"""),"REA-A5692")</f>
        <v>REA-A5692</v>
      </c>
    </row>
    <row r="1108" spans="1:5" x14ac:dyDescent="0.2">
      <c r="A1108" s="22">
        <f ca="1">IFERROR(__xludf.DUMMYFUNCTION("""COMPUTED_VALUE"""),45273)</f>
        <v>45273</v>
      </c>
      <c r="B1108" s="23" t="str">
        <f ca="1">IFERROR(__xludf.DUMMYFUNCTION("""COMPUTED_VALUE"""),"SYFON KLIK-KLAK UNIWERSALNY WHITE")</f>
        <v>SYFON KLIK-KLAK UNIWERSALNY WHITE</v>
      </c>
      <c r="C1108" s="23"/>
      <c r="D1108" s="24">
        <f ca="1">IFERROR(__xludf.DUMMYFUNCTION("""COMPUTED_VALUE"""),239)</f>
        <v>239</v>
      </c>
      <c r="E1108" s="25" t="str">
        <f ca="1">IFERROR(__xludf.DUMMYFUNCTION("""COMPUTED_VALUE"""),"REA-A6952")</f>
        <v>REA-A6952</v>
      </c>
    </row>
    <row r="1109" spans="1:5" x14ac:dyDescent="0.2">
      <c r="A1109" s="22">
        <f ca="1">IFERROR(__xludf.DUMMYFUNCTION("""COMPUTED_VALUE"""),45273)</f>
        <v>45273</v>
      </c>
      <c r="B1109" s="23" t="str">
        <f ca="1">IFERROR(__xludf.DUMMYFUNCTION("""COMPUTED_VALUE"""),"BATERIA UMYWALKOWA LUNGO WHITE WYSOKA")</f>
        <v>BATERIA UMYWALKOWA LUNGO WHITE WYSOKA</v>
      </c>
      <c r="C1109" s="23"/>
      <c r="D1109" s="24">
        <f ca="1">IFERROR(__xludf.DUMMYFUNCTION("""COMPUTED_VALUE"""),249)</f>
        <v>249</v>
      </c>
      <c r="E1109" s="25" t="str">
        <f ca="1">IFERROR(__xludf.DUMMYFUNCTION("""COMPUTED_VALUE"""),"REA-B4400")</f>
        <v>REA-B4400</v>
      </c>
    </row>
    <row r="1110" spans="1:5" x14ac:dyDescent="0.2">
      <c r="A1110" s="22">
        <f ca="1">IFERROR(__xludf.DUMMYFUNCTION("""COMPUTED_VALUE"""),45273)</f>
        <v>45273</v>
      </c>
      <c r="B1110" s="23" t="str">
        <f ca="1">IFERROR(__xludf.DUMMYFUNCTION("""COMPUTED_VALUE"""),"BATERIA UMYWALKOWA LUNGO WHITE NISKA")</f>
        <v>BATERIA UMYWALKOWA LUNGO WHITE NISKA</v>
      </c>
      <c r="C1110" s="23"/>
      <c r="D1110" s="24">
        <f ca="1">IFERROR(__xludf.DUMMYFUNCTION("""COMPUTED_VALUE"""),229)</f>
        <v>229</v>
      </c>
      <c r="E1110" s="25" t="str">
        <f ca="1">IFERROR(__xludf.DUMMYFUNCTION("""COMPUTED_VALUE"""),"REA-B4401")</f>
        <v>REA-B4401</v>
      </c>
    </row>
    <row r="1111" spans="1:5" x14ac:dyDescent="0.2">
      <c r="A1111" s="22">
        <f ca="1">IFERROR(__xludf.DUMMYFUNCTION("""COMPUTED_VALUE"""),45273)</f>
        <v>45273</v>
      </c>
      <c r="B1111" s="23" t="str">
        <f ca="1">IFERROR(__xludf.DUMMYFUNCTION("""COMPUTED_VALUE"""),"UMYWALKA AMELIA WOOD MATT - NABLATOWA")</f>
        <v>UMYWALKA AMELIA WOOD MATT - NABLATOWA</v>
      </c>
      <c r="C1111" s="23"/>
      <c r="D1111" s="24">
        <f ca="1">IFERROR(__xludf.DUMMYFUNCTION("""COMPUTED_VALUE"""),369)</f>
        <v>369</v>
      </c>
      <c r="E1111" s="25" t="str">
        <f ca="1">IFERROR(__xludf.DUMMYFUNCTION("""COMPUTED_VALUE"""),"REA-U5060")</f>
        <v>REA-U5060</v>
      </c>
    </row>
    <row r="1112" spans="1:5" x14ac:dyDescent="0.2">
      <c r="A1112" s="22">
        <f ca="1">IFERROR(__xludf.DUMMYFUNCTION("""COMPUTED_VALUE"""),45273)</f>
        <v>45273</v>
      </c>
      <c r="B1112" s="23" t="str">
        <f ca="1">IFERROR(__xludf.DUMMYFUNCTION("""COMPUTED_VALUE"""),"UMYWALKA NADIA GOLD EDGE - NABLATOWA")</f>
        <v>UMYWALKA NADIA GOLD EDGE - NABLATOWA</v>
      </c>
      <c r="C1112" s="23"/>
      <c r="D1112" s="24">
        <f ca="1">IFERROR(__xludf.DUMMYFUNCTION("""COMPUTED_VALUE"""),499)</f>
        <v>499</v>
      </c>
      <c r="E1112" s="25" t="str">
        <f ca="1">IFERROR(__xludf.DUMMYFUNCTION("""COMPUTED_VALUE"""),"REA-U1063")</f>
        <v>REA-U1063</v>
      </c>
    </row>
    <row r="1113" spans="1:5" x14ac:dyDescent="0.2">
      <c r="A1113" s="22">
        <f ca="1">IFERROR(__xludf.DUMMYFUNCTION("""COMPUTED_VALUE"""),45266)</f>
        <v>45266</v>
      </c>
      <c r="B1113" s="23" t="str">
        <f ca="1">IFERROR(__xludf.DUMMYFUNCTION("""COMPUTED_VALUE"""),"UMYWALKA CLEO 61 WHITE MATT - NABLATOWA")</f>
        <v>UMYWALKA CLEO 61 WHITE MATT - NABLATOWA</v>
      </c>
      <c r="C1113" s="23"/>
      <c r="D1113" s="24">
        <f ca="1">IFERROR(__xludf.DUMMYFUNCTION("""COMPUTED_VALUE"""),439)</f>
        <v>439</v>
      </c>
      <c r="E1113" s="25" t="str">
        <f ca="1">IFERROR(__xludf.DUMMYFUNCTION("""COMPUTED_VALUE"""),"REA-U9653")</f>
        <v>REA-U9653</v>
      </c>
    </row>
    <row r="1114" spans="1:5" x14ac:dyDescent="0.2">
      <c r="A1114" s="22">
        <f ca="1">IFERROR(__xludf.DUMMYFUNCTION("""COMPUTED_VALUE"""),45266)</f>
        <v>45266</v>
      </c>
      <c r="B1114" s="23" t="str">
        <f ca="1">IFERROR(__xludf.DUMMYFUNCTION("""COMPUTED_VALUE"""),"UMYWALKA CLEO 61 BEIGE MATT - NABLATOWA")</f>
        <v>UMYWALKA CLEO 61 BEIGE MATT - NABLATOWA</v>
      </c>
      <c r="C1114" s="23"/>
      <c r="D1114" s="24">
        <f ca="1">IFERROR(__xludf.DUMMYFUNCTION("""COMPUTED_VALUE"""),499)</f>
        <v>499</v>
      </c>
      <c r="E1114" s="25" t="str">
        <f ca="1">IFERROR(__xludf.DUMMYFUNCTION("""COMPUTED_VALUE"""),"REA-U9655")</f>
        <v>REA-U9655</v>
      </c>
    </row>
    <row r="1115" spans="1:5" x14ac:dyDescent="0.2">
      <c r="A1115" s="22">
        <f ca="1">IFERROR(__xludf.DUMMYFUNCTION("""COMPUTED_VALUE"""),45266)</f>
        <v>45266</v>
      </c>
      <c r="B1115" s="23" t="str">
        <f ca="1">IFERROR(__xludf.DUMMYFUNCTION("""COMPUTED_VALUE"""),"UMYWALKA NADIA 60 BEIGE MATT - NABLATOWA")</f>
        <v>UMYWALKA NADIA 60 BEIGE MATT - NABLATOWA</v>
      </c>
      <c r="C1115" s="23"/>
      <c r="D1115" s="24">
        <f ca="1">IFERROR(__xludf.DUMMYFUNCTION("""COMPUTED_VALUE"""),599)</f>
        <v>599</v>
      </c>
      <c r="E1115" s="25" t="str">
        <f ca="1">IFERROR(__xludf.DUMMYFUNCTION("""COMPUTED_VALUE"""),"REA-U9661")</f>
        <v>REA-U9661</v>
      </c>
    </row>
    <row r="1116" spans="1:5" x14ac:dyDescent="0.2">
      <c r="A1116" s="22">
        <f ca="1">IFERROR(__xludf.DUMMYFUNCTION("""COMPUTED_VALUE"""),45266)</f>
        <v>45266</v>
      </c>
      <c r="B1116" s="23" t="str">
        <f ca="1">IFERROR(__xludf.DUMMYFUNCTION("""COMPUTED_VALUE"""),"UMYWALKA NADIA 60 WHITE MATT - NABLATOWA")</f>
        <v>UMYWALKA NADIA 60 WHITE MATT - NABLATOWA</v>
      </c>
      <c r="C1116" s="23"/>
      <c r="D1116" s="24">
        <f ca="1">IFERROR(__xludf.DUMMYFUNCTION("""COMPUTED_VALUE"""),489)</f>
        <v>489</v>
      </c>
      <c r="E1116" s="25" t="str">
        <f ca="1">IFERROR(__xludf.DUMMYFUNCTION("""COMPUTED_VALUE"""),"REA-U9657")</f>
        <v>REA-U9657</v>
      </c>
    </row>
    <row r="1117" spans="1:5" x14ac:dyDescent="0.2">
      <c r="A1117" s="22">
        <f ca="1">IFERROR(__xludf.DUMMYFUNCTION("""COMPUTED_VALUE"""),45266)</f>
        <v>45266</v>
      </c>
      <c r="B1117" s="23" t="str">
        <f ca="1">IFERROR(__xludf.DUMMYFUNCTION("""COMPUTED_VALUE"""),"BATERIA UMYWALKOWA AVALON TYTAN NISKA")</f>
        <v>BATERIA UMYWALKOWA AVALON TYTAN NISKA</v>
      </c>
      <c r="C1117" s="23"/>
      <c r="D1117" s="24">
        <f ca="1">IFERROR(__xludf.DUMMYFUNCTION("""COMPUTED_VALUE"""),299)</f>
        <v>299</v>
      </c>
      <c r="E1117" s="25" t="str">
        <f ca="1">IFERROR(__xludf.DUMMYFUNCTION("""COMPUTED_VALUE"""),"REA-B2702")</f>
        <v>REA-B2702</v>
      </c>
    </row>
    <row r="1118" spans="1:5" x14ac:dyDescent="0.2">
      <c r="A1118" s="22">
        <f ca="1">IFERROR(__xludf.DUMMYFUNCTION("""COMPUTED_VALUE"""),45266)</f>
        <v>45266</v>
      </c>
      <c r="B1118" s="23" t="str">
        <f ca="1">IFERROR(__xludf.DUMMYFUNCTION("""COMPUTED_VALUE"""),"BATERIA UMYWALKOWA AVALON ZŁOTA SZCZOTKOWANA NISKA")</f>
        <v>BATERIA UMYWALKOWA AVALON ZŁOTA SZCZOTKOWANA NISKA</v>
      </c>
      <c r="C1118" s="23"/>
      <c r="D1118" s="24">
        <f ca="1">IFERROR(__xludf.DUMMYFUNCTION("""COMPUTED_VALUE"""),319)</f>
        <v>319</v>
      </c>
      <c r="E1118" s="25" t="str">
        <f ca="1">IFERROR(__xludf.DUMMYFUNCTION("""COMPUTED_VALUE"""),"REA-B2703")</f>
        <v>REA-B2703</v>
      </c>
    </row>
    <row r="1119" spans="1:5" x14ac:dyDescent="0.2">
      <c r="A1119" s="22">
        <f ca="1">IFERROR(__xludf.DUMMYFUNCTION("""COMPUTED_VALUE"""),45266)</f>
        <v>45266</v>
      </c>
      <c r="B1119" s="23" t="str">
        <f ca="1">IFERROR(__xludf.DUMMYFUNCTION("""COMPUTED_VALUE"""),"BATERIA BIDETOWA AVALON TYTAN")</f>
        <v>BATERIA BIDETOWA AVALON TYTAN</v>
      </c>
      <c r="C1119" s="23"/>
      <c r="D1119" s="24">
        <f ca="1">IFERROR(__xludf.DUMMYFUNCTION("""COMPUTED_VALUE"""),279)</f>
        <v>279</v>
      </c>
      <c r="E1119" s="25" t="str">
        <f ca="1">IFERROR(__xludf.DUMMYFUNCTION("""COMPUTED_VALUE"""),"REA-B2700")</f>
        <v>REA-B2700</v>
      </c>
    </row>
    <row r="1120" spans="1:5" x14ac:dyDescent="0.2">
      <c r="A1120" s="22">
        <f ca="1">IFERROR(__xludf.DUMMYFUNCTION("""COMPUTED_VALUE"""),45266)</f>
        <v>45266</v>
      </c>
      <c r="B1120" s="23" t="str">
        <f ca="1">IFERROR(__xludf.DUMMYFUNCTION("""COMPUTED_VALUE"""),"BATERIA BIDETOWA AVALON ZŁOTA SZCZOTKOWANA")</f>
        <v>BATERIA BIDETOWA AVALON ZŁOTA SZCZOTKOWANA</v>
      </c>
      <c r="C1120" s="23"/>
      <c r="D1120" s="24">
        <f ca="1">IFERROR(__xludf.DUMMYFUNCTION("""COMPUTED_VALUE"""),279)</f>
        <v>279</v>
      </c>
      <c r="E1120" s="25" t="str">
        <f ca="1">IFERROR(__xludf.DUMMYFUNCTION("""COMPUTED_VALUE"""),"REA-B2701")</f>
        <v>REA-B2701</v>
      </c>
    </row>
    <row r="1121" spans="1:5" x14ac:dyDescent="0.2">
      <c r="A1121" s="22">
        <f ca="1">IFERROR(__xludf.DUMMYFUNCTION("""COMPUTED_VALUE"""),45266)</f>
        <v>45266</v>
      </c>
      <c r="B1121" s="23" t="str">
        <f ca="1">IFERROR(__xludf.DUMMYFUNCTION("""COMPUTED_VALUE"""),"BATERIA UMYWALKOWA AVALON TYTAN WYSOKA")</f>
        <v>BATERIA UMYWALKOWA AVALON TYTAN WYSOKA</v>
      </c>
      <c r="C1121" s="23"/>
      <c r="D1121" s="24">
        <f ca="1">IFERROR(__xludf.DUMMYFUNCTION("""COMPUTED_VALUE"""),419)</f>
        <v>419</v>
      </c>
      <c r="E1121" s="25" t="str">
        <f ca="1">IFERROR(__xludf.DUMMYFUNCTION("""COMPUTED_VALUE"""),"REA-B2704")</f>
        <v>REA-B2704</v>
      </c>
    </row>
    <row r="1122" spans="1:5" x14ac:dyDescent="0.2">
      <c r="A1122" s="22">
        <f ca="1">IFERROR(__xludf.DUMMYFUNCTION("""COMPUTED_VALUE"""),45266)</f>
        <v>45266</v>
      </c>
      <c r="B1122" s="23" t="str">
        <f ca="1">IFERROR(__xludf.DUMMYFUNCTION("""COMPUTED_VALUE"""),"BATERIA UMYWALKOWA AVALON ZŁOTA SZCZOTKOWANA WYSOK")</f>
        <v>BATERIA UMYWALKOWA AVALON ZŁOTA SZCZOTKOWANA WYSOK</v>
      </c>
      <c r="C1122" s="23"/>
      <c r="D1122" s="24">
        <f ca="1">IFERROR(__xludf.DUMMYFUNCTION("""COMPUTED_VALUE"""),399)</f>
        <v>399</v>
      </c>
      <c r="E1122" s="25" t="str">
        <f ca="1">IFERROR(__xludf.DUMMYFUNCTION("""COMPUTED_VALUE"""),"REA-B2705")</f>
        <v>REA-B2705</v>
      </c>
    </row>
    <row r="1123" spans="1:5" x14ac:dyDescent="0.2">
      <c r="A1123" s="22">
        <f ca="1">IFERROR(__xludf.DUMMYFUNCTION("""COMPUTED_VALUE"""),45266)</f>
        <v>45266</v>
      </c>
      <c r="B1123" s="23" t="str">
        <f ca="1">IFERROR(__xludf.DUMMYFUNCTION("""COMPUTED_VALUE"""),"BATERIA WANNOWA AVALON TYTAN")</f>
        <v>BATERIA WANNOWA AVALON TYTAN</v>
      </c>
      <c r="C1123" s="23"/>
      <c r="D1123" s="24">
        <f ca="1">IFERROR(__xludf.DUMMYFUNCTION("""COMPUTED_VALUE"""),429)</f>
        <v>429</v>
      </c>
      <c r="E1123" s="25" t="str">
        <f ca="1">IFERROR(__xludf.DUMMYFUNCTION("""COMPUTED_VALUE"""),"REA-B2706")</f>
        <v>REA-B2706</v>
      </c>
    </row>
    <row r="1124" spans="1:5" x14ac:dyDescent="0.2">
      <c r="A1124" s="22">
        <f ca="1">IFERROR(__xludf.DUMMYFUNCTION("""COMPUTED_VALUE"""),45266)</f>
        <v>45266</v>
      </c>
      <c r="B1124" s="23" t="str">
        <f ca="1">IFERROR(__xludf.DUMMYFUNCTION("""COMPUTED_VALUE"""),"BATERIA WANNOWA AVALON ZŁOTA SZCZOTKOWANA")</f>
        <v>BATERIA WANNOWA AVALON ZŁOTA SZCZOTKOWANA</v>
      </c>
      <c r="C1124" s="23"/>
      <c r="D1124" s="24">
        <f ca="1">IFERROR(__xludf.DUMMYFUNCTION("""COMPUTED_VALUE"""),419)</f>
        <v>419</v>
      </c>
      <c r="E1124" s="25" t="str">
        <f ca="1">IFERROR(__xludf.DUMMYFUNCTION("""COMPUTED_VALUE"""),"REA-B2707")</f>
        <v>REA-B2707</v>
      </c>
    </row>
    <row r="1125" spans="1:5" x14ac:dyDescent="0.2">
      <c r="A1125" s="22">
        <f ca="1">IFERROR(__xludf.DUMMYFUNCTION("""COMPUTED_VALUE"""),45266)</f>
        <v>45266</v>
      </c>
      <c r="B1125" s="23" t="str">
        <f ca="1">IFERROR(__xludf.DUMMYFUNCTION("""COMPUTED_VALUE"""),"ZESTAW NATRYSKOWY AVALON TYTAN")</f>
        <v>ZESTAW NATRYSKOWY AVALON TYTAN</v>
      </c>
      <c r="C1125" s="23"/>
      <c r="D1125" s="24">
        <f ca="1">IFERROR(__xludf.DUMMYFUNCTION("""COMPUTED_VALUE"""),989)</f>
        <v>989</v>
      </c>
      <c r="E1125" s="25" t="str">
        <f ca="1">IFERROR(__xludf.DUMMYFUNCTION("""COMPUTED_VALUE"""),"REA-P2401")</f>
        <v>REA-P2401</v>
      </c>
    </row>
    <row r="1126" spans="1:5" x14ac:dyDescent="0.2">
      <c r="A1126" s="22">
        <f ca="1">IFERROR(__xludf.DUMMYFUNCTION("""COMPUTED_VALUE"""),45266)</f>
        <v>45266</v>
      </c>
      <c r="B1126" s="23" t="str">
        <f ca="1">IFERROR(__xludf.DUMMYFUNCTION("""COMPUTED_VALUE"""),"ZESTAW NATRYSKOWY AVALON ZŁOTY SZCZOTKOWANY")</f>
        <v>ZESTAW NATRYSKOWY AVALON ZŁOTY SZCZOTKOWANY</v>
      </c>
      <c r="C1126" s="23"/>
      <c r="D1126" s="24">
        <f ca="1">IFERROR(__xludf.DUMMYFUNCTION("""COMPUTED_VALUE"""),999)</f>
        <v>999</v>
      </c>
      <c r="E1126" s="25" t="str">
        <f ca="1">IFERROR(__xludf.DUMMYFUNCTION("""COMPUTED_VALUE"""),"REA-P2400")</f>
        <v>REA-P2400</v>
      </c>
    </row>
    <row r="1127" spans="1:5" x14ac:dyDescent="0.2">
      <c r="A1127" s="22">
        <f ca="1">IFERROR(__xludf.DUMMYFUNCTION("""COMPUTED_VALUE"""),45266)</f>
        <v>45266</v>
      </c>
      <c r="B1127" s="23" t="str">
        <f ca="1">IFERROR(__xludf.DUMMYFUNCTION("""COMPUTED_VALUE"""),"ZESTAW NATRYSKOWY PODTYNKOWY MOBY CHROM + BOX")</f>
        <v>ZESTAW NATRYSKOWY PODTYNKOWY MOBY CHROM + BOX</v>
      </c>
      <c r="C1127" s="23"/>
      <c r="D1127" s="24">
        <f ca="1">IFERROR(__xludf.DUMMYFUNCTION("""COMPUTED_VALUE"""),529)</f>
        <v>529</v>
      </c>
      <c r="E1127" s="25" t="str">
        <f ca="1">IFERROR(__xludf.DUMMYFUNCTION("""COMPUTED_VALUE"""),"REA-P2404")</f>
        <v>REA-P2404</v>
      </c>
    </row>
    <row r="1128" spans="1:5" x14ac:dyDescent="0.2">
      <c r="A1128" s="22">
        <f ca="1">IFERROR(__xludf.DUMMYFUNCTION("""COMPUTED_VALUE"""),45266)</f>
        <v>45266</v>
      </c>
      <c r="B1128" s="23" t="str">
        <f ca="1">IFERROR(__xludf.DUMMYFUNCTION("""COMPUTED_VALUE"""),"ZESTAW NATRYSKOWY PODTYNKOWY MOBY CZARNY + BOX")</f>
        <v>ZESTAW NATRYSKOWY PODTYNKOWY MOBY CZARNY + BOX</v>
      </c>
      <c r="C1128" s="23"/>
      <c r="D1128" s="24">
        <f ca="1">IFERROR(__xludf.DUMMYFUNCTION("""COMPUTED_VALUE"""),559)</f>
        <v>559</v>
      </c>
      <c r="E1128" s="25" t="str">
        <f ca="1">IFERROR(__xludf.DUMMYFUNCTION("""COMPUTED_VALUE"""),"REA-P2402")</f>
        <v>REA-P2402</v>
      </c>
    </row>
    <row r="1129" spans="1:5" x14ac:dyDescent="0.2">
      <c r="A1129" s="22">
        <f ca="1">IFERROR(__xludf.DUMMYFUNCTION("""COMPUTED_VALUE"""),45266)</f>
        <v>45266</v>
      </c>
      <c r="B1129" s="23" t="str">
        <f ca="1">IFERROR(__xludf.DUMMYFUNCTION("""COMPUTED_VALUE"""),"ZESTAW NATRY PODTYNK MOBY ZŁOTY SZCZOTKOWANY+ BOX")</f>
        <v>ZESTAW NATRY PODTYNK MOBY ZŁOTY SZCZOTKOWANY+ BOX</v>
      </c>
      <c r="C1129" s="23"/>
      <c r="D1129" s="24">
        <f ca="1">IFERROR(__xludf.DUMMYFUNCTION("""COMPUTED_VALUE"""),699)</f>
        <v>699</v>
      </c>
      <c r="E1129" s="25" t="str">
        <f ca="1">IFERROR(__xludf.DUMMYFUNCTION("""COMPUTED_VALUE"""),"REA-P2403")</f>
        <v>REA-P2403</v>
      </c>
    </row>
    <row r="1130" spans="1:5" x14ac:dyDescent="0.2">
      <c r="A1130" s="22">
        <f ca="1">IFERROR(__xludf.DUMMYFUNCTION("""COMPUTED_VALUE"""),45266)</f>
        <v>45266</v>
      </c>
      <c r="B1130" s="23" t="str">
        <f ca="1">IFERROR(__xludf.DUMMYFUNCTION("""COMPUTED_VALUE"""),"ZESTAW NATRYSKOWY PODTYNKOWY MOBY ZŁOTY + BOX")</f>
        <v>ZESTAW NATRYSKOWY PODTYNKOWY MOBY ZŁOTY + BOX</v>
      </c>
      <c r="C1130" s="23"/>
      <c r="D1130" s="24">
        <f ca="1">IFERROR(__xludf.DUMMYFUNCTION("""COMPUTED_VALUE"""),689)</f>
        <v>689</v>
      </c>
      <c r="E1130" s="25" t="str">
        <f ca="1">IFERROR(__xludf.DUMMYFUNCTION("""COMPUTED_VALUE"""),"REA-P2405")</f>
        <v>REA-P2405</v>
      </c>
    </row>
    <row r="1131" spans="1:5" x14ac:dyDescent="0.2">
      <c r="A1131" s="22">
        <f ca="1">IFERROR(__xludf.DUMMYFUNCTION("""COMPUTED_VALUE"""),45266)</f>
        <v>45266</v>
      </c>
      <c r="B1131" s="23" t="str">
        <f ca="1">IFERROR(__xludf.DUMMYFUNCTION("""COMPUTED_VALUE"""),"BATERIA UMYWALKOWA MELIA BIAŁA/ZŁOTA NISKA")</f>
        <v>BATERIA UMYWALKOWA MELIA BIAŁA/ZŁOTA NISKA</v>
      </c>
      <c r="C1131" s="23"/>
      <c r="D1131" s="24">
        <f ca="1">IFERROR(__xludf.DUMMYFUNCTION("""COMPUTED_VALUE"""),269)</f>
        <v>269</v>
      </c>
      <c r="E1131" s="25" t="str">
        <f ca="1">IFERROR(__xludf.DUMMYFUNCTION("""COMPUTED_VALUE"""),"REA-B2708")</f>
        <v>REA-B2708</v>
      </c>
    </row>
    <row r="1132" spans="1:5" x14ac:dyDescent="0.2">
      <c r="A1132" s="22">
        <f ca="1">IFERROR(__xludf.DUMMYFUNCTION("""COMPUTED_VALUE"""),45266)</f>
        <v>45266</v>
      </c>
      <c r="B1132" s="23" t="str">
        <f ca="1">IFERROR(__xludf.DUMMYFUNCTION("""COMPUTED_VALUE"""),"BATERIA UMYWALKOWA MELIA BIAŁA/ZŁOTA WYSOKA")</f>
        <v>BATERIA UMYWALKOWA MELIA BIAŁA/ZŁOTA WYSOKA</v>
      </c>
      <c r="C1132" s="23"/>
      <c r="D1132" s="24">
        <f ca="1">IFERROR(__xludf.DUMMYFUNCTION("""COMPUTED_VALUE"""),379)</f>
        <v>379</v>
      </c>
      <c r="E1132" s="25" t="str">
        <f ca="1">IFERROR(__xludf.DUMMYFUNCTION("""COMPUTED_VALUE"""),"REA-B2709")</f>
        <v>REA-B2709</v>
      </c>
    </row>
    <row r="1133" spans="1:5" x14ac:dyDescent="0.2">
      <c r="A1133" s="22">
        <f ca="1">IFERROR(__xludf.DUMMYFUNCTION("""COMPUTED_VALUE"""),45266)</f>
        <v>45266</v>
      </c>
      <c r="B1133" s="23" t="str">
        <f ca="1">IFERROR(__xludf.DUMMYFUNCTION("""COMPUTED_VALUE"""),"BATERIA WANNOWA MELIA BIAŁA/ZŁOTA")</f>
        <v>BATERIA WANNOWA MELIA BIAŁA/ZŁOTA</v>
      </c>
      <c r="C1133" s="23"/>
      <c r="D1133" s="24">
        <f ca="1">IFERROR(__xludf.DUMMYFUNCTION("""COMPUTED_VALUE"""),449)</f>
        <v>449</v>
      </c>
      <c r="E1133" s="25" t="str">
        <f ca="1">IFERROR(__xludf.DUMMYFUNCTION("""COMPUTED_VALUE"""),"REA-B2710")</f>
        <v>REA-B2710</v>
      </c>
    </row>
    <row r="1134" spans="1:5" x14ac:dyDescent="0.2">
      <c r="A1134" s="22">
        <f ca="1">IFERROR(__xludf.DUMMYFUNCTION("""COMPUTED_VALUE"""),45266)</f>
        <v>45266</v>
      </c>
      <c r="B1134" s="23" t="str">
        <f ca="1">IFERROR(__xludf.DUMMYFUNCTION("""COMPUTED_VALUE"""),"ZESTAW NATRYSKOWY MELIA BIAŁY/ZŁOTY")</f>
        <v>ZESTAW NATRYSKOWY MELIA BIAŁY/ZŁOTY</v>
      </c>
      <c r="C1134" s="23"/>
      <c r="D1134" s="24">
        <f ca="1">IFERROR(__xludf.DUMMYFUNCTION("""COMPUTED_VALUE"""),889)</f>
        <v>889</v>
      </c>
      <c r="E1134" s="25" t="str">
        <f ca="1">IFERROR(__xludf.DUMMYFUNCTION("""COMPUTED_VALUE"""),"REA-P2406")</f>
        <v>REA-P2406</v>
      </c>
    </row>
    <row r="1135" spans="1:5" x14ac:dyDescent="0.2">
      <c r="A1135" s="22">
        <f ca="1">IFERROR(__xludf.DUMMYFUNCTION("""COMPUTED_VALUE"""),45266)</f>
        <v>45266</v>
      </c>
      <c r="B1135" s="23" t="str">
        <f ca="1">IFERROR(__xludf.DUMMYFUNCTION("""COMPUTED_VALUE"""),"ZESTAW NATRYSKOWY SALTON CHROM")</f>
        <v>ZESTAW NATRYSKOWY SALTON CHROM</v>
      </c>
      <c r="C1135" s="23"/>
      <c r="D1135" s="24">
        <f ca="1">IFERROR(__xludf.DUMMYFUNCTION("""COMPUTED_VALUE"""),499)</f>
        <v>499</v>
      </c>
      <c r="E1135" s="25" t="str">
        <f ca="1">IFERROR(__xludf.DUMMYFUNCTION("""COMPUTED_VALUE"""),"REA-P2408")</f>
        <v>REA-P2408</v>
      </c>
    </row>
    <row r="1136" spans="1:5" x14ac:dyDescent="0.2">
      <c r="A1136" s="22">
        <f ca="1">IFERROR(__xludf.DUMMYFUNCTION("""COMPUTED_VALUE"""),45266)</f>
        <v>45266</v>
      </c>
      <c r="B1136" s="23" t="str">
        <f ca="1">IFERROR(__xludf.DUMMYFUNCTION("""COMPUTED_VALUE"""),"ZESTAW NATRYSKOWY SALTON CZARNY")</f>
        <v>ZESTAW NATRYSKOWY SALTON CZARNY</v>
      </c>
      <c r="C1136" s="23"/>
      <c r="D1136" s="24">
        <f ca="1">IFERROR(__xludf.DUMMYFUNCTION("""COMPUTED_VALUE"""),459)</f>
        <v>459</v>
      </c>
      <c r="E1136" s="25" t="str">
        <f ca="1">IFERROR(__xludf.DUMMYFUNCTION("""COMPUTED_VALUE"""),"REA-P2409")</f>
        <v>REA-P2409</v>
      </c>
    </row>
    <row r="1137" spans="1:5" x14ac:dyDescent="0.2">
      <c r="A1137" s="22">
        <f ca="1">IFERROR(__xludf.DUMMYFUNCTION("""COMPUTED_VALUE"""),45266)</f>
        <v>45266</v>
      </c>
      <c r="B1137" s="23" t="str">
        <f ca="1">IFERROR(__xludf.DUMMYFUNCTION("""COMPUTED_VALUE"""),"ZESTAW NATRYSKOWY SALTON ZŁOTY")</f>
        <v>ZESTAW NATRYSKOWY SALTON ZŁOTY</v>
      </c>
      <c r="C1137" s="23"/>
      <c r="D1137" s="24">
        <f ca="1">IFERROR(__xludf.DUMMYFUNCTION("""COMPUTED_VALUE"""),589)</f>
        <v>589</v>
      </c>
      <c r="E1137" s="25" t="str">
        <f ca="1">IFERROR(__xludf.DUMMYFUNCTION("""COMPUTED_VALUE"""),"REA-P2407")</f>
        <v>REA-P2407</v>
      </c>
    </row>
    <row r="1138" spans="1:5" x14ac:dyDescent="0.2">
      <c r="A1138" s="22">
        <f ca="1">IFERROR(__xludf.DUMMYFUNCTION("""COMPUTED_VALUE"""),45266)</f>
        <v>45266</v>
      </c>
      <c r="B1138" s="23" t="str">
        <f ca="1">IFERROR(__xludf.DUMMYFUNCTION("""COMPUTED_VALUE"""),"ZESTAW NATRYSKOWY MAXIMUS CHROM")</f>
        <v>ZESTAW NATRYSKOWY MAXIMUS CHROM</v>
      </c>
      <c r="C1138" s="23"/>
      <c r="D1138" s="24">
        <f ca="1">IFERROR(__xludf.DUMMYFUNCTION("""COMPUTED_VALUE"""),499)</f>
        <v>499</v>
      </c>
      <c r="E1138" s="25" t="str">
        <f ca="1">IFERROR(__xludf.DUMMYFUNCTION("""COMPUTED_VALUE"""),"REA-P2411")</f>
        <v>REA-P2411</v>
      </c>
    </row>
    <row r="1139" spans="1:5" x14ac:dyDescent="0.2">
      <c r="A1139" s="22">
        <f ca="1">IFERROR(__xludf.DUMMYFUNCTION("""COMPUTED_VALUE"""),45266)</f>
        <v>45266</v>
      </c>
      <c r="B1139" s="23" t="str">
        <f ca="1">IFERROR(__xludf.DUMMYFUNCTION("""COMPUTED_VALUE"""),"ZESTAW NATRYSKOWY MAXIMUS CZARNY")</f>
        <v>ZESTAW NATRYSKOWY MAXIMUS CZARNY</v>
      </c>
      <c r="C1139" s="23"/>
      <c r="D1139" s="24">
        <f ca="1">IFERROR(__xludf.DUMMYFUNCTION("""COMPUTED_VALUE"""),539)</f>
        <v>539</v>
      </c>
      <c r="E1139" s="25" t="str">
        <f ca="1">IFERROR(__xludf.DUMMYFUNCTION("""COMPUTED_VALUE"""),"REA-P2412")</f>
        <v>REA-P2412</v>
      </c>
    </row>
    <row r="1140" spans="1:5" x14ac:dyDescent="0.2">
      <c r="A1140" s="22">
        <f ca="1">IFERROR(__xludf.DUMMYFUNCTION("""COMPUTED_VALUE"""),45266)</f>
        <v>45266</v>
      </c>
      <c r="B1140" s="23" t="str">
        <f ca="1">IFERROR(__xludf.DUMMYFUNCTION("""COMPUTED_VALUE"""),"ZESTAW NATRYSKOWY MAXIMUS ZŁOTY")</f>
        <v>ZESTAW NATRYSKOWY MAXIMUS ZŁOTY</v>
      </c>
      <c r="C1140" s="23"/>
      <c r="D1140" s="24">
        <f ca="1">IFERROR(__xludf.DUMMYFUNCTION("""COMPUTED_VALUE"""),649)</f>
        <v>649</v>
      </c>
      <c r="E1140" s="25" t="str">
        <f ca="1">IFERROR(__xludf.DUMMYFUNCTION("""COMPUTED_VALUE"""),"REA-P2410")</f>
        <v>REA-P2410</v>
      </c>
    </row>
    <row r="1141" spans="1:5" x14ac:dyDescent="0.2">
      <c r="A1141" s="22">
        <f ca="1">IFERROR(__xludf.DUMMYFUNCTION("""COMPUTED_VALUE"""),45266)</f>
        <v>45266</v>
      </c>
      <c r="B1141" s="23" t="str">
        <f ca="1">IFERROR(__xludf.DUMMYFUNCTION("""COMPUTED_VALUE"""),"BATERIA WANNOWA PODŁOGOWA FLORES CHROM")</f>
        <v>BATERIA WANNOWA PODŁOGOWA FLORES CHROM</v>
      </c>
      <c r="C1141" s="23"/>
      <c r="D1141" s="24">
        <f ca="1">IFERROR(__xludf.DUMMYFUNCTION("""COMPUTED_VALUE"""),999)</f>
        <v>999</v>
      </c>
      <c r="E1141" s="25" t="str">
        <f ca="1">IFERROR(__xludf.DUMMYFUNCTION("""COMPUTED_VALUE"""),"REA-B2712")</f>
        <v>REA-B2712</v>
      </c>
    </row>
    <row r="1142" spans="1:5" x14ac:dyDescent="0.2">
      <c r="A1142" s="22">
        <f ca="1">IFERROR(__xludf.DUMMYFUNCTION("""COMPUTED_VALUE"""),45266)</f>
        <v>45266</v>
      </c>
      <c r="B1142" s="23" t="str">
        <f ca="1">IFERROR(__xludf.DUMMYFUNCTION("""COMPUTED_VALUE"""),"BATERIA WANNOWA PODŁOGOWA FLORES CZARNA")</f>
        <v>BATERIA WANNOWA PODŁOGOWA FLORES CZARNA</v>
      </c>
      <c r="C1142" s="23"/>
      <c r="D1142" s="24">
        <f ca="1">IFERROR(__xludf.DUMMYFUNCTION("""COMPUTED_VALUE"""),959)</f>
        <v>959</v>
      </c>
      <c r="E1142" s="25" t="str">
        <f ca="1">IFERROR(__xludf.DUMMYFUNCTION("""COMPUTED_VALUE"""),"REA-B2711")</f>
        <v>REA-B2711</v>
      </c>
    </row>
    <row r="1143" spans="1:5" x14ac:dyDescent="0.2">
      <c r="A1143" s="22">
        <f ca="1">IFERROR(__xludf.DUMMYFUNCTION("""COMPUTED_VALUE"""),45266)</f>
        <v>45266</v>
      </c>
      <c r="B1143" s="23" t="str">
        <f ca="1">IFERROR(__xludf.DUMMYFUNCTION("""COMPUTED_VALUE"""),"BATERIA WANNOWA PODŁOGOWA FLORES ZŁOTA SZCZOTKOWAN")</f>
        <v>BATERIA WANNOWA PODŁOGOWA FLORES ZŁOTA SZCZOTKOWAN</v>
      </c>
      <c r="C1143" s="23"/>
      <c r="D1143" s="24">
        <f ca="1">IFERROR(__xludf.DUMMYFUNCTION("""COMPUTED_VALUE"""),1199)</f>
        <v>1199</v>
      </c>
      <c r="E1143" s="25" t="str">
        <f ca="1">IFERROR(__xludf.DUMMYFUNCTION("""COMPUTED_VALUE"""),"REA-B2713")</f>
        <v>REA-B2713</v>
      </c>
    </row>
    <row r="1144" spans="1:5" x14ac:dyDescent="0.2">
      <c r="A1144" s="22">
        <f ca="1">IFERROR(__xludf.DUMMYFUNCTION("""COMPUTED_VALUE"""),45266)</f>
        <v>45266</v>
      </c>
      <c r="B1144" s="23" t="str">
        <f ca="1">IFERROR(__xludf.DUMMYFUNCTION("""COMPUTED_VALUE"""),"BATERIA WANNOWA PODŁOGOWA MONO CHROM")</f>
        <v>BATERIA WANNOWA PODŁOGOWA MONO CHROM</v>
      </c>
      <c r="C1144" s="23"/>
      <c r="D1144" s="24">
        <f ca="1">IFERROR(__xludf.DUMMYFUNCTION("""COMPUTED_VALUE"""),859)</f>
        <v>859</v>
      </c>
      <c r="E1144" s="25" t="str">
        <f ca="1">IFERROR(__xludf.DUMMYFUNCTION("""COMPUTED_VALUE"""),"REA-B2715")</f>
        <v>REA-B2715</v>
      </c>
    </row>
    <row r="1145" spans="1:5" x14ac:dyDescent="0.2">
      <c r="A1145" s="22">
        <f ca="1">IFERROR(__xludf.DUMMYFUNCTION("""COMPUTED_VALUE"""),45266)</f>
        <v>45266</v>
      </c>
      <c r="B1145" s="23" t="str">
        <f ca="1">IFERROR(__xludf.DUMMYFUNCTION("""COMPUTED_VALUE"""),"BATERIA WANNOWA PODŁOGOWA MONO CZARNA")</f>
        <v>BATERIA WANNOWA PODŁOGOWA MONO CZARNA</v>
      </c>
      <c r="C1145" s="23"/>
      <c r="D1145" s="24">
        <f ca="1">IFERROR(__xludf.DUMMYFUNCTION("""COMPUTED_VALUE"""),859)</f>
        <v>859</v>
      </c>
      <c r="E1145" s="25" t="str">
        <f ca="1">IFERROR(__xludf.DUMMYFUNCTION("""COMPUTED_VALUE"""),"REA-B2714")</f>
        <v>REA-B2714</v>
      </c>
    </row>
    <row r="1146" spans="1:5" x14ac:dyDescent="0.2">
      <c r="A1146" s="22">
        <f ca="1">IFERROR(__xludf.DUMMYFUNCTION("""COMPUTED_VALUE"""),45266)</f>
        <v>45266</v>
      </c>
      <c r="B1146" s="23" t="str">
        <f ca="1">IFERROR(__xludf.DUMMYFUNCTION("""COMPUTED_VALUE"""),"BATERIA WANNOWA PODŁOGOWA MONO ZŁOTA SZCZOTKOWANA")</f>
        <v>BATERIA WANNOWA PODŁOGOWA MONO ZŁOTA SZCZOTKOWANA</v>
      </c>
      <c r="C1146" s="23"/>
      <c r="D1146" s="24">
        <f ca="1">IFERROR(__xludf.DUMMYFUNCTION("""COMPUTED_VALUE"""),999)</f>
        <v>999</v>
      </c>
      <c r="E1146" s="25" t="str">
        <f ca="1">IFERROR(__xludf.DUMMYFUNCTION("""COMPUTED_VALUE"""),"REA-B2716")</f>
        <v>REA-B2716</v>
      </c>
    </row>
    <row r="1147" spans="1:5" x14ac:dyDescent="0.2">
      <c r="A1147" s="22">
        <f ca="1">IFERROR(__xludf.DUMMYFUNCTION("""COMPUTED_VALUE"""),45266)</f>
        <v>45266</v>
      </c>
      <c r="B1147" s="23" t="str">
        <f ca="1">IFERROR(__xludf.DUMMYFUNCTION("""COMPUTED_VALUE"""),"BATERIA WANNOWA PODŁOGOWA ARAS CHROM")</f>
        <v>BATERIA WANNOWA PODŁOGOWA ARAS CHROM</v>
      </c>
      <c r="C1147" s="23"/>
      <c r="D1147" s="24">
        <f ca="1">IFERROR(__xludf.DUMMYFUNCTION("""COMPUTED_VALUE"""),899)</f>
        <v>899</v>
      </c>
      <c r="E1147" s="25" t="str">
        <f ca="1">IFERROR(__xludf.DUMMYFUNCTION("""COMPUTED_VALUE"""),"REA-B2718")</f>
        <v>REA-B2718</v>
      </c>
    </row>
    <row r="1148" spans="1:5" x14ac:dyDescent="0.2">
      <c r="A1148" s="22">
        <f ca="1">IFERROR(__xludf.DUMMYFUNCTION("""COMPUTED_VALUE"""),45266)</f>
        <v>45266</v>
      </c>
      <c r="B1148" s="23" t="str">
        <f ca="1">IFERROR(__xludf.DUMMYFUNCTION("""COMPUTED_VALUE"""),"BATERIA WANNOWA PODŁOGOWA ARAS CZARNA")</f>
        <v>BATERIA WANNOWA PODŁOGOWA ARAS CZARNA</v>
      </c>
      <c r="C1148" s="23"/>
      <c r="D1148" s="24">
        <f ca="1">IFERROR(__xludf.DUMMYFUNCTION("""COMPUTED_VALUE"""),959)</f>
        <v>959</v>
      </c>
      <c r="E1148" s="25" t="str">
        <f ca="1">IFERROR(__xludf.DUMMYFUNCTION("""COMPUTED_VALUE"""),"REA-B2717")</f>
        <v>REA-B2717</v>
      </c>
    </row>
    <row r="1149" spans="1:5" x14ac:dyDescent="0.2">
      <c r="A1149" s="22">
        <f ca="1">IFERROR(__xludf.DUMMYFUNCTION("""COMPUTED_VALUE"""),45266)</f>
        <v>45266</v>
      </c>
      <c r="B1149" s="23" t="str">
        <f ca="1">IFERROR(__xludf.DUMMYFUNCTION("""COMPUTED_VALUE"""),"BATERIA WANNOWA PODŁOGOWA ARAS ZŁOTA SZCZOTKOWANA")</f>
        <v>BATERIA WANNOWA PODŁOGOWA ARAS ZŁOTA SZCZOTKOWANA</v>
      </c>
      <c r="C1149" s="23"/>
      <c r="D1149" s="24">
        <f ca="1">IFERROR(__xludf.DUMMYFUNCTION("""COMPUTED_VALUE"""),1159)</f>
        <v>1159</v>
      </c>
      <c r="E1149" s="25" t="str">
        <f ca="1">IFERROR(__xludf.DUMMYFUNCTION("""COMPUTED_VALUE"""),"REA-B2719")</f>
        <v>REA-B2719</v>
      </c>
    </row>
    <row r="1150" spans="1:5" x14ac:dyDescent="0.2">
      <c r="A1150" s="22">
        <f ca="1">IFERROR(__xludf.DUMMYFUNCTION("""COMPUTED_VALUE"""),45266)</f>
        <v>45266</v>
      </c>
      <c r="B1150" s="23" t="str">
        <f ca="1">IFERROR(__xludf.DUMMYFUNCTION("""COMPUTED_VALUE"""),"UMYWALKA LISA - NABLATOWA")</f>
        <v>UMYWALKA LISA - NABLATOWA</v>
      </c>
      <c r="C1150" s="23"/>
      <c r="D1150" s="24">
        <f ca="1">IFERROR(__xludf.DUMMYFUNCTION("""COMPUTED_VALUE"""),229)</f>
        <v>229</v>
      </c>
      <c r="E1150" s="25" t="str">
        <f ca="1">IFERROR(__xludf.DUMMYFUNCTION("""COMPUTED_VALUE"""),"REA-U6022")</f>
        <v>REA-U6022</v>
      </c>
    </row>
    <row r="1151" spans="1:5" x14ac:dyDescent="0.2">
      <c r="A1151" s="22">
        <f ca="1">IFERROR(__xludf.DUMMYFUNCTION("""COMPUTED_VALUE"""),45266)</f>
        <v>45266</v>
      </c>
      <c r="B1151" s="23" t="str">
        <f ca="1">IFERROR(__xludf.DUMMYFUNCTION("""COMPUTED_VALUE"""),"WANNA MILANO 150")</f>
        <v>WANNA MILANO 150</v>
      </c>
      <c r="C1151" s="23"/>
      <c r="D1151" s="24">
        <f ca="1">IFERROR(__xludf.DUMMYFUNCTION("""COMPUTED_VALUE"""),3299)</f>
        <v>3299</v>
      </c>
      <c r="E1151" s="25" t="str">
        <f ca="1">IFERROR(__xludf.DUMMYFUNCTION("""COMPUTED_VALUE"""),"REA-W2000")</f>
        <v>REA-W2000</v>
      </c>
    </row>
    <row r="1152" spans="1:5" x14ac:dyDescent="0.2">
      <c r="A1152" s="22">
        <f ca="1">IFERROR(__xludf.DUMMYFUNCTION("""COMPUTED_VALUE"""),45266)</f>
        <v>45266</v>
      </c>
      <c r="B1152" s="23" t="str">
        <f ca="1">IFERROR(__xludf.DUMMYFUNCTION("""COMPUTED_VALUE"""),"UCHWYT PRYSZNICOWY 01 GOLD")</f>
        <v>UCHWYT PRYSZNICOWY 01 GOLD</v>
      </c>
      <c r="C1152" s="23"/>
      <c r="D1152" s="24">
        <f ca="1">IFERROR(__xludf.DUMMYFUNCTION("""COMPUTED_VALUE"""),99)</f>
        <v>99</v>
      </c>
      <c r="E1152" s="25" t="str">
        <f ca="1">IFERROR(__xludf.DUMMYFUNCTION("""COMPUTED_VALUE"""),"REA-P5981")</f>
        <v>REA-P5981</v>
      </c>
    </row>
    <row r="1153" spans="1:5" x14ac:dyDescent="0.2">
      <c r="A1153" s="22">
        <f ca="1">IFERROR(__xludf.DUMMYFUNCTION("""COMPUTED_VALUE"""),45266)</f>
        <v>45266</v>
      </c>
      <c r="B1153" s="23" t="str">
        <f ca="1">IFERROR(__xludf.DUMMYFUNCTION("""COMPUTED_VALUE"""),"BATERIA UMYWALKOWA LUNGO L.GOLD NISKA")</f>
        <v>BATERIA UMYWALKOWA LUNGO L.GOLD NISKA</v>
      </c>
      <c r="C1153" s="23"/>
      <c r="D1153" s="24">
        <f ca="1">IFERROR(__xludf.DUMMYFUNCTION("""COMPUTED_VALUE"""),249)</f>
        <v>249</v>
      </c>
      <c r="E1153" s="25" t="str">
        <f ca="1">IFERROR(__xludf.DUMMYFUNCTION("""COMPUTED_VALUE"""),"REA-B4520")</f>
        <v>REA-B4520</v>
      </c>
    </row>
    <row r="1154" spans="1:5" x14ac:dyDescent="0.2">
      <c r="A1154" s="22">
        <f ca="1">IFERROR(__xludf.DUMMYFUNCTION("""COMPUTED_VALUE"""),45266)</f>
        <v>45266</v>
      </c>
      <c r="B1154" s="23" t="str">
        <f ca="1">IFERROR(__xludf.DUMMYFUNCTION("""COMPUTED_VALUE"""),"BATERIA UMYWALKOWA LUNGO BLACK NISKA")</f>
        <v>BATERIA UMYWALKOWA LUNGO BLACK NISKA</v>
      </c>
      <c r="C1154" s="23"/>
      <c r="D1154" s="24">
        <f ca="1">IFERROR(__xludf.DUMMYFUNCTION("""COMPUTED_VALUE"""),229)</f>
        <v>229</v>
      </c>
      <c r="E1154" s="25" t="str">
        <f ca="1">IFERROR(__xludf.DUMMYFUNCTION("""COMPUTED_VALUE"""),"REA-B4102")</f>
        <v>REA-B4102</v>
      </c>
    </row>
    <row r="1155" spans="1:5" x14ac:dyDescent="0.2">
      <c r="A1155" s="22">
        <f ca="1">IFERROR(__xludf.DUMMYFUNCTION("""COMPUTED_VALUE"""),45266)</f>
        <v>45266</v>
      </c>
      <c r="B1155" s="23" t="str">
        <f ca="1">IFERROR(__xludf.DUMMYFUNCTION("""COMPUTED_VALUE"""),"ŚCIANKA PRYSZNICOWA AERO 100 GOLD")</f>
        <v>ŚCIANKA PRYSZNICOWA AERO 100 GOLD</v>
      </c>
      <c r="C1155" s="23"/>
      <c r="D1155" s="24">
        <f ca="1">IFERROR(__xludf.DUMMYFUNCTION("""COMPUTED_VALUE"""),979)</f>
        <v>979</v>
      </c>
      <c r="E1155" s="25" t="str">
        <f ca="1">IFERROR(__xludf.DUMMYFUNCTION("""COMPUTED_VALUE"""),"REA-K8440")</f>
        <v>REA-K8440</v>
      </c>
    </row>
    <row r="1156" spans="1:5" x14ac:dyDescent="0.2">
      <c r="A1156" s="22"/>
      <c r="B1156" s="23" t="str">
        <f ca="1">IFERROR(__xludf.DUMMYFUNCTION("""COMPUTED_VALUE"""),"ZESTAW NATRYSKOWY REBEL ZŁOTY")</f>
        <v>ZESTAW NATRYSKOWY REBEL ZŁOTY</v>
      </c>
      <c r="C1156" s="23"/>
      <c r="D1156" s="24">
        <f ca="1">IFERROR(__xludf.DUMMYFUNCTION("""COMPUTED_VALUE"""),1059)</f>
        <v>1059</v>
      </c>
      <c r="E1156" s="25" t="str">
        <f ca="1">IFERROR(__xludf.DUMMYFUNCTION("""COMPUTED_VALUE"""),"REA-P2413")</f>
        <v>REA-P2413</v>
      </c>
    </row>
    <row r="1157" spans="1:5" x14ac:dyDescent="0.2">
      <c r="A1157" s="22"/>
      <c r="B1157" s="23" t="str">
        <f ca="1">IFERROR(__xludf.DUMMYFUNCTION("""COMPUTED_VALUE"""),"ZESTAW NATRYSKOWY REBEL CZARNY")</f>
        <v>ZESTAW NATRYSKOWY REBEL CZARNY</v>
      </c>
      <c r="C1157" s="23"/>
      <c r="D1157" s="24">
        <f ca="1">IFERROR(__xludf.DUMMYFUNCTION("""COMPUTED_VALUE"""),999)</f>
        <v>999</v>
      </c>
      <c r="E1157" s="25" t="str">
        <f ca="1">IFERROR(__xludf.DUMMYFUNCTION("""COMPUTED_VALUE"""),"REA-P2416")</f>
        <v>REA-P2416</v>
      </c>
    </row>
    <row r="1158" spans="1:5" x14ac:dyDescent="0.2">
      <c r="A1158" s="22"/>
      <c r="B1158" s="23" t="str">
        <f ca="1">IFERROR(__xludf.DUMMYFUNCTION("""COMPUTED_VALUE"""),"ZESTAW NATRYSKOWY REBEL ZŁOTY SZCZOTKOWANY")</f>
        <v>ZESTAW NATRYSKOWY REBEL ZŁOTY SZCZOTKOWANY</v>
      </c>
      <c r="C1158" s="23"/>
      <c r="D1158" s="24">
        <f ca="1">IFERROR(__xludf.DUMMYFUNCTION("""COMPUTED_VALUE"""),1199)</f>
        <v>1199</v>
      </c>
      <c r="E1158" s="25" t="str">
        <f ca="1">IFERROR(__xludf.DUMMYFUNCTION("""COMPUTED_VALUE"""),"REA-P2414")</f>
        <v>REA-P2414</v>
      </c>
    </row>
    <row r="1159" spans="1:5" x14ac:dyDescent="0.2">
      <c r="A1159" s="22"/>
      <c r="B1159" s="23" t="str">
        <f ca="1">IFERROR(__xludf.DUMMYFUNCTION("""COMPUTED_VALUE"""),"ZESTAW NATRYSKOWY REBEL CHROM")</f>
        <v>ZESTAW NATRYSKOWY REBEL CHROM</v>
      </c>
      <c r="C1159" s="23"/>
      <c r="D1159" s="24">
        <f ca="1">IFERROR(__xludf.DUMMYFUNCTION("""COMPUTED_VALUE"""),899)</f>
        <v>899</v>
      </c>
      <c r="E1159" s="25" t="str">
        <f ca="1">IFERROR(__xludf.DUMMYFUNCTION("""COMPUTED_VALUE"""),"REA-P2415")</f>
        <v>REA-P2415</v>
      </c>
    </row>
    <row r="1160" spans="1:5" x14ac:dyDescent="0.2">
      <c r="A1160" s="22"/>
      <c r="B1160" s="23" t="str">
        <f ca="1">IFERROR(__xludf.DUMMYFUNCTION("""COMPUTED_VALUE"""),"BATERIA KUCHENNA COLE ZŁOTY SZCZOTKOWANY ")</f>
        <v xml:space="preserve">BATERIA KUCHENNA COLE ZŁOTY SZCZOTKOWANY </v>
      </c>
      <c r="C1160" s="23"/>
      <c r="D1160" s="24">
        <f ca="1">IFERROR(__xludf.DUMMYFUNCTION("""COMPUTED_VALUE"""),299)</f>
        <v>299</v>
      </c>
      <c r="E1160" s="25" t="str">
        <f ca="1">IFERROR(__xludf.DUMMYFUNCTION("""COMPUTED_VALUE"""),"REA-B2720")</f>
        <v>REA-B2720</v>
      </c>
    </row>
    <row r="1161" spans="1:5" x14ac:dyDescent="0.2">
      <c r="A1161" s="22"/>
      <c r="B1161" s="23" t="str">
        <f ca="1">IFERROR(__xludf.DUMMYFUNCTION("""COMPUTED_VALUE"""),"ZESTAW NATRYSKOWY  RETRO OLD BLACK")</f>
        <v>ZESTAW NATRYSKOWY  RETRO OLD BLACK</v>
      </c>
      <c r="C1161" s="23"/>
      <c r="D1161" s="24">
        <f ca="1">IFERROR(__xludf.DUMMYFUNCTION("""COMPUTED_VALUE"""),999)</f>
        <v>999</v>
      </c>
      <c r="E1161" s="25" t="str">
        <f ca="1">IFERROR(__xludf.DUMMYFUNCTION("""COMPUTED_VALUE"""),"REA-P2366")</f>
        <v>REA-P2366</v>
      </c>
    </row>
    <row r="1162" spans="1:5" x14ac:dyDescent="0.2">
      <c r="A1162" s="22"/>
      <c r="B1162" s="23" t="str">
        <f ca="1">IFERROR(__xludf.DUMMYFUNCTION("""COMPUTED_VALUE"""),"BATERIA UMYWALKOWA PODTYNKOWA MASON BLACK")</f>
        <v>BATERIA UMYWALKOWA PODTYNKOWA MASON BLACK</v>
      </c>
      <c r="C1162" s="23"/>
      <c r="D1162" s="24">
        <f ca="1">IFERROR(__xludf.DUMMYFUNCTION("""COMPUTED_VALUE"""),479)</f>
        <v>479</v>
      </c>
      <c r="E1162" s="25" t="str">
        <f ca="1">IFERROR(__xludf.DUMMYFUNCTION("""COMPUTED_VALUE"""),"REA-B0690")</f>
        <v>REA-B0690</v>
      </c>
    </row>
    <row r="1163" spans="1:5" x14ac:dyDescent="0.2">
      <c r="A1163" s="22"/>
      <c r="B1163" s="23" t="str">
        <f ca="1">IFERROR(__xludf.DUMMYFUNCTION("""COMPUTED_VALUE"""),"BATERIA PODŁOGOWA WANNOWA ORTIS CHROM")</f>
        <v>BATERIA PODŁOGOWA WANNOWA ORTIS CHROM</v>
      </c>
      <c r="C1163" s="23"/>
      <c r="D1163" s="24">
        <f ca="1">IFERROR(__xludf.DUMMYFUNCTION("""COMPUTED_VALUE"""),1159)</f>
        <v>1159</v>
      </c>
      <c r="E1163" s="25" t="str">
        <f ca="1">IFERROR(__xludf.DUMMYFUNCTION("""COMPUTED_VALUE"""),"REA-B1011")</f>
        <v>REA-B1011</v>
      </c>
    </row>
    <row r="1164" spans="1:5" x14ac:dyDescent="0.2">
      <c r="A1164" s="22"/>
      <c r="B1164" s="23" t="str">
        <f ca="1">IFERROR(__xludf.DUMMYFUNCTION("""COMPUTED_VALUE"""),"BATERIA PODŁOGOWA WANNOWA ORTIS BLACK")</f>
        <v>BATERIA PODŁOGOWA WANNOWA ORTIS BLACK</v>
      </c>
      <c r="C1164" s="23"/>
      <c r="D1164" s="24">
        <f ca="1">IFERROR(__xludf.DUMMYFUNCTION("""COMPUTED_VALUE"""),1099)</f>
        <v>1099</v>
      </c>
      <c r="E1164" s="25" t="str">
        <f ca="1">IFERROR(__xludf.DUMMYFUNCTION("""COMPUTED_VALUE"""),"REA-B0232")</f>
        <v>REA-B0232</v>
      </c>
    </row>
    <row r="1165" spans="1:5" x14ac:dyDescent="0.2">
      <c r="A1165" s="22"/>
      <c r="B1165" s="23" t="str">
        <f ca="1">IFERROR(__xludf.DUMMYFUNCTION("""COMPUTED_VALUE"""),"ZESTAW NATRYSKOWY BRAVO ZŁOTY ")</f>
        <v xml:space="preserve">ZESTAW NATRYSKOWY BRAVO ZŁOTY </v>
      </c>
      <c r="C1165" s="23"/>
      <c r="D1165" s="24">
        <f ca="1">IFERROR(__xludf.DUMMYFUNCTION("""COMPUTED_VALUE"""),569)</f>
        <v>569</v>
      </c>
      <c r="E1165" s="25" t="str">
        <f ca="1">IFERROR(__xludf.DUMMYFUNCTION("""COMPUTED_VALUE"""),"REA-P4120")</f>
        <v>REA-P4120</v>
      </c>
    </row>
    <row r="1166" spans="1:5" x14ac:dyDescent="0.2">
      <c r="A1166" s="22"/>
      <c r="B1166" s="23" t="str">
        <f ca="1">IFERROR(__xludf.DUMMYFUNCTION("""COMPUTED_VALUE"""),"ZESTAW NATRYSKOWY BRAVO ZŁOTY SZCZOTKOWANY")</f>
        <v>ZESTAW NATRYSKOWY BRAVO ZŁOTY SZCZOTKOWANY</v>
      </c>
      <c r="C1166" s="23"/>
      <c r="D1166" s="24">
        <f ca="1">IFERROR(__xludf.DUMMYFUNCTION("""COMPUTED_VALUE"""),599)</f>
        <v>599</v>
      </c>
      <c r="E1166" s="25" t="str">
        <f ca="1">IFERROR(__xludf.DUMMYFUNCTION("""COMPUTED_VALUE"""),"REA-P4121")</f>
        <v>REA-P4121</v>
      </c>
    </row>
    <row r="1167" spans="1:5" x14ac:dyDescent="0.2">
      <c r="A1167" s="22"/>
      <c r="B1167" s="23" t="str">
        <f ca="1">IFERROR(__xludf.DUMMYFUNCTION("""COMPUTED_VALUE"""),"UMYWALKA ALISON 60 - NABLATOWA")</f>
        <v>UMYWALKA ALISON 60 - NABLATOWA</v>
      </c>
      <c r="C1167" s="23"/>
      <c r="D1167" s="24">
        <f ca="1">IFERROR(__xludf.DUMMYFUNCTION("""COMPUTED_VALUE"""),599)</f>
        <v>599</v>
      </c>
      <c r="E1167" s="25" t="str">
        <f ca="1">IFERROR(__xludf.DUMMYFUNCTION("""COMPUTED_VALUE"""),"REA-U6021")</f>
        <v>REA-U6021</v>
      </c>
    </row>
    <row r="1168" spans="1:5" x14ac:dyDescent="0.2">
      <c r="A1168" s="22"/>
      <c r="B1168" s="23" t="str">
        <f ca="1">IFERROR(__xludf.DUMMYFUNCTION("""COMPUTED_VALUE"""),"UMYWALKA SELENA 60 - NABLATOWA")</f>
        <v>UMYWALKA SELENA 60 - NABLATOWA</v>
      </c>
      <c r="C1168" s="23"/>
      <c r="D1168" s="24">
        <f ca="1">IFERROR(__xludf.DUMMYFUNCTION("""COMPUTED_VALUE"""),499)</f>
        <v>499</v>
      </c>
      <c r="E1168" s="25" t="str">
        <f ca="1">IFERROR(__xludf.DUMMYFUNCTION("""COMPUTED_VALUE"""),"REA-U6020")</f>
        <v>REA-U6020</v>
      </c>
    </row>
    <row r="1169" spans="1:5" x14ac:dyDescent="0.2">
      <c r="A1169" s="22"/>
      <c r="B1169" s="23" t="str">
        <f ca="1">IFERROR(__xludf.DUMMYFUNCTION("""COMPUTED_VALUE"""),"WANNA BELLANTO 150 LEWA")</f>
        <v>WANNA BELLANTO 150 LEWA</v>
      </c>
      <c r="C1169" s="23"/>
      <c r="D1169" s="24">
        <f ca="1">IFERROR(__xludf.DUMMYFUNCTION("""COMPUTED_VALUE"""),3599)</f>
        <v>3599</v>
      </c>
      <c r="E1169" s="25" t="str">
        <f ca="1">IFERROR(__xludf.DUMMYFUNCTION("""COMPUTED_VALUE"""),"REA-W0250")</f>
        <v>REA-W0250</v>
      </c>
    </row>
    <row r="1170" spans="1:5" x14ac:dyDescent="0.2">
      <c r="A1170" s="22"/>
      <c r="B1170" s="23" t="str">
        <f ca="1">IFERROR(__xludf.DUMMYFUNCTION("""COMPUTED_VALUE"""),"WANNA BELLANTO 150 PRAWA")</f>
        <v>WANNA BELLANTO 150 PRAWA</v>
      </c>
      <c r="C1170" s="23"/>
      <c r="D1170" s="24">
        <f ca="1">IFERROR(__xludf.DUMMYFUNCTION("""COMPUTED_VALUE"""),3599)</f>
        <v>3599</v>
      </c>
      <c r="E1170" s="25" t="str">
        <f ca="1">IFERROR(__xludf.DUMMYFUNCTION("""COMPUTED_VALUE"""),"REA-W0251")</f>
        <v>REA-W0251</v>
      </c>
    </row>
    <row r="1171" spans="1:5" x14ac:dyDescent="0.2">
      <c r="A1171" s="22"/>
      <c r="B1171" s="23" t="str">
        <f ca="1">IFERROR(__xludf.DUMMYFUNCTION("""COMPUTED_VALUE"""),"WANNA BELLANTO 160 LEWA")</f>
        <v>WANNA BELLANTO 160 LEWA</v>
      </c>
      <c r="C1171" s="23"/>
      <c r="D1171" s="24">
        <f ca="1">IFERROR(__xludf.DUMMYFUNCTION("""COMPUTED_VALUE"""),3699)</f>
        <v>3699</v>
      </c>
      <c r="E1171" s="25" t="str">
        <f ca="1">IFERROR(__xludf.DUMMYFUNCTION("""COMPUTED_VALUE"""),"REA-W0252")</f>
        <v>REA-W0252</v>
      </c>
    </row>
    <row r="1172" spans="1:5" x14ac:dyDescent="0.2">
      <c r="A1172" s="22"/>
      <c r="B1172" s="23" t="str">
        <f ca="1">IFERROR(__xludf.DUMMYFUNCTION("""COMPUTED_VALUE"""),"WANNA BELLANTO 160 PRAWA")</f>
        <v>WANNA BELLANTO 160 PRAWA</v>
      </c>
      <c r="C1172" s="23"/>
      <c r="D1172" s="24">
        <f ca="1">IFERROR(__xludf.DUMMYFUNCTION("""COMPUTED_VALUE"""),3699)</f>
        <v>3699</v>
      </c>
      <c r="E1172" s="25" t="str">
        <f ca="1">IFERROR(__xludf.DUMMYFUNCTION("""COMPUTED_VALUE"""),"REA-W0253")</f>
        <v>REA-W0253</v>
      </c>
    </row>
    <row r="1173" spans="1:5" x14ac:dyDescent="0.2">
      <c r="A1173" s="22"/>
      <c r="B1173" s="23" t="str">
        <f ca="1">IFERROR(__xludf.DUMMYFUNCTION("""COMPUTED_VALUE"""),"WANNA VENETA 170")</f>
        <v>WANNA VENETA 170</v>
      </c>
      <c r="C1173" s="23"/>
      <c r="D1173" s="24">
        <f ca="1">IFERROR(__xludf.DUMMYFUNCTION("""COMPUTED_VALUE"""),3999)</f>
        <v>3999</v>
      </c>
      <c r="E1173" s="25" t="str">
        <f ca="1">IFERROR(__xludf.DUMMYFUNCTION("""COMPUTED_VALUE"""),"REA-W0254")</f>
        <v>REA-W0254</v>
      </c>
    </row>
    <row r="1174" spans="1:5" x14ac:dyDescent="0.2">
      <c r="A1174" s="22"/>
      <c r="B1174" s="23" t="str">
        <f ca="1">IFERROR(__xludf.DUMMYFUNCTION("""COMPUTED_VALUE"""),"UMYWALKA ROYAL MINI BLACK/WHITE - NABLATOWA")</f>
        <v>UMYWALKA ROYAL MINI BLACK/WHITE - NABLATOWA</v>
      </c>
      <c r="C1174" s="23"/>
      <c r="D1174" s="24">
        <f ca="1">IFERROR(__xludf.DUMMYFUNCTION("""COMPUTED_VALUE"""),429)</f>
        <v>429</v>
      </c>
      <c r="E1174" s="25" t="str">
        <f ca="1">IFERROR(__xludf.DUMMYFUNCTION("""COMPUTED_VALUE"""),"REA-U0538")</f>
        <v>REA-U0538</v>
      </c>
    </row>
    <row r="1175" spans="1:5" x14ac:dyDescent="0.2">
      <c r="A1175" s="22"/>
      <c r="B1175" s="23" t="str">
        <f ca="1">IFERROR(__xludf.DUMMYFUNCTION("""COMPUTED_VALUE"""),"UMYWALKA CLEO 61 AIAX SHINY - NABLATOWA")</f>
        <v>UMYWALKA CLEO 61 AIAX SHINY - NABLATOWA</v>
      </c>
      <c r="C1175" s="23"/>
      <c r="D1175" s="24">
        <f ca="1">IFERROR(__xludf.DUMMYFUNCTION("""COMPUTED_VALUE"""),359)</f>
        <v>359</v>
      </c>
      <c r="E1175" s="25" t="str">
        <f ca="1">IFERROR(__xludf.DUMMYFUNCTION("""COMPUTED_VALUE"""),"REA-U9656")</f>
        <v>REA-U9656</v>
      </c>
    </row>
    <row r="1176" spans="1:5" x14ac:dyDescent="0.2">
      <c r="A1176" s="22">
        <f ca="1">IFERROR(__xludf.DUMMYFUNCTION("""COMPUTED_VALUE"""),45245)</f>
        <v>45245</v>
      </c>
      <c r="B1176" s="23" t="str">
        <f ca="1">IFERROR(__xludf.DUMMYFUNCTION("""COMPUTED_VALUE"""),"LISTWA SPADKOWA CZARNA 120 cm LEWA")</f>
        <v>LISTWA SPADKOWA CZARNA 120 cm LEWA</v>
      </c>
      <c r="C1176" s="23"/>
      <c r="D1176" s="24">
        <f ca="1">IFERROR(__xludf.DUMMYFUNCTION("""COMPUTED_VALUE"""),119)</f>
        <v>119</v>
      </c>
      <c r="E1176" s="25" t="str">
        <f ca="1">IFERROR(__xludf.DUMMYFUNCTION("""COMPUTED_VALUE"""),"REA-K3200")</f>
        <v>REA-K3200</v>
      </c>
    </row>
    <row r="1177" spans="1:5" x14ac:dyDescent="0.2">
      <c r="A1177" s="22">
        <f ca="1">IFERROR(__xludf.DUMMYFUNCTION("""COMPUTED_VALUE"""),45245)</f>
        <v>45245</v>
      </c>
      <c r="B1177" s="23" t="str">
        <f ca="1">IFERROR(__xludf.DUMMYFUNCTION("""COMPUTED_VALUE"""),"LISTWA SPADKOWA CZARNA 120 cm PRAWA")</f>
        <v>LISTWA SPADKOWA CZARNA 120 cm PRAWA</v>
      </c>
      <c r="C1177" s="23"/>
      <c r="D1177" s="24">
        <f ca="1">IFERROR(__xludf.DUMMYFUNCTION("""COMPUTED_VALUE"""),119)</f>
        <v>119</v>
      </c>
      <c r="E1177" s="25" t="str">
        <f ca="1">IFERROR(__xludf.DUMMYFUNCTION("""COMPUTED_VALUE"""),"REA-K3201")</f>
        <v>REA-K3201</v>
      </c>
    </row>
    <row r="1178" spans="1:5" x14ac:dyDescent="0.2">
      <c r="A1178" s="22">
        <f ca="1">IFERROR(__xludf.DUMMYFUNCTION("""COMPUTED_VALUE"""),45245)</f>
        <v>45245</v>
      </c>
      <c r="B1178" s="23" t="str">
        <f ca="1">IFERROR(__xludf.DUMMYFUNCTION("""COMPUTED_VALUE"""),"LISTWA SPADKOWA NIKIEL SZCZOTKOWANY 120 cm LEWA")</f>
        <v>LISTWA SPADKOWA NIKIEL SZCZOTKOWANY 120 cm LEWA</v>
      </c>
      <c r="C1178" s="23"/>
      <c r="D1178" s="24">
        <f ca="1">IFERROR(__xludf.DUMMYFUNCTION("""COMPUTED_VALUE"""),119)</f>
        <v>119</v>
      </c>
      <c r="E1178" s="25" t="str">
        <f ca="1">IFERROR(__xludf.DUMMYFUNCTION("""COMPUTED_VALUE"""),"REA-K3202")</f>
        <v>REA-K3202</v>
      </c>
    </row>
    <row r="1179" spans="1:5" x14ac:dyDescent="0.2">
      <c r="A1179" s="22">
        <f ca="1">IFERROR(__xludf.DUMMYFUNCTION("""COMPUTED_VALUE"""),45245)</f>
        <v>45245</v>
      </c>
      <c r="B1179" s="23" t="str">
        <f ca="1">IFERROR(__xludf.DUMMYFUNCTION("""COMPUTED_VALUE"""),"LISTWA SPADKOWA NIKIEL SZCZOTKOWANY 120 cm PRAWA")</f>
        <v>LISTWA SPADKOWA NIKIEL SZCZOTKOWANY 120 cm PRAWA</v>
      </c>
      <c r="C1179" s="23"/>
      <c r="D1179" s="24">
        <f ca="1">IFERROR(__xludf.DUMMYFUNCTION("""COMPUTED_VALUE"""),119)</f>
        <v>119</v>
      </c>
      <c r="E1179" s="25" t="str">
        <f ca="1">IFERROR(__xludf.DUMMYFUNCTION("""COMPUTED_VALUE"""),"REA-K3203")</f>
        <v>REA-K3203</v>
      </c>
    </row>
    <row r="1180" spans="1:5" x14ac:dyDescent="0.2">
      <c r="A1180" s="22">
        <f ca="1">IFERROR(__xludf.DUMMYFUNCTION("""COMPUTED_VALUE"""),45245)</f>
        <v>45245</v>
      </c>
      <c r="B1180" s="23" t="str">
        <f ca="1">IFERROR(__xludf.DUMMYFUNCTION("""COMPUTED_VALUE"""),"LISTWA SPADKOWA ZŁOTA 120 cm LEWA")</f>
        <v>LISTWA SPADKOWA ZŁOTA 120 cm LEWA</v>
      </c>
      <c r="C1180" s="23"/>
      <c r="D1180" s="24">
        <f ca="1">IFERROR(__xludf.DUMMYFUNCTION("""COMPUTED_VALUE"""),159)</f>
        <v>159</v>
      </c>
      <c r="E1180" s="25" t="str">
        <f ca="1">IFERROR(__xludf.DUMMYFUNCTION("""COMPUTED_VALUE"""),"REA-K3204")</f>
        <v>REA-K3204</v>
      </c>
    </row>
    <row r="1181" spans="1:5" x14ac:dyDescent="0.2">
      <c r="A1181" s="22">
        <f ca="1">IFERROR(__xludf.DUMMYFUNCTION("""COMPUTED_VALUE"""),45245)</f>
        <v>45245</v>
      </c>
      <c r="B1181" s="23" t="str">
        <f ca="1">IFERROR(__xludf.DUMMYFUNCTION("""COMPUTED_VALUE"""),"LISTWA SPADKOWA ZŁOTA 120 cm PRAWA")</f>
        <v>LISTWA SPADKOWA ZŁOTA 120 cm PRAWA</v>
      </c>
      <c r="C1181" s="23"/>
      <c r="D1181" s="24">
        <f ca="1">IFERROR(__xludf.DUMMYFUNCTION("""COMPUTED_VALUE"""),159)</f>
        <v>159</v>
      </c>
      <c r="E1181" s="25" t="str">
        <f ca="1">IFERROR(__xludf.DUMMYFUNCTION("""COMPUTED_VALUE"""),"REA-K3205")</f>
        <v>REA-K3205</v>
      </c>
    </row>
    <row r="1182" spans="1:5" x14ac:dyDescent="0.2">
      <c r="A1182" s="22">
        <f ca="1">IFERROR(__xludf.DUMMYFUNCTION("""COMPUTED_VALUE"""),45245)</f>
        <v>45245</v>
      </c>
      <c r="B1182" s="23" t="str">
        <f ca="1">IFERROR(__xludf.DUMMYFUNCTION("""COMPUTED_VALUE"""),"LISTWA SPADKOWA ZŁOTA SZCZOTKOWANA 120 cm LEWA")</f>
        <v>LISTWA SPADKOWA ZŁOTA SZCZOTKOWANA 120 cm LEWA</v>
      </c>
      <c r="C1182" s="23"/>
      <c r="D1182" s="24">
        <f ca="1">IFERROR(__xludf.DUMMYFUNCTION("""COMPUTED_VALUE"""),159)</f>
        <v>159</v>
      </c>
      <c r="E1182" s="25" t="str">
        <f ca="1">IFERROR(__xludf.DUMMYFUNCTION("""COMPUTED_VALUE"""),"REA-K3206")</f>
        <v>REA-K3206</v>
      </c>
    </row>
    <row r="1183" spans="1:5" x14ac:dyDescent="0.2">
      <c r="A1183" s="22">
        <f ca="1">IFERROR(__xludf.DUMMYFUNCTION("""COMPUTED_VALUE"""),45245)</f>
        <v>45245</v>
      </c>
      <c r="B1183" s="23" t="str">
        <f ca="1">IFERROR(__xludf.DUMMYFUNCTION("""COMPUTED_VALUE"""),"LISTWA SPADKOWA ZŁOTA SZCZOTKOWANA 120 cm PRAWA")</f>
        <v>LISTWA SPADKOWA ZŁOTA SZCZOTKOWANA 120 cm PRAWA</v>
      </c>
      <c r="C1183" s="23"/>
      <c r="D1183" s="24">
        <f ca="1">IFERROR(__xludf.DUMMYFUNCTION("""COMPUTED_VALUE"""),159)</f>
        <v>159</v>
      </c>
      <c r="E1183" s="25" t="str">
        <f ca="1">IFERROR(__xludf.DUMMYFUNCTION("""COMPUTED_VALUE"""),"REA-K3207")</f>
        <v>REA-K3207</v>
      </c>
    </row>
    <row r="1184" spans="1:5" x14ac:dyDescent="0.2">
      <c r="A1184" s="22">
        <f ca="1">IFERROR(__xludf.DUMMYFUNCTION("""COMPUTED_VALUE"""),45245)</f>
        <v>45245</v>
      </c>
      <c r="B1184" s="23" t="str">
        <f ca="1">IFERROR(__xludf.DUMMYFUNCTION("""COMPUTED_VALUE"""),"LISTWA SPADKOWA CZARNA 100 cm LEWA")</f>
        <v>LISTWA SPADKOWA CZARNA 100 cm LEWA</v>
      </c>
      <c r="C1184" s="23"/>
      <c r="D1184" s="24">
        <f ca="1">IFERROR(__xludf.DUMMYFUNCTION("""COMPUTED_VALUE"""),109)</f>
        <v>109</v>
      </c>
      <c r="E1184" s="25" t="str">
        <f ca="1">IFERROR(__xludf.DUMMYFUNCTION("""COMPUTED_VALUE"""),"REA-K3208")</f>
        <v>REA-K3208</v>
      </c>
    </row>
    <row r="1185" spans="1:5" x14ac:dyDescent="0.2">
      <c r="A1185" s="22">
        <f ca="1">IFERROR(__xludf.DUMMYFUNCTION("""COMPUTED_VALUE"""),45245)</f>
        <v>45245</v>
      </c>
      <c r="B1185" s="23" t="str">
        <f ca="1">IFERROR(__xludf.DUMMYFUNCTION("""COMPUTED_VALUE"""),"LISTWA SPADKOWA CZARNA 100 cm PRAWA")</f>
        <v>LISTWA SPADKOWA CZARNA 100 cm PRAWA</v>
      </c>
      <c r="C1185" s="23"/>
      <c r="D1185" s="24">
        <f ca="1">IFERROR(__xludf.DUMMYFUNCTION("""COMPUTED_VALUE"""),109)</f>
        <v>109</v>
      </c>
      <c r="E1185" s="25" t="str">
        <f ca="1">IFERROR(__xludf.DUMMYFUNCTION("""COMPUTED_VALUE"""),"REA-K3209")</f>
        <v>REA-K3209</v>
      </c>
    </row>
    <row r="1186" spans="1:5" x14ac:dyDescent="0.2">
      <c r="A1186" s="22">
        <f ca="1">IFERROR(__xludf.DUMMYFUNCTION("""COMPUTED_VALUE"""),45245)</f>
        <v>45245</v>
      </c>
      <c r="B1186" s="23" t="str">
        <f ca="1">IFERROR(__xludf.DUMMYFUNCTION("""COMPUTED_VALUE"""),"LISTWA SPADKOWA NIKIEL SZCZOTKOWANY 100 cm LEWA")</f>
        <v>LISTWA SPADKOWA NIKIEL SZCZOTKOWANY 100 cm LEWA</v>
      </c>
      <c r="C1186" s="23"/>
      <c r="D1186" s="24">
        <f ca="1">IFERROR(__xludf.DUMMYFUNCTION("""COMPUTED_VALUE"""),109)</f>
        <v>109</v>
      </c>
      <c r="E1186" s="25" t="str">
        <f ca="1">IFERROR(__xludf.DUMMYFUNCTION("""COMPUTED_VALUE"""),"REA-K3211")</f>
        <v>REA-K3211</v>
      </c>
    </row>
    <row r="1187" spans="1:5" x14ac:dyDescent="0.2">
      <c r="A1187" s="22">
        <f ca="1">IFERROR(__xludf.DUMMYFUNCTION("""COMPUTED_VALUE"""),45245)</f>
        <v>45245</v>
      </c>
      <c r="B1187" s="23" t="str">
        <f ca="1">IFERROR(__xludf.DUMMYFUNCTION("""COMPUTED_VALUE"""),"LISTWA SPADKOWA NIKIEL SZCZOTKOWANY 100 cm PRAWA")</f>
        <v>LISTWA SPADKOWA NIKIEL SZCZOTKOWANY 100 cm PRAWA</v>
      </c>
      <c r="C1187" s="23"/>
      <c r="D1187" s="24">
        <f ca="1">IFERROR(__xludf.DUMMYFUNCTION("""COMPUTED_VALUE"""),109)</f>
        <v>109</v>
      </c>
      <c r="E1187" s="25" t="str">
        <f ca="1">IFERROR(__xludf.DUMMYFUNCTION("""COMPUTED_VALUE"""),"REA-K3212")</f>
        <v>REA-K3212</v>
      </c>
    </row>
    <row r="1188" spans="1:5" x14ac:dyDescent="0.2">
      <c r="A1188" s="22">
        <f ca="1">IFERROR(__xludf.DUMMYFUNCTION("""COMPUTED_VALUE"""),45245)</f>
        <v>45245</v>
      </c>
      <c r="B1188" s="23" t="str">
        <f ca="1">IFERROR(__xludf.DUMMYFUNCTION("""COMPUTED_VALUE"""),"LISTWA SPADKOWA ZŁOTA 100 cm LEWA")</f>
        <v>LISTWA SPADKOWA ZŁOTA 100 cm LEWA</v>
      </c>
      <c r="C1188" s="23"/>
      <c r="D1188" s="24">
        <f ca="1">IFERROR(__xludf.DUMMYFUNCTION("""COMPUTED_VALUE"""),149)</f>
        <v>149</v>
      </c>
      <c r="E1188" s="25" t="str">
        <f ca="1">IFERROR(__xludf.DUMMYFUNCTION("""COMPUTED_VALUE"""),"REA-K3213")</f>
        <v>REA-K3213</v>
      </c>
    </row>
    <row r="1189" spans="1:5" x14ac:dyDescent="0.2">
      <c r="A1189" s="22">
        <f ca="1">IFERROR(__xludf.DUMMYFUNCTION("""COMPUTED_VALUE"""),45245)</f>
        <v>45245</v>
      </c>
      <c r="B1189" s="23" t="str">
        <f ca="1">IFERROR(__xludf.DUMMYFUNCTION("""COMPUTED_VALUE"""),"LISTWA SPADKOWA ZŁOTA 100 cm PRAWA")</f>
        <v>LISTWA SPADKOWA ZŁOTA 100 cm PRAWA</v>
      </c>
      <c r="C1189" s="23"/>
      <c r="D1189" s="24">
        <f ca="1">IFERROR(__xludf.DUMMYFUNCTION("""COMPUTED_VALUE"""),149)</f>
        <v>149</v>
      </c>
      <c r="E1189" s="25" t="str">
        <f ca="1">IFERROR(__xludf.DUMMYFUNCTION("""COMPUTED_VALUE"""),"REA-K3215")</f>
        <v>REA-K3215</v>
      </c>
    </row>
    <row r="1190" spans="1:5" x14ac:dyDescent="0.2">
      <c r="A1190" s="22">
        <f ca="1">IFERROR(__xludf.DUMMYFUNCTION("""COMPUTED_VALUE"""),45245)</f>
        <v>45245</v>
      </c>
      <c r="B1190" s="23" t="str">
        <f ca="1">IFERROR(__xludf.DUMMYFUNCTION("""COMPUTED_VALUE"""),"LISTWA SPADKOWA ZŁOTA SZCZOTKOWANA 100 cm LEWA")</f>
        <v>LISTWA SPADKOWA ZŁOTA SZCZOTKOWANA 100 cm LEWA</v>
      </c>
      <c r="C1190" s="23"/>
      <c r="D1190" s="24">
        <f ca="1">IFERROR(__xludf.DUMMYFUNCTION("""COMPUTED_VALUE"""),149)</f>
        <v>149</v>
      </c>
      <c r="E1190" s="25" t="str">
        <f ca="1">IFERROR(__xludf.DUMMYFUNCTION("""COMPUTED_VALUE"""),"REA-K3216")</f>
        <v>REA-K3216</v>
      </c>
    </row>
    <row r="1191" spans="1:5" x14ac:dyDescent="0.2">
      <c r="A1191" s="22">
        <f ca="1">IFERROR(__xludf.DUMMYFUNCTION("""COMPUTED_VALUE"""),45245)</f>
        <v>45245</v>
      </c>
      <c r="B1191" s="23" t="str">
        <f ca="1">IFERROR(__xludf.DUMMYFUNCTION("""COMPUTED_VALUE"""),"LISTWA SPADKOWA ZŁOTA SZCZOTKOWANA 100 cm PRAWA")</f>
        <v>LISTWA SPADKOWA ZŁOTA SZCZOTKOWANA 100 cm PRAWA</v>
      </c>
      <c r="C1191" s="23"/>
      <c r="D1191" s="24">
        <f ca="1">IFERROR(__xludf.DUMMYFUNCTION("""COMPUTED_VALUE"""),149)</f>
        <v>149</v>
      </c>
      <c r="E1191" s="25" t="str">
        <f ca="1">IFERROR(__xludf.DUMMYFUNCTION("""COMPUTED_VALUE"""),"REA-K3217")</f>
        <v>REA-K3217</v>
      </c>
    </row>
    <row r="1192" spans="1:5" x14ac:dyDescent="0.2">
      <c r="A1192" s="22">
        <f ca="1">IFERROR(__xludf.DUMMYFUNCTION("""COMPUTED_VALUE"""),45245)</f>
        <v>45245</v>
      </c>
      <c r="B1192" s="23" t="str">
        <f ca="1">IFERROR(__xludf.DUMMYFUNCTION("""COMPUTED_VALUE"""),"LISTWA SPADKOWA CZARNA 140 cm LEWA")</f>
        <v>LISTWA SPADKOWA CZARNA 140 cm LEWA</v>
      </c>
      <c r="C1192" s="23"/>
      <c r="D1192" s="24">
        <f ca="1">IFERROR(__xludf.DUMMYFUNCTION("""COMPUTED_VALUE"""),129)</f>
        <v>129</v>
      </c>
      <c r="E1192" s="25" t="str">
        <f ca="1">IFERROR(__xludf.DUMMYFUNCTION("""COMPUTED_VALUE"""),"REA-K3218")</f>
        <v>REA-K3218</v>
      </c>
    </row>
    <row r="1193" spans="1:5" x14ac:dyDescent="0.2">
      <c r="A1193" s="22">
        <f ca="1">IFERROR(__xludf.DUMMYFUNCTION("""COMPUTED_VALUE"""),45245)</f>
        <v>45245</v>
      </c>
      <c r="B1193" s="23" t="str">
        <f ca="1">IFERROR(__xludf.DUMMYFUNCTION("""COMPUTED_VALUE"""),"LISTWA SPADKOWA CZARNA 140 cm PRAWA")</f>
        <v>LISTWA SPADKOWA CZARNA 140 cm PRAWA</v>
      </c>
      <c r="C1193" s="23"/>
      <c r="D1193" s="24">
        <f ca="1">IFERROR(__xludf.DUMMYFUNCTION("""COMPUTED_VALUE"""),129)</f>
        <v>129</v>
      </c>
      <c r="E1193" s="25" t="str">
        <f ca="1">IFERROR(__xludf.DUMMYFUNCTION("""COMPUTED_VALUE"""),"REA-K3220")</f>
        <v>REA-K3220</v>
      </c>
    </row>
    <row r="1194" spans="1:5" x14ac:dyDescent="0.2">
      <c r="A1194" s="22">
        <f ca="1">IFERROR(__xludf.DUMMYFUNCTION("""COMPUTED_VALUE"""),45245)</f>
        <v>45245</v>
      </c>
      <c r="B1194" s="23" t="str">
        <f ca="1">IFERROR(__xludf.DUMMYFUNCTION("""COMPUTED_VALUE"""),"LISTWA SPADKOWA NIKIEL SZCZOTKOWANY 140 cm LEWA")</f>
        <v>LISTWA SPADKOWA NIKIEL SZCZOTKOWANY 140 cm LEWA</v>
      </c>
      <c r="C1194" s="23"/>
      <c r="D1194" s="24">
        <f ca="1">IFERROR(__xludf.DUMMYFUNCTION("""COMPUTED_VALUE"""),129)</f>
        <v>129</v>
      </c>
      <c r="E1194" s="25" t="str">
        <f ca="1">IFERROR(__xludf.DUMMYFUNCTION("""COMPUTED_VALUE"""),"REA-K3221")</f>
        <v>REA-K3221</v>
      </c>
    </row>
    <row r="1195" spans="1:5" x14ac:dyDescent="0.2">
      <c r="A1195" s="22">
        <f ca="1">IFERROR(__xludf.DUMMYFUNCTION("""COMPUTED_VALUE"""),45245)</f>
        <v>45245</v>
      </c>
      <c r="B1195" s="23" t="str">
        <f ca="1">IFERROR(__xludf.DUMMYFUNCTION("""COMPUTED_VALUE"""),"LISTWA SPADKOWA NIKIEL SZCZOTKOWANY 140 cm PRAWA")</f>
        <v>LISTWA SPADKOWA NIKIEL SZCZOTKOWANY 140 cm PRAWA</v>
      </c>
      <c r="C1195" s="23"/>
      <c r="D1195" s="24">
        <f ca="1">IFERROR(__xludf.DUMMYFUNCTION("""COMPUTED_VALUE"""),129)</f>
        <v>129</v>
      </c>
      <c r="E1195" s="25" t="str">
        <f ca="1">IFERROR(__xludf.DUMMYFUNCTION("""COMPUTED_VALUE"""),"REA-K3222")</f>
        <v>REA-K3222</v>
      </c>
    </row>
    <row r="1196" spans="1:5" x14ac:dyDescent="0.2">
      <c r="A1196" s="22">
        <f ca="1">IFERROR(__xludf.DUMMYFUNCTION("""COMPUTED_VALUE"""),45245)</f>
        <v>45245</v>
      </c>
      <c r="B1196" s="23" t="str">
        <f ca="1">IFERROR(__xludf.DUMMYFUNCTION("""COMPUTED_VALUE"""),"LISTWA SPADKOWA ZŁOTA 140 cm LEWA")</f>
        <v>LISTWA SPADKOWA ZŁOTA 140 cm LEWA</v>
      </c>
      <c r="C1196" s="23"/>
      <c r="D1196" s="24">
        <f ca="1">IFERROR(__xludf.DUMMYFUNCTION("""COMPUTED_VALUE"""),169)</f>
        <v>169</v>
      </c>
      <c r="E1196" s="25" t="str">
        <f ca="1">IFERROR(__xludf.DUMMYFUNCTION("""COMPUTED_VALUE"""),"REA-K3223")</f>
        <v>REA-K3223</v>
      </c>
    </row>
    <row r="1197" spans="1:5" x14ac:dyDescent="0.2">
      <c r="A1197" s="22">
        <f ca="1">IFERROR(__xludf.DUMMYFUNCTION("""COMPUTED_VALUE"""),45245)</f>
        <v>45245</v>
      </c>
      <c r="B1197" s="23" t="str">
        <f ca="1">IFERROR(__xludf.DUMMYFUNCTION("""COMPUTED_VALUE"""),"LISTWA SPADKOWA ZŁOTA 140 cm PRAWA")</f>
        <v>LISTWA SPADKOWA ZŁOTA 140 cm PRAWA</v>
      </c>
      <c r="C1197" s="23"/>
      <c r="D1197" s="24">
        <f ca="1">IFERROR(__xludf.DUMMYFUNCTION("""COMPUTED_VALUE"""),169)</f>
        <v>169</v>
      </c>
      <c r="E1197" s="25" t="str">
        <f ca="1">IFERROR(__xludf.DUMMYFUNCTION("""COMPUTED_VALUE"""),"REA-K3224")</f>
        <v>REA-K3224</v>
      </c>
    </row>
    <row r="1198" spans="1:5" x14ac:dyDescent="0.2">
      <c r="A1198" s="22">
        <f ca="1">IFERROR(__xludf.DUMMYFUNCTION("""COMPUTED_VALUE"""),45245)</f>
        <v>45245</v>
      </c>
      <c r="B1198" s="23" t="str">
        <f ca="1">IFERROR(__xludf.DUMMYFUNCTION("""COMPUTED_VALUE"""),"LISTWA SPADKOWA ZŁOTA SZCZOTKOWANA 140 cm LEWA")</f>
        <v>LISTWA SPADKOWA ZŁOTA SZCZOTKOWANA 140 cm LEWA</v>
      </c>
      <c r="C1198" s="23"/>
      <c r="D1198" s="24">
        <f ca="1">IFERROR(__xludf.DUMMYFUNCTION("""COMPUTED_VALUE"""),169)</f>
        <v>169</v>
      </c>
      <c r="E1198" s="25" t="str">
        <f ca="1">IFERROR(__xludf.DUMMYFUNCTION("""COMPUTED_VALUE"""),"REA-K3225")</f>
        <v>REA-K3225</v>
      </c>
    </row>
    <row r="1199" spans="1:5" x14ac:dyDescent="0.2">
      <c r="A1199" s="22">
        <f ca="1">IFERROR(__xludf.DUMMYFUNCTION("""COMPUTED_VALUE"""),45245)</f>
        <v>45245</v>
      </c>
      <c r="B1199" s="23" t="str">
        <f ca="1">IFERROR(__xludf.DUMMYFUNCTION("""COMPUTED_VALUE"""),"LISTWA SPADKOWA ZŁOTA SZCZOTKOWANA 140 cm PRAWA")</f>
        <v>LISTWA SPADKOWA ZŁOTA SZCZOTKOWANA 140 cm PRAWA</v>
      </c>
      <c r="C1199" s="23"/>
      <c r="D1199" s="24">
        <f ca="1">IFERROR(__xludf.DUMMYFUNCTION("""COMPUTED_VALUE"""),169)</f>
        <v>169</v>
      </c>
      <c r="E1199" s="25" t="str">
        <f ca="1">IFERROR(__xludf.DUMMYFUNCTION("""COMPUTED_VALUE"""),"REA-K3226")</f>
        <v>REA-K3226</v>
      </c>
    </row>
    <row r="1200" spans="1:5" x14ac:dyDescent="0.2">
      <c r="A1200" s="22">
        <f ca="1">IFERROR(__xludf.DUMMYFUNCTION("""COMPUTED_VALUE"""),45245)</f>
        <v>45245</v>
      </c>
      <c r="B1200" s="23" t="str">
        <f ca="1">IFERROR(__xludf.DUMMYFUNCTION("""COMPUTED_VALUE"""),"ODPŁYW NEOX CZARNY 500")</f>
        <v>ODPŁYW NEOX CZARNY 500</v>
      </c>
      <c r="C1200" s="23"/>
      <c r="D1200" s="24">
        <f ca="1">IFERROR(__xludf.DUMMYFUNCTION("""COMPUTED_VALUE"""),219)</f>
        <v>219</v>
      </c>
      <c r="E1200" s="25" t="str">
        <f ca="1">IFERROR(__xludf.DUMMYFUNCTION("""COMPUTED_VALUE"""),"REA-G6600")</f>
        <v>REA-G6600</v>
      </c>
    </row>
    <row r="1201" spans="1:5" x14ac:dyDescent="0.2">
      <c r="A1201" s="22">
        <f ca="1">IFERROR(__xludf.DUMMYFUNCTION("""COMPUTED_VALUE"""),45245)</f>
        <v>45245</v>
      </c>
      <c r="B1201" s="23" t="str">
        <f ca="1">IFERROR(__xludf.DUMMYFUNCTION("""COMPUTED_VALUE"""),"ODPŁYW NEOX CZARNY 600")</f>
        <v>ODPŁYW NEOX CZARNY 600</v>
      </c>
      <c r="C1201" s="23"/>
      <c r="D1201" s="24">
        <f ca="1">IFERROR(__xludf.DUMMYFUNCTION("""COMPUTED_VALUE"""),239)</f>
        <v>239</v>
      </c>
      <c r="E1201" s="25" t="str">
        <f ca="1">IFERROR(__xludf.DUMMYFUNCTION("""COMPUTED_VALUE"""),"REA-G6601")</f>
        <v>REA-G6601</v>
      </c>
    </row>
    <row r="1202" spans="1:5" x14ac:dyDescent="0.2">
      <c r="A1202" s="22">
        <f ca="1">IFERROR(__xludf.DUMMYFUNCTION("""COMPUTED_VALUE"""),45245)</f>
        <v>45245</v>
      </c>
      <c r="B1202" s="23" t="str">
        <f ca="1">IFERROR(__xludf.DUMMYFUNCTION("""COMPUTED_VALUE"""),"ODPŁYW NEOX CZARNY 700")</f>
        <v>ODPŁYW NEOX CZARNY 700</v>
      </c>
      <c r="C1202" s="23"/>
      <c r="D1202" s="24">
        <f ca="1">IFERROR(__xludf.DUMMYFUNCTION("""COMPUTED_VALUE"""),259)</f>
        <v>259</v>
      </c>
      <c r="E1202" s="25" t="str">
        <f ca="1">IFERROR(__xludf.DUMMYFUNCTION("""COMPUTED_VALUE"""),"REA-G6602")</f>
        <v>REA-G6602</v>
      </c>
    </row>
    <row r="1203" spans="1:5" x14ac:dyDescent="0.2">
      <c r="A1203" s="22">
        <f ca="1">IFERROR(__xludf.DUMMYFUNCTION("""COMPUTED_VALUE"""),45245)</f>
        <v>45245</v>
      </c>
      <c r="B1203" s="23" t="str">
        <f ca="1">IFERROR(__xludf.DUMMYFUNCTION("""COMPUTED_VALUE"""),"ODPŁYW NEOX CZARNY 900")</f>
        <v>ODPŁYW NEOX CZARNY 900</v>
      </c>
      <c r="C1203" s="23"/>
      <c r="D1203" s="24">
        <f ca="1">IFERROR(__xludf.DUMMYFUNCTION("""COMPUTED_VALUE"""),299)</f>
        <v>299</v>
      </c>
      <c r="E1203" s="25" t="str">
        <f ca="1">IFERROR(__xludf.DUMMYFUNCTION("""COMPUTED_VALUE"""),"REA-G6603")</f>
        <v>REA-G6603</v>
      </c>
    </row>
    <row r="1204" spans="1:5" x14ac:dyDescent="0.2">
      <c r="A1204" s="22">
        <f ca="1">IFERROR(__xludf.DUMMYFUNCTION("""COMPUTED_VALUE"""),45245)</f>
        <v>45245</v>
      </c>
      <c r="B1204" s="23" t="str">
        <f ca="1">IFERROR(__xludf.DUMMYFUNCTION("""COMPUTED_VALUE"""),"ODPŁYW NEOX CZARNY 800")</f>
        <v>ODPŁYW NEOX CZARNY 800</v>
      </c>
      <c r="C1204" s="23"/>
      <c r="D1204" s="24">
        <f ca="1">IFERROR(__xludf.DUMMYFUNCTION("""COMPUTED_VALUE"""),279)</f>
        <v>279</v>
      </c>
      <c r="E1204" s="25" t="str">
        <f ca="1">IFERROR(__xludf.DUMMYFUNCTION("""COMPUTED_VALUE"""),"REA-G6604")</f>
        <v>REA-G6604</v>
      </c>
    </row>
    <row r="1205" spans="1:5" x14ac:dyDescent="0.2">
      <c r="A1205" s="22">
        <f ca="1">IFERROR(__xludf.DUMMYFUNCTION("""COMPUTED_VALUE"""),45245)</f>
        <v>45245</v>
      </c>
      <c r="B1205" s="23" t="str">
        <f ca="1">IFERROR(__xludf.DUMMYFUNCTION("""COMPUTED_VALUE"""),"ODPŁYW NEOX CZARNY 1000")</f>
        <v>ODPŁYW NEOX CZARNY 1000</v>
      </c>
      <c r="C1205" s="23"/>
      <c r="D1205" s="24">
        <f ca="1">IFERROR(__xludf.DUMMYFUNCTION("""COMPUTED_VALUE"""),309)</f>
        <v>309</v>
      </c>
      <c r="E1205" s="25" t="str">
        <f ca="1">IFERROR(__xludf.DUMMYFUNCTION("""COMPUTED_VALUE"""),"REA-G6605")</f>
        <v>REA-G6605</v>
      </c>
    </row>
    <row r="1206" spans="1:5" x14ac:dyDescent="0.2">
      <c r="A1206" s="22">
        <f ca="1">IFERROR(__xludf.DUMMYFUNCTION("""COMPUTED_VALUE"""),45245)</f>
        <v>45245</v>
      </c>
      <c r="B1206" s="23" t="str">
        <f ca="1">IFERROR(__xludf.DUMMYFUNCTION("""COMPUTED_VALUE"""),"ODPŁYW NEOX SUPERFLOW CZARNY 600")</f>
        <v>ODPŁYW NEOX SUPERFLOW CZARNY 600</v>
      </c>
      <c r="C1206" s="23"/>
      <c r="D1206" s="24">
        <f ca="1">IFERROR(__xludf.DUMMYFUNCTION("""COMPUTED_VALUE"""),299)</f>
        <v>299</v>
      </c>
      <c r="E1206" s="25" t="str">
        <f ca="1">IFERROR(__xludf.DUMMYFUNCTION("""COMPUTED_VALUE"""),"REA-G7805")</f>
        <v>REA-G7805</v>
      </c>
    </row>
    <row r="1207" spans="1:5" x14ac:dyDescent="0.2">
      <c r="A1207" s="22">
        <f ca="1">IFERROR(__xludf.DUMMYFUNCTION("""COMPUTED_VALUE"""),45245)</f>
        <v>45245</v>
      </c>
      <c r="B1207" s="23" t="str">
        <f ca="1">IFERROR(__xludf.DUMMYFUNCTION("""COMPUTED_VALUE"""),"ODPŁYW NEOX SUPERFLOW CZARNY 900")</f>
        <v>ODPŁYW NEOX SUPERFLOW CZARNY 900</v>
      </c>
      <c r="C1207" s="23"/>
      <c r="D1207" s="24">
        <f ca="1">IFERROR(__xludf.DUMMYFUNCTION("""COMPUTED_VALUE"""),379)</f>
        <v>379</v>
      </c>
      <c r="E1207" s="25" t="str">
        <f ca="1">IFERROR(__xludf.DUMMYFUNCTION("""COMPUTED_VALUE"""),"REA-G7808")</f>
        <v>REA-G7808</v>
      </c>
    </row>
    <row r="1208" spans="1:5" x14ac:dyDescent="0.2">
      <c r="A1208" s="22">
        <f ca="1">IFERROR(__xludf.DUMMYFUNCTION("""COMPUTED_VALUE"""),45245)</f>
        <v>45245</v>
      </c>
      <c r="B1208" s="23" t="str">
        <f ca="1">IFERROR(__xludf.DUMMYFUNCTION("""COMPUTED_VALUE"""),"ODPŁYW NEOX SUPERFLOW CZARNY 700")</f>
        <v>ODPŁYW NEOX SUPERFLOW CZARNY 700</v>
      </c>
      <c r="C1208" s="23"/>
      <c r="D1208" s="24">
        <f ca="1">IFERROR(__xludf.DUMMYFUNCTION("""COMPUTED_VALUE"""),329)</f>
        <v>329</v>
      </c>
      <c r="E1208" s="25" t="str">
        <f ca="1">IFERROR(__xludf.DUMMYFUNCTION("""COMPUTED_VALUE"""),"REA-G7806")</f>
        <v>REA-G7806</v>
      </c>
    </row>
    <row r="1209" spans="1:5" x14ac:dyDescent="0.2">
      <c r="A1209" s="22">
        <f ca="1">IFERROR(__xludf.DUMMYFUNCTION("""COMPUTED_VALUE"""),45245)</f>
        <v>45245</v>
      </c>
      <c r="B1209" s="23" t="str">
        <f ca="1">IFERROR(__xludf.DUMMYFUNCTION("""COMPUTED_VALUE"""),"ODPŁYW NEOX SUPERFLOW CZARNY 800")</f>
        <v>ODPŁYW NEOX SUPERFLOW CZARNY 800</v>
      </c>
      <c r="C1209" s="23"/>
      <c r="D1209" s="24">
        <f ca="1">IFERROR(__xludf.DUMMYFUNCTION("""COMPUTED_VALUE"""),359)</f>
        <v>359</v>
      </c>
      <c r="E1209" s="25" t="str">
        <f ca="1">IFERROR(__xludf.DUMMYFUNCTION("""COMPUTED_VALUE"""),"REA-G7807")</f>
        <v>REA-G7807</v>
      </c>
    </row>
    <row r="1210" spans="1:5" x14ac:dyDescent="0.2">
      <c r="A1210" s="22">
        <f ca="1">IFERROR(__xludf.DUMMYFUNCTION("""COMPUTED_VALUE"""),45245)</f>
        <v>45245</v>
      </c>
      <c r="B1210" s="23" t="str">
        <f ca="1">IFERROR(__xludf.DUMMYFUNCTION("""COMPUTED_VALUE"""),"ODPŁYW NEOX PRO CZARNY 1000")</f>
        <v>ODPŁYW NEOX PRO CZARNY 1000</v>
      </c>
      <c r="C1210" s="23"/>
      <c r="D1210" s="24">
        <f ca="1">IFERROR(__xludf.DUMMYFUNCTION("""COMPUTED_VALUE"""),309)</f>
        <v>309</v>
      </c>
      <c r="E1210" s="25" t="str">
        <f ca="1">IFERROR(__xludf.DUMMYFUNCTION("""COMPUTED_VALUE"""),"REA-G7800")</f>
        <v>REA-G7800</v>
      </c>
    </row>
    <row r="1211" spans="1:5" x14ac:dyDescent="0.2">
      <c r="A1211" s="22">
        <f ca="1">IFERROR(__xludf.DUMMYFUNCTION("""COMPUTED_VALUE"""),45245)</f>
        <v>45245</v>
      </c>
      <c r="B1211" s="23" t="str">
        <f ca="1">IFERROR(__xludf.DUMMYFUNCTION("""COMPUTED_VALUE"""),"ODPŁYW NEOX PRO CZARNY 600")</f>
        <v>ODPŁYW NEOX PRO CZARNY 600</v>
      </c>
      <c r="C1211" s="23"/>
      <c r="D1211" s="24">
        <f ca="1">IFERROR(__xludf.DUMMYFUNCTION("""COMPUTED_VALUE"""),249)</f>
        <v>249</v>
      </c>
      <c r="E1211" s="25" t="str">
        <f ca="1">IFERROR(__xludf.DUMMYFUNCTION("""COMPUTED_VALUE"""),"REA-G7801")</f>
        <v>REA-G7801</v>
      </c>
    </row>
    <row r="1212" spans="1:5" x14ac:dyDescent="0.2">
      <c r="A1212" s="22">
        <f ca="1">IFERROR(__xludf.DUMMYFUNCTION("""COMPUTED_VALUE"""),45245)</f>
        <v>45245</v>
      </c>
      <c r="B1212" s="23" t="str">
        <f ca="1">IFERROR(__xludf.DUMMYFUNCTION("""COMPUTED_VALUE"""),"ODPŁYW NEOX PRO CZARNY 700")</f>
        <v>ODPŁYW NEOX PRO CZARNY 700</v>
      </c>
      <c r="C1212" s="23"/>
      <c r="D1212" s="24">
        <f ca="1">IFERROR(__xludf.DUMMYFUNCTION("""COMPUTED_VALUE"""),269)</f>
        <v>269</v>
      </c>
      <c r="E1212" s="25" t="str">
        <f ca="1">IFERROR(__xludf.DUMMYFUNCTION("""COMPUTED_VALUE"""),"REA-G7802")</f>
        <v>REA-G7802</v>
      </c>
    </row>
    <row r="1213" spans="1:5" x14ac:dyDescent="0.2">
      <c r="A1213" s="22">
        <f ca="1">IFERROR(__xludf.DUMMYFUNCTION("""COMPUTED_VALUE"""),45245)</f>
        <v>45245</v>
      </c>
      <c r="B1213" s="23" t="str">
        <f ca="1">IFERROR(__xludf.DUMMYFUNCTION("""COMPUTED_VALUE"""),"ODPŁYW NEOX PRO CZARNY 800")</f>
        <v>ODPŁYW NEOX PRO CZARNY 800</v>
      </c>
      <c r="C1213" s="23"/>
      <c r="D1213" s="24">
        <f ca="1">IFERROR(__xludf.DUMMYFUNCTION("""COMPUTED_VALUE"""),279)</f>
        <v>279</v>
      </c>
      <c r="E1213" s="25" t="str">
        <f ca="1">IFERROR(__xludf.DUMMYFUNCTION("""COMPUTED_VALUE"""),"REA-G7803")</f>
        <v>REA-G7803</v>
      </c>
    </row>
    <row r="1214" spans="1:5" x14ac:dyDescent="0.2">
      <c r="A1214" s="22">
        <f ca="1">IFERROR(__xludf.DUMMYFUNCTION("""COMPUTED_VALUE"""),45245)</f>
        <v>45245</v>
      </c>
      <c r="B1214" s="23" t="str">
        <f ca="1">IFERROR(__xludf.DUMMYFUNCTION("""COMPUTED_VALUE"""),"ODPŁYW NEOX PRO CZARNY 900")</f>
        <v>ODPŁYW NEOX PRO CZARNY 900</v>
      </c>
      <c r="C1214" s="23"/>
      <c r="D1214" s="24">
        <f ca="1">IFERROR(__xludf.DUMMYFUNCTION("""COMPUTED_VALUE"""),299)</f>
        <v>299</v>
      </c>
      <c r="E1214" s="25" t="str">
        <f ca="1">IFERROR(__xludf.DUMMYFUNCTION("""COMPUTED_VALUE"""),"REA-G7804")</f>
        <v>REA-G7804</v>
      </c>
    </row>
    <row r="1215" spans="1:5" x14ac:dyDescent="0.2">
      <c r="A1215" s="22">
        <f ca="1">IFERROR(__xludf.DUMMYFUNCTION("""COMPUTED_VALUE"""),45245)</f>
        <v>45245</v>
      </c>
      <c r="B1215" s="23" t="str">
        <f ca="1">IFERROR(__xludf.DUMMYFUNCTION("""COMPUTED_VALUE"""),"UMYWALKA BELINDA GOLD BRUSH/WHITE- NABLATOWA")</f>
        <v>UMYWALKA BELINDA GOLD BRUSH/WHITE- NABLATOWA</v>
      </c>
      <c r="C1215" s="23"/>
      <c r="D1215" s="24">
        <f ca="1">IFERROR(__xludf.DUMMYFUNCTION("""COMPUTED_VALUE"""),439)</f>
        <v>439</v>
      </c>
      <c r="E1215" s="25" t="str">
        <f ca="1">IFERROR(__xludf.DUMMYFUNCTION("""COMPUTED_VALUE"""),"REA-U7422")</f>
        <v>REA-U7422</v>
      </c>
    </row>
    <row r="1216" spans="1:5" x14ac:dyDescent="0.2">
      <c r="A1216" s="22">
        <f ca="1">IFERROR(__xludf.DUMMYFUNCTION("""COMPUTED_VALUE"""),45245)</f>
        <v>45245</v>
      </c>
      <c r="B1216" s="23" t="str">
        <f ca="1">IFERROR(__xludf.DUMMYFUNCTION("""COMPUTED_VALUE"""),"DRZWI PRYSZNICOWE RAPID SWING 90")</f>
        <v>DRZWI PRYSZNICOWE RAPID SWING 90</v>
      </c>
      <c r="C1216" s="23"/>
      <c r="D1216" s="24">
        <f ca="1">IFERROR(__xludf.DUMMYFUNCTION("""COMPUTED_VALUE"""),889)</f>
        <v>889</v>
      </c>
      <c r="E1216" s="25" t="str">
        <f ca="1">IFERROR(__xludf.DUMMYFUNCTION("""COMPUTED_VALUE"""),"REA-K6409")</f>
        <v>REA-K6409</v>
      </c>
    </row>
    <row r="1217" spans="1:5" x14ac:dyDescent="0.2">
      <c r="A1217" s="22">
        <f ca="1">IFERROR(__xludf.DUMMYFUNCTION("""COMPUTED_VALUE"""),45245)</f>
        <v>45245</v>
      </c>
      <c r="B1217" s="23" t="str">
        <f ca="1">IFERROR(__xludf.DUMMYFUNCTION("""COMPUTED_VALUE"""),"DRZWI PRYSZNICOWE RAPID SLIDE CHROM 130")</f>
        <v>DRZWI PRYSZNICOWE RAPID SLIDE CHROM 130</v>
      </c>
      <c r="C1217" s="23"/>
      <c r="D1217" s="24">
        <f ca="1">IFERROR(__xludf.DUMMYFUNCTION("""COMPUTED_VALUE"""),929)</f>
        <v>929</v>
      </c>
      <c r="E1217" s="25" t="str">
        <f ca="1">IFERROR(__xludf.DUMMYFUNCTION("""COMPUTED_VALUE"""),"REA-K5603")</f>
        <v>REA-K5603</v>
      </c>
    </row>
    <row r="1218" spans="1:5" x14ac:dyDescent="0.2">
      <c r="A1218" s="22">
        <f ca="1">IFERROR(__xludf.DUMMYFUNCTION("""COMPUTED_VALUE"""),45245)</f>
        <v>45245</v>
      </c>
      <c r="B1218" s="23" t="str">
        <f ca="1">IFERROR(__xludf.DUMMYFUNCTION("""COMPUTED_VALUE"""),"PARAWAN STAŁY LAGOS-1 FIX 70")</f>
        <v>PARAWAN STAŁY LAGOS-1 FIX 70</v>
      </c>
      <c r="C1218" s="23"/>
      <c r="D1218" s="24">
        <f ca="1">IFERROR(__xludf.DUMMYFUNCTION("""COMPUTED_VALUE"""),379)</f>
        <v>379</v>
      </c>
      <c r="E1218" s="25" t="str">
        <f ca="1">IFERROR(__xludf.DUMMYFUNCTION("""COMPUTED_VALUE"""),"REA-K4560")</f>
        <v>REA-K4560</v>
      </c>
    </row>
    <row r="1219" spans="1:5" x14ac:dyDescent="0.2">
      <c r="A1219" s="22">
        <f ca="1">IFERROR(__xludf.DUMMYFUNCTION("""COMPUTED_VALUE"""),45245)</f>
        <v>45245</v>
      </c>
      <c r="B1219" s="23" t="str">
        <f ca="1">IFERROR(__xludf.DUMMYFUNCTION("""COMPUTED_VALUE"""),"UMYWALKA SAMI WHITE BRUSH GOLD")</f>
        <v>UMYWALKA SAMI WHITE BRUSH GOLD</v>
      </c>
      <c r="C1219" s="23"/>
      <c r="D1219" s="24">
        <f ca="1">IFERROR(__xludf.DUMMYFUNCTION("""COMPUTED_VALUE"""),419)</f>
        <v>419</v>
      </c>
      <c r="E1219" s="25" t="str">
        <f ca="1">IFERROR(__xludf.DUMMYFUNCTION("""COMPUTED_VALUE"""),"REA-U6630")</f>
        <v>REA-U6630</v>
      </c>
    </row>
    <row r="1220" spans="1:5" x14ac:dyDescent="0.2">
      <c r="A1220" s="22">
        <f ca="1">IFERROR(__xludf.DUMMYFUNCTION("""COMPUTED_VALUE"""),45245)</f>
        <v>45245</v>
      </c>
      <c r="B1220" s="23" t="str">
        <f ca="1">IFERROR(__xludf.DUMMYFUNCTION("""COMPUTED_VALUE"""),"UMYWALKA ROSA - NABLATOWA")</f>
        <v>UMYWALKA ROSA - NABLATOWA</v>
      </c>
      <c r="C1220" s="23"/>
      <c r="D1220" s="24">
        <f ca="1">IFERROR(__xludf.DUMMYFUNCTION("""COMPUTED_VALUE"""),249)</f>
        <v>249</v>
      </c>
      <c r="E1220" s="25" t="str">
        <f ca="1">IFERROR(__xludf.DUMMYFUNCTION("""COMPUTED_VALUE"""),"REA-00692")</f>
        <v>REA-00692</v>
      </c>
    </row>
    <row r="1221" spans="1:5" x14ac:dyDescent="0.2">
      <c r="A1221" s="22">
        <f ca="1">IFERROR(__xludf.DUMMYFUNCTION("""COMPUTED_VALUE"""),45245)</f>
        <v>45245</v>
      </c>
      <c r="B1221" s="23" t="str">
        <f ca="1">IFERROR(__xludf.DUMMYFUNCTION("""COMPUTED_VALUE"""),"UMYWALKA ROSA-2 - NABLATOWA")</f>
        <v>UMYWALKA ROSA-2 - NABLATOWA</v>
      </c>
      <c r="C1221" s="23"/>
      <c r="D1221" s="24">
        <f ca="1">IFERROR(__xludf.DUMMYFUNCTION("""COMPUTED_VALUE"""),239)</f>
        <v>239</v>
      </c>
      <c r="E1221" s="25" t="str">
        <f ca="1">IFERROR(__xludf.DUMMYFUNCTION("""COMPUTED_VALUE"""),"REA-U0160")</f>
        <v>REA-U0160</v>
      </c>
    </row>
    <row r="1222" spans="1:5" x14ac:dyDescent="0.2">
      <c r="A1222" s="22">
        <f ca="1">IFERROR(__xludf.DUMMYFUNCTION("""COMPUTED_VALUE"""),45245)</f>
        <v>45245</v>
      </c>
      <c r="B1222" s="23" t="str">
        <f ca="1">IFERROR(__xludf.DUMMYFUNCTION("""COMPUTED_VALUE"""),"BATERIA COLE NIKIEL SZCZOTKOWANY")</f>
        <v>BATERIA COLE NIKIEL SZCZOTKOWANY</v>
      </c>
      <c r="C1222" s="23"/>
      <c r="D1222" s="24">
        <f ca="1">IFERROR(__xludf.DUMMYFUNCTION("""COMPUTED_VALUE"""),269)</f>
        <v>269</v>
      </c>
      <c r="E1222" s="25" t="str">
        <f ca="1">IFERROR(__xludf.DUMMYFUNCTION("""COMPUTED_VALUE"""),"REA-B0859")</f>
        <v>REA-B0859</v>
      </c>
    </row>
    <row r="1223" spans="1:5" x14ac:dyDescent="0.2">
      <c r="A1223" s="22">
        <f ca="1">IFERROR(__xludf.DUMMYFUNCTION("""COMPUTED_VALUE"""),45245)</f>
        <v>45245</v>
      </c>
      <c r="B1223" s="23" t="str">
        <f ca="1">IFERROR(__xludf.DUMMYFUNCTION("""COMPUTED_VALUE"""),"UMYWALKA KIOTO - NABLATOWA")</f>
        <v>UMYWALKA KIOTO - NABLATOWA</v>
      </c>
      <c r="C1223" s="23"/>
      <c r="D1223" s="24">
        <f ca="1">IFERROR(__xludf.DUMMYFUNCTION("""COMPUTED_VALUE"""),429)</f>
        <v>429</v>
      </c>
      <c r="E1223" s="25" t="str">
        <f ca="1">IFERROR(__xludf.DUMMYFUNCTION("""COMPUTED_VALUE"""),"REA-U6032")</f>
        <v>REA-U6032</v>
      </c>
    </row>
    <row r="1224" spans="1:5" x14ac:dyDescent="0.2">
      <c r="A1224" s="22">
        <f ca="1">IFERROR(__xludf.DUMMYFUNCTION("""COMPUTED_VALUE"""),45245)</f>
        <v>45245</v>
      </c>
      <c r="B1224" s="23" t="str">
        <f ca="1">IFERROR(__xludf.DUMMYFUNCTION("""COMPUTED_VALUE"""),"UMYWALKA MEXICO - NABLATOWA")</f>
        <v>UMYWALKA MEXICO - NABLATOWA</v>
      </c>
      <c r="C1224" s="23"/>
      <c r="D1224" s="24">
        <f ca="1">IFERROR(__xludf.DUMMYFUNCTION("""COMPUTED_VALUE"""),399)</f>
        <v>399</v>
      </c>
      <c r="E1224" s="25" t="str">
        <f ca="1">IFERROR(__xludf.DUMMYFUNCTION("""COMPUTED_VALUE"""),"REA-U6030")</f>
        <v>REA-U6030</v>
      </c>
    </row>
    <row r="1225" spans="1:5" x14ac:dyDescent="0.2">
      <c r="A1225" s="22">
        <f ca="1">IFERROR(__xludf.DUMMYFUNCTION("""COMPUTED_VALUE"""),45245)</f>
        <v>45245</v>
      </c>
      <c r="B1225" s="23" t="str">
        <f ca="1">IFERROR(__xludf.DUMMYFUNCTION("""COMPUTED_VALUE"""),"UMYWALKA PERU - NABLATOWA")</f>
        <v>UMYWALKA PERU - NABLATOWA</v>
      </c>
      <c r="C1225" s="23"/>
      <c r="D1225" s="24">
        <f ca="1">IFERROR(__xludf.DUMMYFUNCTION("""COMPUTED_VALUE"""),399)</f>
        <v>399</v>
      </c>
      <c r="E1225" s="25" t="str">
        <f ca="1">IFERROR(__xludf.DUMMYFUNCTION("""COMPUTED_VALUE"""),"REA-U6031")</f>
        <v>REA-U6031</v>
      </c>
    </row>
    <row r="1226" spans="1:5" x14ac:dyDescent="0.2">
      <c r="A1226" s="22">
        <f ca="1">IFERROR(__xludf.DUMMYFUNCTION("""COMPUTED_VALUE"""),45238)</f>
        <v>45238</v>
      </c>
      <c r="B1226" s="23" t="str">
        <f ca="1">IFERROR(__xludf.DUMMYFUNCTION("""COMPUTED_VALUE"""),"KABINA SPACE IN BLACK 90X90")</f>
        <v>KABINA SPACE IN BLACK 90X90</v>
      </c>
      <c r="C1226" s="23"/>
      <c r="D1226" s="24">
        <f ca="1">IFERROR(__xludf.DUMMYFUNCTION("""COMPUTED_VALUE"""),1499)</f>
        <v>1499</v>
      </c>
      <c r="E1226" s="25" t="str">
        <f ca="1">IFERROR(__xludf.DUMMYFUNCTION("""COMPUTED_VALUE"""),"REA-K8881")</f>
        <v>REA-K8881</v>
      </c>
    </row>
    <row r="1227" spans="1:5" x14ac:dyDescent="0.2">
      <c r="A1227" s="22">
        <f ca="1">IFERROR(__xludf.DUMMYFUNCTION("""COMPUTED_VALUE"""),45238)</f>
        <v>45238</v>
      </c>
      <c r="B1227" s="23" t="str">
        <f ca="1">IFERROR(__xludf.DUMMYFUNCTION("""COMPUTED_VALUE"""),"ŚCIANKA DO RAPID 100")</f>
        <v>ŚCIANKA DO RAPID 100</v>
      </c>
      <c r="C1227" s="23"/>
      <c r="D1227" s="24">
        <f ca="1">IFERROR(__xludf.DUMMYFUNCTION("""COMPUTED_VALUE"""),550)</f>
        <v>550</v>
      </c>
      <c r="E1227" s="25" t="str">
        <f ca="1">IFERROR(__xludf.DUMMYFUNCTION("""COMPUTED_VALUE"""),"REA-K6423")</f>
        <v>REA-K6423</v>
      </c>
    </row>
    <row r="1228" spans="1:5" x14ac:dyDescent="0.2">
      <c r="A1228" s="22">
        <f ca="1">IFERROR(__xludf.DUMMYFUNCTION("""COMPUTED_VALUE"""),45238)</f>
        <v>45238</v>
      </c>
      <c r="B1228" s="23" t="str">
        <f ca="1">IFERROR(__xludf.DUMMYFUNCTION("""COMPUTED_VALUE"""),"ŚCIANKA DO RAPID 90")</f>
        <v>ŚCIANKA DO RAPID 90</v>
      </c>
      <c r="C1228" s="23"/>
      <c r="D1228" s="24">
        <f ca="1">IFERROR(__xludf.DUMMYFUNCTION("""COMPUTED_VALUE"""),520)</f>
        <v>520</v>
      </c>
      <c r="E1228" s="25" t="str">
        <f ca="1">IFERROR(__xludf.DUMMYFUNCTION("""COMPUTED_VALUE"""),"REA-K6422")</f>
        <v>REA-K6422</v>
      </c>
    </row>
    <row r="1229" spans="1:5" x14ac:dyDescent="0.2">
      <c r="A1229" s="22">
        <f ca="1">IFERROR(__xludf.DUMMYFUNCTION("""COMPUTED_VALUE"""),45238)</f>
        <v>45238</v>
      </c>
      <c r="B1229" s="23" t="str">
        <f ca="1">IFERROR(__xludf.DUMMYFUNCTION("""COMPUTED_VALUE"""),"ŚCIANKA DO RAPID 80")</f>
        <v>ŚCIANKA DO RAPID 80</v>
      </c>
      <c r="C1229" s="23"/>
      <c r="D1229" s="24">
        <f ca="1">IFERROR(__xludf.DUMMYFUNCTION("""COMPUTED_VALUE"""),490)</f>
        <v>490</v>
      </c>
      <c r="E1229" s="25" t="str">
        <f ca="1">IFERROR(__xludf.DUMMYFUNCTION("""COMPUTED_VALUE"""),"REA-K6421")</f>
        <v>REA-K6421</v>
      </c>
    </row>
    <row r="1230" spans="1:5" x14ac:dyDescent="0.2">
      <c r="A1230" s="22">
        <f ca="1">IFERROR(__xludf.DUMMYFUNCTION("""COMPUTED_VALUE"""),45238)</f>
        <v>45238</v>
      </c>
      <c r="B1230" s="23" t="str">
        <f ca="1">IFERROR(__xludf.DUMMYFUNCTION("""COMPUTED_VALUE"""),"DRZWI PRYSZNICOWE RAPID SLIDE 130")</f>
        <v>DRZWI PRYSZNICOWE RAPID SLIDE 130</v>
      </c>
      <c r="C1230" s="23"/>
      <c r="D1230" s="24">
        <f ca="1">IFERROR(__xludf.DUMMYFUNCTION("""COMPUTED_VALUE"""),999)</f>
        <v>999</v>
      </c>
      <c r="E1230" s="25" t="str">
        <f ca="1">IFERROR(__xludf.DUMMYFUNCTION("""COMPUTED_VALUE"""),"REA-K6403")</f>
        <v>REA-K6403</v>
      </c>
    </row>
    <row r="1231" spans="1:5" x14ac:dyDescent="0.2">
      <c r="A1231" s="22">
        <f ca="1">IFERROR(__xludf.DUMMYFUNCTION("""COMPUTED_VALUE"""),45238)</f>
        <v>45238</v>
      </c>
      <c r="B1231" s="23" t="str">
        <f ca="1">IFERROR(__xludf.DUMMYFUNCTION("""COMPUTED_VALUE"""),"DRZWI PRYSZNICOWE RAPID SLIDE 120")</f>
        <v>DRZWI PRYSZNICOWE RAPID SLIDE 120</v>
      </c>
      <c r="C1231" s="23"/>
      <c r="D1231" s="24">
        <f ca="1">IFERROR(__xludf.DUMMYFUNCTION("""COMPUTED_VALUE"""),969)</f>
        <v>969</v>
      </c>
      <c r="E1231" s="25" t="str">
        <f ca="1">IFERROR(__xludf.DUMMYFUNCTION("""COMPUTED_VALUE"""),"REA-K6402")</f>
        <v>REA-K6402</v>
      </c>
    </row>
    <row r="1232" spans="1:5" x14ac:dyDescent="0.2">
      <c r="A1232" s="22">
        <f ca="1">IFERROR(__xludf.DUMMYFUNCTION("""COMPUTED_VALUE"""),45238)</f>
        <v>45238</v>
      </c>
      <c r="B1232" s="23" t="str">
        <f ca="1">IFERROR(__xludf.DUMMYFUNCTION("""COMPUTED_VALUE"""),"DRZWI PRYSZNICOWE RAPID SLIDE 110")</f>
        <v>DRZWI PRYSZNICOWE RAPID SLIDE 110</v>
      </c>
      <c r="C1232" s="23"/>
      <c r="D1232" s="24">
        <f ca="1">IFERROR(__xludf.DUMMYFUNCTION("""COMPUTED_VALUE"""),939)</f>
        <v>939</v>
      </c>
      <c r="E1232" s="25" t="str">
        <f ca="1">IFERROR(__xludf.DUMMYFUNCTION("""COMPUTED_VALUE"""),"REA-K6401")</f>
        <v>REA-K6401</v>
      </c>
    </row>
    <row r="1233" spans="1:5" x14ac:dyDescent="0.2">
      <c r="A1233" s="22">
        <f ca="1">IFERROR(__xludf.DUMMYFUNCTION("""COMPUTED_VALUE"""),45238)</f>
        <v>45238</v>
      </c>
      <c r="B1233" s="23" t="str">
        <f ca="1">IFERROR(__xludf.DUMMYFUNCTION("""COMPUTED_VALUE"""),"DRZWI PRYSZNICOWE RAPID SLIDE 100")</f>
        <v>DRZWI PRYSZNICOWE RAPID SLIDE 100</v>
      </c>
      <c r="C1233" s="23"/>
      <c r="D1233" s="24">
        <f ca="1">IFERROR(__xludf.DUMMYFUNCTION("""COMPUTED_VALUE"""),899)</f>
        <v>899</v>
      </c>
      <c r="E1233" s="25" t="str">
        <f ca="1">IFERROR(__xludf.DUMMYFUNCTION("""COMPUTED_VALUE"""),"REA-K6400")</f>
        <v>REA-K6400</v>
      </c>
    </row>
    <row r="1234" spans="1:5" x14ac:dyDescent="0.2">
      <c r="A1234" s="22">
        <f ca="1">IFERROR(__xludf.DUMMYFUNCTION("""COMPUTED_VALUE"""),45238)</f>
        <v>45238</v>
      </c>
      <c r="B1234" s="23" t="str">
        <f ca="1">IFERROR(__xludf.DUMMYFUNCTION("""COMPUTED_VALUE"""),"UCHWYT PRYSZNICOWY 01 BLACK")</f>
        <v>UCHWYT PRYSZNICOWY 01 BLACK</v>
      </c>
      <c r="C1234" s="23"/>
      <c r="D1234" s="24">
        <f ca="1">IFERROR(__xludf.DUMMYFUNCTION("""COMPUTED_VALUE"""),99)</f>
        <v>99</v>
      </c>
      <c r="E1234" s="25" t="str">
        <f ca="1">IFERROR(__xludf.DUMMYFUNCTION("""COMPUTED_VALUE"""),"REA-P5983")</f>
        <v>REA-P5983</v>
      </c>
    </row>
    <row r="1235" spans="1:5" x14ac:dyDescent="0.2">
      <c r="A1235" s="22">
        <f ca="1">IFERROR(__xludf.DUMMYFUNCTION("""COMPUTED_VALUE"""),45238)</f>
        <v>45238</v>
      </c>
      <c r="B1235" s="23" t="str">
        <f ca="1">IFERROR(__xludf.DUMMYFUNCTION("""COMPUTED_VALUE"""),"BATERIA KUCHENNA FRESH ZŁOTA")</f>
        <v>BATERIA KUCHENNA FRESH ZŁOTA</v>
      </c>
      <c r="C1235" s="23"/>
      <c r="D1235" s="24">
        <f ca="1">IFERROR(__xludf.DUMMYFUNCTION("""COMPUTED_VALUE"""),299)</f>
        <v>299</v>
      </c>
      <c r="E1235" s="25" t="str">
        <f ca="1">IFERROR(__xludf.DUMMYFUNCTION("""COMPUTED_VALUE"""),"REA-B0669")</f>
        <v>REA-B0669</v>
      </c>
    </row>
    <row r="1236" spans="1:5" x14ac:dyDescent="0.2">
      <c r="A1236" s="22">
        <f ca="1">IFERROR(__xludf.DUMMYFUNCTION("""COMPUTED_VALUE"""),45238)</f>
        <v>45238</v>
      </c>
      <c r="B1236" s="23" t="str">
        <f ca="1">IFERROR(__xludf.DUMMYFUNCTION("""COMPUTED_VALUE"""),"ODPŁYW NEO ULTRA SLIM PRO SZCZOTKOWANY 700")</f>
        <v>ODPŁYW NEO ULTRA SLIM PRO SZCZOTKOWANY 700</v>
      </c>
      <c r="C1236" s="23"/>
      <c r="D1236" s="24">
        <f ca="1">IFERROR(__xludf.DUMMYFUNCTION("""COMPUTED_VALUE"""),169)</f>
        <v>169</v>
      </c>
      <c r="E1236" s="25" t="str">
        <f ca="1">IFERROR(__xludf.DUMMYFUNCTION("""COMPUTED_VALUE"""),"REA-G9801")</f>
        <v>REA-G9801</v>
      </c>
    </row>
    <row r="1237" spans="1:5" x14ac:dyDescent="0.2">
      <c r="A1237" s="22">
        <f ca="1">IFERROR(__xludf.DUMMYFUNCTION("""COMPUTED_VALUE"""),45238)</f>
        <v>45238</v>
      </c>
      <c r="B1237" s="23" t="str">
        <f ca="1">IFERROR(__xludf.DUMMYFUNCTION("""COMPUTED_VALUE"""),"ODPŁYW NEO ULTRA SLIM PRO SZCZOTKOWANY 800")</f>
        <v>ODPŁYW NEO ULTRA SLIM PRO SZCZOTKOWANY 800</v>
      </c>
      <c r="C1237" s="23"/>
      <c r="D1237" s="24">
        <f ca="1">IFERROR(__xludf.DUMMYFUNCTION("""COMPUTED_VALUE"""),179)</f>
        <v>179</v>
      </c>
      <c r="E1237" s="25" t="str">
        <f ca="1">IFERROR(__xludf.DUMMYFUNCTION("""COMPUTED_VALUE"""),"REA-G9802")</f>
        <v>REA-G9802</v>
      </c>
    </row>
    <row r="1238" spans="1:5" x14ac:dyDescent="0.2">
      <c r="A1238" s="22">
        <f ca="1">IFERROR(__xludf.DUMMYFUNCTION("""COMPUTED_VALUE"""),45238)</f>
        <v>45238</v>
      </c>
      <c r="B1238" s="23" t="str">
        <f ca="1">IFERROR(__xludf.DUMMYFUNCTION("""COMPUTED_VALUE"""),"ODPŁYW NEO ULTRA SLIM PRO SZCZOTKOWANY 600")</f>
        <v>ODPŁYW NEO ULTRA SLIM PRO SZCZOTKOWANY 600</v>
      </c>
      <c r="C1238" s="23"/>
      <c r="D1238" s="24">
        <f ca="1">IFERROR(__xludf.DUMMYFUNCTION("""COMPUTED_VALUE"""),159)</f>
        <v>159</v>
      </c>
      <c r="E1238" s="25" t="str">
        <f ca="1">IFERROR(__xludf.DUMMYFUNCTION("""COMPUTED_VALUE"""),"REA-G9800")</f>
        <v>REA-G9800</v>
      </c>
    </row>
    <row r="1239" spans="1:5" x14ac:dyDescent="0.2">
      <c r="A1239" s="22">
        <f ca="1">IFERROR(__xludf.DUMMYFUNCTION("""COMPUTED_VALUE"""),45238)</f>
        <v>45238</v>
      </c>
      <c r="B1239" s="23" t="str">
        <f ca="1">IFERROR(__xludf.DUMMYFUNCTION("""COMPUTED_VALUE"""),"ODPŁYW NEO ULTRA SLIM PRO ZŁOTY SZCZOTKOWANY 700")</f>
        <v>ODPŁYW NEO ULTRA SLIM PRO ZŁOTY SZCZOTKOWANY 700</v>
      </c>
      <c r="C1239" s="23"/>
      <c r="D1239" s="24">
        <f ca="1">IFERROR(__xludf.DUMMYFUNCTION("""COMPUTED_VALUE"""),199)</f>
        <v>199</v>
      </c>
      <c r="E1239" s="25" t="str">
        <f ca="1">IFERROR(__xludf.DUMMYFUNCTION("""COMPUTED_VALUE"""),"REA-G9804")</f>
        <v>REA-G9804</v>
      </c>
    </row>
    <row r="1240" spans="1:5" x14ac:dyDescent="0.2">
      <c r="A1240" s="22">
        <f ca="1">IFERROR(__xludf.DUMMYFUNCTION("""COMPUTED_VALUE"""),45238)</f>
        <v>45238</v>
      </c>
      <c r="B1240" s="23" t="str">
        <f ca="1">IFERROR(__xludf.DUMMYFUNCTION("""COMPUTED_VALUE"""),"ODPŁYW NEO ULTRA SLIM PRO ZŁOTY SZCZOTKOWANY 800")</f>
        <v>ODPŁYW NEO ULTRA SLIM PRO ZŁOTY SZCZOTKOWANY 800</v>
      </c>
      <c r="C1240" s="23"/>
      <c r="D1240" s="24">
        <f ca="1">IFERROR(__xludf.DUMMYFUNCTION("""COMPUTED_VALUE"""),379)</f>
        <v>379</v>
      </c>
      <c r="E1240" s="25" t="str">
        <f ca="1">IFERROR(__xludf.DUMMYFUNCTION("""COMPUTED_VALUE"""),"REA-G9805")</f>
        <v>REA-G9805</v>
      </c>
    </row>
    <row r="1241" spans="1:5" x14ac:dyDescent="0.2">
      <c r="A1241" s="22">
        <f ca="1">IFERROR(__xludf.DUMMYFUNCTION("""COMPUTED_VALUE"""),45238)</f>
        <v>45238</v>
      </c>
      <c r="B1241" s="23" t="str">
        <f ca="1">IFERROR(__xludf.DUMMYFUNCTION("""COMPUTED_VALUE"""),"ODPŁYW NEO ULTRA SLIM PRO ZŁOTY SZCZOTKOWANY 600")</f>
        <v>ODPŁYW NEO ULTRA SLIM PRO ZŁOTY SZCZOTKOWANY 600</v>
      </c>
      <c r="C1241" s="23"/>
      <c r="D1241" s="24">
        <f ca="1">IFERROR(__xludf.DUMMYFUNCTION("""COMPUTED_VALUE"""),189)</f>
        <v>189</v>
      </c>
      <c r="E1241" s="25" t="str">
        <f ca="1">IFERROR(__xludf.DUMMYFUNCTION("""COMPUTED_VALUE"""),"REA-G9803")</f>
        <v>REA-G9803</v>
      </c>
    </row>
    <row r="1242" spans="1:5" x14ac:dyDescent="0.2">
      <c r="A1242" s="22">
        <f ca="1">IFERROR(__xludf.DUMMYFUNCTION("""COMPUTED_VALUE"""),45238)</f>
        <v>45238</v>
      </c>
      <c r="B1242" s="23" t="str">
        <f ca="1">IFERROR(__xludf.DUMMYFUNCTION("""COMPUTED_VALUE"""),"BATERIA UMYWALKOWA DART ZŁOTA NISKA")</f>
        <v>BATERIA UMYWALKOWA DART ZŁOTA NISKA</v>
      </c>
      <c r="C1242" s="23"/>
      <c r="D1242" s="24">
        <f ca="1">IFERROR(__xludf.DUMMYFUNCTION("""COMPUTED_VALUE"""),329)</f>
        <v>329</v>
      </c>
      <c r="E1242" s="25" t="str">
        <f ca="1">IFERROR(__xludf.DUMMYFUNCTION("""COMPUTED_VALUE"""),"REA-B5650")</f>
        <v>REA-B5650</v>
      </c>
    </row>
    <row r="1243" spans="1:5" x14ac:dyDescent="0.2">
      <c r="A1243" s="22">
        <f ca="1">IFERROR(__xludf.DUMMYFUNCTION("""COMPUTED_VALUE"""),45238)</f>
        <v>45238</v>
      </c>
      <c r="B1243" s="23" t="str">
        <f ca="1">IFERROR(__xludf.DUMMYFUNCTION("""COMPUTED_VALUE"""),"BATERIA UMYWALKOWA DART ZŁOTA WYSOKA")</f>
        <v>BATERIA UMYWALKOWA DART ZŁOTA WYSOKA</v>
      </c>
      <c r="C1243" s="23"/>
      <c r="D1243" s="24">
        <f ca="1">IFERROR(__xludf.DUMMYFUNCTION("""COMPUTED_VALUE"""),479)</f>
        <v>479</v>
      </c>
      <c r="E1243" s="25" t="str">
        <f ca="1">IFERROR(__xludf.DUMMYFUNCTION("""COMPUTED_VALUE"""),"REA-B5651")</f>
        <v>REA-B5651</v>
      </c>
    </row>
    <row r="1244" spans="1:5" x14ac:dyDescent="0.2">
      <c r="A1244" s="22">
        <f ca="1">IFERROR(__xludf.DUMMYFUNCTION("""COMPUTED_VALUE"""),45238)</f>
        <v>45238</v>
      </c>
      <c r="B1244" s="23" t="str">
        <f ca="1">IFERROR(__xludf.DUMMYFUNCTION("""COMPUTED_VALUE"""),"BATERIA WANNOWA DART ZŁOTA")</f>
        <v>BATERIA WANNOWA DART ZŁOTA</v>
      </c>
      <c r="C1244" s="23"/>
      <c r="D1244" s="24">
        <f ca="1">IFERROR(__xludf.DUMMYFUNCTION("""COMPUTED_VALUE"""),549)</f>
        <v>549</v>
      </c>
      <c r="E1244" s="25" t="str">
        <f ca="1">IFERROR(__xludf.DUMMYFUNCTION("""COMPUTED_VALUE"""),"REA-B5652")</f>
        <v>REA-B5652</v>
      </c>
    </row>
    <row r="1245" spans="1:5" x14ac:dyDescent="0.2">
      <c r="A1245" s="22">
        <f ca="1">IFERROR(__xludf.DUMMYFUNCTION("""COMPUTED_VALUE"""),45238)</f>
        <v>45238</v>
      </c>
      <c r="B1245" s="23" t="str">
        <f ca="1">IFERROR(__xludf.DUMMYFUNCTION("""COMPUTED_VALUE"""),"BATERIA PRYSZNICOWA DART ZŁOTA")</f>
        <v>BATERIA PRYSZNICOWA DART ZŁOTA</v>
      </c>
      <c r="C1245" s="23"/>
      <c r="D1245" s="24">
        <f ca="1">IFERROR(__xludf.DUMMYFUNCTION("""COMPUTED_VALUE"""),439)</f>
        <v>439</v>
      </c>
      <c r="E1245" s="25" t="str">
        <f ca="1">IFERROR(__xludf.DUMMYFUNCTION("""COMPUTED_VALUE"""),"REA-B5653")</f>
        <v>REA-B5653</v>
      </c>
    </row>
    <row r="1246" spans="1:5" x14ac:dyDescent="0.2">
      <c r="A1246" s="22">
        <f ca="1">IFERROR(__xludf.DUMMYFUNCTION("""COMPUTED_VALUE"""),45238)</f>
        <v>45238</v>
      </c>
      <c r="B1246" s="23" t="str">
        <f ca="1">IFERROR(__xludf.DUMMYFUNCTION("""COMPUTED_VALUE"""),"BATERIA UMYWALKOWA VERSO GOLD SZCZOTKOWANA WYSOKA")</f>
        <v>BATERIA UMYWALKOWA VERSO GOLD SZCZOTKOWANA WYSOKA</v>
      </c>
      <c r="C1246" s="23"/>
      <c r="D1246" s="24">
        <f ca="1">IFERROR(__xludf.DUMMYFUNCTION("""COMPUTED_VALUE"""),439)</f>
        <v>439</v>
      </c>
      <c r="E1246" s="25" t="str">
        <f ca="1">IFERROR(__xludf.DUMMYFUNCTION("""COMPUTED_VALUE"""),"REA-B6564")</f>
        <v>REA-B6564</v>
      </c>
    </row>
    <row r="1247" spans="1:5" x14ac:dyDescent="0.2">
      <c r="A1247" s="22">
        <f ca="1">IFERROR(__xludf.DUMMYFUNCTION("""COMPUTED_VALUE"""),45238)</f>
        <v>45238</v>
      </c>
      <c r="B1247" s="23" t="str">
        <f ca="1">IFERROR(__xludf.DUMMYFUNCTION("""COMPUTED_VALUE"""),"BATERIA UMYWALKOWA VERSO GOLD SZCZOTKOWANA NISKA")</f>
        <v>BATERIA UMYWALKOWA VERSO GOLD SZCZOTKOWANA NISKA</v>
      </c>
      <c r="C1247" s="23"/>
      <c r="D1247" s="24">
        <f ca="1">IFERROR(__xludf.DUMMYFUNCTION("""COMPUTED_VALUE"""),329)</f>
        <v>329</v>
      </c>
      <c r="E1247" s="25" t="str">
        <f ca="1">IFERROR(__xludf.DUMMYFUNCTION("""COMPUTED_VALUE"""),"REA-B6555")</f>
        <v>REA-B6555</v>
      </c>
    </row>
    <row r="1248" spans="1:5" x14ac:dyDescent="0.2">
      <c r="A1248" s="22">
        <f ca="1">IFERROR(__xludf.DUMMYFUNCTION("""COMPUTED_VALUE"""),45238)</f>
        <v>45238</v>
      </c>
      <c r="B1248" s="23" t="str">
        <f ca="1">IFERROR(__xludf.DUMMYFUNCTION("""COMPUTED_VALUE"""),"BATERIA BIDETOWA LOOP LUNGO CZARNA METALICZNA")</f>
        <v>BATERIA BIDETOWA LOOP LUNGO CZARNA METALICZNA</v>
      </c>
      <c r="C1248" s="23"/>
      <c r="D1248" s="24">
        <f ca="1">IFERROR(__xludf.DUMMYFUNCTION("""COMPUTED_VALUE"""),449)</f>
        <v>449</v>
      </c>
      <c r="E1248" s="25" t="str">
        <f ca="1">IFERROR(__xludf.DUMMYFUNCTION("""COMPUTED_VALUE"""),"REA-B5656")</f>
        <v>REA-B5656</v>
      </c>
    </row>
    <row r="1249" spans="1:5" x14ac:dyDescent="0.2">
      <c r="A1249" s="22">
        <f ca="1">IFERROR(__xludf.DUMMYFUNCTION("""COMPUTED_VALUE"""),45238)</f>
        <v>45238</v>
      </c>
      <c r="B1249" s="23" t="str">
        <f ca="1">IFERROR(__xludf.DUMMYFUNCTION("""COMPUTED_VALUE"""),"BATERIA BIDETOWA LOOP LUNGO WHITE")</f>
        <v>BATERIA BIDETOWA LOOP LUNGO WHITE</v>
      </c>
      <c r="C1249" s="23"/>
      <c r="D1249" s="24">
        <f ca="1">IFERROR(__xludf.DUMMYFUNCTION("""COMPUTED_VALUE"""),399)</f>
        <v>399</v>
      </c>
      <c r="E1249" s="25" t="str">
        <f ca="1">IFERROR(__xludf.DUMMYFUNCTION("""COMPUTED_VALUE"""),"REA-B0255")</f>
        <v>REA-B0255</v>
      </c>
    </row>
    <row r="1250" spans="1:5" x14ac:dyDescent="0.2">
      <c r="A1250" s="22">
        <f ca="1">IFERROR(__xludf.DUMMYFUNCTION("""COMPUTED_VALUE"""),45238)</f>
        <v>45238</v>
      </c>
      <c r="B1250" s="23" t="str">
        <f ca="1">IFERROR(__xludf.DUMMYFUNCTION("""COMPUTED_VALUE"""),"KOREK KLIK-KLAK UNIWERSALNY CZARNY METALICZNY")</f>
        <v>KOREK KLIK-KLAK UNIWERSALNY CZARNY METALICZNY</v>
      </c>
      <c r="C1250" s="23"/>
      <c r="D1250" s="24">
        <f ca="1">IFERROR(__xludf.DUMMYFUNCTION("""COMPUTED_VALUE"""),139)</f>
        <v>139</v>
      </c>
      <c r="E1250" s="25" t="str">
        <f ca="1">IFERROR(__xludf.DUMMYFUNCTION("""COMPUTED_VALUE"""),"REA-A4100")</f>
        <v>REA-A4100</v>
      </c>
    </row>
    <row r="1251" spans="1:5" x14ac:dyDescent="0.2">
      <c r="A1251" s="22">
        <f ca="1">IFERROR(__xludf.DUMMYFUNCTION("""COMPUTED_VALUE"""),45238)</f>
        <v>45238</v>
      </c>
      <c r="B1251" s="23" t="str">
        <f ca="1">IFERROR(__xludf.DUMMYFUNCTION("""COMPUTED_VALUE"""),"ZESTAW NATRYS-WANNOWY LUNGO CZARNY METALICZNY TERM")</f>
        <v>ZESTAW NATRYS-WANNOWY LUNGO CZARNY METALICZNY TERM</v>
      </c>
      <c r="C1251" s="23"/>
      <c r="D1251" s="24">
        <f ca="1">IFERROR(__xludf.DUMMYFUNCTION("""COMPUTED_VALUE"""),1199)</f>
        <v>1199</v>
      </c>
      <c r="E1251" s="25" t="str">
        <f ca="1">IFERROR(__xludf.DUMMYFUNCTION("""COMPUTED_VALUE"""),"REA-P8763")</f>
        <v>REA-P8763</v>
      </c>
    </row>
    <row r="1252" spans="1:5" x14ac:dyDescent="0.2">
      <c r="A1252" s="22">
        <f ca="1">IFERROR(__xludf.DUMMYFUNCTION("""COMPUTED_VALUE"""),45238)</f>
        <v>45238</v>
      </c>
      <c r="B1252" s="23" t="str">
        <f ca="1">IFERROR(__xludf.DUMMYFUNCTION("""COMPUTED_VALUE"""),"BATERIA UMYW JS-B253BG LEVEL ZŁOTA SZCZO NISKA")</f>
        <v>BATERIA UMYW JS-B253BG LEVEL ZŁOTA SZCZO NISKA</v>
      </c>
      <c r="C1252" s="23"/>
      <c r="D1252" s="24">
        <f ca="1">IFERROR(__xludf.DUMMYFUNCTION("""COMPUTED_VALUE"""),259)</f>
        <v>259</v>
      </c>
      <c r="E1252" s="25" t="str">
        <f ca="1">IFERROR(__xludf.DUMMYFUNCTION("""COMPUTED_VALUE"""),"REA-B6218")</f>
        <v>REA-B6218</v>
      </c>
    </row>
    <row r="1253" spans="1:5" x14ac:dyDescent="0.2">
      <c r="A1253" s="22">
        <f ca="1">IFERROR(__xludf.DUMMYFUNCTION("""COMPUTED_VALUE"""),45238)</f>
        <v>45238</v>
      </c>
      <c r="B1253" s="23" t="str">
        <f ca="1">IFERROR(__xludf.DUMMYFUNCTION("""COMPUTED_VALUE"""),"BATERIA UMYW JS-B253-1BG LEVEL ZŁOTA SZCZO WYSOKA")</f>
        <v>BATERIA UMYW JS-B253-1BG LEVEL ZŁOTA SZCZO WYSOKA</v>
      </c>
      <c r="C1253" s="23"/>
      <c r="D1253" s="24">
        <f ca="1">IFERROR(__xludf.DUMMYFUNCTION("""COMPUTED_VALUE"""),199)</f>
        <v>199</v>
      </c>
      <c r="E1253" s="25" t="str">
        <f ca="1">IFERROR(__xludf.DUMMYFUNCTION("""COMPUTED_VALUE"""),"REA-B6217")</f>
        <v>REA-B6217</v>
      </c>
    </row>
    <row r="1254" spans="1:5" x14ac:dyDescent="0.2">
      <c r="A1254" s="22">
        <f ca="1">IFERROR(__xludf.DUMMYFUNCTION("""COMPUTED_VALUE"""),45238)</f>
        <v>45238</v>
      </c>
      <c r="B1254" s="23" t="str">
        <f ca="1">IFERROR(__xludf.DUMMYFUNCTION("""COMPUTED_VALUE"""),"BATERIA WANNOWA PODŁOGOWA ST004 CLARK CZARNA")</f>
        <v>BATERIA WANNOWA PODŁOGOWA ST004 CLARK CZARNA</v>
      </c>
      <c r="C1254" s="23"/>
      <c r="D1254" s="24">
        <f ca="1">IFERROR(__xludf.DUMMYFUNCTION("""COMPUTED_VALUE"""),899)</f>
        <v>899</v>
      </c>
      <c r="E1254" s="25" t="str">
        <f ca="1">IFERROR(__xludf.DUMMYFUNCTION("""COMPUTED_VALUE"""),"REA-B5300")</f>
        <v>REA-B5300</v>
      </c>
    </row>
    <row r="1255" spans="1:5" x14ac:dyDescent="0.2">
      <c r="A1255" s="22">
        <f ca="1">IFERROR(__xludf.DUMMYFUNCTION("""COMPUTED_VALUE"""),45238)</f>
        <v>45238</v>
      </c>
      <c r="B1255" s="23" t="str">
        <f ca="1">IFERROR(__xludf.DUMMYFUNCTION("""COMPUTED_VALUE"""),"BATERIA WANNOWA PODŁOGOWA ST004 CLARK ZŁOTA")</f>
        <v>BATERIA WANNOWA PODŁOGOWA ST004 CLARK ZŁOTA</v>
      </c>
      <c r="C1255" s="23"/>
      <c r="D1255" s="24">
        <f ca="1">IFERROR(__xludf.DUMMYFUNCTION("""COMPUTED_VALUE"""),1119)</f>
        <v>1119</v>
      </c>
      <c r="E1255" s="25" t="str">
        <f ca="1">IFERROR(__xludf.DUMMYFUNCTION("""COMPUTED_VALUE"""),"REA-B5302")</f>
        <v>REA-B5302</v>
      </c>
    </row>
    <row r="1256" spans="1:5" x14ac:dyDescent="0.2">
      <c r="A1256" s="22">
        <f ca="1">IFERROR(__xludf.DUMMYFUNCTION("""COMPUTED_VALUE"""),45238)</f>
        <v>45238</v>
      </c>
      <c r="B1256" s="23" t="str">
        <f ca="1">IFERROR(__xludf.DUMMYFUNCTION("""COMPUTED_VALUE"""),"BATERIA WANNOWA PODŁOGOWA ST004 CLARK ZŁOTA SZCZOT")</f>
        <v>BATERIA WANNOWA PODŁOGOWA ST004 CLARK ZŁOTA SZCZOT</v>
      </c>
      <c r="C1256" s="23"/>
      <c r="D1256" s="24">
        <f ca="1">IFERROR(__xludf.DUMMYFUNCTION("""COMPUTED_VALUE"""),1169)</f>
        <v>1169</v>
      </c>
      <c r="E1256" s="25" t="str">
        <f ca="1">IFERROR(__xludf.DUMMYFUNCTION("""COMPUTED_VALUE"""),"REA-B5303")</f>
        <v>REA-B5303</v>
      </c>
    </row>
    <row r="1257" spans="1:5" x14ac:dyDescent="0.2">
      <c r="A1257" s="22">
        <f ca="1">IFERROR(__xludf.DUMMYFUNCTION("""COMPUTED_VALUE"""),45238)</f>
        <v>45238</v>
      </c>
      <c r="B1257" s="23" t="str">
        <f ca="1">IFERROR(__xludf.DUMMYFUNCTION("""COMPUTED_VALUE"""),"BATERIA WANNOWA PODŁOGOWA ST005 TERY ZŁOTA")</f>
        <v>BATERIA WANNOWA PODŁOGOWA ST005 TERY ZŁOTA</v>
      </c>
      <c r="C1257" s="23"/>
      <c r="D1257" s="24">
        <f ca="1">IFERROR(__xludf.DUMMYFUNCTION("""COMPUTED_VALUE"""),899)</f>
        <v>899</v>
      </c>
      <c r="E1257" s="25" t="str">
        <f ca="1">IFERROR(__xludf.DUMMYFUNCTION("""COMPUTED_VALUE"""),"REA-B5306")</f>
        <v>REA-B5306</v>
      </c>
    </row>
    <row r="1258" spans="1:5" x14ac:dyDescent="0.2">
      <c r="A1258" s="22">
        <f ca="1">IFERROR(__xludf.DUMMYFUNCTION("""COMPUTED_VALUE"""),45238)</f>
        <v>45238</v>
      </c>
      <c r="B1258" s="23" t="str">
        <f ca="1">IFERROR(__xludf.DUMMYFUNCTION("""COMPUTED_VALUE"""),"BATERIA WANNOWA PODŁOGOWA ST005 TERY ZŁOTA SZCZOTK")</f>
        <v>BATERIA WANNOWA PODŁOGOWA ST005 TERY ZŁOTA SZCZOTK</v>
      </c>
      <c r="C1258" s="23"/>
      <c r="D1258" s="24">
        <f ca="1">IFERROR(__xludf.DUMMYFUNCTION("""COMPUTED_VALUE"""),999)</f>
        <v>999</v>
      </c>
      <c r="E1258" s="25" t="str">
        <f ca="1">IFERROR(__xludf.DUMMYFUNCTION("""COMPUTED_VALUE"""),"REA-B5307")</f>
        <v>REA-B5307</v>
      </c>
    </row>
    <row r="1259" spans="1:5" x14ac:dyDescent="0.2">
      <c r="A1259" s="22">
        <f ca="1">IFERROR(__xludf.DUMMYFUNCTION("""COMPUTED_VALUE"""),45238)</f>
        <v>45238</v>
      </c>
      <c r="B1259" s="23" t="str">
        <f ca="1">IFERROR(__xludf.DUMMYFUNCTION("""COMPUTED_VALUE"""),"BATERIA KUCHENNA JS-K112BG CONOR ZŁOTA SZCZOTKOWAN")</f>
        <v>BATERIA KUCHENNA JS-K112BG CONOR ZŁOTA SZCZOTKOWAN</v>
      </c>
      <c r="C1259" s="23"/>
      <c r="D1259" s="24">
        <f ca="1">IFERROR(__xludf.DUMMYFUNCTION("""COMPUTED_VALUE"""),399)</f>
        <v>399</v>
      </c>
      <c r="E1259" s="25" t="str">
        <f ca="1">IFERROR(__xludf.DUMMYFUNCTION("""COMPUTED_VALUE"""),"REA-B6312")</f>
        <v>REA-B6312</v>
      </c>
    </row>
    <row r="1260" spans="1:5" x14ac:dyDescent="0.2">
      <c r="A1260" s="22">
        <f ca="1">IFERROR(__xludf.DUMMYFUNCTION("""COMPUTED_VALUE"""),45238)</f>
        <v>45238</v>
      </c>
      <c r="B1260" s="23" t="str">
        <f ca="1">IFERROR(__xludf.DUMMYFUNCTION("""COMPUTED_VALUE"""),"BATERIA KUCHENNA JS-K112N CONOR NIKIEL SZCZOTKOWAN")</f>
        <v>BATERIA KUCHENNA JS-K112N CONOR NIKIEL SZCZOTKOWAN</v>
      </c>
      <c r="C1260" s="23"/>
      <c r="D1260" s="24">
        <f ca="1">IFERROR(__xludf.DUMMYFUNCTION("""COMPUTED_VALUE"""),349)</f>
        <v>349</v>
      </c>
      <c r="E1260" s="25" t="str">
        <f ca="1">IFERROR(__xludf.DUMMYFUNCTION("""COMPUTED_VALUE"""),"REA-B6313")</f>
        <v>REA-B6313</v>
      </c>
    </row>
    <row r="1261" spans="1:5" x14ac:dyDescent="0.2">
      <c r="A1261" s="22">
        <f ca="1">IFERROR(__xludf.DUMMYFUNCTION("""COMPUTED_VALUE"""),45238)</f>
        <v>45238</v>
      </c>
      <c r="B1261" s="23" t="str">
        <f ca="1">IFERROR(__xludf.DUMMYFUNCTION("""COMPUTED_VALUE"""),"UMYWALKA MELANIA GOLD/WHITE - NABLATOWA")</f>
        <v>UMYWALKA MELANIA GOLD/WHITE - NABLATOWA</v>
      </c>
      <c r="C1261" s="23"/>
      <c r="D1261" s="24">
        <f ca="1">IFERROR(__xludf.DUMMYFUNCTION("""COMPUTED_VALUE"""),329)</f>
        <v>329</v>
      </c>
      <c r="E1261" s="25" t="str">
        <f ca="1">IFERROR(__xludf.DUMMYFUNCTION("""COMPUTED_VALUE"""),"REA-U1050")</f>
        <v>REA-U1050</v>
      </c>
    </row>
    <row r="1262" spans="1:5" x14ac:dyDescent="0.2">
      <c r="A1262" s="22">
        <f ca="1">IFERROR(__xludf.DUMMYFUNCTION("""COMPUTED_VALUE"""),45238)</f>
        <v>45238</v>
      </c>
      <c r="B1262" s="23" t="str">
        <f ca="1">IFERROR(__xludf.DUMMYFUNCTION("""COMPUTED_VALUE"""),"BATERIA BIDETOWA MY2021-9G ARGUS ZŁOTA")</f>
        <v>BATERIA BIDETOWA MY2021-9G ARGUS ZŁOTA</v>
      </c>
      <c r="C1262" s="23"/>
      <c r="D1262" s="24">
        <f ca="1">IFERROR(__xludf.DUMMYFUNCTION("""COMPUTED_VALUE"""),269)</f>
        <v>269</v>
      </c>
      <c r="E1262" s="25" t="str">
        <f ca="1">IFERROR(__xludf.DUMMYFUNCTION("""COMPUTED_VALUE"""),"REA-B9660")</f>
        <v>REA-B9660</v>
      </c>
    </row>
    <row r="1263" spans="1:5" x14ac:dyDescent="0.2">
      <c r="A1263" s="22">
        <f ca="1">IFERROR(__xludf.DUMMYFUNCTION("""COMPUTED_VALUE"""),45238)</f>
        <v>45238</v>
      </c>
      <c r="B1263" s="23" t="str">
        <f ca="1">IFERROR(__xludf.DUMMYFUNCTION("""COMPUTED_VALUE"""),"BATERIA WANNOWA MY1806-3CW POLO CHROME/WHITE")</f>
        <v>BATERIA WANNOWA MY1806-3CW POLO CHROME/WHITE</v>
      </c>
      <c r="C1263" s="23"/>
      <c r="D1263" s="24">
        <f ca="1">IFERROR(__xludf.DUMMYFUNCTION("""COMPUTED_VALUE"""),449)</f>
        <v>449</v>
      </c>
      <c r="E1263" s="25" t="str">
        <f ca="1">IFERROR(__xludf.DUMMYFUNCTION("""COMPUTED_VALUE"""),"REA-B9943")</f>
        <v>REA-B9943</v>
      </c>
    </row>
    <row r="1264" spans="1:5" x14ac:dyDescent="0.2">
      <c r="A1264" s="22">
        <f ca="1">IFERROR(__xludf.DUMMYFUNCTION("""COMPUTED_VALUE"""),45238)</f>
        <v>45238</v>
      </c>
      <c r="B1264" s="23" t="str">
        <f ca="1">IFERROR(__xludf.DUMMYFUNCTION("""COMPUTED_VALUE"""),"ZESTAW NATRYSKOWY MY1805-77CW BLOOM BIAŁY/CHROM")</f>
        <v>ZESTAW NATRYSKOWY MY1805-77CW BLOOM BIAŁY/CHROM</v>
      </c>
      <c r="C1264" s="23"/>
      <c r="D1264" s="24">
        <f ca="1">IFERROR(__xludf.DUMMYFUNCTION("""COMPUTED_VALUE"""),579)</f>
        <v>579</v>
      </c>
      <c r="E1264" s="25" t="str">
        <f ca="1">IFERROR(__xludf.DUMMYFUNCTION("""COMPUTED_VALUE"""),"REA-P9527")</f>
        <v>REA-P9527</v>
      </c>
    </row>
    <row r="1265" spans="1:5" x14ac:dyDescent="0.2">
      <c r="A1265" s="22">
        <f ca="1">IFERROR(__xludf.DUMMYFUNCTION("""COMPUTED_VALUE"""),45238)</f>
        <v>45238</v>
      </c>
      <c r="B1265" s="23" t="str">
        <f ca="1">IFERROR(__xludf.DUMMYFUNCTION("""COMPUTED_VALUE"""),"BATERIA UMYWALKOWA MY1802-2C URBAN CHROME NISKA")</f>
        <v>BATERIA UMYWALKOWA MY1802-2C URBAN CHROME NISKA</v>
      </c>
      <c r="C1265" s="23"/>
      <c r="D1265" s="24">
        <f ca="1">IFERROR(__xludf.DUMMYFUNCTION("""COMPUTED_VALUE"""),279)</f>
        <v>279</v>
      </c>
      <c r="E1265" s="25" t="str">
        <f ca="1">IFERROR(__xludf.DUMMYFUNCTION("""COMPUTED_VALUE"""),"REA-B9904")</f>
        <v>REA-B9904</v>
      </c>
    </row>
    <row r="1266" spans="1:5" x14ac:dyDescent="0.2">
      <c r="A1266" s="22">
        <f ca="1">IFERROR(__xludf.DUMMYFUNCTION("""COMPUTED_VALUE"""),45238)</f>
        <v>45238</v>
      </c>
      <c r="B1266" s="23" t="str">
        <f ca="1">IFERROR(__xludf.DUMMYFUNCTION("""COMPUTED_VALUE"""),"BATERIA JS-B253-1G LEVEL GOLD WYSOKA")</f>
        <v>BATERIA JS-B253-1G LEVEL GOLD WYSOKA</v>
      </c>
      <c r="C1266" s="23"/>
      <c r="D1266" s="24">
        <f ca="1">IFERROR(__xludf.DUMMYFUNCTION("""COMPUTED_VALUE"""),199)</f>
        <v>199</v>
      </c>
      <c r="E1266" s="25" t="str">
        <f ca="1">IFERROR(__xludf.DUMMYFUNCTION("""COMPUTED_VALUE"""),"REA-B2045")</f>
        <v>REA-B2045</v>
      </c>
    </row>
    <row r="1267" spans="1:5" x14ac:dyDescent="0.2">
      <c r="A1267" s="22">
        <f ca="1">IFERROR(__xludf.DUMMYFUNCTION("""COMPUTED_VALUE"""),45238)</f>
        <v>45238</v>
      </c>
      <c r="B1267" s="23" t="str">
        <f ca="1">IFERROR(__xludf.DUMMYFUNCTION("""COMPUTED_VALUE"""),"BATERIA JS-B253G LEVEL GOLD NISKA")</f>
        <v>BATERIA JS-B253G LEVEL GOLD NISKA</v>
      </c>
      <c r="C1267" s="23"/>
      <c r="D1267" s="24">
        <f ca="1">IFERROR(__xludf.DUMMYFUNCTION("""COMPUTED_VALUE"""),159)</f>
        <v>159</v>
      </c>
      <c r="E1267" s="25" t="str">
        <f ca="1">IFERROR(__xludf.DUMMYFUNCTION("""COMPUTED_VALUE"""),"REA-B2044")</f>
        <v>REA-B2044</v>
      </c>
    </row>
    <row r="1268" spans="1:5" x14ac:dyDescent="0.2">
      <c r="A1268" s="22">
        <f ca="1">IFERROR(__xludf.DUMMYFUNCTION("""COMPUTED_VALUE"""),45238)</f>
        <v>45238</v>
      </c>
      <c r="B1268" s="23" t="str">
        <f ca="1">IFERROR(__xludf.DUMMYFUNCTION("""COMPUTED_VALUE"""),"BATERIA JS-620903G WANNOWA BERG GOLD")</f>
        <v>BATERIA JS-620903G WANNOWA BERG GOLD</v>
      </c>
      <c r="C1268" s="23"/>
      <c r="D1268" s="24">
        <f ca="1">IFERROR(__xludf.DUMMYFUNCTION("""COMPUTED_VALUE"""),389)</f>
        <v>389</v>
      </c>
      <c r="E1268" s="25" t="str">
        <f ca="1">IFERROR(__xludf.DUMMYFUNCTION("""COMPUTED_VALUE"""),"REA-B2043")</f>
        <v>REA-B2043</v>
      </c>
    </row>
    <row r="1269" spans="1:5" x14ac:dyDescent="0.2">
      <c r="A1269" s="22">
        <f ca="1">IFERROR(__xludf.DUMMYFUNCTION("""COMPUTED_VALUE"""),45238)</f>
        <v>45238</v>
      </c>
      <c r="B1269" s="23" t="str">
        <f ca="1">IFERROR(__xludf.DUMMYFUNCTION("""COMPUTED_VALUE"""),"BATERIA JS-620901-1G BERG GOLD WYSOKA")</f>
        <v>BATERIA JS-620901-1G BERG GOLD WYSOKA</v>
      </c>
      <c r="C1269" s="23"/>
      <c r="D1269" s="24">
        <f ca="1">IFERROR(__xludf.DUMMYFUNCTION("""COMPUTED_VALUE"""),399)</f>
        <v>399</v>
      </c>
      <c r="E1269" s="25" t="str">
        <f ca="1">IFERROR(__xludf.DUMMYFUNCTION("""COMPUTED_VALUE"""),"REA-B2042")</f>
        <v>REA-B2042</v>
      </c>
    </row>
    <row r="1270" spans="1:5" x14ac:dyDescent="0.2">
      <c r="A1270" s="22">
        <f ca="1">IFERROR(__xludf.DUMMYFUNCTION("""COMPUTED_VALUE"""),45238)</f>
        <v>45238</v>
      </c>
      <c r="B1270" s="23" t="str">
        <f ca="1">IFERROR(__xludf.DUMMYFUNCTION("""COMPUTED_VALUE"""),"BATERIA JS-620901G BERG GOLD NISKA")</f>
        <v>BATERIA JS-620901G BERG GOLD NISKA</v>
      </c>
      <c r="C1270" s="23"/>
      <c r="D1270" s="24">
        <f ca="1">IFERROR(__xludf.DUMMYFUNCTION("""COMPUTED_VALUE"""),299)</f>
        <v>299</v>
      </c>
      <c r="E1270" s="25" t="str">
        <f ca="1">IFERROR(__xludf.DUMMYFUNCTION("""COMPUTED_VALUE"""),"REA-B2041")</f>
        <v>REA-B2041</v>
      </c>
    </row>
    <row r="1271" spans="1:5" x14ac:dyDescent="0.2">
      <c r="A1271" s="22">
        <f ca="1">IFERROR(__xludf.DUMMYFUNCTION("""COMPUTED_VALUE"""),45238)</f>
        <v>45238</v>
      </c>
      <c r="B1271" s="23" t="str">
        <f ca="1">IFERROR(__xludf.DUMMYFUNCTION("""COMPUTED_VALUE"""),"BATERIA UMYWALKOWA JS-650101-1B PIXEL CZARNA WYSOK")</f>
        <v>BATERIA UMYWALKOWA JS-650101-1B PIXEL CZARNA WYSOK</v>
      </c>
      <c r="C1271" s="23"/>
      <c r="D1271" s="24">
        <f ca="1">IFERROR(__xludf.DUMMYFUNCTION("""COMPUTED_VALUE"""),239)</f>
        <v>239</v>
      </c>
      <c r="E1271" s="25" t="str">
        <f ca="1">IFERROR(__xludf.DUMMYFUNCTION("""COMPUTED_VALUE"""),"REA-B6214")</f>
        <v>REA-B6214</v>
      </c>
    </row>
    <row r="1272" spans="1:5" x14ac:dyDescent="0.2">
      <c r="A1272" s="22">
        <f ca="1">IFERROR(__xludf.DUMMYFUNCTION("""COMPUTED_VALUE"""),45238)</f>
        <v>45238</v>
      </c>
      <c r="B1272" s="23" t="str">
        <f ca="1">IFERROR(__xludf.DUMMYFUNCTION("""COMPUTED_VALUE"""),"BATERIA UMYWALKOWA JS-650101-1G PIXEL ZŁOTA WYSOKA")</f>
        <v>BATERIA UMYWALKOWA JS-650101-1G PIXEL ZŁOTA WYSOKA</v>
      </c>
      <c r="C1272" s="23"/>
      <c r="D1272" s="24">
        <f ca="1">IFERROR(__xludf.DUMMYFUNCTION("""COMPUTED_VALUE"""),269)</f>
        <v>269</v>
      </c>
      <c r="E1272" s="25" t="str">
        <f ca="1">IFERROR(__xludf.DUMMYFUNCTION("""COMPUTED_VALUE"""),"REA-B6215")</f>
        <v>REA-B6215</v>
      </c>
    </row>
    <row r="1273" spans="1:5" x14ac:dyDescent="0.2">
      <c r="A1273" s="22">
        <f ca="1">IFERROR(__xludf.DUMMYFUNCTION("""COMPUTED_VALUE"""),45238)</f>
        <v>45238</v>
      </c>
      <c r="B1273" s="23" t="str">
        <f ca="1">IFERROR(__xludf.DUMMYFUNCTION("""COMPUTED_VALUE"""),"BATERIA JS-B801-1G SPOT GOLD WYSOKA")</f>
        <v>BATERIA JS-B801-1G SPOT GOLD WYSOKA</v>
      </c>
      <c r="C1273" s="23"/>
      <c r="D1273" s="24">
        <f ca="1">IFERROR(__xludf.DUMMYFUNCTION("""COMPUTED_VALUE"""),299)</f>
        <v>299</v>
      </c>
      <c r="E1273" s="25" t="str">
        <f ca="1">IFERROR(__xludf.DUMMYFUNCTION("""COMPUTED_VALUE"""),"REA-B2015")</f>
        <v>REA-B2015</v>
      </c>
    </row>
    <row r="1274" spans="1:5" x14ac:dyDescent="0.2">
      <c r="A1274" s="22">
        <f ca="1">IFERROR(__xludf.DUMMYFUNCTION("""COMPUTED_VALUE"""),45238)</f>
        <v>45238</v>
      </c>
      <c r="B1274" s="23" t="str">
        <f ca="1">IFERROR(__xludf.DUMMYFUNCTION("""COMPUTED_VALUE"""),"BATERIA JS-B801G SPOT GOLD NISKA")</f>
        <v>BATERIA JS-B801G SPOT GOLD NISKA</v>
      </c>
      <c r="C1274" s="23"/>
      <c r="D1274" s="24">
        <f ca="1">IFERROR(__xludf.DUMMYFUNCTION("""COMPUTED_VALUE"""),239)</f>
        <v>239</v>
      </c>
      <c r="E1274" s="25" t="str">
        <f ca="1">IFERROR(__xludf.DUMMYFUNCTION("""COMPUTED_VALUE"""),"REA-B2014")</f>
        <v>REA-B2014</v>
      </c>
    </row>
    <row r="1275" spans="1:5" x14ac:dyDescent="0.2">
      <c r="A1275" s="22">
        <f ca="1">IFERROR(__xludf.DUMMYFUNCTION("""COMPUTED_VALUE"""),45238)</f>
        <v>45238</v>
      </c>
      <c r="B1275" s="23" t="str">
        <f ca="1">IFERROR(__xludf.DUMMYFUNCTION("""COMPUTED_VALUE"""),"BATERIA JS-B801B SPOT BLACK NISKA")</f>
        <v>BATERIA JS-B801B SPOT BLACK NISKA</v>
      </c>
      <c r="C1275" s="23"/>
      <c r="D1275" s="24">
        <f ca="1">IFERROR(__xludf.DUMMYFUNCTION("""COMPUTED_VALUE"""),229)</f>
        <v>229</v>
      </c>
      <c r="E1275" s="25" t="str">
        <f ca="1">IFERROR(__xludf.DUMMYFUNCTION("""COMPUTED_VALUE"""),"REA-B2012")</f>
        <v>REA-B2012</v>
      </c>
    </row>
    <row r="1276" spans="1:5" x14ac:dyDescent="0.2">
      <c r="A1276" s="22">
        <f ca="1">IFERROR(__xludf.DUMMYFUNCTION("""COMPUTED_VALUE"""),45238)</f>
        <v>45238</v>
      </c>
      <c r="B1276" s="23" t="str">
        <f ca="1">IFERROR(__xludf.DUMMYFUNCTION("""COMPUTED_VALUE"""),"BATERIA JS-B801-1B SPOT BLACK WYSOKA")</f>
        <v>BATERIA JS-B801-1B SPOT BLACK WYSOKA</v>
      </c>
      <c r="C1276" s="23"/>
      <c r="D1276" s="24">
        <f ca="1">IFERROR(__xludf.DUMMYFUNCTION("""COMPUTED_VALUE"""),289)</f>
        <v>289</v>
      </c>
      <c r="E1276" s="25" t="str">
        <f ca="1">IFERROR(__xludf.DUMMYFUNCTION("""COMPUTED_VALUE"""),"REA-B2013")</f>
        <v>REA-B2013</v>
      </c>
    </row>
    <row r="1277" spans="1:5" x14ac:dyDescent="0.2">
      <c r="A1277" s="22">
        <f ca="1">IFERROR(__xludf.DUMMYFUNCTION("""COMPUTED_VALUE"""),45238)</f>
        <v>45238</v>
      </c>
      <c r="B1277" s="23" t="str">
        <f ca="1">IFERROR(__xludf.DUMMYFUNCTION("""COMPUTED_VALUE"""),"BATERIA JS-B801-1 SPOT CHROM WYSOKA")</f>
        <v>BATERIA JS-B801-1 SPOT CHROM WYSOKA</v>
      </c>
      <c r="C1277" s="23"/>
      <c r="D1277" s="24">
        <f ca="1">IFERROR(__xludf.DUMMYFUNCTION("""COMPUTED_VALUE"""),269)</f>
        <v>269</v>
      </c>
      <c r="E1277" s="25" t="str">
        <f ca="1">IFERROR(__xludf.DUMMYFUNCTION("""COMPUTED_VALUE"""),"REA-B2011")</f>
        <v>REA-B2011</v>
      </c>
    </row>
    <row r="1278" spans="1:5" x14ac:dyDescent="0.2">
      <c r="A1278" s="22">
        <f ca="1">IFERROR(__xludf.DUMMYFUNCTION("""COMPUTED_VALUE"""),45238)</f>
        <v>45238</v>
      </c>
      <c r="B1278" s="23" t="str">
        <f ca="1">IFERROR(__xludf.DUMMYFUNCTION("""COMPUTED_VALUE"""),"BATERIA JS-B801 SPOT CHROM NISKA")</f>
        <v>BATERIA JS-B801 SPOT CHROM NISKA</v>
      </c>
      <c r="C1278" s="23"/>
      <c r="D1278" s="24">
        <f ca="1">IFERROR(__xludf.DUMMYFUNCTION("""COMPUTED_VALUE"""),219)</f>
        <v>219</v>
      </c>
      <c r="E1278" s="25" t="str">
        <f ca="1">IFERROR(__xludf.DUMMYFUNCTION("""COMPUTED_VALUE"""),"REA-B2010")</f>
        <v>REA-B2010</v>
      </c>
    </row>
    <row r="1279" spans="1:5" x14ac:dyDescent="0.2">
      <c r="A1279" s="22">
        <f ca="1">IFERROR(__xludf.DUMMYFUNCTION("""COMPUTED_VALUE"""),45238)</f>
        <v>45238</v>
      </c>
      <c r="B1279" s="23" t="str">
        <f ca="1">IFERROR(__xludf.DUMMYFUNCTION("""COMPUTED_VALUE"""),"BATERIA UMYWALKOWA JS-D001B AMAR CZARNA NISKA")</f>
        <v>BATERIA UMYWALKOWA JS-D001B AMAR CZARNA NISKA</v>
      </c>
      <c r="C1279" s="23"/>
      <c r="D1279" s="24">
        <f ca="1">IFERROR(__xludf.DUMMYFUNCTION("""COMPUTED_VALUE"""),499)</f>
        <v>499</v>
      </c>
      <c r="E1279" s="25" t="str">
        <f ca="1">IFERROR(__xludf.DUMMYFUNCTION("""COMPUTED_VALUE"""),"REA-B2065")</f>
        <v>REA-B2065</v>
      </c>
    </row>
    <row r="1280" spans="1:5" x14ac:dyDescent="0.2">
      <c r="A1280" s="22">
        <f ca="1">IFERROR(__xludf.DUMMYFUNCTION("""COMPUTED_VALUE"""),45238)</f>
        <v>45238</v>
      </c>
      <c r="B1280" s="23" t="str">
        <f ca="1">IFERROR(__xludf.DUMMYFUNCTION("""COMPUTED_VALUE"""),"BATERIA JS-620903B WANNOWA BERG BLACK")</f>
        <v>BATERIA JS-620903B WANNOWA BERG BLACK</v>
      </c>
      <c r="C1280" s="23"/>
      <c r="D1280" s="24">
        <f ca="1">IFERROR(__xludf.DUMMYFUNCTION("""COMPUTED_VALUE"""),439)</f>
        <v>439</v>
      </c>
      <c r="E1280" s="25" t="str">
        <f ca="1">IFERROR(__xludf.DUMMYFUNCTION("""COMPUTED_VALUE"""),"REA-B2040")</f>
        <v>REA-B2040</v>
      </c>
    </row>
    <row r="1281" spans="1:5" x14ac:dyDescent="0.2">
      <c r="A1281" s="22"/>
      <c r="B1281" s="23" t="str">
        <f ca="1">IFERROR(__xludf.DUMMYFUNCTION("""COMPUTED_VALUE"""),"BATERIA WANNOWA PODŁOGOWA ST004 CLARK CHROM")</f>
        <v>BATERIA WANNOWA PODŁOGOWA ST004 CLARK CHROM</v>
      </c>
      <c r="C1281" s="23"/>
      <c r="D1281" s="24">
        <f ca="1">IFERROR(__xludf.DUMMYFUNCTION("""COMPUTED_VALUE"""),799)</f>
        <v>799</v>
      </c>
      <c r="E1281" s="25" t="str">
        <f ca="1">IFERROR(__xludf.DUMMYFUNCTION("""COMPUTED_VALUE"""),"REA-B5301")</f>
        <v>REA-B5301</v>
      </c>
    </row>
    <row r="1282" spans="1:5" x14ac:dyDescent="0.2">
      <c r="A1282" s="22"/>
      <c r="B1282" s="23" t="str">
        <f ca="1">IFERROR(__xludf.DUMMYFUNCTION("""COMPUTED_VALUE"""),"BATERIA WANNOWA PODŁOGOWA ST005 TERY CHROM")</f>
        <v>BATERIA WANNOWA PODŁOGOWA ST005 TERY CHROM</v>
      </c>
      <c r="C1282" s="23"/>
      <c r="D1282" s="24">
        <f ca="1">IFERROR(__xludf.DUMMYFUNCTION("""COMPUTED_VALUE"""),799)</f>
        <v>799</v>
      </c>
      <c r="E1282" s="25" t="str">
        <f ca="1">IFERROR(__xludf.DUMMYFUNCTION("""COMPUTED_VALUE"""),"REA-B5305")</f>
        <v>REA-B5305</v>
      </c>
    </row>
    <row r="1283" spans="1:5" x14ac:dyDescent="0.2">
      <c r="A1283" s="22"/>
      <c r="B1283" s="23" t="str">
        <f ca="1">IFERROR(__xludf.DUMMYFUNCTION("""COMPUTED_VALUE"""),"BATERIA WANNOWA PODŁOGOWA ST005 TERY CZARNA")</f>
        <v>BATERIA WANNOWA PODŁOGOWA ST005 TERY CZARNA</v>
      </c>
      <c r="C1283" s="23"/>
      <c r="D1283" s="24">
        <f ca="1">IFERROR(__xludf.DUMMYFUNCTION("""COMPUTED_VALUE"""),1029)</f>
        <v>1029</v>
      </c>
      <c r="E1283" s="25" t="str">
        <f ca="1">IFERROR(__xludf.DUMMYFUNCTION("""COMPUTED_VALUE"""),"REA-B5304")</f>
        <v>REA-B5304</v>
      </c>
    </row>
    <row r="1284" spans="1:5" x14ac:dyDescent="0.2">
      <c r="A1284" s="22"/>
      <c r="B1284" s="23" t="str">
        <f ca="1">IFERROR(__xludf.DUMMYFUNCTION("""COMPUTED_VALUE"""),"BATERIA KUCHENNA JS-SS008N CROSS NIKIEL SZCZOTKOWA")</f>
        <v>BATERIA KUCHENNA JS-SS008N CROSS NIKIEL SZCZOTKOWA</v>
      </c>
      <c r="C1284" s="23"/>
      <c r="D1284" s="24">
        <f ca="1">IFERROR(__xludf.DUMMYFUNCTION("""COMPUTED_VALUE"""),139)</f>
        <v>139</v>
      </c>
      <c r="E1284" s="25" t="str">
        <f ca="1">IFERROR(__xludf.DUMMYFUNCTION("""COMPUTED_VALUE"""),"REA-B5308")</f>
        <v>REA-B5308</v>
      </c>
    </row>
    <row r="1285" spans="1:5" x14ac:dyDescent="0.2">
      <c r="A1285" s="22"/>
      <c r="B1285" s="23" t="str">
        <f ca="1">IFERROR(__xludf.DUMMYFUNCTION("""COMPUTED_VALUE"""),"BATERIA KUCHENNA JS-SS008B CROSS CZARNA")</f>
        <v>BATERIA KUCHENNA JS-SS008B CROSS CZARNA</v>
      </c>
      <c r="C1285" s="23"/>
      <c r="D1285" s="24">
        <f ca="1">IFERROR(__xludf.DUMMYFUNCTION("""COMPUTED_VALUE"""),169)</f>
        <v>169</v>
      </c>
      <c r="E1285" s="25" t="str">
        <f ca="1">IFERROR(__xludf.DUMMYFUNCTION("""COMPUTED_VALUE"""),"REA-B5309")</f>
        <v>REA-B5309</v>
      </c>
    </row>
    <row r="1286" spans="1:5" x14ac:dyDescent="0.2">
      <c r="A1286" s="22"/>
      <c r="B1286" s="23" t="str">
        <f ca="1">IFERROR(__xludf.DUMMYFUNCTION("""COMPUTED_VALUE"""),"BATERIA KUCHENNA JS-SS008C CROSS CHROM")</f>
        <v>BATERIA KUCHENNA JS-SS008C CROSS CHROM</v>
      </c>
      <c r="C1286" s="23"/>
      <c r="D1286" s="24">
        <f ca="1">IFERROR(__xludf.DUMMYFUNCTION("""COMPUTED_VALUE"""),179)</f>
        <v>179</v>
      </c>
      <c r="E1286" s="25" t="str">
        <f ca="1">IFERROR(__xludf.DUMMYFUNCTION("""COMPUTED_VALUE"""),"REA-B5310")</f>
        <v>REA-B5310</v>
      </c>
    </row>
    <row r="1287" spans="1:5" x14ac:dyDescent="0.2">
      <c r="A1287" s="22"/>
      <c r="B1287" s="23" t="str">
        <f ca="1">IFERROR(__xludf.DUMMYFUNCTION("""COMPUTED_VALUE"""),"BATERIA KUCHENNA JS-SS008BG CROSS ZŁOTA SZCZOTKOWA")</f>
        <v>BATERIA KUCHENNA JS-SS008BG CROSS ZŁOTA SZCZOTKOWA</v>
      </c>
      <c r="C1287" s="23"/>
      <c r="D1287" s="24">
        <f ca="1">IFERROR(__xludf.DUMMYFUNCTION("""COMPUTED_VALUE"""),199)</f>
        <v>199</v>
      </c>
      <c r="E1287" s="25" t="str">
        <f ca="1">IFERROR(__xludf.DUMMYFUNCTION("""COMPUTED_VALUE"""),"REA-B5311")</f>
        <v>REA-B5311</v>
      </c>
    </row>
    <row r="1288" spans="1:5" x14ac:dyDescent="0.2">
      <c r="A1288" s="22"/>
      <c r="B1288" s="23" t="str">
        <f ca="1">IFERROR(__xludf.DUMMYFUNCTION("""COMPUTED_VALUE"""),"BATERIA KUCHENNA JS-K087BG ROSS ZŁOTA SZCZOTKOWANA")</f>
        <v>BATERIA KUCHENNA JS-K087BG ROSS ZŁOTA SZCZOTKOWANA</v>
      </c>
      <c r="C1288" s="23"/>
      <c r="D1288" s="24">
        <f ca="1">IFERROR(__xludf.DUMMYFUNCTION("""COMPUTED_VALUE"""),239)</f>
        <v>239</v>
      </c>
      <c r="E1288" s="25" t="str">
        <f ca="1">IFERROR(__xludf.DUMMYFUNCTION("""COMPUTED_VALUE"""),"REA-B5312")</f>
        <v>REA-B5312</v>
      </c>
    </row>
    <row r="1289" spans="1:5" x14ac:dyDescent="0.2">
      <c r="A1289" s="22"/>
      <c r="B1289" s="23" t="str">
        <f ca="1">IFERROR(__xludf.DUMMYFUNCTION("""COMPUTED_VALUE"""),"BATERIA KUCHENNA JS-K087B ROSS CZARNA")</f>
        <v>BATERIA KUCHENNA JS-K087B ROSS CZARNA</v>
      </c>
      <c r="C1289" s="23"/>
      <c r="D1289" s="24">
        <f ca="1">IFERROR(__xludf.DUMMYFUNCTION("""COMPUTED_VALUE"""),199)</f>
        <v>199</v>
      </c>
      <c r="E1289" s="25" t="str">
        <f ca="1">IFERROR(__xludf.DUMMYFUNCTION("""COMPUTED_VALUE"""),"REA-B5313")</f>
        <v>REA-B5313</v>
      </c>
    </row>
    <row r="1290" spans="1:5" x14ac:dyDescent="0.2">
      <c r="A1290" s="22"/>
      <c r="B1290" s="23" t="str">
        <f ca="1">IFERROR(__xludf.DUMMYFUNCTION("""COMPUTED_VALUE"""),"BATERIA KUCHENNA JS-K087N ROSS NIKIEL SZCZOTKOWANY")</f>
        <v>BATERIA KUCHENNA JS-K087N ROSS NIKIEL SZCZOTKOWANY</v>
      </c>
      <c r="C1290" s="23"/>
      <c r="D1290" s="24">
        <f ca="1">IFERROR(__xludf.DUMMYFUNCTION("""COMPUTED_VALUE"""),199)</f>
        <v>199</v>
      </c>
      <c r="E1290" s="25" t="str">
        <f ca="1">IFERROR(__xludf.DUMMYFUNCTION("""COMPUTED_VALUE"""),"REA-B5314")</f>
        <v>REA-B5314</v>
      </c>
    </row>
    <row r="1291" spans="1:5" x14ac:dyDescent="0.2">
      <c r="A1291" s="22"/>
      <c r="B1291" s="23" t="str">
        <f ca="1">IFERROR(__xludf.DUMMYFUNCTION("""COMPUTED_VALUE"""),"BATERIA UMYWALKOWA JS-B310N FOSS NIKIEL SZCZ NISKA")</f>
        <v>BATERIA UMYWALKOWA JS-B310N FOSS NIKIEL SZCZ NISKA</v>
      </c>
      <c r="C1291" s="23"/>
      <c r="D1291" s="24">
        <f ca="1">IFERROR(__xludf.DUMMYFUNCTION("""COMPUTED_VALUE"""),149)</f>
        <v>149</v>
      </c>
      <c r="E1291" s="25" t="str">
        <f ca="1">IFERROR(__xludf.DUMMYFUNCTION("""COMPUTED_VALUE"""),"REA-B5315")</f>
        <v>REA-B5315</v>
      </c>
    </row>
    <row r="1292" spans="1:5" x14ac:dyDescent="0.2">
      <c r="A1292" s="22"/>
      <c r="B1292" s="23" t="str">
        <f ca="1">IFERROR(__xludf.DUMMYFUNCTION("""COMPUTED_VALUE"""),"BATERIA UMYWALKOWA JS-B310BG FOSS ZŁOTA SZCZ NISKA")</f>
        <v>BATERIA UMYWALKOWA JS-B310BG FOSS ZŁOTA SZCZ NISKA</v>
      </c>
      <c r="C1292" s="23"/>
      <c r="D1292" s="24">
        <f ca="1">IFERROR(__xludf.DUMMYFUNCTION("""COMPUTED_VALUE"""),189)</f>
        <v>189</v>
      </c>
      <c r="E1292" s="25" t="str">
        <f ca="1">IFERROR(__xludf.DUMMYFUNCTION("""COMPUTED_VALUE"""),"REA-B5316")</f>
        <v>REA-B5316</v>
      </c>
    </row>
    <row r="1293" spans="1:5" x14ac:dyDescent="0.2">
      <c r="A1293" s="22"/>
      <c r="B1293" s="23" t="str">
        <f ca="1">IFERROR(__xludf.DUMMYFUNCTION("""COMPUTED_VALUE"""),"BATERIA UMYWALKOWA JS-B310B FOSS CZARNA NISKA")</f>
        <v>BATERIA UMYWALKOWA JS-B310B FOSS CZARNA NISKA</v>
      </c>
      <c r="C1293" s="23"/>
      <c r="D1293" s="24">
        <f ca="1">IFERROR(__xludf.DUMMYFUNCTION("""COMPUTED_VALUE"""),169)</f>
        <v>169</v>
      </c>
      <c r="E1293" s="25" t="str">
        <f ca="1">IFERROR(__xludf.DUMMYFUNCTION("""COMPUTED_VALUE"""),"REA-B5317")</f>
        <v>REA-B5317</v>
      </c>
    </row>
    <row r="1294" spans="1:5" x14ac:dyDescent="0.2">
      <c r="A1294" s="22"/>
      <c r="B1294" s="23" t="str">
        <f ca="1">IFERROR(__xludf.DUMMYFUNCTION("""COMPUTED_VALUE"""),"BATERIA UMYWALKOWA JS-B310-1N FOSS NIKIEL SZCZ WYS")</f>
        <v>BATERIA UMYWALKOWA JS-B310-1N FOSS NIKIEL SZCZ WYS</v>
      </c>
      <c r="C1294" s="23"/>
      <c r="D1294" s="24">
        <f ca="1">IFERROR(__xludf.DUMMYFUNCTION("""COMPUTED_VALUE"""),179)</f>
        <v>179</v>
      </c>
      <c r="E1294" s="25" t="str">
        <f ca="1">IFERROR(__xludf.DUMMYFUNCTION("""COMPUTED_VALUE"""),"REA-B5318")</f>
        <v>REA-B5318</v>
      </c>
    </row>
    <row r="1295" spans="1:5" x14ac:dyDescent="0.2">
      <c r="A1295" s="22"/>
      <c r="B1295" s="23" t="str">
        <f ca="1">IFERROR(__xludf.DUMMYFUNCTION("""COMPUTED_VALUE"""),"BATERIA UMYWALKOWA JS-B310-1BG FOSS ZŁOTA SZCZ WYS")</f>
        <v>BATERIA UMYWALKOWA JS-B310-1BG FOSS ZŁOTA SZCZ WYS</v>
      </c>
      <c r="C1295" s="23"/>
      <c r="D1295" s="24">
        <f ca="1">IFERROR(__xludf.DUMMYFUNCTION("""COMPUTED_VALUE"""),229)</f>
        <v>229</v>
      </c>
      <c r="E1295" s="25" t="str">
        <f ca="1">IFERROR(__xludf.DUMMYFUNCTION("""COMPUTED_VALUE"""),"REA-B5319")</f>
        <v>REA-B5319</v>
      </c>
    </row>
    <row r="1296" spans="1:5" x14ac:dyDescent="0.2">
      <c r="A1296" s="22"/>
      <c r="B1296" s="23" t="str">
        <f ca="1">IFERROR(__xludf.DUMMYFUNCTION("""COMPUTED_VALUE"""),"BATERIA UMYWALKOWA JS-B310-1B FOSS CZARNA WYSOKA")</f>
        <v>BATERIA UMYWALKOWA JS-B310-1B FOSS CZARNA WYSOKA</v>
      </c>
      <c r="C1296" s="23"/>
      <c r="D1296" s="24">
        <f ca="1">IFERROR(__xludf.DUMMYFUNCTION("""COMPUTED_VALUE"""),199)</f>
        <v>199</v>
      </c>
      <c r="E1296" s="25" t="str">
        <f ca="1">IFERROR(__xludf.DUMMYFUNCTION("""COMPUTED_VALUE"""),"REA-B5320")</f>
        <v>REA-B5320</v>
      </c>
    </row>
    <row r="1297" spans="1:5" x14ac:dyDescent="0.2">
      <c r="A1297" s="22"/>
      <c r="B1297" s="23" t="str">
        <f ca="1">IFERROR(__xludf.DUMMYFUNCTION("""COMPUTED_VALUE"""),"BATERIA UMYWALKOWA JS-B311N CLIF NIKIEL SZCZ NISKA")</f>
        <v>BATERIA UMYWALKOWA JS-B311N CLIF NIKIEL SZCZ NISKA</v>
      </c>
      <c r="C1297" s="23"/>
      <c r="D1297" s="24">
        <f ca="1">IFERROR(__xludf.DUMMYFUNCTION("""COMPUTED_VALUE"""),199)</f>
        <v>199</v>
      </c>
      <c r="E1297" s="25" t="str">
        <f ca="1">IFERROR(__xludf.DUMMYFUNCTION("""COMPUTED_VALUE"""),"REA-B5324")</f>
        <v>REA-B5324</v>
      </c>
    </row>
    <row r="1298" spans="1:5" x14ac:dyDescent="0.2">
      <c r="A1298" s="22"/>
      <c r="B1298" s="23" t="str">
        <f ca="1">IFERROR(__xludf.DUMMYFUNCTION("""COMPUTED_VALUE"""),"BATERIA UMYWALKOWA JS-B311BG CLIF ZŁOTA SZCZ NISKA")</f>
        <v>BATERIA UMYWALKOWA JS-B311BG CLIF ZŁOTA SZCZ NISKA</v>
      </c>
      <c r="C1298" s="23"/>
      <c r="D1298" s="24">
        <f ca="1">IFERROR(__xludf.DUMMYFUNCTION("""COMPUTED_VALUE"""),219)</f>
        <v>219</v>
      </c>
      <c r="E1298" s="25" t="str">
        <f ca="1">IFERROR(__xludf.DUMMYFUNCTION("""COMPUTED_VALUE"""),"REA-B5323")</f>
        <v>REA-B5323</v>
      </c>
    </row>
    <row r="1299" spans="1:5" x14ac:dyDescent="0.2">
      <c r="A1299" s="22"/>
      <c r="B1299" s="23" t="str">
        <f ca="1">IFERROR(__xludf.DUMMYFUNCTION("""COMPUTED_VALUE"""),"BATERIA UMYWALKOWA JS-B311GG CLIF TYTAN NISKA")</f>
        <v>BATERIA UMYWALKOWA JS-B311GG CLIF TYTAN NISKA</v>
      </c>
      <c r="C1299" s="23"/>
      <c r="D1299" s="24">
        <f ca="1">IFERROR(__xludf.DUMMYFUNCTION("""COMPUTED_VALUE"""),219)</f>
        <v>219</v>
      </c>
      <c r="E1299" s="25" t="str">
        <f ca="1">IFERROR(__xludf.DUMMYFUNCTION("""COMPUTED_VALUE"""),"REA-B5322")</f>
        <v>REA-B5322</v>
      </c>
    </row>
    <row r="1300" spans="1:5" x14ac:dyDescent="0.2">
      <c r="A1300" s="22"/>
      <c r="B1300" s="23" t="str">
        <f ca="1">IFERROR(__xludf.DUMMYFUNCTION("""COMPUTED_VALUE"""),"BATERIA UMYWALKOWA JS-B311B CLIF CZARNA NISKA")</f>
        <v>BATERIA UMYWALKOWA JS-B311B CLIF CZARNA NISKA</v>
      </c>
      <c r="C1300" s="23"/>
      <c r="D1300" s="24">
        <f ca="1">IFERROR(__xludf.DUMMYFUNCTION("""COMPUTED_VALUE"""),199)</f>
        <v>199</v>
      </c>
      <c r="E1300" s="25" t="str">
        <f ca="1">IFERROR(__xludf.DUMMYFUNCTION("""COMPUTED_VALUE"""),"REA-B5321")</f>
        <v>REA-B5321</v>
      </c>
    </row>
    <row r="1301" spans="1:5" x14ac:dyDescent="0.2">
      <c r="A1301" s="22"/>
      <c r="B1301" s="23" t="str">
        <f ca="1">IFERROR(__xludf.DUMMYFUNCTION("""COMPUTED_VALUE"""),"BATERIA UMYWA JS-B311-1N CLIF NIKIEL SZCZO WYSOKA")</f>
        <v>BATERIA UMYWA JS-B311-1N CLIF NIKIEL SZCZO WYSOKA</v>
      </c>
      <c r="C1301" s="23"/>
      <c r="D1301" s="24">
        <f ca="1">IFERROR(__xludf.DUMMYFUNCTION("""COMPUTED_VALUE"""),219)</f>
        <v>219</v>
      </c>
      <c r="E1301" s="25" t="str">
        <f ca="1">IFERROR(__xludf.DUMMYFUNCTION("""COMPUTED_VALUE"""),"REA-B5330")</f>
        <v>REA-B5330</v>
      </c>
    </row>
    <row r="1302" spans="1:5" x14ac:dyDescent="0.2">
      <c r="A1302" s="22"/>
      <c r="B1302" s="23" t="str">
        <f ca="1">IFERROR(__xludf.DUMMYFUNCTION("""COMPUTED_VALUE"""),"BATERIA UMYWA JS-B311-1BG CLIF ZŁOTA SZCZO WYSOKA")</f>
        <v>BATERIA UMYWA JS-B311-1BG CLIF ZŁOTA SZCZO WYSOKA</v>
      </c>
      <c r="C1302" s="23"/>
      <c r="D1302" s="24">
        <f ca="1">IFERROR(__xludf.DUMMYFUNCTION("""COMPUTED_VALUE"""),299)</f>
        <v>299</v>
      </c>
      <c r="E1302" s="25" t="str">
        <f ca="1">IFERROR(__xludf.DUMMYFUNCTION("""COMPUTED_VALUE"""),"REA-B5329")</f>
        <v>REA-B5329</v>
      </c>
    </row>
    <row r="1303" spans="1:5" x14ac:dyDescent="0.2">
      <c r="A1303" s="22"/>
      <c r="B1303" s="23" t="str">
        <f ca="1">IFERROR(__xludf.DUMMYFUNCTION("""COMPUTED_VALUE"""),"BATERIA UMYWA JS-B311-1GG CLIF TYTAN WYSOKA")</f>
        <v>BATERIA UMYWA JS-B311-1GG CLIF TYTAN WYSOKA</v>
      </c>
      <c r="C1303" s="23"/>
      <c r="D1303" s="24">
        <f ca="1">IFERROR(__xludf.DUMMYFUNCTION("""COMPUTED_VALUE"""),299)</f>
        <v>299</v>
      </c>
      <c r="E1303" s="25" t="str">
        <f ca="1">IFERROR(__xludf.DUMMYFUNCTION("""COMPUTED_VALUE"""),"REA-B5328")</f>
        <v>REA-B5328</v>
      </c>
    </row>
    <row r="1304" spans="1:5" x14ac:dyDescent="0.2">
      <c r="A1304" s="22"/>
      <c r="B1304" s="23" t="str">
        <f ca="1">IFERROR(__xludf.DUMMYFUNCTION("""COMPUTED_VALUE"""),"BATERIA UMYWALKOWA JS-B311-1B CLIF CZARNA WYSOKA")</f>
        <v>BATERIA UMYWALKOWA JS-B311-1B CLIF CZARNA WYSOKA</v>
      </c>
      <c r="C1304" s="23"/>
      <c r="D1304" s="24">
        <f ca="1">IFERROR(__xludf.DUMMYFUNCTION("""COMPUTED_VALUE"""),259)</f>
        <v>259</v>
      </c>
      <c r="E1304" s="25" t="str">
        <f ca="1">IFERROR(__xludf.DUMMYFUNCTION("""COMPUTED_VALUE"""),"REA-B5325")</f>
        <v>REA-B5325</v>
      </c>
    </row>
    <row r="1305" spans="1:5" x14ac:dyDescent="0.2">
      <c r="A1305" s="22"/>
      <c r="B1305" s="23" t="str">
        <f ca="1">IFERROR(__xludf.DUMMYFUNCTION("""COMPUTED_VALUE"""),"BATERIA UMYWALKOWA PODTYNKOWA JS-W021 OWEN CHROM")</f>
        <v>BATERIA UMYWALKOWA PODTYNKOWA JS-W021 OWEN CHROM</v>
      </c>
      <c r="C1305" s="23"/>
      <c r="D1305" s="24">
        <f ca="1">IFERROR(__xludf.DUMMYFUNCTION("""COMPUTED_VALUE"""),359)</f>
        <v>359</v>
      </c>
      <c r="E1305" s="25" t="str">
        <f ca="1">IFERROR(__xludf.DUMMYFUNCTION("""COMPUTED_VALUE"""),"REA-B5331")</f>
        <v>REA-B5331</v>
      </c>
    </row>
    <row r="1306" spans="1:5" x14ac:dyDescent="0.2">
      <c r="A1306" s="22"/>
      <c r="B1306" s="23" t="str">
        <f ca="1">IFERROR(__xludf.DUMMYFUNCTION("""COMPUTED_VALUE"""),"BATERIA UMYWALKOWA PODTYNKOWA JS-W021B OWEN CZARNA")</f>
        <v>BATERIA UMYWALKOWA PODTYNKOWA JS-W021B OWEN CZARNA</v>
      </c>
      <c r="C1306" s="23"/>
      <c r="D1306" s="24">
        <f ca="1">IFERROR(__xludf.DUMMYFUNCTION("""COMPUTED_VALUE"""),299)</f>
        <v>299</v>
      </c>
      <c r="E1306" s="25" t="str">
        <f ca="1">IFERROR(__xludf.DUMMYFUNCTION("""COMPUTED_VALUE"""),"REA-B5332")</f>
        <v>REA-B5332</v>
      </c>
    </row>
    <row r="1307" spans="1:5" x14ac:dyDescent="0.2">
      <c r="A1307" s="22"/>
      <c r="B1307" s="23" t="str">
        <f ca="1">IFERROR(__xludf.DUMMYFUNCTION("""COMPUTED_VALUE"""),"BATERIA UMYWALKOWA PODTYNKOWA JS-W021G OWEN ZŁOTA")</f>
        <v>BATERIA UMYWALKOWA PODTYNKOWA JS-W021G OWEN ZŁOTA</v>
      </c>
      <c r="C1307" s="23"/>
      <c r="D1307" s="24">
        <f ca="1">IFERROR(__xludf.DUMMYFUNCTION("""COMPUTED_VALUE"""),399)</f>
        <v>399</v>
      </c>
      <c r="E1307" s="25" t="str">
        <f ca="1">IFERROR(__xludf.DUMMYFUNCTION("""COMPUTED_VALUE"""),"REA-B5333")</f>
        <v>REA-B5333</v>
      </c>
    </row>
    <row r="1308" spans="1:5" x14ac:dyDescent="0.2">
      <c r="A1308" s="22"/>
      <c r="B1308" s="23" t="str">
        <f ca="1">IFERROR(__xludf.DUMMYFUNCTION("""COMPUTED_VALUE"""),"BATERIA UMYWA PODTYNKOWA JS-W021BG OWEN ZŁOTA SZCZ")</f>
        <v>BATERIA UMYWA PODTYNKOWA JS-W021BG OWEN ZŁOTA SZCZ</v>
      </c>
      <c r="C1308" s="23"/>
      <c r="D1308" s="24">
        <f ca="1">IFERROR(__xludf.DUMMYFUNCTION("""COMPUTED_VALUE"""),489)</f>
        <v>489</v>
      </c>
      <c r="E1308" s="25" t="str">
        <f ca="1">IFERROR(__xludf.DUMMYFUNCTION("""COMPUTED_VALUE"""),"REA-B5334")</f>
        <v>REA-B5334</v>
      </c>
    </row>
    <row r="1309" spans="1:5" x14ac:dyDescent="0.2">
      <c r="A1309" s="22"/>
      <c r="B1309" s="23" t="str">
        <f ca="1">IFERROR(__xludf.DUMMYFUNCTION("""COMPUTED_VALUE"""),"BATERIA UMYWA PODTYNKOWA JS-W021N OWEN NIKIEL SZCZ")</f>
        <v>BATERIA UMYWA PODTYNKOWA JS-W021N OWEN NIKIEL SZCZ</v>
      </c>
      <c r="C1309" s="23"/>
      <c r="D1309" s="24">
        <f ca="1">IFERROR(__xludf.DUMMYFUNCTION("""COMPUTED_VALUE"""),489)</f>
        <v>489</v>
      </c>
      <c r="E1309" s="25" t="str">
        <f ca="1">IFERROR(__xludf.DUMMYFUNCTION("""COMPUTED_VALUE"""),"REA-B5335")</f>
        <v>REA-B5335</v>
      </c>
    </row>
    <row r="1310" spans="1:5" x14ac:dyDescent="0.2">
      <c r="A1310" s="22">
        <f ca="1">IFERROR(__xludf.DUMMYFUNCTION("""COMPUTED_VALUE"""),45216)</f>
        <v>45216</v>
      </c>
      <c r="B1310" s="23" t="str">
        <f ca="1">IFERROR(__xludf.DUMMYFUNCTION("""COMPUTED_VALUE"""),"UMYWALKA DAFNE 75 - WPUSZCZANA")</f>
        <v>UMYWALKA DAFNE 75 - WPUSZCZANA</v>
      </c>
      <c r="C1310" s="23"/>
      <c r="D1310" s="24">
        <f ca="1">IFERROR(__xludf.DUMMYFUNCTION("""COMPUTED_VALUE"""),329)</f>
        <v>329</v>
      </c>
      <c r="E1310" s="25" t="str">
        <f ca="1">IFERROR(__xludf.DUMMYFUNCTION("""COMPUTED_VALUE"""),"REA-U0040")</f>
        <v>REA-U0040</v>
      </c>
    </row>
    <row r="1311" spans="1:5" x14ac:dyDescent="0.2">
      <c r="A1311" s="22">
        <f ca="1">IFERROR(__xludf.DUMMYFUNCTION("""COMPUTED_VALUE"""),45216)</f>
        <v>45216</v>
      </c>
      <c r="B1311" s="23" t="str">
        <f ca="1">IFERROR(__xludf.DUMMYFUNCTION("""COMPUTED_VALUE"""),"UMYWALKA DAFNE 70 - WPUSZCZANA")</f>
        <v>UMYWALKA DAFNE 70 - WPUSZCZANA</v>
      </c>
      <c r="C1311" s="23"/>
      <c r="D1311" s="24">
        <f ca="1">IFERROR(__xludf.DUMMYFUNCTION("""COMPUTED_VALUE"""),299)</f>
        <v>299</v>
      </c>
      <c r="E1311" s="25" t="str">
        <f ca="1">IFERROR(__xludf.DUMMYFUNCTION("""COMPUTED_VALUE"""),"REA-U0190")</f>
        <v>REA-U0190</v>
      </c>
    </row>
    <row r="1312" spans="1:5" x14ac:dyDescent="0.2">
      <c r="A1312" s="22">
        <f ca="1">IFERROR(__xludf.DUMMYFUNCTION("""COMPUTED_VALUE"""),45216)</f>
        <v>45216</v>
      </c>
      <c r="B1312" s="23" t="str">
        <f ca="1">IFERROR(__xludf.DUMMYFUNCTION("""COMPUTED_VALUE"""),"UMYWALKA MARGOT WHITE/GOLD - NABLATOWA")</f>
        <v>UMYWALKA MARGOT WHITE/GOLD - NABLATOWA</v>
      </c>
      <c r="C1312" s="23"/>
      <c r="D1312" s="24">
        <f ca="1">IFERROR(__xludf.DUMMYFUNCTION("""COMPUTED_VALUE"""),599)</f>
        <v>599</v>
      </c>
      <c r="E1312" s="25" t="str">
        <f ca="1">IFERROR(__xludf.DUMMYFUNCTION("""COMPUTED_VALUE"""),"REA-U9650")</f>
        <v>REA-U9650</v>
      </c>
    </row>
    <row r="1313" spans="1:5" x14ac:dyDescent="0.2">
      <c r="A1313" s="22">
        <f ca="1">IFERROR(__xludf.DUMMYFUNCTION("""COMPUTED_VALUE"""),45216)</f>
        <v>45216</v>
      </c>
      <c r="B1313" s="23" t="str">
        <f ca="1">IFERROR(__xludf.DUMMYFUNCTION("""COMPUTED_VALUE"""),"UMYWALKA LINDA LAVA - NABLATOWA")</f>
        <v>UMYWALKA LINDA LAVA - NABLATOWA</v>
      </c>
      <c r="C1313" s="23"/>
      <c r="D1313" s="24">
        <f ca="1">IFERROR(__xludf.DUMMYFUNCTION("""COMPUTED_VALUE"""),359)</f>
        <v>359</v>
      </c>
      <c r="E1313" s="25" t="str">
        <f ca="1">IFERROR(__xludf.DUMMYFUNCTION("""COMPUTED_VALUE"""),"REA-U8695")</f>
        <v>REA-U8695</v>
      </c>
    </row>
    <row r="1314" spans="1:5" x14ac:dyDescent="0.2">
      <c r="A1314" s="22">
        <f ca="1">IFERROR(__xludf.DUMMYFUNCTION("""COMPUTED_VALUE"""),45216)</f>
        <v>45216</v>
      </c>
      <c r="B1314" s="23" t="str">
        <f ca="1">IFERROR(__xludf.DUMMYFUNCTION("""COMPUTED_VALUE"""),"UMYWALKA LINDA GRANIT MATT - NABLATOWA")</f>
        <v>UMYWALKA LINDA GRANIT MATT - NABLATOWA</v>
      </c>
      <c r="C1314" s="23"/>
      <c r="D1314" s="24">
        <f ca="1">IFERROR(__xludf.DUMMYFUNCTION("""COMPUTED_VALUE"""),349)</f>
        <v>349</v>
      </c>
      <c r="E1314" s="25" t="str">
        <f ca="1">IFERROR(__xludf.DUMMYFUNCTION("""COMPUTED_VALUE"""),"REA-U8567")</f>
        <v>REA-U8567</v>
      </c>
    </row>
    <row r="1315" spans="1:5" x14ac:dyDescent="0.2">
      <c r="A1315" s="22">
        <f ca="1">IFERROR(__xludf.DUMMYFUNCTION("""COMPUTED_VALUE"""),45216)</f>
        <v>45216</v>
      </c>
      <c r="B1315" s="23" t="str">
        <f ca="1">IFERROR(__xludf.DUMMYFUNCTION("""COMPUTED_VALUE"""),"ZESTAW NATRYSKOWY ALDI GOLD")</f>
        <v>ZESTAW NATRYSKOWY ALDI GOLD</v>
      </c>
      <c r="C1315" s="23"/>
      <c r="D1315" s="24">
        <f ca="1">IFERROR(__xludf.DUMMYFUNCTION("""COMPUTED_VALUE"""),799)</f>
        <v>799</v>
      </c>
      <c r="E1315" s="25" t="str">
        <f ca="1">IFERROR(__xludf.DUMMYFUNCTION("""COMPUTED_VALUE"""),"REA-P8802")</f>
        <v>REA-P8802</v>
      </c>
    </row>
    <row r="1316" spans="1:5" x14ac:dyDescent="0.2">
      <c r="A1316" s="22">
        <f ca="1">IFERROR(__xludf.DUMMYFUNCTION("""COMPUTED_VALUE"""),45216)</f>
        <v>45216</v>
      </c>
      <c r="B1316" s="23" t="str">
        <f ca="1">IFERROR(__xludf.DUMMYFUNCTION("""COMPUTED_VALUE"""),"DRZWI PRYSZNICOWE ALEX-805 BLACK  90")</f>
        <v>DRZWI PRYSZNICOWE ALEX-805 BLACK  90</v>
      </c>
      <c r="C1316" s="23"/>
      <c r="D1316" s="24">
        <f ca="1">IFERROR(__xludf.DUMMYFUNCTION("""COMPUTED_VALUE"""),939)</f>
        <v>939</v>
      </c>
      <c r="E1316" s="25" t="str">
        <f ca="1">IFERROR(__xludf.DUMMYFUNCTION("""COMPUTED_VALUE"""),"REA-K9638")</f>
        <v>REA-K9638</v>
      </c>
    </row>
    <row r="1317" spans="1:5" x14ac:dyDescent="0.2">
      <c r="A1317" s="22">
        <f ca="1">IFERROR(__xludf.DUMMYFUNCTION("""COMPUTED_VALUE"""),45216)</f>
        <v>45216</v>
      </c>
      <c r="B1317" s="23" t="str">
        <f ca="1">IFERROR(__xludf.DUMMYFUNCTION("""COMPUTED_VALUE"""),"adapter MAGNETYCZNY MOLIER CHROM")</f>
        <v>adapter MAGNETYCZNY MOLIER CHROM</v>
      </c>
      <c r="C1317" s="23"/>
      <c r="D1317" s="24">
        <f ca="1">IFERROR(__xludf.DUMMYFUNCTION("""COMPUTED_VALUE"""),160)</f>
        <v>160</v>
      </c>
      <c r="E1317" s="25" t="str">
        <f ca="1">IFERROR(__xludf.DUMMYFUNCTION("""COMPUTED_VALUE"""),"REA-K3261")</f>
        <v>REA-K3261</v>
      </c>
    </row>
    <row r="1318" spans="1:5" x14ac:dyDescent="0.2">
      <c r="A1318" s="22">
        <f ca="1">IFERROR(__xludf.DUMMYFUNCTION("""COMPUTED_VALUE"""),45216)</f>
        <v>45216</v>
      </c>
      <c r="B1318" s="23" t="str">
        <f ca="1">IFERROR(__xludf.DUMMYFUNCTION("""COMPUTED_VALUE"""),"MODUŁ KABINY FOLD N2 100")</f>
        <v>MODUŁ KABINY FOLD N2 100</v>
      </c>
      <c r="C1318" s="23"/>
      <c r="D1318" s="24">
        <f ca="1">IFERROR(__xludf.DUMMYFUNCTION("""COMPUTED_VALUE"""),869)</f>
        <v>869</v>
      </c>
      <c r="E1318" s="25" t="str">
        <f ca="1">IFERROR(__xludf.DUMMYFUNCTION("""COMPUTED_VALUE"""),"REA-K7439")</f>
        <v>REA-K7439</v>
      </c>
    </row>
    <row r="1319" spans="1:5" x14ac:dyDescent="0.2">
      <c r="A1319" s="22">
        <f ca="1">IFERROR(__xludf.DUMMYFUNCTION("""COMPUTED_VALUE"""),45216)</f>
        <v>45216</v>
      </c>
      <c r="B1319" s="23" t="str">
        <f ca="1">IFERROR(__xludf.DUMMYFUNCTION("""COMPUTED_VALUE"""),"MODUŁ KABINY FOLD N2 90")</f>
        <v>MODUŁ KABINY FOLD N2 90</v>
      </c>
      <c r="C1319" s="23"/>
      <c r="D1319" s="24">
        <f ca="1">IFERROR(__xludf.DUMMYFUNCTION("""COMPUTED_VALUE"""),859)</f>
        <v>859</v>
      </c>
      <c r="E1319" s="25" t="str">
        <f ca="1">IFERROR(__xludf.DUMMYFUNCTION("""COMPUTED_VALUE"""),"REA-K7442")</f>
        <v>REA-K7442</v>
      </c>
    </row>
    <row r="1320" spans="1:5" x14ac:dyDescent="0.2">
      <c r="A1320" s="22">
        <f ca="1">IFERROR(__xludf.DUMMYFUNCTION("""COMPUTED_VALUE"""),45216)</f>
        <v>45216</v>
      </c>
      <c r="B1320" s="23" t="str">
        <f ca="1">IFERROR(__xludf.DUMMYFUNCTION("""COMPUTED_VALUE"""),"DRZWI PRYSZNICOWE NIXON-2  120 L")</f>
        <v>DRZWI PRYSZNICOWE NIXON-2  120 L</v>
      </c>
      <c r="C1320" s="23"/>
      <c r="D1320" s="24">
        <f ca="1">IFERROR(__xludf.DUMMYFUNCTION("""COMPUTED_VALUE"""),1219)</f>
        <v>1219</v>
      </c>
      <c r="E1320" s="25" t="str">
        <f ca="1">IFERROR(__xludf.DUMMYFUNCTION("""COMPUTED_VALUE"""),"REA-K5002")</f>
        <v>REA-K5002</v>
      </c>
    </row>
    <row r="1321" spans="1:5" x14ac:dyDescent="0.2">
      <c r="A1321" s="22">
        <f ca="1">IFERROR(__xludf.DUMMYFUNCTION("""COMPUTED_VALUE"""),45216)</f>
        <v>45216</v>
      </c>
      <c r="B1321" s="23" t="str">
        <f ca="1">IFERROR(__xludf.DUMMYFUNCTION("""COMPUTED_VALUE"""),"DRZWI PRYSZNICOWE NIXON-2  120 P")</f>
        <v>DRZWI PRYSZNICOWE NIXON-2  120 P</v>
      </c>
      <c r="C1321" s="23"/>
      <c r="D1321" s="24">
        <f ca="1">IFERROR(__xludf.DUMMYFUNCTION("""COMPUTED_VALUE"""),1219)</f>
        <v>1219</v>
      </c>
      <c r="E1321" s="25" t="str">
        <f ca="1">IFERROR(__xludf.DUMMYFUNCTION("""COMPUTED_VALUE"""),"REA-K5003")</f>
        <v>REA-K5003</v>
      </c>
    </row>
    <row r="1322" spans="1:5" x14ac:dyDescent="0.2">
      <c r="A1322" s="22">
        <f ca="1">IFERROR(__xludf.DUMMYFUNCTION("""COMPUTED_VALUE"""),45216)</f>
        <v>45216</v>
      </c>
      <c r="B1322" s="23" t="str">
        <f ca="1">IFERROR(__xludf.DUMMYFUNCTION("""COMPUTED_VALUE"""),"DRZWI PRYSZNICOWE NIXON-2  110 L")</f>
        <v>DRZWI PRYSZNICOWE NIXON-2  110 L</v>
      </c>
      <c r="C1322" s="23"/>
      <c r="D1322" s="24">
        <f ca="1">IFERROR(__xludf.DUMMYFUNCTION("""COMPUTED_VALUE"""),1059)</f>
        <v>1059</v>
      </c>
      <c r="E1322" s="25" t="str">
        <f ca="1">IFERROR(__xludf.DUMMYFUNCTION("""COMPUTED_VALUE"""),"REA-K5000")</f>
        <v>REA-K5000</v>
      </c>
    </row>
    <row r="1323" spans="1:5" x14ac:dyDescent="0.2">
      <c r="A1323" s="22">
        <f ca="1">IFERROR(__xludf.DUMMYFUNCTION("""COMPUTED_VALUE"""),45216)</f>
        <v>45216</v>
      </c>
      <c r="B1323" s="23" t="str">
        <f ca="1">IFERROR(__xludf.DUMMYFUNCTION("""COMPUTED_VALUE"""),"DRZWI PRYSZNICOWE NIXON-2  110 P")</f>
        <v>DRZWI PRYSZNICOWE NIXON-2  110 P</v>
      </c>
      <c r="C1323" s="23"/>
      <c r="D1323" s="24">
        <f ca="1">IFERROR(__xludf.DUMMYFUNCTION("""COMPUTED_VALUE"""),1059)</f>
        <v>1059</v>
      </c>
      <c r="E1323" s="25" t="str">
        <f ca="1">IFERROR(__xludf.DUMMYFUNCTION("""COMPUTED_VALUE"""),"REA-K5001")</f>
        <v>REA-K5001</v>
      </c>
    </row>
    <row r="1324" spans="1:5" x14ac:dyDescent="0.2">
      <c r="A1324" s="22">
        <f ca="1">IFERROR(__xludf.DUMMYFUNCTION("""COMPUTED_VALUE"""),45216)</f>
        <v>45216</v>
      </c>
      <c r="B1324" s="23" t="str">
        <f ca="1">IFERROR(__xludf.DUMMYFUNCTION("""COMPUTED_VALUE"""),"DRZWI PRYSZNICOWE ALEX-805  120")</f>
        <v>DRZWI PRYSZNICOWE ALEX-805  120</v>
      </c>
      <c r="C1324" s="23"/>
      <c r="D1324" s="24">
        <f ca="1">IFERROR(__xludf.DUMMYFUNCTION("""COMPUTED_VALUE"""),1039)</f>
        <v>1039</v>
      </c>
      <c r="E1324" s="25" t="str">
        <f ca="1">IFERROR(__xludf.DUMMYFUNCTION("""COMPUTED_VALUE"""),"REA-K0921")</f>
        <v>REA-K0921</v>
      </c>
    </row>
    <row r="1325" spans="1:5" x14ac:dyDescent="0.2">
      <c r="A1325" s="22">
        <f ca="1">IFERROR(__xludf.DUMMYFUNCTION("""COMPUTED_VALUE"""),45216)</f>
        <v>45216</v>
      </c>
      <c r="B1325" s="23" t="str">
        <f ca="1">IFERROR(__xludf.DUMMYFUNCTION("""COMPUTED_VALUE"""),"MODUŁ KABINY FOLD N2 70")</f>
        <v>MODUŁ KABINY FOLD N2 70</v>
      </c>
      <c r="C1325" s="23"/>
      <c r="D1325" s="24">
        <f ca="1">IFERROR(__xludf.DUMMYFUNCTION("""COMPUTED_VALUE"""),779)</f>
        <v>779</v>
      </c>
      <c r="E1325" s="25" t="str">
        <f ca="1">IFERROR(__xludf.DUMMYFUNCTION("""COMPUTED_VALUE"""),"REA-K7444")</f>
        <v>REA-K7444</v>
      </c>
    </row>
    <row r="1326" spans="1:5" x14ac:dyDescent="0.2">
      <c r="A1326" s="22">
        <f ca="1">IFERROR(__xludf.DUMMYFUNCTION("""COMPUTED_VALUE"""),45216)</f>
        <v>45216</v>
      </c>
      <c r="B1326" s="23" t="str">
        <f ca="1">IFERROR(__xludf.DUMMYFUNCTION("""COMPUTED_VALUE"""),"PARAWAN STAŁY LAGOS FIX 70")</f>
        <v>PARAWAN STAŁY LAGOS FIX 70</v>
      </c>
      <c r="C1326" s="23"/>
      <c r="D1326" s="24">
        <f ca="1">IFERROR(__xludf.DUMMYFUNCTION("""COMPUTED_VALUE"""),339)</f>
        <v>339</v>
      </c>
      <c r="E1326" s="25" t="str">
        <f ca="1">IFERROR(__xludf.DUMMYFUNCTION("""COMPUTED_VALUE"""),"REA-K7689")</f>
        <v>REA-K7689</v>
      </c>
    </row>
    <row r="1327" spans="1:5" x14ac:dyDescent="0.2">
      <c r="A1327" s="22">
        <f ca="1">IFERROR(__xludf.DUMMYFUNCTION("""COMPUTED_VALUE"""),45216)</f>
        <v>45216</v>
      </c>
      <c r="B1327" s="23" t="str">
        <f ca="1">IFERROR(__xludf.DUMMYFUNCTION("""COMPUTED_VALUE"""),"PARAWAN STAŁY LAGOS-1 FIX 80")</f>
        <v>PARAWAN STAŁY LAGOS-1 FIX 80</v>
      </c>
      <c r="C1327" s="23"/>
      <c r="D1327" s="24">
        <f ca="1">IFERROR(__xludf.DUMMYFUNCTION("""COMPUTED_VALUE"""),389)</f>
        <v>389</v>
      </c>
      <c r="E1327" s="25" t="str">
        <f ca="1">IFERROR(__xludf.DUMMYFUNCTION("""COMPUTED_VALUE"""),"REA-K4561")</f>
        <v>REA-K4561</v>
      </c>
    </row>
    <row r="1328" spans="1:5" x14ac:dyDescent="0.2">
      <c r="A1328" s="22">
        <f ca="1">IFERROR(__xludf.DUMMYFUNCTION("""COMPUTED_VALUE"""),45216)</f>
        <v>45216</v>
      </c>
      <c r="B1328" s="23" t="str">
        <f ca="1">IFERROR(__xludf.DUMMYFUNCTION("""COMPUTED_VALUE"""),"ŚCIANKA DO KABINY NIXON-2  80")</f>
        <v>ŚCIANKA DO KABINY NIXON-2  80</v>
      </c>
      <c r="C1328" s="23"/>
      <c r="D1328" s="24">
        <f ca="1">IFERROR(__xludf.DUMMYFUNCTION("""COMPUTED_VALUE"""),580)</f>
        <v>580</v>
      </c>
      <c r="E1328" s="25" t="str">
        <f ca="1">IFERROR(__xludf.DUMMYFUNCTION("""COMPUTED_VALUE"""),"REA-K5010")</f>
        <v>REA-K5010</v>
      </c>
    </row>
    <row r="1329" spans="1:5" x14ac:dyDescent="0.2">
      <c r="A1329" s="22">
        <f ca="1">IFERROR(__xludf.DUMMYFUNCTION("""COMPUTED_VALUE"""),45216)</f>
        <v>45216</v>
      </c>
      <c r="B1329" s="23" t="str">
        <f ca="1">IFERROR(__xludf.DUMMYFUNCTION("""COMPUTED_VALUE"""),"DRZWI PRYSZNICOWE ALEX-805  100")</f>
        <v>DRZWI PRYSZNICOWE ALEX-805  100</v>
      </c>
      <c r="C1329" s="23"/>
      <c r="D1329" s="24">
        <f ca="1">IFERROR(__xludf.DUMMYFUNCTION("""COMPUTED_VALUE"""),899)</f>
        <v>899</v>
      </c>
      <c r="E1329" s="25" t="str">
        <f ca="1">IFERROR(__xludf.DUMMYFUNCTION("""COMPUTED_VALUE"""),"REA-K0546")</f>
        <v>REA-K0546</v>
      </c>
    </row>
    <row r="1330" spans="1:5" x14ac:dyDescent="0.2">
      <c r="A1330" s="22">
        <f ca="1">IFERROR(__xludf.DUMMYFUNCTION("""COMPUTED_VALUE"""),45216)</f>
        <v>45216</v>
      </c>
      <c r="B1330" s="23" t="str">
        <f ca="1">IFERROR(__xludf.DUMMYFUNCTION("""COMPUTED_VALUE"""),"ADAPTER MAGNETYCZNY HUGO GOLD SZCZOTKOWANY")</f>
        <v>ADAPTER MAGNETYCZNY HUGO GOLD SZCZOTKOWANY</v>
      </c>
      <c r="C1330" s="23"/>
      <c r="D1330" s="24">
        <f ca="1">IFERROR(__xludf.DUMMYFUNCTION("""COMPUTED_VALUE"""),180)</f>
        <v>180</v>
      </c>
      <c r="E1330" s="25" t="str">
        <f ca="1">IFERROR(__xludf.DUMMYFUNCTION("""COMPUTED_VALUE"""),"REA-K7771")</f>
        <v>REA-K7771</v>
      </c>
    </row>
    <row r="1331" spans="1:5" x14ac:dyDescent="0.2">
      <c r="A1331" s="22">
        <f ca="1">IFERROR(__xludf.DUMMYFUNCTION("""COMPUTED_VALUE"""),45216)</f>
        <v>45216</v>
      </c>
      <c r="B1331" s="23" t="str">
        <f ca="1">IFERROR(__xludf.DUMMYFUNCTION("""COMPUTED_VALUE"""),"DRZWI PRYSZNICOWE HUGO GOLD BRUSH 100+adapter")</f>
        <v>DRZWI PRYSZNICOWE HUGO GOLD BRUSH 100+adapter</v>
      </c>
      <c r="C1331" s="23"/>
      <c r="D1331" s="24">
        <f ca="1">IFERROR(__xludf.DUMMYFUNCTION("""COMPUTED_VALUE"""),1229)</f>
        <v>1229</v>
      </c>
      <c r="E1331" s="26"/>
    </row>
    <row r="1332" spans="1:5" x14ac:dyDescent="0.2">
      <c r="A1332" s="22">
        <f ca="1">IFERROR(__xludf.DUMMYFUNCTION("""COMPUTED_VALUE"""),45216)</f>
        <v>45216</v>
      </c>
      <c r="B1332" s="23" t="str">
        <f ca="1">IFERROR(__xludf.DUMMYFUNCTION("""COMPUTED_VALUE"""),"DRZWI PRYSZNICOWE HUGO GOLD SZCZOTKOWANY 90+adapter")</f>
        <v>DRZWI PRYSZNICOWE HUGO GOLD SZCZOTKOWANY 90+adapter</v>
      </c>
      <c r="C1332" s="23"/>
      <c r="D1332" s="24">
        <f ca="1">IFERROR(__xludf.DUMMYFUNCTION("""COMPUTED_VALUE"""),1259)</f>
        <v>1259</v>
      </c>
      <c r="E1332" s="26"/>
    </row>
    <row r="1333" spans="1:5" x14ac:dyDescent="0.2">
      <c r="A1333" s="22">
        <f ca="1">IFERROR(__xludf.DUMMYFUNCTION("""COMPUTED_VALUE"""),45216)</f>
        <v>45216</v>
      </c>
      <c r="B1333" s="23" t="str">
        <f ca="1">IFERROR(__xludf.DUMMYFUNCTION("""COMPUTED_VALUE"""),"DRZWI PRYSZNICOWE HUGO GOLD SZCZOTKOWANY 90")</f>
        <v>DRZWI PRYSZNICOWE HUGO GOLD SZCZOTKOWANY 90</v>
      </c>
      <c r="C1333" s="23"/>
      <c r="D1333" s="24">
        <f ca="1">IFERROR(__xludf.DUMMYFUNCTION("""COMPUTED_VALUE"""),1239)</f>
        <v>1239</v>
      </c>
      <c r="E1333" s="25" t="str">
        <f ca="1">IFERROR(__xludf.DUMMYFUNCTION("""COMPUTED_VALUE"""),"REA-K8411")</f>
        <v>REA-K8411</v>
      </c>
    </row>
    <row r="1334" spans="1:5" x14ac:dyDescent="0.2">
      <c r="A1334" s="22">
        <f ca="1">IFERROR(__xludf.DUMMYFUNCTION("""COMPUTED_VALUE"""),45216)</f>
        <v>45216</v>
      </c>
      <c r="B1334" s="23" t="str">
        <f ca="1">IFERROR(__xludf.DUMMYFUNCTION("""COMPUTED_VALUE"""),"DRZWI PRYSZNICOWE HUGO GOLD SZCZOTKOWANY 80+adapter")</f>
        <v>DRZWI PRYSZNICOWE HUGO GOLD SZCZOTKOWANY 80+adapter</v>
      </c>
      <c r="C1334" s="23"/>
      <c r="D1334" s="24">
        <f ca="1">IFERROR(__xludf.DUMMYFUNCTION("""COMPUTED_VALUE"""),1229)</f>
        <v>1229</v>
      </c>
      <c r="E1334" s="26"/>
    </row>
    <row r="1335" spans="1:5" x14ac:dyDescent="0.2">
      <c r="A1335" s="22">
        <f ca="1">IFERROR(__xludf.DUMMYFUNCTION("""COMPUTED_VALUE"""),45216)</f>
        <v>45216</v>
      </c>
      <c r="B1335" s="23" t="str">
        <f ca="1">IFERROR(__xludf.DUMMYFUNCTION("""COMPUTED_VALUE"""),"DRZWI PRYSZNICOWE HUGO GOLD SZCZOTKOWANY 80")</f>
        <v>DRZWI PRYSZNICOWE HUGO GOLD SZCZOTKOWANY 80</v>
      </c>
      <c r="C1335" s="23"/>
      <c r="D1335" s="24">
        <f ca="1">IFERROR(__xludf.DUMMYFUNCTION("""COMPUTED_VALUE"""),1199)</f>
        <v>1199</v>
      </c>
      <c r="E1335" s="25" t="str">
        <f ca="1">IFERROR(__xludf.DUMMYFUNCTION("""COMPUTED_VALUE"""),"REA-K8410")</f>
        <v>REA-K8410</v>
      </c>
    </row>
    <row r="1336" spans="1:5" x14ac:dyDescent="0.2">
      <c r="A1336" s="22">
        <f ca="1">IFERROR(__xludf.DUMMYFUNCTION("""COMPUTED_VALUE"""),45216)</f>
        <v>45216</v>
      </c>
      <c r="B1336" s="23" t="str">
        <f ca="1">IFERROR(__xludf.DUMMYFUNCTION("""COMPUTED_VALUE"""),"KABINA HUGO GOLD SZCZOTKOWANY 90x90")</f>
        <v>KABINA HUGO GOLD SZCZOTKOWANY 90x90</v>
      </c>
      <c r="C1336" s="23"/>
      <c r="D1336" s="24">
        <f ca="1">IFERROR(__xludf.DUMMYFUNCTION("""COMPUTED_VALUE"""),2059)</f>
        <v>2059</v>
      </c>
      <c r="E1336" s="25" t="str">
        <f ca="1">IFERROR(__xludf.DUMMYFUNCTION("""COMPUTED_VALUE"""),"REA-K6609")</f>
        <v>REA-K6609</v>
      </c>
    </row>
    <row r="1337" spans="1:5" x14ac:dyDescent="0.2">
      <c r="A1337" s="22">
        <f ca="1">IFERROR(__xludf.DUMMYFUNCTION("""COMPUTED_VALUE"""),45216)</f>
        <v>45216</v>
      </c>
      <c r="B1337" s="23" t="str">
        <f ca="1">IFERROR(__xludf.DUMMYFUNCTION("""COMPUTED_VALUE"""),"KABINA HUGO GOLD SZCZOTKOWANY 80x80")</f>
        <v>KABINA HUGO GOLD SZCZOTKOWANY 80x80</v>
      </c>
      <c r="C1337" s="23"/>
      <c r="D1337" s="24">
        <f ca="1">IFERROR(__xludf.DUMMYFUNCTION("""COMPUTED_VALUE"""),1859)</f>
        <v>1859</v>
      </c>
      <c r="E1337" s="25" t="str">
        <f ca="1">IFERROR(__xludf.DUMMYFUNCTION("""COMPUTED_VALUE"""),"REA-K6608")</f>
        <v>REA-K6608</v>
      </c>
    </row>
    <row r="1338" spans="1:5" x14ac:dyDescent="0.2">
      <c r="A1338" s="22">
        <f ca="1">IFERROR(__xludf.DUMMYFUNCTION("""COMPUTED_VALUE"""),45216)</f>
        <v>45216</v>
      </c>
      <c r="B1338" s="23" t="str">
        <f ca="1">IFERROR(__xludf.DUMMYFUNCTION("""COMPUTED_VALUE"""),"KABINA HUGO GOLD SZCZOTKOWANY 100x100")</f>
        <v>KABINA HUGO GOLD SZCZOTKOWANY 100x100</v>
      </c>
      <c r="C1338" s="23"/>
      <c r="D1338" s="24">
        <f ca="1">IFERROR(__xludf.DUMMYFUNCTION("""COMPUTED_VALUE"""),2099)</f>
        <v>2099</v>
      </c>
      <c r="E1338" s="25" t="str">
        <f ca="1">IFERROR(__xludf.DUMMYFUNCTION("""COMPUTED_VALUE"""),"REA-K6605")</f>
        <v>REA-K6605</v>
      </c>
    </row>
    <row r="1339" spans="1:5" x14ac:dyDescent="0.2">
      <c r="A1339" s="22">
        <f ca="1">IFERROR(__xludf.DUMMYFUNCTION("""COMPUTED_VALUE"""),45216)</f>
        <v>45216</v>
      </c>
      <c r="B1339" s="23" t="str">
        <f ca="1">IFERROR(__xludf.DUMMYFUNCTION("""COMPUTED_VALUE"""),"KABINA AXIN 80X80 CHROM")</f>
        <v>KABINA AXIN 80X80 CHROM</v>
      </c>
      <c r="C1339" s="23"/>
      <c r="D1339" s="24">
        <f ca="1">IFERROR(__xludf.DUMMYFUNCTION("""COMPUTED_VALUE"""),959)</f>
        <v>959</v>
      </c>
      <c r="E1339" s="25" t="str">
        <f ca="1">IFERROR(__xludf.DUMMYFUNCTION("""COMPUTED_VALUE"""),"REA-K8778")</f>
        <v>REA-K8778</v>
      </c>
    </row>
    <row r="1340" spans="1:5" x14ac:dyDescent="0.2">
      <c r="A1340" s="22">
        <f ca="1">IFERROR(__xludf.DUMMYFUNCTION("""COMPUTED_VALUE"""),45216)</f>
        <v>45216</v>
      </c>
      <c r="B1340" s="23" t="str">
        <f ca="1">IFERROR(__xludf.DUMMYFUNCTION("""COMPUTED_VALUE"""),"KABINA DIAMOND L.GOLD 90X90")</f>
        <v>KABINA DIAMOND L.GOLD 90X90</v>
      </c>
      <c r="C1340" s="23"/>
      <c r="D1340" s="24">
        <f ca="1">IFERROR(__xludf.DUMMYFUNCTION("""COMPUTED_VALUE"""),1899)</f>
        <v>1899</v>
      </c>
      <c r="E1340" s="25" t="str">
        <f ca="1">IFERROR(__xludf.DUMMYFUNCTION("""COMPUTED_VALUE"""),"REA-K4904")</f>
        <v>REA-K4904</v>
      </c>
    </row>
    <row r="1341" spans="1:5" x14ac:dyDescent="0.2">
      <c r="A1341" s="22">
        <f ca="1">IFERROR(__xludf.DUMMYFUNCTION("""COMPUTED_VALUE"""),45216)</f>
        <v>45216</v>
      </c>
      <c r="B1341" s="23" t="str">
        <f ca="1">IFERROR(__xludf.DUMMYFUNCTION("""COMPUTED_VALUE"""),"DRZWI PRYSZNICOWE RAPID SLIDE CHROM 120")</f>
        <v>DRZWI PRYSZNICOWE RAPID SLIDE CHROM 120</v>
      </c>
      <c r="C1341" s="23"/>
      <c r="D1341" s="24">
        <f ca="1">IFERROR(__xludf.DUMMYFUNCTION("""COMPUTED_VALUE"""),909)</f>
        <v>909</v>
      </c>
      <c r="E1341" s="25" t="str">
        <f ca="1">IFERROR(__xludf.DUMMYFUNCTION("""COMPUTED_VALUE"""),"REA-K5602")</f>
        <v>REA-K5602</v>
      </c>
    </row>
    <row r="1342" spans="1:5" x14ac:dyDescent="0.2">
      <c r="A1342" s="22">
        <f ca="1">IFERROR(__xludf.DUMMYFUNCTION("""COMPUTED_VALUE"""),45216)</f>
        <v>45216</v>
      </c>
      <c r="B1342" s="23" t="str">
        <f ca="1">IFERROR(__xludf.DUMMYFUNCTION("""COMPUTED_VALUE"""),"DRZWI PRYSZNICOWE RAPID SLIDE CHROM 150")</f>
        <v>DRZWI PRYSZNICOWE RAPID SLIDE CHROM 150</v>
      </c>
      <c r="C1342" s="23"/>
      <c r="D1342" s="24">
        <f ca="1">IFERROR(__xludf.DUMMYFUNCTION("""COMPUTED_VALUE"""),999)</f>
        <v>999</v>
      </c>
      <c r="E1342" s="25" t="str">
        <f ca="1">IFERROR(__xludf.DUMMYFUNCTION("""COMPUTED_VALUE"""),"REA-K5605")</f>
        <v>REA-K5605</v>
      </c>
    </row>
    <row r="1343" spans="1:5" x14ac:dyDescent="0.2">
      <c r="A1343" s="22">
        <f ca="1">IFERROR(__xludf.DUMMYFUNCTION("""COMPUTED_VALUE"""),45216)</f>
        <v>45216</v>
      </c>
      <c r="B1343" s="23" t="str">
        <f ca="1">IFERROR(__xludf.DUMMYFUNCTION("""COMPUTED_VALUE"""),"ŚCIANKA RAPID CHROM 80")</f>
        <v>ŚCIANKA RAPID CHROM 80</v>
      </c>
      <c r="C1343" s="23"/>
      <c r="D1343" s="24">
        <f ca="1">IFERROR(__xludf.DUMMYFUNCTION("""COMPUTED_VALUE"""),500)</f>
        <v>500</v>
      </c>
      <c r="E1343" s="25" t="str">
        <f ca="1">IFERROR(__xludf.DUMMYFUNCTION("""COMPUTED_VALUE"""),"REA-K5608")</f>
        <v>REA-K5608</v>
      </c>
    </row>
    <row r="1344" spans="1:5" x14ac:dyDescent="0.2">
      <c r="A1344" s="22">
        <f ca="1">IFERROR(__xludf.DUMMYFUNCTION("""COMPUTED_VALUE"""),45210)</f>
        <v>45210</v>
      </c>
      <c r="B1344" s="23" t="str">
        <f ca="1">IFERROR(__xludf.DUMMYFUNCTION("""COMPUTED_VALUE"""),"BATERIA BIDETOWA MY1902-9B STORM CZARNA")</f>
        <v>BATERIA BIDETOWA MY1902-9B STORM CZARNA</v>
      </c>
      <c r="C1344" s="23"/>
      <c r="D1344" s="24">
        <f ca="1">IFERROR(__xludf.DUMMYFUNCTION("""COMPUTED_VALUE"""),239)</f>
        <v>239</v>
      </c>
      <c r="E1344" s="25" t="str">
        <f ca="1">IFERROR(__xludf.DUMMYFUNCTION("""COMPUTED_VALUE"""),"REA-B4120")</f>
        <v>REA-B4120</v>
      </c>
    </row>
    <row r="1345" spans="1:5" x14ac:dyDescent="0.2">
      <c r="A1345" s="22">
        <f ca="1">IFERROR(__xludf.DUMMYFUNCTION("""COMPUTED_VALUE"""),45210)</f>
        <v>45210</v>
      </c>
      <c r="B1345" s="23" t="str">
        <f ca="1">IFERROR(__xludf.DUMMYFUNCTION("""COMPUTED_VALUE"""),"BATERIA BIDETOWA MY1902-9H STORM GUN SZARY")</f>
        <v>BATERIA BIDETOWA MY1902-9H STORM GUN SZARY</v>
      </c>
      <c r="C1345" s="23"/>
      <c r="D1345" s="24">
        <f ca="1">IFERROR(__xludf.DUMMYFUNCTION("""COMPUTED_VALUE"""),299)</f>
        <v>299</v>
      </c>
      <c r="E1345" s="25" t="str">
        <f ca="1">IFERROR(__xludf.DUMMYFUNCTION("""COMPUTED_VALUE"""),"REA-B4583")</f>
        <v>REA-B4583</v>
      </c>
    </row>
    <row r="1346" spans="1:5" x14ac:dyDescent="0.2">
      <c r="A1346" s="22">
        <f ca="1">IFERROR(__xludf.DUMMYFUNCTION("""COMPUTED_VALUE"""),45210)</f>
        <v>45210</v>
      </c>
      <c r="B1346" s="23" t="str">
        <f ca="1">IFERROR(__xludf.DUMMYFUNCTION("""COMPUTED_VALUE"""),"BATERIA BIDETOWA MY2021-9B ARGUS CZARNA")</f>
        <v>BATERIA BIDETOWA MY2021-9B ARGUS CZARNA</v>
      </c>
      <c r="C1346" s="23"/>
      <c r="D1346" s="24">
        <f ca="1">IFERROR(__xludf.DUMMYFUNCTION("""COMPUTED_VALUE"""),219)</f>
        <v>219</v>
      </c>
      <c r="E1346" s="25" t="str">
        <f ca="1">IFERROR(__xludf.DUMMYFUNCTION("""COMPUTED_VALUE"""),"REA-B6405")</f>
        <v>REA-B6405</v>
      </c>
    </row>
    <row r="1347" spans="1:5" x14ac:dyDescent="0.2">
      <c r="A1347" s="22">
        <f ca="1">IFERROR(__xludf.DUMMYFUNCTION("""COMPUTED_VALUE"""),45210)</f>
        <v>45210</v>
      </c>
      <c r="B1347" s="23" t="str">
        <f ca="1">IFERROR(__xludf.DUMMYFUNCTION("""COMPUTED_VALUE"""),"BATERIA BIDETOWA MY2021-9GG ARGUS ZŁOTA SZCZOTK")</f>
        <v>BATERIA BIDETOWA MY2021-9GG ARGUS ZŁOTA SZCZOTK</v>
      </c>
      <c r="C1347" s="23"/>
      <c r="D1347" s="24">
        <f ca="1">IFERROR(__xludf.DUMMYFUNCTION("""COMPUTED_VALUE"""),299)</f>
        <v>299</v>
      </c>
      <c r="E1347" s="25" t="str">
        <f ca="1">IFERROR(__xludf.DUMMYFUNCTION("""COMPUTED_VALUE"""),"REA-B6411")</f>
        <v>REA-B6411</v>
      </c>
    </row>
    <row r="1348" spans="1:5" x14ac:dyDescent="0.2">
      <c r="A1348" s="22">
        <f ca="1">IFERROR(__xludf.DUMMYFUNCTION("""COMPUTED_VALUE"""),45210)</f>
        <v>45210</v>
      </c>
      <c r="B1348" s="23" t="str">
        <f ca="1">IFERROR(__xludf.DUMMYFUNCTION("""COMPUTED_VALUE"""),"BATERIA PRYSZNICOWA MY1802-8C URBAN CHROM")</f>
        <v>BATERIA PRYSZNICOWA MY1802-8C URBAN CHROM</v>
      </c>
      <c r="C1348" s="23"/>
      <c r="D1348" s="24">
        <f ca="1">IFERROR(__xludf.DUMMYFUNCTION("""COMPUTED_VALUE"""),259)</f>
        <v>259</v>
      </c>
      <c r="E1348" s="25" t="str">
        <f ca="1">IFERROR(__xludf.DUMMYFUNCTION("""COMPUTED_VALUE"""),"REA-B8547")</f>
        <v>REA-B8547</v>
      </c>
    </row>
    <row r="1349" spans="1:5" x14ac:dyDescent="0.2">
      <c r="A1349" s="22">
        <f ca="1">IFERROR(__xludf.DUMMYFUNCTION("""COMPUTED_VALUE"""),45210)</f>
        <v>45210</v>
      </c>
      <c r="B1349" s="23" t="str">
        <f ca="1">IFERROR(__xludf.DUMMYFUNCTION("""COMPUTED_VALUE"""),"BATERIA PRYSZNICOWA MY2021-8B ARGUS CZARNA")</f>
        <v>BATERIA PRYSZNICOWA MY2021-8B ARGUS CZARNA</v>
      </c>
      <c r="C1349" s="23"/>
      <c r="D1349" s="24">
        <f ca="1">IFERROR(__xludf.DUMMYFUNCTION("""COMPUTED_VALUE"""),259)</f>
        <v>259</v>
      </c>
      <c r="E1349" s="25" t="str">
        <f ca="1">IFERROR(__xludf.DUMMYFUNCTION("""COMPUTED_VALUE"""),"REA-B6406")</f>
        <v>REA-B6406</v>
      </c>
    </row>
    <row r="1350" spans="1:5" x14ac:dyDescent="0.2">
      <c r="A1350" s="22">
        <f ca="1">IFERROR(__xludf.DUMMYFUNCTION("""COMPUTED_VALUE"""),45210)</f>
        <v>45210</v>
      </c>
      <c r="B1350" s="23" t="str">
        <f ca="1">IFERROR(__xludf.DUMMYFUNCTION("""COMPUTED_VALUE"""),"BATERIA PRYSZNICOWA MY2021-8G ARGUS ZŁOTA POŁYSK")</f>
        <v>BATERIA PRYSZNICOWA MY2021-8G ARGUS ZŁOTA POŁYSK</v>
      </c>
      <c r="C1350" s="23"/>
      <c r="D1350" s="24">
        <f ca="1">IFERROR(__xludf.DUMMYFUNCTION("""COMPUTED_VALUE"""),319)</f>
        <v>319</v>
      </c>
      <c r="E1350" s="25" t="str">
        <f ca="1">IFERROR(__xludf.DUMMYFUNCTION("""COMPUTED_VALUE"""),"REA-B6408")</f>
        <v>REA-B6408</v>
      </c>
    </row>
    <row r="1351" spans="1:5" x14ac:dyDescent="0.2">
      <c r="A1351" s="22">
        <f ca="1">IFERROR(__xludf.DUMMYFUNCTION("""COMPUTED_VALUE"""),45210)</f>
        <v>45210</v>
      </c>
      <c r="B1351" s="23" t="str">
        <f ca="1">IFERROR(__xludf.DUMMYFUNCTION("""COMPUTED_VALUE"""),"BATERIA PRYSZNICOWA MY2021-8GG ARGUS ZŁOTA SZCZOTK")</f>
        <v>BATERIA PRYSZNICOWA MY2021-8GG ARGUS ZŁOTA SZCZOTK</v>
      </c>
      <c r="C1351" s="23"/>
      <c r="D1351" s="24">
        <f ca="1">IFERROR(__xludf.DUMMYFUNCTION("""COMPUTED_VALUE"""),319)</f>
        <v>319</v>
      </c>
      <c r="E1351" s="25" t="str">
        <f ca="1">IFERROR(__xludf.DUMMYFUNCTION("""COMPUTED_VALUE"""),"REA-B6413")</f>
        <v>REA-B6413</v>
      </c>
    </row>
    <row r="1352" spans="1:5" x14ac:dyDescent="0.2">
      <c r="A1352" s="22">
        <f ca="1">IFERROR(__xludf.DUMMYFUNCTION("""COMPUTED_VALUE"""),45210)</f>
        <v>45210</v>
      </c>
      <c r="B1352" s="23" t="str">
        <f ca="1">IFERROR(__xludf.DUMMYFUNCTION("""COMPUTED_VALUE"""),"BATERIA PRYSZNICOWA MY2061-8B HASS CZARNA")</f>
        <v>BATERIA PRYSZNICOWA MY2061-8B HASS CZARNA</v>
      </c>
      <c r="C1352" s="23"/>
      <c r="D1352" s="24">
        <f ca="1">IFERROR(__xludf.DUMMYFUNCTION("""COMPUTED_VALUE"""),319)</f>
        <v>319</v>
      </c>
      <c r="E1352" s="25" t="str">
        <f ca="1">IFERROR(__xludf.DUMMYFUNCTION("""COMPUTED_VALUE"""),"REA-B6402")</f>
        <v>REA-B6402</v>
      </c>
    </row>
    <row r="1353" spans="1:5" x14ac:dyDescent="0.2">
      <c r="A1353" s="22">
        <f ca="1">IFERROR(__xludf.DUMMYFUNCTION("""COMPUTED_VALUE"""),45210)</f>
        <v>45210</v>
      </c>
      <c r="B1353" s="23" t="str">
        <f ca="1">IFERROR(__xludf.DUMMYFUNCTION("""COMPUTED_VALUE"""),"BATERIA PRYSZNICOWA MY2061-8GG HASS ZŁOTA SZCZO")</f>
        <v>BATERIA PRYSZNICOWA MY2061-8GG HASS ZŁOTA SZCZO</v>
      </c>
      <c r="C1353" s="23"/>
      <c r="D1353" s="24">
        <f ca="1">IFERROR(__xludf.DUMMYFUNCTION("""COMPUTED_VALUE"""),399)</f>
        <v>399</v>
      </c>
      <c r="E1353" s="25" t="str">
        <f ca="1">IFERROR(__xludf.DUMMYFUNCTION("""COMPUTED_VALUE"""),"REA-B6403")</f>
        <v>REA-B6403</v>
      </c>
    </row>
    <row r="1354" spans="1:5" x14ac:dyDescent="0.2">
      <c r="A1354" s="22">
        <f ca="1">IFERROR(__xludf.DUMMYFUNCTION("""COMPUTED_VALUE"""),45210)</f>
        <v>45210</v>
      </c>
      <c r="B1354" s="23" t="str">
        <f ca="1">IFERROR(__xludf.DUMMYFUNCTION("""COMPUTED_VALUE"""),"BATERIA PRYSZNICOWA MY2102-8C VENETA CHROM")</f>
        <v>BATERIA PRYSZNICOWA MY2102-8C VENETA CHROM</v>
      </c>
      <c r="C1354" s="23"/>
      <c r="D1354" s="24">
        <f ca="1">IFERROR(__xludf.DUMMYFUNCTION("""COMPUTED_VALUE"""),299)</f>
        <v>299</v>
      </c>
      <c r="E1354" s="25" t="str">
        <f ca="1">IFERROR(__xludf.DUMMYFUNCTION("""COMPUTED_VALUE"""),"REA-B6421")</f>
        <v>REA-B6421</v>
      </c>
    </row>
    <row r="1355" spans="1:5" x14ac:dyDescent="0.2">
      <c r="A1355" s="22">
        <f ca="1">IFERROR(__xludf.DUMMYFUNCTION("""COMPUTED_VALUE"""),45210)</f>
        <v>45210</v>
      </c>
      <c r="B1355" s="23" t="str">
        <f ca="1">IFERROR(__xludf.DUMMYFUNCTION("""COMPUTED_VALUE"""),"BATERIA PRYSZNICOWA MY2102-8G VENETA ZŁOTA")</f>
        <v>BATERIA PRYSZNICOWA MY2102-8G VENETA ZŁOTA</v>
      </c>
      <c r="C1355" s="23"/>
      <c r="D1355" s="24">
        <f ca="1">IFERROR(__xludf.DUMMYFUNCTION("""COMPUTED_VALUE"""),359)</f>
        <v>359</v>
      </c>
      <c r="E1355" s="25" t="str">
        <f ca="1">IFERROR(__xludf.DUMMYFUNCTION("""COMPUTED_VALUE"""),"REA-B6420")</f>
        <v>REA-B6420</v>
      </c>
    </row>
    <row r="1356" spans="1:5" x14ac:dyDescent="0.2">
      <c r="A1356" s="22">
        <f ca="1">IFERROR(__xludf.DUMMYFUNCTION("""COMPUTED_VALUE"""),45210)</f>
        <v>45210</v>
      </c>
      <c r="B1356" s="23" t="str">
        <f ca="1">IFERROR(__xludf.DUMMYFUNCTION("""COMPUTED_VALUE"""),"BATERIA UMY MY2021-21GG ARGUS ZŁOTA SZCZOTK WYSOKA")</f>
        <v>BATERIA UMY MY2021-21GG ARGUS ZŁOTA SZCZOTK WYSOKA</v>
      </c>
      <c r="C1356" s="23"/>
      <c r="D1356" s="24">
        <f ca="1">IFERROR(__xludf.DUMMYFUNCTION("""COMPUTED_VALUE"""),359)</f>
        <v>359</v>
      </c>
      <c r="E1356" s="25" t="str">
        <f ca="1">IFERROR(__xludf.DUMMYFUNCTION("""COMPUTED_VALUE"""),"REA-B6412")</f>
        <v>REA-B6412</v>
      </c>
    </row>
    <row r="1357" spans="1:5" x14ac:dyDescent="0.2">
      <c r="A1357" s="22">
        <f ca="1">IFERROR(__xludf.DUMMYFUNCTION("""COMPUTED_VALUE"""),45210)</f>
        <v>45210</v>
      </c>
      <c r="B1357" s="23" t="str">
        <f ca="1">IFERROR(__xludf.DUMMYFUNCTION("""COMPUTED_VALUE"""),"BATERIA UMY MY2021-2GG ARGUS ZŁOTA SZCZOTK NISKA")</f>
        <v>BATERIA UMY MY2021-2GG ARGUS ZŁOTA SZCZOTK NISKA</v>
      </c>
      <c r="C1357" s="23"/>
      <c r="D1357" s="24">
        <f ca="1">IFERROR(__xludf.DUMMYFUNCTION("""COMPUTED_VALUE"""),329)</f>
        <v>329</v>
      </c>
      <c r="E1357" s="25" t="str">
        <f ca="1">IFERROR(__xludf.DUMMYFUNCTION("""COMPUTED_VALUE"""),"REA-B6410")</f>
        <v>REA-B6410</v>
      </c>
    </row>
    <row r="1358" spans="1:5" x14ac:dyDescent="0.2">
      <c r="A1358" s="22">
        <f ca="1">IFERROR(__xludf.DUMMYFUNCTION("""COMPUTED_VALUE"""),45210)</f>
        <v>45210</v>
      </c>
      <c r="B1358" s="23" t="str">
        <f ca="1">IFERROR(__xludf.DUMMYFUNCTION("""COMPUTED_VALUE"""),"BATERIA UMYWALK MY2102-21C VENETA CHROM WYSOKA")</f>
        <v>BATERIA UMYWALK MY2102-21C VENETA CHROM WYSOKA</v>
      </c>
      <c r="C1358" s="23"/>
      <c r="D1358" s="24">
        <f ca="1">IFERROR(__xludf.DUMMYFUNCTION("""COMPUTED_VALUE"""),339)</f>
        <v>339</v>
      </c>
      <c r="E1358" s="25" t="str">
        <f ca="1">IFERROR(__xludf.DUMMYFUNCTION("""COMPUTED_VALUE"""),"REA-B6418")</f>
        <v>REA-B6418</v>
      </c>
    </row>
    <row r="1359" spans="1:5" x14ac:dyDescent="0.2">
      <c r="A1359" s="22">
        <f ca="1">IFERROR(__xludf.DUMMYFUNCTION("""COMPUTED_VALUE"""),45210)</f>
        <v>45210</v>
      </c>
      <c r="B1359" s="23" t="str">
        <f ca="1">IFERROR(__xludf.DUMMYFUNCTION("""COMPUTED_VALUE"""),"BATERIA UMYWALK MY2102-21G VENETA ZŁOTA WYSOKA")</f>
        <v>BATERIA UMYWALK MY2102-21G VENETA ZŁOTA WYSOKA</v>
      </c>
      <c r="C1359" s="23"/>
      <c r="D1359" s="24">
        <f ca="1">IFERROR(__xludf.DUMMYFUNCTION("""COMPUTED_VALUE"""),409)</f>
        <v>409</v>
      </c>
      <c r="E1359" s="25" t="str">
        <f ca="1">IFERROR(__xludf.DUMMYFUNCTION("""COMPUTED_VALUE"""),"REA-B6419")</f>
        <v>REA-B6419</v>
      </c>
    </row>
    <row r="1360" spans="1:5" x14ac:dyDescent="0.2">
      <c r="A1360" s="22">
        <f ca="1">IFERROR(__xludf.DUMMYFUNCTION("""COMPUTED_VALUE"""),45210)</f>
        <v>45210</v>
      </c>
      <c r="B1360" s="23" t="str">
        <f ca="1">IFERROR(__xludf.DUMMYFUNCTION("""COMPUTED_VALUE"""),"BATERIA UMYWALK MY2102-2C VENETA CHROM NISKA")</f>
        <v>BATERIA UMYWALK MY2102-2C VENETA CHROM NISKA</v>
      </c>
      <c r="C1360" s="23"/>
      <c r="D1360" s="24">
        <f ca="1">IFERROR(__xludf.DUMMYFUNCTION("""COMPUTED_VALUE"""),239)</f>
        <v>239</v>
      </c>
      <c r="E1360" s="25" t="str">
        <f ca="1">IFERROR(__xludf.DUMMYFUNCTION("""COMPUTED_VALUE"""),"REA-B6416")</f>
        <v>REA-B6416</v>
      </c>
    </row>
    <row r="1361" spans="1:5" x14ac:dyDescent="0.2">
      <c r="A1361" s="22">
        <f ca="1">IFERROR(__xludf.DUMMYFUNCTION("""COMPUTED_VALUE"""),45210)</f>
        <v>45210</v>
      </c>
      <c r="B1361" s="23" t="str">
        <f ca="1">IFERROR(__xludf.DUMMYFUNCTION("""COMPUTED_VALUE"""),"BATERIA UMYWALK MY2102-2G VENETA ZŁOTA NISKA")</f>
        <v>BATERIA UMYWALK MY2102-2G VENETA ZŁOTA NISKA</v>
      </c>
      <c r="C1361" s="23"/>
      <c r="D1361" s="24">
        <f ca="1">IFERROR(__xludf.DUMMYFUNCTION("""COMPUTED_VALUE"""),289)</f>
        <v>289</v>
      </c>
      <c r="E1361" s="25" t="str">
        <f ca="1">IFERROR(__xludf.DUMMYFUNCTION("""COMPUTED_VALUE"""),"REA-B6417")</f>
        <v>REA-B6417</v>
      </c>
    </row>
    <row r="1362" spans="1:5" x14ac:dyDescent="0.2">
      <c r="A1362" s="22">
        <f ca="1">IFERROR(__xludf.DUMMYFUNCTION("""COMPUTED_VALUE"""),45210)</f>
        <v>45210</v>
      </c>
      <c r="B1362" s="23" t="str">
        <f ca="1">IFERROR(__xludf.DUMMYFUNCTION("""COMPUTED_VALUE"""),"BATERIA UMYWALKOWA MY1902-21H STORM GUN SZARY WYSOK")</f>
        <v>BATERIA UMYWALKOWA MY1902-21H STORM GUN SZARY WYSOK</v>
      </c>
      <c r="C1362" s="23"/>
      <c r="D1362" s="24">
        <f ca="1">IFERROR(__xludf.DUMMYFUNCTION("""COMPUTED_VALUE"""),449)</f>
        <v>449</v>
      </c>
      <c r="E1362" s="25" t="str">
        <f ca="1">IFERROR(__xludf.DUMMYFUNCTION("""COMPUTED_VALUE"""),"REA-B4584")</f>
        <v>REA-B4584</v>
      </c>
    </row>
    <row r="1363" spans="1:5" x14ac:dyDescent="0.2">
      <c r="A1363" s="22">
        <f ca="1">IFERROR(__xludf.DUMMYFUNCTION("""COMPUTED_VALUE"""),45210)</f>
        <v>45210</v>
      </c>
      <c r="B1363" s="23" t="str">
        <f ca="1">IFERROR(__xludf.DUMMYFUNCTION("""COMPUTED_VALUE"""),"BATERIA UMYWALKOWA MY1902-2H STORM GUN SZARY NISKA")</f>
        <v>BATERIA UMYWALKOWA MY1902-2H STORM GUN SZARY NISKA</v>
      </c>
      <c r="C1363" s="23"/>
      <c r="D1363" s="24">
        <f ca="1">IFERROR(__xludf.DUMMYFUNCTION("""COMPUTED_VALUE"""),319)</f>
        <v>319</v>
      </c>
      <c r="E1363" s="25" t="str">
        <f ca="1">IFERROR(__xludf.DUMMYFUNCTION("""COMPUTED_VALUE"""),"REA-B4580")</f>
        <v>REA-B4580</v>
      </c>
    </row>
    <row r="1364" spans="1:5" x14ac:dyDescent="0.2">
      <c r="A1364" s="22">
        <f ca="1">IFERROR(__xludf.DUMMYFUNCTION("""COMPUTED_VALUE"""),45210)</f>
        <v>45210</v>
      </c>
      <c r="B1364" s="23" t="str">
        <f ca="1">IFERROR(__xludf.DUMMYFUNCTION("""COMPUTED_VALUE"""),"BATERIA WANNOWA MY1902-3H STORM GUN SZARY")</f>
        <v>BATERIA WANNOWA MY1902-3H STORM GUN SZARY</v>
      </c>
      <c r="C1364" s="23"/>
      <c r="D1364" s="24">
        <f ca="1">IFERROR(__xludf.DUMMYFUNCTION("""COMPUTED_VALUE"""),499)</f>
        <v>499</v>
      </c>
      <c r="E1364" s="25" t="str">
        <f ca="1">IFERROR(__xludf.DUMMYFUNCTION("""COMPUTED_VALUE"""),"REA-B4585")</f>
        <v>REA-B4585</v>
      </c>
    </row>
    <row r="1365" spans="1:5" x14ac:dyDescent="0.2">
      <c r="A1365" s="22">
        <f ca="1">IFERROR(__xludf.DUMMYFUNCTION("""COMPUTED_VALUE"""),45210)</f>
        <v>45210</v>
      </c>
      <c r="B1365" s="23" t="str">
        <f ca="1">IFERROR(__xludf.DUMMYFUNCTION("""COMPUTED_VALUE"""),"BATERIA WANNOWA MY2021-3B ARGUS CZARNA")</f>
        <v>BATERIA WANNOWA MY2021-3B ARGUS CZARNA</v>
      </c>
      <c r="C1365" s="23"/>
      <c r="D1365" s="24">
        <f ca="1">IFERROR(__xludf.DUMMYFUNCTION("""COMPUTED_VALUE"""),299)</f>
        <v>299</v>
      </c>
      <c r="E1365" s="25" t="str">
        <f ca="1">IFERROR(__xludf.DUMMYFUNCTION("""COMPUTED_VALUE"""),"REA-B6407")</f>
        <v>REA-B6407</v>
      </c>
    </row>
    <row r="1366" spans="1:5" x14ac:dyDescent="0.2">
      <c r="A1366" s="22">
        <f ca="1">IFERROR(__xludf.DUMMYFUNCTION("""COMPUTED_VALUE"""),45210)</f>
        <v>45210</v>
      </c>
      <c r="B1366" s="23" t="str">
        <f ca="1">IFERROR(__xludf.DUMMYFUNCTION("""COMPUTED_VALUE"""),"BATERIA WANNOWA MY2021-3G ARGUS ZŁOTA POŁYSK")</f>
        <v>BATERIA WANNOWA MY2021-3G ARGUS ZŁOTA POŁYSK</v>
      </c>
      <c r="C1366" s="23"/>
      <c r="D1366" s="24">
        <f ca="1">IFERROR(__xludf.DUMMYFUNCTION("""COMPUTED_VALUE"""),379)</f>
        <v>379</v>
      </c>
      <c r="E1366" s="25" t="str">
        <f ca="1">IFERROR(__xludf.DUMMYFUNCTION("""COMPUTED_VALUE"""),"REA-B6409")</f>
        <v>REA-B6409</v>
      </c>
    </row>
    <row r="1367" spans="1:5" x14ac:dyDescent="0.2">
      <c r="A1367" s="22">
        <f ca="1">IFERROR(__xludf.DUMMYFUNCTION("""COMPUTED_VALUE"""),45210)</f>
        <v>45210</v>
      </c>
      <c r="B1367" s="23" t="str">
        <f ca="1">IFERROR(__xludf.DUMMYFUNCTION("""COMPUTED_VALUE"""),"BATERIA WANNOWA MY2021-3GG ARGUS ZŁOTA SZCZOTKOWAN")</f>
        <v>BATERIA WANNOWA MY2021-3GG ARGUS ZŁOTA SZCZOTKOWAN</v>
      </c>
      <c r="C1367" s="23"/>
      <c r="D1367" s="24">
        <f ca="1">IFERROR(__xludf.DUMMYFUNCTION("""COMPUTED_VALUE"""),419)</f>
        <v>419</v>
      </c>
      <c r="E1367" s="25" t="str">
        <f ca="1">IFERROR(__xludf.DUMMYFUNCTION("""COMPUTED_VALUE"""),"REA-B6414")</f>
        <v>REA-B6414</v>
      </c>
    </row>
    <row r="1368" spans="1:5" x14ac:dyDescent="0.2">
      <c r="A1368" s="22">
        <f ca="1">IFERROR(__xludf.DUMMYFUNCTION("""COMPUTED_VALUE"""),45210)</f>
        <v>45210</v>
      </c>
      <c r="B1368" s="23" t="str">
        <f ca="1">IFERROR(__xludf.DUMMYFUNCTION("""COMPUTED_VALUE"""),"BATERIA WANNOWA PODŁOGOWA MY2061-38B HASS CZARNA")</f>
        <v>BATERIA WANNOWA PODŁOGOWA MY2061-38B HASS CZARNA</v>
      </c>
      <c r="C1368" s="23"/>
      <c r="D1368" s="24">
        <f ca="1">IFERROR(__xludf.DUMMYFUNCTION("""COMPUTED_VALUE"""),869)</f>
        <v>869</v>
      </c>
      <c r="E1368" s="25" t="str">
        <f ca="1">IFERROR(__xludf.DUMMYFUNCTION("""COMPUTED_VALUE"""),"REA-B6401")</f>
        <v>REA-B6401</v>
      </c>
    </row>
    <row r="1369" spans="1:5" x14ac:dyDescent="0.2">
      <c r="A1369" s="22">
        <f ca="1">IFERROR(__xludf.DUMMYFUNCTION("""COMPUTED_VALUE"""),45210)</f>
        <v>45210</v>
      </c>
      <c r="B1369" s="23" t="str">
        <f ca="1">IFERROR(__xludf.DUMMYFUNCTION("""COMPUTED_VALUE"""),"BATERIA WANNOWA PODŁOGOWA MY2061-38C HASS CHROM ")</f>
        <v xml:space="preserve">BATERIA WANNOWA PODŁOGOWA MY2061-38C HASS CHROM </v>
      </c>
      <c r="C1369" s="23"/>
      <c r="D1369" s="24">
        <f ca="1">IFERROR(__xludf.DUMMYFUNCTION("""COMPUTED_VALUE"""),839)</f>
        <v>839</v>
      </c>
      <c r="E1369" s="25" t="str">
        <f ca="1">IFERROR(__xludf.DUMMYFUNCTION("""COMPUTED_VALUE"""),"REA-B6400")</f>
        <v>REA-B6400</v>
      </c>
    </row>
    <row r="1370" spans="1:5" x14ac:dyDescent="0.2">
      <c r="A1370" s="22">
        <f ca="1">IFERROR(__xludf.DUMMYFUNCTION("""COMPUTED_VALUE"""),45210)</f>
        <v>45210</v>
      </c>
      <c r="B1370" s="23" t="str">
        <f ca="1">IFERROR(__xludf.DUMMYFUNCTION("""COMPUTED_VALUE"""),"BATERIA WANNOWA PODŁOG MY2061-38GG HASS ZŁOTA SZCZ")</f>
        <v>BATERIA WANNOWA PODŁOG MY2061-38GG HASS ZŁOTA SZCZ</v>
      </c>
      <c r="C1370" s="23"/>
      <c r="D1370" s="24">
        <f ca="1">IFERROR(__xludf.DUMMYFUNCTION("""COMPUTED_VALUE"""),1099)</f>
        <v>1099</v>
      </c>
      <c r="E1370" s="25" t="str">
        <f ca="1">IFERROR(__xludf.DUMMYFUNCTION("""COMPUTED_VALUE"""),"REA-B6404")</f>
        <v>REA-B6404</v>
      </c>
    </row>
    <row r="1371" spans="1:5" x14ac:dyDescent="0.2">
      <c r="A1371" s="22">
        <f ca="1">IFERROR(__xludf.DUMMYFUNCTION("""COMPUTED_VALUE"""),45210)</f>
        <v>45210</v>
      </c>
      <c r="B1371" s="23" t="str">
        <f ca="1">IFERROR(__xludf.DUMMYFUNCTION("""COMPUTED_VALUE"""),"BATERIA WANNOWA MY2102-3C VENETA CHROM")</f>
        <v>BATERIA WANNOWA MY2102-3C VENETA CHROM</v>
      </c>
      <c r="C1371" s="23"/>
      <c r="D1371" s="24">
        <f ca="1">IFERROR(__xludf.DUMMYFUNCTION("""COMPUTED_VALUE"""),389)</f>
        <v>389</v>
      </c>
      <c r="E1371" s="25" t="str">
        <f ca="1">IFERROR(__xludf.DUMMYFUNCTION("""COMPUTED_VALUE"""),"REA-B6424")</f>
        <v>REA-B6424</v>
      </c>
    </row>
    <row r="1372" spans="1:5" x14ac:dyDescent="0.2">
      <c r="A1372" s="22">
        <f ca="1">IFERROR(__xludf.DUMMYFUNCTION("""COMPUTED_VALUE"""),45210)</f>
        <v>45210</v>
      </c>
      <c r="B1372" s="23" t="str">
        <f ca="1">IFERROR(__xludf.DUMMYFUNCTION("""COMPUTED_VALUE"""),"BATERIA WANNOWA MY2102-3G VENETA ZŁOTA")</f>
        <v>BATERIA WANNOWA MY2102-3G VENETA ZŁOTA</v>
      </c>
      <c r="C1372" s="23"/>
      <c r="D1372" s="24">
        <f ca="1">IFERROR(__xludf.DUMMYFUNCTION("""COMPUTED_VALUE"""),459)</f>
        <v>459</v>
      </c>
      <c r="E1372" s="25" t="str">
        <f ca="1">IFERROR(__xludf.DUMMYFUNCTION("""COMPUTED_VALUE"""),"REA-B6422")</f>
        <v>REA-B6422</v>
      </c>
    </row>
    <row r="1373" spans="1:5" x14ac:dyDescent="0.2">
      <c r="A1373" s="22">
        <f ca="1">IFERROR(__xludf.DUMMYFUNCTION("""COMPUTED_VALUE"""),45210)</f>
        <v>45210</v>
      </c>
      <c r="B1373" s="23" t="str">
        <f ca="1">IFERROR(__xludf.DUMMYFUNCTION("""COMPUTED_VALUE"""),"ZESTAW NATRYSKOWY MY1805-77CW BLOOM BIAŁY/CHROM")</f>
        <v>ZESTAW NATRYSKOWY MY1805-77CW BLOOM BIAŁY/CHROM</v>
      </c>
      <c r="C1373" s="23"/>
      <c r="D1373" s="24">
        <f ca="1">IFERROR(__xludf.DUMMYFUNCTION("""COMPUTED_VALUE"""),579)</f>
        <v>579</v>
      </c>
      <c r="E1373" s="25" t="str">
        <f ca="1">IFERROR(__xludf.DUMMYFUNCTION("""COMPUTED_VALUE"""),"REA-P9527")</f>
        <v>REA-P9527</v>
      </c>
    </row>
    <row r="1374" spans="1:5" x14ac:dyDescent="0.2">
      <c r="A1374" s="22">
        <f ca="1">IFERROR(__xludf.DUMMYFUNCTION("""COMPUTED_VALUE"""),45210)</f>
        <v>45210</v>
      </c>
      <c r="B1374" s="23" t="str">
        <f ca="1">IFERROR(__xludf.DUMMYFUNCTION("""COMPUTED_VALUE"""),"ZESTAW NATRYSKOWY MY1805-77G BLOOM ZŁOTY POŁYSK")</f>
        <v>ZESTAW NATRYSKOWY MY1805-77G BLOOM ZŁOTY POŁYSK</v>
      </c>
      <c r="C1374" s="23"/>
      <c r="D1374" s="24">
        <f ca="1">IFERROR(__xludf.DUMMYFUNCTION("""COMPUTED_VALUE"""),639)</f>
        <v>639</v>
      </c>
      <c r="E1374" s="25" t="str">
        <f ca="1">IFERROR(__xludf.DUMMYFUNCTION("""COMPUTED_VALUE"""),"REA-P9528")</f>
        <v>REA-P9528</v>
      </c>
    </row>
    <row r="1375" spans="1:5" x14ac:dyDescent="0.2">
      <c r="A1375" s="22">
        <f ca="1">IFERROR(__xludf.DUMMYFUNCTION("""COMPUTED_VALUE"""),45210)</f>
        <v>45210</v>
      </c>
      <c r="B1375" s="23" t="str">
        <f ca="1">IFERROR(__xludf.DUMMYFUNCTION("""COMPUTED_VALUE"""),"ZESTAW NATRYSKOWY MY1805-77WG BLOOM BIAŁY/ZŁOTY")</f>
        <v>ZESTAW NATRYSKOWY MY1805-77WG BLOOM BIAŁY/ZŁOTY</v>
      </c>
      <c r="C1375" s="23"/>
      <c r="D1375" s="24">
        <f ca="1">IFERROR(__xludf.DUMMYFUNCTION("""COMPUTED_VALUE"""),699)</f>
        <v>699</v>
      </c>
      <c r="E1375" s="25" t="str">
        <f ca="1">IFERROR(__xludf.DUMMYFUNCTION("""COMPUTED_VALUE"""),"REA-P9529")</f>
        <v>REA-P9529</v>
      </c>
    </row>
    <row r="1376" spans="1:5" x14ac:dyDescent="0.2">
      <c r="A1376" s="22">
        <f ca="1">IFERROR(__xludf.DUMMYFUNCTION("""COMPUTED_VALUE"""),45210)</f>
        <v>45210</v>
      </c>
      <c r="B1376" s="23" t="str">
        <f ca="1">IFERROR(__xludf.DUMMYFUNCTION("""COMPUTED_VALUE"""),"ZESTAW NATRYSKOWY MY1902-77B STORM CZARNY")</f>
        <v>ZESTAW NATRYSKOWY MY1902-77B STORM CZARNY</v>
      </c>
      <c r="C1376" s="23"/>
      <c r="D1376" s="24">
        <f ca="1">IFERROR(__xludf.DUMMYFUNCTION("""COMPUTED_VALUE"""),529)</f>
        <v>529</v>
      </c>
      <c r="E1376" s="25" t="str">
        <f ca="1">IFERROR(__xludf.DUMMYFUNCTION("""COMPUTED_VALUE"""),"REA-P9532")</f>
        <v>REA-P9532</v>
      </c>
    </row>
    <row r="1377" spans="1:5" x14ac:dyDescent="0.2">
      <c r="A1377" s="22">
        <f ca="1">IFERROR(__xludf.DUMMYFUNCTION("""COMPUTED_VALUE"""),45210)</f>
        <v>45210</v>
      </c>
      <c r="B1377" s="23" t="str">
        <f ca="1">IFERROR(__xludf.DUMMYFUNCTION("""COMPUTED_VALUE"""),"ZESTAW NATRYSKOWY MY1902-77G STORM ZŁOTY")</f>
        <v>ZESTAW NATRYSKOWY MY1902-77G STORM ZŁOTY</v>
      </c>
      <c r="C1377" s="23"/>
      <c r="D1377" s="24">
        <f ca="1">IFERROR(__xludf.DUMMYFUNCTION("""COMPUTED_VALUE"""),619)</f>
        <v>619</v>
      </c>
      <c r="E1377" s="25" t="str">
        <f ca="1">IFERROR(__xludf.DUMMYFUNCTION("""COMPUTED_VALUE"""),"REA-P9530")</f>
        <v>REA-P9530</v>
      </c>
    </row>
    <row r="1378" spans="1:5" x14ac:dyDescent="0.2">
      <c r="A1378" s="22">
        <f ca="1">IFERROR(__xludf.DUMMYFUNCTION("""COMPUTED_VALUE"""),45210)</f>
        <v>45210</v>
      </c>
      <c r="B1378" s="23" t="str">
        <f ca="1">IFERROR(__xludf.DUMMYFUNCTION("""COMPUTED_VALUE"""),"ZESTAW NATRYSKOWY MY1902-78B STORM CZARNY")</f>
        <v>ZESTAW NATRYSKOWY MY1902-78B STORM CZARNY</v>
      </c>
      <c r="C1378" s="23"/>
      <c r="D1378" s="24">
        <f ca="1">IFERROR(__xludf.DUMMYFUNCTION("""COMPUTED_VALUE"""),629)</f>
        <v>629</v>
      </c>
      <c r="E1378" s="25" t="str">
        <f ca="1">IFERROR(__xludf.DUMMYFUNCTION("""COMPUTED_VALUE"""),"REA-P9533")</f>
        <v>REA-P9533</v>
      </c>
    </row>
    <row r="1379" spans="1:5" x14ac:dyDescent="0.2">
      <c r="A1379" s="22">
        <f ca="1">IFERROR(__xludf.DUMMYFUNCTION("""COMPUTED_VALUE"""),45210)</f>
        <v>45210</v>
      </c>
      <c r="B1379" s="23" t="str">
        <f ca="1">IFERROR(__xludf.DUMMYFUNCTION("""COMPUTED_VALUE"""),"ZESTAW NATRYSKOWY MY1902-78G STORM ZŁOTY")</f>
        <v>ZESTAW NATRYSKOWY MY1902-78G STORM ZŁOTY</v>
      </c>
      <c r="C1379" s="23"/>
      <c r="D1379" s="24">
        <f ca="1">IFERROR(__xludf.DUMMYFUNCTION("""COMPUTED_VALUE"""),769)</f>
        <v>769</v>
      </c>
      <c r="E1379" s="25" t="str">
        <f ca="1">IFERROR(__xludf.DUMMYFUNCTION("""COMPUTED_VALUE"""),"REA-P9531")</f>
        <v>REA-P9531</v>
      </c>
    </row>
    <row r="1380" spans="1:5" x14ac:dyDescent="0.2">
      <c r="A1380" s="22">
        <f ca="1">IFERROR(__xludf.DUMMYFUNCTION("""COMPUTED_VALUE"""),45210)</f>
        <v>45210</v>
      </c>
      <c r="B1380" s="23" t="str">
        <f ca="1">IFERROR(__xludf.DUMMYFUNCTION("""COMPUTED_VALUE"""),"ZESTAW NATRYSKOWY MY1902-78H STORM GUN SZARY")</f>
        <v>ZESTAW NATRYSKOWY MY1902-78H STORM GUN SZARY</v>
      </c>
      <c r="C1380" s="23"/>
      <c r="D1380" s="24">
        <f ca="1">IFERROR(__xludf.DUMMYFUNCTION("""COMPUTED_VALUE"""),799)</f>
        <v>799</v>
      </c>
      <c r="E1380" s="25" t="str">
        <f ca="1">IFERROR(__xludf.DUMMYFUNCTION("""COMPUTED_VALUE"""),"REA-P9534")</f>
        <v>REA-P9534</v>
      </c>
    </row>
    <row r="1381" spans="1:5" x14ac:dyDescent="0.2">
      <c r="A1381" s="22">
        <f ca="1">IFERROR(__xludf.DUMMYFUNCTION("""COMPUTED_VALUE"""),45210)</f>
        <v>45210</v>
      </c>
      <c r="B1381" s="23" t="str">
        <f ca="1">IFERROR(__xludf.DUMMYFUNCTION("""COMPUTED_VALUE"""),"ZESTAW NATRYSKOWY MY2021-77B ARGUS CZARNY")</f>
        <v>ZESTAW NATRYSKOWY MY2021-77B ARGUS CZARNY</v>
      </c>
      <c r="C1381" s="23"/>
      <c r="D1381" s="24">
        <f ca="1">IFERROR(__xludf.DUMMYFUNCTION("""COMPUTED_VALUE"""),559)</f>
        <v>559</v>
      </c>
      <c r="E1381" s="25" t="str">
        <f ca="1">IFERROR(__xludf.DUMMYFUNCTION("""COMPUTED_VALUE"""),"REA-P2389")</f>
        <v>REA-P2389</v>
      </c>
    </row>
    <row r="1382" spans="1:5" x14ac:dyDescent="0.2">
      <c r="A1382" s="22">
        <f ca="1">IFERROR(__xludf.DUMMYFUNCTION("""COMPUTED_VALUE"""),45210)</f>
        <v>45210</v>
      </c>
      <c r="B1382" s="23" t="str">
        <f ca="1">IFERROR(__xludf.DUMMYFUNCTION("""COMPUTED_VALUE"""),"ZESTAW NATRYSKOWY MY2021-77G ARGUS ZŁOTY POŁYSK")</f>
        <v>ZESTAW NATRYSKOWY MY2021-77G ARGUS ZŁOTY POŁYSK</v>
      </c>
      <c r="C1382" s="23"/>
      <c r="D1382" s="24">
        <f ca="1">IFERROR(__xludf.DUMMYFUNCTION("""COMPUTED_VALUE"""),669)</f>
        <v>669</v>
      </c>
      <c r="E1382" s="25" t="str">
        <f ca="1">IFERROR(__xludf.DUMMYFUNCTION("""COMPUTED_VALUE"""),"REA-P7840")</f>
        <v>REA-P7840</v>
      </c>
    </row>
    <row r="1383" spans="1:5" x14ac:dyDescent="0.2">
      <c r="A1383" s="22">
        <f ca="1">IFERROR(__xludf.DUMMYFUNCTION("""COMPUTED_VALUE"""),45210)</f>
        <v>45210</v>
      </c>
      <c r="B1383" s="23" t="str">
        <f ca="1">IFERROR(__xludf.DUMMYFUNCTION("""COMPUTED_VALUE"""),"ZESTAW NATRYSKOWY MY2021-77GG ARGUS ZŁOTY SZCZOTKO")</f>
        <v>ZESTAW NATRYSKOWY MY2021-77GG ARGUS ZŁOTY SZCZOTKO</v>
      </c>
      <c r="C1383" s="23"/>
      <c r="D1383" s="24">
        <f ca="1">IFERROR(__xludf.DUMMYFUNCTION("""COMPUTED_VALUE"""),699)</f>
        <v>699</v>
      </c>
      <c r="E1383" s="25" t="str">
        <f ca="1">IFERROR(__xludf.DUMMYFUNCTION("""COMPUTED_VALUE"""),"REA-P7841")</f>
        <v>REA-P7841</v>
      </c>
    </row>
    <row r="1384" spans="1:5" x14ac:dyDescent="0.2">
      <c r="A1384" s="22">
        <f ca="1">IFERROR(__xludf.DUMMYFUNCTION("""COMPUTED_VALUE"""),45210)</f>
        <v>45210</v>
      </c>
      <c r="B1384" s="23" t="str">
        <f ca="1">IFERROR(__xludf.DUMMYFUNCTION("""COMPUTED_VALUE"""),"ZESTAW NATRYSKOWY MY2102-78C VENETA CHROM")</f>
        <v>ZESTAW NATRYSKOWY MY2102-78C VENETA CHROM</v>
      </c>
      <c r="C1384" s="23"/>
      <c r="D1384" s="24">
        <f ca="1">IFERROR(__xludf.DUMMYFUNCTION("""COMPUTED_VALUE"""),619)</f>
        <v>619</v>
      </c>
      <c r="E1384" s="25" t="str">
        <f ca="1">IFERROR(__xludf.DUMMYFUNCTION("""COMPUTED_VALUE"""),"REA-P7843")</f>
        <v>REA-P7843</v>
      </c>
    </row>
    <row r="1385" spans="1:5" x14ac:dyDescent="0.2">
      <c r="A1385" s="22">
        <f ca="1">IFERROR(__xludf.DUMMYFUNCTION("""COMPUTED_VALUE"""),45210)</f>
        <v>45210</v>
      </c>
      <c r="B1385" s="23" t="str">
        <f ca="1">IFERROR(__xludf.DUMMYFUNCTION("""COMPUTED_VALUE"""),"ZESTAW NATRYSKOWY MY2102-78G VENETA ZŁOTY")</f>
        <v>ZESTAW NATRYSKOWY MY2102-78G VENETA ZŁOTY</v>
      </c>
      <c r="C1385" s="23"/>
      <c r="D1385" s="24">
        <f ca="1">IFERROR(__xludf.DUMMYFUNCTION("""COMPUTED_VALUE"""),749)</f>
        <v>749</v>
      </c>
      <c r="E1385" s="25" t="str">
        <f ca="1">IFERROR(__xludf.DUMMYFUNCTION("""COMPUTED_VALUE"""),"REA-P7842")</f>
        <v>REA-P7842</v>
      </c>
    </row>
    <row r="1386" spans="1:5" x14ac:dyDescent="0.2">
      <c r="A1386" s="22">
        <f ca="1">IFERROR(__xludf.DUMMYFUNCTION("""COMPUTED_VALUE"""),45210)</f>
        <v>45210</v>
      </c>
      <c r="B1386" s="23" t="str">
        <f ca="1">IFERROR(__xludf.DUMMYFUNCTION("""COMPUTED_VALUE"""),"BATERIA UMYWALKOWA MY1902-2C STORM CHROME NISKA")</f>
        <v>BATERIA UMYWALKOWA MY1902-2C STORM CHROME NISKA</v>
      </c>
      <c r="C1386" s="23"/>
      <c r="D1386" s="24">
        <f ca="1">IFERROR(__xludf.DUMMYFUNCTION("""COMPUTED_VALUE"""),239)</f>
        <v>239</v>
      </c>
      <c r="E1386" s="25" t="str">
        <f ca="1">IFERROR(__xludf.DUMMYFUNCTION("""COMPUTED_VALUE"""),"REA-B6202")</f>
        <v>REA-B6202</v>
      </c>
    </row>
    <row r="1387" spans="1:5" x14ac:dyDescent="0.2">
      <c r="A1387" s="22">
        <f ca="1">IFERROR(__xludf.DUMMYFUNCTION("""COMPUTED_VALUE"""),45210)</f>
        <v>45210</v>
      </c>
      <c r="B1387" s="23" t="str">
        <f ca="1">IFERROR(__xludf.DUMMYFUNCTION("""COMPUTED_VALUE"""),"BATERIA UMYWALKOWA MY1902-2G STORM GOLD NISKA")</f>
        <v>BATERIA UMYWALKOWA MY1902-2G STORM GOLD NISKA</v>
      </c>
      <c r="C1387" s="23"/>
      <c r="D1387" s="24">
        <f ca="1">IFERROR(__xludf.DUMMYFUNCTION("""COMPUTED_VALUE"""),299)</f>
        <v>299</v>
      </c>
      <c r="E1387" s="25" t="str">
        <f ca="1">IFERROR(__xludf.DUMMYFUNCTION("""COMPUTED_VALUE"""),"REA-B9981")</f>
        <v>REA-B9981</v>
      </c>
    </row>
    <row r="1388" spans="1:5" x14ac:dyDescent="0.2">
      <c r="A1388" s="22">
        <f ca="1">IFERROR(__xludf.DUMMYFUNCTION("""COMPUTED_VALUE"""),45210)</f>
        <v>45210</v>
      </c>
      <c r="B1388" s="23" t="str">
        <f ca="1">IFERROR(__xludf.DUMMYFUNCTION("""COMPUTED_VALUE"""),"BATERIA WANNOWA MY1806-3BG POLO BLACK GOLD")</f>
        <v>BATERIA WANNOWA MY1806-3BG POLO BLACK GOLD</v>
      </c>
      <c r="C1388" s="23"/>
      <c r="D1388" s="24">
        <f ca="1">IFERROR(__xludf.DUMMYFUNCTION("""COMPUTED_VALUE"""),459)</f>
        <v>459</v>
      </c>
      <c r="E1388" s="25" t="str">
        <f ca="1">IFERROR(__xludf.DUMMYFUNCTION("""COMPUTED_VALUE"""),"REA-B9979")</f>
        <v>REA-B9979</v>
      </c>
    </row>
    <row r="1389" spans="1:5" x14ac:dyDescent="0.2">
      <c r="A1389" s="22">
        <f ca="1">IFERROR(__xludf.DUMMYFUNCTION("""COMPUTED_VALUE"""),45210)</f>
        <v>45210</v>
      </c>
      <c r="B1389" s="23" t="str">
        <f ca="1">IFERROR(__xludf.DUMMYFUNCTION("""COMPUTED_VALUE"""),"BATERIA WANNOWA MY1805-3WG BLOOM WHITE/GOLD")</f>
        <v>BATERIA WANNOWA MY1805-3WG BLOOM WHITE/GOLD</v>
      </c>
      <c r="C1389" s="23"/>
      <c r="D1389" s="24">
        <f ca="1">IFERROR(__xludf.DUMMYFUNCTION("""COMPUTED_VALUE"""),459)</f>
        <v>459</v>
      </c>
      <c r="E1389" s="25" t="str">
        <f ca="1">IFERROR(__xludf.DUMMYFUNCTION("""COMPUTED_VALUE"""),"REA-B9932")</f>
        <v>REA-B9932</v>
      </c>
    </row>
    <row r="1390" spans="1:5" x14ac:dyDescent="0.2">
      <c r="A1390" s="22">
        <f ca="1">IFERROR(__xludf.DUMMYFUNCTION("""COMPUTED_VALUE"""),45210)</f>
        <v>45210</v>
      </c>
      <c r="B1390" s="23" t="str">
        <f ca="1">IFERROR(__xludf.DUMMYFUNCTION("""COMPUTED_VALUE"""),"BATERIA WANNOWA MY1805-3CW BLOOM WHITE/CHROME")</f>
        <v>BATERIA WANNOWA MY1805-3CW BLOOM WHITE/CHROME</v>
      </c>
      <c r="C1390" s="23"/>
      <c r="D1390" s="24">
        <f ca="1">IFERROR(__xludf.DUMMYFUNCTION("""COMPUTED_VALUE"""),339)</f>
        <v>339</v>
      </c>
      <c r="E1390" s="25" t="str">
        <f ca="1">IFERROR(__xludf.DUMMYFUNCTION("""COMPUTED_VALUE"""),"REA-B9918")</f>
        <v>REA-B9918</v>
      </c>
    </row>
    <row r="1391" spans="1:5" x14ac:dyDescent="0.2">
      <c r="A1391" s="22">
        <f ca="1">IFERROR(__xludf.DUMMYFUNCTION("""COMPUTED_VALUE"""),45205)</f>
        <v>45205</v>
      </c>
      <c r="B1391" s="23" t="str">
        <f ca="1">IFERROR(__xludf.DUMMYFUNCTION("""COMPUTED_VALUE"""),"KOREK KLIK-KLAK UNIWERSALNY BRUSH NICKLE")</f>
        <v>KOREK KLIK-KLAK UNIWERSALNY BRUSH NICKLE</v>
      </c>
      <c r="C1391" s="23"/>
      <c r="D1391" s="24">
        <f ca="1">IFERROR(__xludf.DUMMYFUNCTION("""COMPUTED_VALUE"""),99)</f>
        <v>99</v>
      </c>
      <c r="E1391" s="25" t="str">
        <f ca="1">IFERROR(__xludf.DUMMYFUNCTION("""COMPUTED_VALUE"""),"REA-A6000")</f>
        <v>REA-A6000</v>
      </c>
    </row>
    <row r="1392" spans="1:5" x14ac:dyDescent="0.2">
      <c r="A1392" s="22">
        <f ca="1">IFERROR(__xludf.DUMMYFUNCTION("""COMPUTED_VALUE"""),45205)</f>
        <v>45205</v>
      </c>
      <c r="B1392" s="23" t="str">
        <f ca="1">IFERROR(__xludf.DUMMYFUNCTION("""COMPUTED_VALUE"""),"KOREK KLIK-KLAK UNIWERSALNY WHITE")</f>
        <v>KOREK KLIK-KLAK UNIWERSALNY WHITE</v>
      </c>
      <c r="C1392" s="23"/>
      <c r="D1392" s="24">
        <f ca="1">IFERROR(__xludf.DUMMYFUNCTION("""COMPUTED_VALUE"""),99)</f>
        <v>99</v>
      </c>
      <c r="E1392" s="25" t="str">
        <f ca="1">IFERROR(__xludf.DUMMYFUNCTION("""COMPUTED_VALUE"""),"REA-A2361")</f>
        <v>REA-A2361</v>
      </c>
    </row>
    <row r="1393" spans="1:5" x14ac:dyDescent="0.2">
      <c r="A1393" s="22">
        <f ca="1">IFERROR(__xludf.DUMMYFUNCTION("""COMPUTED_VALUE"""),45205)</f>
        <v>45205</v>
      </c>
      <c r="B1393" s="23" t="str">
        <f ca="1">IFERROR(__xludf.DUMMYFUNCTION("""COMPUTED_VALUE"""),"KOREK KLIK-KLAK UNIWERSALNY L.GOLD")</f>
        <v>KOREK KLIK-KLAK UNIWERSALNY L.GOLD</v>
      </c>
      <c r="C1393" s="23"/>
      <c r="D1393" s="24">
        <f ca="1">IFERROR(__xludf.DUMMYFUNCTION("""COMPUTED_VALUE"""),99)</f>
        <v>99</v>
      </c>
      <c r="E1393" s="25" t="str">
        <f ca="1">IFERROR(__xludf.DUMMYFUNCTION("""COMPUTED_VALUE"""),"REA-A2360")</f>
        <v>REA-A2360</v>
      </c>
    </row>
    <row r="1394" spans="1:5" x14ac:dyDescent="0.2">
      <c r="A1394" s="22">
        <f ca="1">IFERROR(__xludf.DUMMYFUNCTION("""COMPUTED_VALUE"""),45205)</f>
        <v>45205</v>
      </c>
      <c r="B1394" s="23" t="str">
        <f ca="1">IFERROR(__xludf.DUMMYFUNCTION("""COMPUTED_VALUE"""),"KOREK KLIK-KLAK UNIWERSALNY OLD BLACK")</f>
        <v>KOREK KLIK-KLAK UNIWERSALNY OLD BLACK</v>
      </c>
      <c r="C1394" s="23"/>
      <c r="D1394" s="24">
        <f ca="1">IFERROR(__xludf.DUMMYFUNCTION("""COMPUTED_VALUE"""),99)</f>
        <v>99</v>
      </c>
      <c r="E1394" s="25" t="str">
        <f ca="1">IFERROR(__xludf.DUMMYFUNCTION("""COMPUTED_VALUE"""),"REA-A5218")</f>
        <v>REA-A5218</v>
      </c>
    </row>
    <row r="1395" spans="1:5" x14ac:dyDescent="0.2">
      <c r="A1395" s="22">
        <f ca="1">IFERROR(__xludf.DUMMYFUNCTION("""COMPUTED_VALUE"""),45205)</f>
        <v>45205</v>
      </c>
      <c r="B1395" s="23" t="str">
        <f ca="1">IFERROR(__xludf.DUMMYFUNCTION("""COMPUTED_VALUE"""),"KOREK KLIK-KLAK UNIWERSALNY ROSE GOLD")</f>
        <v>KOREK KLIK-KLAK UNIWERSALNY ROSE GOLD</v>
      </c>
      <c r="C1395" s="23"/>
      <c r="D1395" s="24">
        <f ca="1">IFERROR(__xludf.DUMMYFUNCTION("""COMPUTED_VALUE"""),99)</f>
        <v>99</v>
      </c>
      <c r="E1395" s="25" t="str">
        <f ca="1">IFERROR(__xludf.DUMMYFUNCTION("""COMPUTED_VALUE"""),"REA-A533A")</f>
        <v>REA-A533A</v>
      </c>
    </row>
    <row r="1396" spans="1:5" x14ac:dyDescent="0.2">
      <c r="A1396" s="22">
        <f ca="1">IFERROR(__xludf.DUMMYFUNCTION("""COMPUTED_VALUE"""),45205)</f>
        <v>45205</v>
      </c>
      <c r="B1396" s="23" t="str">
        <f ca="1">IFERROR(__xludf.DUMMYFUNCTION("""COMPUTED_VALUE"""),"KOREK KLIK-KLAK UNIWERSALNY L.GOLD SZCZOTKOWANY")</f>
        <v>KOREK KLIK-KLAK UNIWERSALNY L.GOLD SZCZOTKOWANY</v>
      </c>
      <c r="C1396" s="23"/>
      <c r="D1396" s="24">
        <f ca="1">IFERROR(__xludf.DUMMYFUNCTION("""COMPUTED_VALUE"""),99)</f>
        <v>99</v>
      </c>
      <c r="E1396" s="25" t="str">
        <f ca="1">IFERROR(__xludf.DUMMYFUNCTION("""COMPUTED_VALUE"""),"REA-A8585")</f>
        <v>REA-A8585</v>
      </c>
    </row>
    <row r="1397" spans="1:5" x14ac:dyDescent="0.2">
      <c r="A1397" s="22">
        <f ca="1">IFERROR(__xludf.DUMMYFUNCTION("""COMPUTED_VALUE"""),45205)</f>
        <v>45205</v>
      </c>
      <c r="B1397" s="23" t="str">
        <f ca="1">IFERROR(__xludf.DUMMYFUNCTION("""COMPUTED_VALUE"""),"ZESTAW NATRYSKOWY PODTYNKOWY LUNGO CZARNY METALICZ")</f>
        <v>ZESTAW NATRYSKOWY PODTYNKOWY LUNGO CZARNY METALICZ</v>
      </c>
      <c r="C1397" s="23"/>
      <c r="D1397" s="24">
        <f ca="1">IFERROR(__xludf.DUMMYFUNCTION("""COMPUTED_VALUE"""),1099)</f>
        <v>1099</v>
      </c>
      <c r="E1397" s="25" t="str">
        <f ca="1">IFERROR(__xludf.DUMMYFUNCTION("""COMPUTED_VALUE"""),"REA-P4420")</f>
        <v>REA-P4420</v>
      </c>
    </row>
    <row r="1398" spans="1:5" x14ac:dyDescent="0.2">
      <c r="A1398" s="22">
        <f ca="1">IFERROR(__xludf.DUMMYFUNCTION("""COMPUTED_VALUE"""),45205)</f>
        <v>45205</v>
      </c>
      <c r="B1398" s="23" t="str">
        <f ca="1">IFERROR(__xludf.DUMMYFUNCTION("""COMPUTED_VALUE"""),"BATERIA WANNOWA LUNGO CZARNA METALICZNA")</f>
        <v>BATERIA WANNOWA LUNGO CZARNA METALICZNA</v>
      </c>
      <c r="C1398" s="23"/>
      <c r="D1398" s="24">
        <f ca="1">IFERROR(__xludf.DUMMYFUNCTION("""COMPUTED_VALUE"""),699)</f>
        <v>699</v>
      </c>
      <c r="E1398" s="25" t="str">
        <f ca="1">IFERROR(__xludf.DUMMYFUNCTION("""COMPUTED_VALUE"""),"REA-B4422")</f>
        <v>REA-B4422</v>
      </c>
    </row>
    <row r="1399" spans="1:5" x14ac:dyDescent="0.2">
      <c r="A1399" s="22">
        <f ca="1">IFERROR(__xludf.DUMMYFUNCTION("""COMPUTED_VALUE"""),45205)</f>
        <v>45205</v>
      </c>
      <c r="B1399" s="23" t="str">
        <f ca="1">IFERROR(__xludf.DUMMYFUNCTION("""COMPUTED_VALUE"""),"BATERIA UMYWALKOWA PODTYNKOWA LUNGO CZARNA METALIC")</f>
        <v>BATERIA UMYWALKOWA PODTYNKOWA LUNGO CZARNA METALIC</v>
      </c>
      <c r="C1399" s="23"/>
      <c r="D1399" s="24">
        <f ca="1">IFERROR(__xludf.DUMMYFUNCTION("""COMPUTED_VALUE"""),499)</f>
        <v>499</v>
      </c>
      <c r="E1399" s="25" t="str">
        <f ca="1">IFERROR(__xludf.DUMMYFUNCTION("""COMPUTED_VALUE"""),"REA-B4421")</f>
        <v>REA-B4421</v>
      </c>
    </row>
    <row r="1400" spans="1:5" x14ac:dyDescent="0.2">
      <c r="A1400" s="22">
        <f ca="1">IFERROR(__xludf.DUMMYFUNCTION("""COMPUTED_VALUE"""),45205)</f>
        <v>45205</v>
      </c>
      <c r="B1400" s="23" t="str">
        <f ca="1">IFERROR(__xludf.DUMMYFUNCTION("""COMPUTED_VALUE"""),"BATERIA BIDETOWA LOOP ROSE GOLD")</f>
        <v>BATERIA BIDETOWA LOOP ROSE GOLD</v>
      </c>
      <c r="C1400" s="23"/>
      <c r="D1400" s="24">
        <f ca="1">IFERROR(__xludf.DUMMYFUNCTION("""COMPUTED_VALUE"""),399)</f>
        <v>399</v>
      </c>
      <c r="E1400" s="25" t="str">
        <f ca="1">IFERROR(__xludf.DUMMYFUNCTION("""COMPUTED_VALUE"""),"REA-B6523")</f>
        <v>REA-B6523</v>
      </c>
    </row>
    <row r="1401" spans="1:5" x14ac:dyDescent="0.2">
      <c r="A1401" s="22">
        <f ca="1">IFERROR(__xludf.DUMMYFUNCTION("""COMPUTED_VALUE"""),45205)</f>
        <v>45205</v>
      </c>
      <c r="B1401" s="23" t="str">
        <f ca="1">IFERROR(__xludf.DUMMYFUNCTION("""COMPUTED_VALUE"""),"BATERIA BIDETOWA LOOP L.GOLD SZCZOTKOWANA")</f>
        <v>BATERIA BIDETOWA LOOP L.GOLD SZCZOTKOWANA</v>
      </c>
      <c r="C1401" s="23"/>
      <c r="D1401" s="24">
        <f ca="1">IFERROR(__xludf.DUMMYFUNCTION("""COMPUTED_VALUE"""),449)</f>
        <v>449</v>
      </c>
      <c r="E1401" s="25" t="str">
        <f ca="1">IFERROR(__xludf.DUMMYFUNCTION("""COMPUTED_VALUE"""),"REA-B6311")</f>
        <v>REA-B6311</v>
      </c>
    </row>
    <row r="1402" spans="1:5" x14ac:dyDescent="0.2">
      <c r="A1402" s="22">
        <f ca="1">IFERROR(__xludf.DUMMYFUNCTION("""COMPUTED_VALUE"""),45205)</f>
        <v>45205</v>
      </c>
      <c r="B1402" s="23" t="str">
        <f ca="1">IFERROR(__xludf.DUMMYFUNCTION("""COMPUTED_VALUE"""),"ZESTAW NATRYSKOWY VINCENT TERMOSTAT L.GOLD")</f>
        <v>ZESTAW NATRYSKOWY VINCENT TERMOSTAT L.GOLD</v>
      </c>
      <c r="C1402" s="23"/>
      <c r="D1402" s="24">
        <f ca="1">IFERROR(__xludf.DUMMYFUNCTION("""COMPUTED_VALUE"""),999)</f>
        <v>999</v>
      </c>
      <c r="E1402" s="25" t="str">
        <f ca="1">IFERROR(__xludf.DUMMYFUNCTION("""COMPUTED_VALUE"""),"REA-P8005")</f>
        <v>REA-P8005</v>
      </c>
    </row>
    <row r="1403" spans="1:5" x14ac:dyDescent="0.2">
      <c r="A1403" s="22">
        <f ca="1">IFERROR(__xludf.DUMMYFUNCTION("""COMPUTED_VALUE"""),45205)</f>
        <v>45205</v>
      </c>
      <c r="B1403" s="23" t="str">
        <f ca="1">IFERROR(__xludf.DUMMYFUNCTION("""COMPUTED_VALUE"""),"SYFON KLIK-KLAK UNIWERSALNY L.GOLD SZCZOTKOWANY")</f>
        <v>SYFON KLIK-KLAK UNIWERSALNY L.GOLD SZCZOTKOWANY</v>
      </c>
      <c r="C1403" s="23"/>
      <c r="D1403" s="24">
        <f ca="1">IFERROR(__xludf.DUMMYFUNCTION("""COMPUTED_VALUE"""),299)</f>
        <v>299</v>
      </c>
      <c r="E1403" s="25" t="str">
        <f ca="1">IFERROR(__xludf.DUMMYFUNCTION("""COMPUTED_VALUE"""),"REA-A8586")</f>
        <v>REA-A8586</v>
      </c>
    </row>
    <row r="1404" spans="1:5" x14ac:dyDescent="0.2">
      <c r="A1404" s="22">
        <f ca="1">IFERROR(__xludf.DUMMYFUNCTION("""COMPUTED_VALUE"""),45205)</f>
        <v>45205</v>
      </c>
      <c r="B1404" s="23" t="str">
        <f ca="1">IFERROR(__xludf.DUMMYFUNCTION("""COMPUTED_VALUE"""),"SYFON KLIK-KLAK UNIWERSALNY L.GOLD")</f>
        <v>SYFON KLIK-KLAK UNIWERSALNY L.GOLD</v>
      </c>
      <c r="C1404" s="23"/>
      <c r="D1404" s="24">
        <f ca="1">IFERROR(__xludf.DUMMYFUNCTION("""COMPUTED_VALUE"""),279)</f>
        <v>279</v>
      </c>
      <c r="E1404" s="25" t="str">
        <f ca="1">IFERROR(__xludf.DUMMYFUNCTION("""COMPUTED_VALUE"""),"REA-A5692")</f>
        <v>REA-A5692</v>
      </c>
    </row>
    <row r="1405" spans="1:5" x14ac:dyDescent="0.2">
      <c r="A1405" s="22">
        <f ca="1">IFERROR(__xludf.DUMMYFUNCTION("""COMPUTED_VALUE"""),45205)</f>
        <v>45205</v>
      </c>
      <c r="B1405" s="23" t="str">
        <f ca="1">IFERROR(__xludf.DUMMYFUNCTION("""COMPUTED_VALUE"""),"BATERIA UMYWALKOWA LUGANO ZŁOTA SZCZOTKOWANA WYSOK")</f>
        <v>BATERIA UMYWALKOWA LUGANO ZŁOTA SZCZOTKOWANA WYSOK</v>
      </c>
      <c r="C1405" s="23"/>
      <c r="D1405" s="24">
        <f ca="1">IFERROR(__xludf.DUMMYFUNCTION("""COMPUTED_VALUE"""),399)</f>
        <v>399</v>
      </c>
      <c r="E1405" s="25" t="str">
        <f ca="1">IFERROR(__xludf.DUMMYFUNCTION("""COMPUTED_VALUE"""),"REA-B4420")</f>
        <v>REA-B4420</v>
      </c>
    </row>
    <row r="1406" spans="1:5" x14ac:dyDescent="0.2">
      <c r="A1406" s="22">
        <f ca="1">IFERROR(__xludf.DUMMYFUNCTION("""COMPUTED_VALUE"""),45205)</f>
        <v>45205</v>
      </c>
      <c r="B1406" s="23" t="str">
        <f ca="1">IFERROR(__xludf.DUMMYFUNCTION("""COMPUTED_VALUE"""),"ZESTAW NATRYSKOWY PODTYNKOWY LUNGO L.GOLD + BOX")</f>
        <v>ZESTAW NATRYSKOWY PODTYNKOWY LUNGO L.GOLD + BOX</v>
      </c>
      <c r="C1406" s="23"/>
      <c r="D1406" s="24">
        <f ca="1">IFERROR(__xludf.DUMMYFUNCTION("""COMPUTED_VALUE"""),999)</f>
        <v>999</v>
      </c>
      <c r="E1406" s="25" t="str">
        <f ca="1">IFERROR(__xludf.DUMMYFUNCTION("""COMPUTED_VALUE"""),"REA-P4110")</f>
        <v>REA-P4110</v>
      </c>
    </row>
    <row r="1407" spans="1:5" x14ac:dyDescent="0.2">
      <c r="A1407" s="22">
        <f ca="1">IFERROR(__xludf.DUMMYFUNCTION("""COMPUTED_VALUE"""),45205)</f>
        <v>45205</v>
      </c>
      <c r="B1407" s="23" t="str">
        <f ca="1">IFERROR(__xludf.DUMMYFUNCTION("""COMPUTED_VALUE"""),"BATERIA BIDETOWA LUNGO ZŁOTA SZCZOTKOWANA")</f>
        <v>BATERIA BIDETOWA LUNGO ZŁOTA SZCZOTKOWANA</v>
      </c>
      <c r="C1407" s="23"/>
      <c r="D1407" s="24">
        <f ca="1">IFERROR(__xludf.DUMMYFUNCTION("""COMPUTED_VALUE"""),269)</f>
        <v>269</v>
      </c>
      <c r="E1407" s="25" t="str">
        <f ca="1">IFERROR(__xludf.DUMMYFUNCTION("""COMPUTED_VALUE"""),"REA-B4702")</f>
        <v>REA-B4702</v>
      </c>
    </row>
    <row r="1408" spans="1:5" x14ac:dyDescent="0.2">
      <c r="A1408" s="22">
        <f ca="1">IFERROR(__xludf.DUMMYFUNCTION("""COMPUTED_VALUE"""),45205)</f>
        <v>45205</v>
      </c>
      <c r="B1408" s="23" t="str">
        <f ca="1">IFERROR(__xludf.DUMMYFUNCTION("""COMPUTED_VALUE"""),"BATERIA BIDETOWA LUNGO ZŁOTA")</f>
        <v>BATERIA BIDETOWA LUNGO ZŁOTA</v>
      </c>
      <c r="C1408" s="23"/>
      <c r="D1408" s="24">
        <f ca="1">IFERROR(__xludf.DUMMYFUNCTION("""COMPUTED_VALUE"""),269)</f>
        <v>269</v>
      </c>
      <c r="E1408" s="25" t="str">
        <f ca="1">IFERROR(__xludf.DUMMYFUNCTION("""COMPUTED_VALUE"""),"REA-B0668")</f>
        <v>REA-B0668</v>
      </c>
    </row>
    <row r="1409" spans="1:5" x14ac:dyDescent="0.2">
      <c r="A1409" s="22">
        <f ca="1">IFERROR(__xludf.DUMMYFUNCTION("""COMPUTED_VALUE"""),45205)</f>
        <v>45205</v>
      </c>
      <c r="B1409" s="23" t="str">
        <f ca="1">IFERROR(__xludf.DUMMYFUNCTION("""COMPUTED_VALUE"""),"BATERIA BIDETOWA LUNGO RÓŻÓWE ZŁOTO")</f>
        <v>BATERIA BIDETOWA LUNGO RÓŻÓWE ZŁOTO</v>
      </c>
      <c r="C1409" s="23"/>
      <c r="D1409" s="24">
        <f ca="1">IFERROR(__xludf.DUMMYFUNCTION("""COMPUTED_VALUE"""),269)</f>
        <v>269</v>
      </c>
      <c r="E1409" s="25" t="str">
        <f ca="1">IFERROR(__xludf.DUMMYFUNCTION("""COMPUTED_VALUE"""),"REA-B4700")</f>
        <v>REA-B4700</v>
      </c>
    </row>
    <row r="1410" spans="1:5" x14ac:dyDescent="0.2">
      <c r="A1410" s="22">
        <f ca="1">IFERROR(__xludf.DUMMYFUNCTION("""COMPUTED_VALUE"""),45205)</f>
        <v>45205</v>
      </c>
      <c r="B1410" s="23" t="str">
        <f ca="1">IFERROR(__xludf.DUMMYFUNCTION("""COMPUTED_VALUE"""),"BATERIA BIDETOWA LUNGO CZARNA METALICZNA")</f>
        <v>BATERIA BIDETOWA LUNGO CZARNA METALICZNA</v>
      </c>
      <c r="C1410" s="23"/>
      <c r="D1410" s="24">
        <f ca="1">IFERROR(__xludf.DUMMYFUNCTION("""COMPUTED_VALUE"""),269)</f>
        <v>269</v>
      </c>
      <c r="E1410" s="25" t="str">
        <f ca="1">IFERROR(__xludf.DUMMYFUNCTION("""COMPUTED_VALUE"""),"REA-B0665")</f>
        <v>REA-B0665</v>
      </c>
    </row>
    <row r="1411" spans="1:5" x14ac:dyDescent="0.2">
      <c r="A1411" s="22">
        <f ca="1">IFERROR(__xludf.DUMMYFUNCTION("""COMPUTED_VALUE"""),45205)</f>
        <v>45205</v>
      </c>
      <c r="B1411" s="23" t="str">
        <f ca="1">IFERROR(__xludf.DUMMYFUNCTION("""COMPUTED_VALUE"""),"BATERIA UMYWALKOWA LUNGO L.GOLD SZCZOTKOWANA NISKA")</f>
        <v>BATERIA UMYWALKOWA LUNGO L.GOLD SZCZOTKOWANA NISKA</v>
      </c>
      <c r="C1411" s="23"/>
      <c r="D1411" s="24">
        <f ca="1">IFERROR(__xludf.DUMMYFUNCTION("""COMPUTED_VALUE"""),289)</f>
        <v>289</v>
      </c>
      <c r="E1411" s="25" t="str">
        <f ca="1">IFERROR(__xludf.DUMMYFUNCTION("""COMPUTED_VALUE"""),"REA-B4527")</f>
        <v>REA-B4527</v>
      </c>
    </row>
    <row r="1412" spans="1:5" x14ac:dyDescent="0.2">
      <c r="A1412" s="22">
        <f ca="1">IFERROR(__xludf.DUMMYFUNCTION("""COMPUTED_VALUE"""),45202)</f>
        <v>45202</v>
      </c>
      <c r="B1412" s="23" t="str">
        <f ca="1">IFERROR(__xludf.DUMMYFUNCTION("""COMPUTED_VALUE"""),"WC - CARLO RIMLESS DUROPLAST/FLAT/ZM BRUSH GOLD")</f>
        <v>WC - CARLO RIMLESS DUROPLAST/FLAT/ZM BRUSH GOLD</v>
      </c>
      <c r="C1412" s="23"/>
      <c r="D1412" s="24">
        <f ca="1">IFERROR(__xludf.DUMMYFUNCTION("""COMPUTED_VALUE"""),1399)</f>
        <v>1399</v>
      </c>
      <c r="E1412" s="25" t="str">
        <f ca="1">IFERROR(__xludf.DUMMYFUNCTION("""COMPUTED_VALUE"""),"REA-C6942")</f>
        <v>REA-C6942</v>
      </c>
    </row>
    <row r="1413" spans="1:5" x14ac:dyDescent="0.2">
      <c r="A1413" s="22">
        <f ca="1">IFERROR(__xludf.DUMMYFUNCTION("""COMPUTED_VALUE"""),45202)</f>
        <v>45202</v>
      </c>
      <c r="B1413" s="23" t="str">
        <f ca="1">IFERROR(__xludf.DUMMYFUNCTION("""COMPUTED_VALUE"""),"WC - LARS RIMLESS DUROPLAST/FLAT/ZM")</f>
        <v>WC - LARS RIMLESS DUROPLAST/FLAT/ZM</v>
      </c>
      <c r="C1413" s="23"/>
      <c r="D1413" s="24">
        <f ca="1">IFERROR(__xludf.DUMMYFUNCTION("""COMPUTED_VALUE"""),659)</f>
        <v>659</v>
      </c>
      <c r="E1413" s="25" t="str">
        <f ca="1">IFERROR(__xludf.DUMMYFUNCTION("""COMPUTED_VALUE"""),"REA-C9500")</f>
        <v>REA-C9500</v>
      </c>
    </row>
    <row r="1414" spans="1:5" x14ac:dyDescent="0.2">
      <c r="A1414" s="22">
        <f ca="1">IFERROR(__xludf.DUMMYFUNCTION("""COMPUTED_VALUE"""),45202)</f>
        <v>45202</v>
      </c>
      <c r="B1414" s="23" t="str">
        <f ca="1">IFERROR(__xludf.DUMMYFUNCTION("""COMPUTED_VALUE"""),"PARAWAN WANNOWY FABIAN GOLD BRUSH 100")</f>
        <v>PARAWAN WANNOWY FABIAN GOLD BRUSH 100</v>
      </c>
      <c r="C1414" s="23"/>
      <c r="D1414" s="24">
        <f ca="1">IFERROR(__xludf.DUMMYFUNCTION("""COMPUTED_VALUE"""),839)</f>
        <v>839</v>
      </c>
      <c r="E1414" s="25" t="str">
        <f ca="1">IFERROR(__xludf.DUMMYFUNCTION("""COMPUTED_VALUE"""),"REA-K6527")</f>
        <v>REA-K6527</v>
      </c>
    </row>
    <row r="1415" spans="1:5" x14ac:dyDescent="0.2">
      <c r="A1415" s="22">
        <f ca="1">IFERROR(__xludf.DUMMYFUNCTION("""COMPUTED_VALUE"""),45202)</f>
        <v>45202</v>
      </c>
      <c r="B1415" s="23" t="str">
        <f ca="1">IFERROR(__xludf.DUMMYFUNCTION("""COMPUTED_VALUE"""),"UMYWALKA SAMI TERRA MATT - NABLATOWA")</f>
        <v>UMYWALKA SAMI TERRA MATT - NABLATOWA</v>
      </c>
      <c r="C1415" s="23"/>
      <c r="D1415" s="24">
        <f ca="1">IFERROR(__xludf.DUMMYFUNCTION("""COMPUTED_VALUE"""),499)</f>
        <v>499</v>
      </c>
      <c r="E1415" s="25" t="str">
        <f ca="1">IFERROR(__xludf.DUMMYFUNCTION("""COMPUTED_VALUE"""),"REA-U4566")</f>
        <v>REA-U4566</v>
      </c>
    </row>
    <row r="1416" spans="1:5" x14ac:dyDescent="0.2">
      <c r="A1416" s="22">
        <f ca="1">IFERROR(__xludf.DUMMYFUNCTION("""COMPUTED_VALUE"""),45202)</f>
        <v>45202</v>
      </c>
      <c r="B1416" s="23" t="str">
        <f ca="1">IFERROR(__xludf.DUMMYFUNCTION("""COMPUTED_VALUE"""),"UMYWALKA SAMI GREEN MATT - NABLATOWA")</f>
        <v>UMYWALKA SAMI GREEN MATT - NABLATOWA</v>
      </c>
      <c r="C1416" s="23"/>
      <c r="D1416" s="24">
        <f ca="1">IFERROR(__xludf.DUMMYFUNCTION("""COMPUTED_VALUE"""),499)</f>
        <v>499</v>
      </c>
      <c r="E1416" s="25" t="str">
        <f ca="1">IFERROR(__xludf.DUMMYFUNCTION("""COMPUTED_VALUE"""),"REA-U4567")</f>
        <v>REA-U4567</v>
      </c>
    </row>
    <row r="1417" spans="1:5" x14ac:dyDescent="0.2">
      <c r="A1417" s="22">
        <f ca="1">IFERROR(__xludf.DUMMYFUNCTION("""COMPUTED_VALUE"""),45202)</f>
        <v>45202</v>
      </c>
      <c r="B1417" s="23" t="str">
        <f ca="1">IFERROR(__xludf.DUMMYFUNCTION("""COMPUTED_VALUE"""),"WANNA BELLANTO 170 LEWA")</f>
        <v>WANNA BELLANTO 170 LEWA</v>
      </c>
      <c r="C1417" s="23"/>
      <c r="D1417" s="24">
        <f ca="1">IFERROR(__xludf.DUMMYFUNCTION("""COMPUTED_VALUE"""),3899)</f>
        <v>3899</v>
      </c>
      <c r="E1417" s="25" t="str">
        <f ca="1">IFERROR(__xludf.DUMMYFUNCTION("""COMPUTED_VALUE"""),"REA-W6901")</f>
        <v>REA-W6901</v>
      </c>
    </row>
    <row r="1418" spans="1:5" x14ac:dyDescent="0.2">
      <c r="A1418" s="22">
        <f ca="1">IFERROR(__xludf.DUMMYFUNCTION("""COMPUTED_VALUE"""),45202)</f>
        <v>45202</v>
      </c>
      <c r="B1418" s="23" t="str">
        <f ca="1">IFERROR(__xludf.DUMMYFUNCTION("""COMPUTED_VALUE"""),"WANNA BELLANTO 170 PRAWA")</f>
        <v>WANNA BELLANTO 170 PRAWA</v>
      </c>
      <c r="C1418" s="23"/>
      <c r="D1418" s="24">
        <f ca="1">IFERROR(__xludf.DUMMYFUNCTION("""COMPUTED_VALUE"""),3899)</f>
        <v>3899</v>
      </c>
      <c r="E1418" s="25" t="str">
        <f ca="1">IFERROR(__xludf.DUMMYFUNCTION("""COMPUTED_VALUE"""),"REA-W6900")</f>
        <v>REA-W6900</v>
      </c>
    </row>
    <row r="1419" spans="1:5" x14ac:dyDescent="0.2">
      <c r="A1419" s="22">
        <f ca="1">IFERROR(__xludf.DUMMYFUNCTION("""COMPUTED_VALUE"""),45202)</f>
        <v>45202</v>
      </c>
      <c r="B1419" s="23" t="str">
        <f ca="1">IFERROR(__xludf.DUMMYFUNCTION("""COMPUTED_VALUE"""),"PRZYCISK DO STELAŻA PODTYNKOWEGO H CHROM")</f>
        <v>PRZYCISK DO STELAŻA PODTYNKOWEGO H CHROM</v>
      </c>
      <c r="C1419" s="23"/>
      <c r="D1419" s="24">
        <f ca="1">IFERROR(__xludf.DUMMYFUNCTION("""COMPUTED_VALUE"""),129)</f>
        <v>129</v>
      </c>
      <c r="E1419" s="25" t="str">
        <f ca="1">IFERROR(__xludf.DUMMYFUNCTION("""COMPUTED_VALUE"""),"REA-E5691")</f>
        <v>REA-E5691</v>
      </c>
    </row>
    <row r="1420" spans="1:5" x14ac:dyDescent="0.2">
      <c r="A1420" s="22">
        <f ca="1">IFERROR(__xludf.DUMMYFUNCTION("""COMPUTED_VALUE"""),45202)</f>
        <v>45202</v>
      </c>
      <c r="B1420" s="23" t="str">
        <f ca="1">IFERROR(__xludf.DUMMYFUNCTION("""COMPUTED_VALUE"""),"PRZYCISK DO STELAŻA PODTYNKOWEGO F CHROM")</f>
        <v>PRZYCISK DO STELAŻA PODTYNKOWEGO F CHROM</v>
      </c>
      <c r="C1420" s="23"/>
      <c r="D1420" s="24">
        <f ca="1">IFERROR(__xludf.DUMMYFUNCTION("""COMPUTED_VALUE"""),129)</f>
        <v>129</v>
      </c>
      <c r="E1420" s="25" t="str">
        <f ca="1">IFERROR(__xludf.DUMMYFUNCTION("""COMPUTED_VALUE"""),"REA-E019A")</f>
        <v>REA-E019A</v>
      </c>
    </row>
    <row r="1421" spans="1:5" x14ac:dyDescent="0.2">
      <c r="A1421" s="22">
        <f ca="1">IFERROR(__xludf.DUMMYFUNCTION("""COMPUTED_VALUE"""),45202)</f>
        <v>45202</v>
      </c>
      <c r="B1421" s="23" t="str">
        <f ca="1">IFERROR(__xludf.DUMMYFUNCTION("""COMPUTED_VALUE"""),"STELAŻ PODTYNKOWY WC")</f>
        <v>STELAŻ PODTYNKOWY WC</v>
      </c>
      <c r="C1421" s="23"/>
      <c r="D1421" s="24">
        <f ca="1">IFERROR(__xludf.DUMMYFUNCTION("""COMPUTED_VALUE"""),650)</f>
        <v>650</v>
      </c>
      <c r="E1421" s="25" t="str">
        <f ca="1">IFERROR(__xludf.DUMMYFUNCTION("""COMPUTED_VALUE"""),"REA-E0009")</f>
        <v>REA-E0009</v>
      </c>
    </row>
    <row r="1422" spans="1:5" x14ac:dyDescent="0.2">
      <c r="A1422" s="22">
        <f ca="1">IFERROR(__xludf.DUMMYFUNCTION("""COMPUTED_VALUE"""),45202)</f>
        <v>45202</v>
      </c>
      <c r="B1422" s="23" t="str">
        <f ca="1">IFERROR(__xludf.DUMMYFUNCTION("""COMPUTED_VALUE"""),"BATERIA NISKA TESS L.GOLD SZCZOTKOWANA")</f>
        <v>BATERIA NISKA TESS L.GOLD SZCZOTKOWANA</v>
      </c>
      <c r="C1422" s="23"/>
      <c r="D1422" s="24">
        <f ca="1">IFERROR(__xludf.DUMMYFUNCTION("""COMPUTED_VALUE"""),259)</f>
        <v>259</v>
      </c>
      <c r="E1422" s="25" t="str">
        <f ca="1">IFERROR(__xludf.DUMMYFUNCTION("""COMPUTED_VALUE"""),"REA-B5661")</f>
        <v>REA-B5661</v>
      </c>
    </row>
    <row r="1423" spans="1:5" x14ac:dyDescent="0.2">
      <c r="A1423" s="22">
        <f ca="1">IFERROR(__xludf.DUMMYFUNCTION("""COMPUTED_VALUE"""),45202)</f>
        <v>45202</v>
      </c>
      <c r="B1423" s="23" t="str">
        <f ca="1">IFERROR(__xludf.DUMMYFUNCTION("""COMPUTED_VALUE"""),"UMYWALKA NADIA 60 BLACK MATT/WHITE - NABLATOWA")</f>
        <v>UMYWALKA NADIA 60 BLACK MATT/WHITE - NABLATOWA</v>
      </c>
      <c r="C1423" s="23"/>
      <c r="D1423" s="24">
        <f ca="1">IFERROR(__xludf.DUMMYFUNCTION("""COMPUTED_VALUE"""),439)</f>
        <v>439</v>
      </c>
      <c r="E1423" s="25" t="str">
        <f ca="1">IFERROR(__xludf.DUMMYFUNCTION("""COMPUTED_VALUE"""),"REA-U8781")</f>
        <v>REA-U8781</v>
      </c>
    </row>
    <row r="1424" spans="1:5" x14ac:dyDescent="0.2">
      <c r="A1424" s="22">
        <f ca="1">IFERROR(__xludf.DUMMYFUNCTION("""COMPUTED_VALUE"""),45202)</f>
        <v>45202</v>
      </c>
      <c r="B1424" s="23" t="str">
        <f ca="1">IFERROR(__xludf.DUMMYFUNCTION("""COMPUTED_VALUE"""),"BATERIA BIDETOWA TESS ZŁOTA SZCZOTKOWANA")</f>
        <v>BATERIA BIDETOWA TESS ZŁOTA SZCZOTKOWANA</v>
      </c>
      <c r="C1424" s="23"/>
      <c r="D1424" s="24">
        <f ca="1">IFERROR(__xludf.DUMMYFUNCTION("""COMPUTED_VALUE"""),299)</f>
        <v>299</v>
      </c>
      <c r="E1424" s="25" t="str">
        <f ca="1">IFERROR(__xludf.DUMMYFUNCTION("""COMPUTED_VALUE"""),"REA-B7010")</f>
        <v>REA-B7010</v>
      </c>
    </row>
    <row r="1425" spans="1:5" x14ac:dyDescent="0.2">
      <c r="A1425" s="22">
        <f ca="1">IFERROR(__xludf.DUMMYFUNCTION("""COMPUTED_VALUE"""),45202)</f>
        <v>45202</v>
      </c>
      <c r="B1425" s="23" t="str">
        <f ca="1">IFERROR(__xludf.DUMMYFUNCTION("""COMPUTED_VALUE"""),"KOREK KLIK-KLAK UNIWERSALNY CZARNY METALICZNY")</f>
        <v>KOREK KLIK-KLAK UNIWERSALNY CZARNY METALICZNY</v>
      </c>
      <c r="C1425" s="23"/>
      <c r="D1425" s="24">
        <f ca="1">IFERROR(__xludf.DUMMYFUNCTION("""COMPUTED_VALUE"""),139)</f>
        <v>139</v>
      </c>
      <c r="E1425" s="25" t="str">
        <f ca="1">IFERROR(__xludf.DUMMYFUNCTION("""COMPUTED_VALUE"""),"REA-A4100")</f>
        <v>REA-A4100</v>
      </c>
    </row>
    <row r="1426" spans="1:5" x14ac:dyDescent="0.2">
      <c r="A1426" s="22">
        <f ca="1">IFERROR(__xludf.DUMMYFUNCTION("""COMPUTED_VALUE"""),45194)</f>
        <v>45194</v>
      </c>
      <c r="B1426" s="23" t="str">
        <f ca="1">IFERROR(__xludf.DUMMYFUNCTION("""COMPUTED_VALUE"""),"BATERIA BIDETOWA LUNGO BIAŁA")</f>
        <v>BATERIA BIDETOWA LUNGO BIAŁA</v>
      </c>
      <c r="C1426" s="23"/>
      <c r="D1426" s="24">
        <f ca="1">IFERROR(__xludf.DUMMYFUNCTION("""COMPUTED_VALUE"""),229)</f>
        <v>229</v>
      </c>
      <c r="E1426" s="25" t="str">
        <f ca="1">IFERROR(__xludf.DUMMYFUNCTION("""COMPUTED_VALUE"""),"REA-B4701")</f>
        <v>REA-B4701</v>
      </c>
    </row>
    <row r="1427" spans="1:5" x14ac:dyDescent="0.2">
      <c r="A1427" s="22">
        <f ca="1">IFERROR(__xludf.DUMMYFUNCTION("""COMPUTED_VALUE"""),45194)</f>
        <v>45194</v>
      </c>
      <c r="B1427" s="23" t="str">
        <f ca="1">IFERROR(__xludf.DUMMYFUNCTION("""COMPUTED_VALUE"""),"BATERIA BIDETOWA LUNGO RÓŻÓWE ZŁOTO")</f>
        <v>BATERIA BIDETOWA LUNGO RÓŻÓWE ZŁOTO</v>
      </c>
      <c r="C1427" s="23"/>
      <c r="D1427" s="24">
        <f ca="1">IFERROR(__xludf.DUMMYFUNCTION("""COMPUTED_VALUE"""),269)</f>
        <v>269</v>
      </c>
      <c r="E1427" s="25" t="str">
        <f ca="1">IFERROR(__xludf.DUMMYFUNCTION("""COMPUTED_VALUE"""),"REA-B4700")</f>
        <v>REA-B4700</v>
      </c>
    </row>
    <row r="1428" spans="1:5" x14ac:dyDescent="0.2">
      <c r="A1428" s="22">
        <f ca="1">IFERROR(__xludf.DUMMYFUNCTION("""COMPUTED_VALUE"""),45194)</f>
        <v>45194</v>
      </c>
      <c r="B1428" s="23" t="str">
        <f ca="1">IFERROR(__xludf.DUMMYFUNCTION("""COMPUTED_VALUE"""),"UMYWALKA CRISTAL 39 GREY ")</f>
        <v xml:space="preserve">UMYWALKA CRISTAL 39 GREY </v>
      </c>
      <c r="C1428" s="23"/>
      <c r="D1428" s="24">
        <f ca="1">IFERROR(__xludf.DUMMYFUNCTION("""COMPUTED_VALUE"""),629)</f>
        <v>629</v>
      </c>
      <c r="E1428" s="25" t="str">
        <f ca="1">IFERROR(__xludf.DUMMYFUNCTION("""COMPUTED_VALUE"""),"REA-U8880")</f>
        <v>REA-U8880</v>
      </c>
    </row>
    <row r="1429" spans="1:5" x14ac:dyDescent="0.2">
      <c r="A1429" s="22">
        <f ca="1">IFERROR(__xludf.DUMMYFUNCTION("""COMPUTED_VALUE"""),45194)</f>
        <v>45194</v>
      </c>
      <c r="B1429" s="23" t="str">
        <f ca="1">IFERROR(__xludf.DUMMYFUNCTION("""COMPUTED_VALUE"""),"UMYWALKA CRISTAL 39 TRANS")</f>
        <v>UMYWALKA CRISTAL 39 TRANS</v>
      </c>
      <c r="C1429" s="23"/>
      <c r="D1429" s="24">
        <f ca="1">IFERROR(__xludf.DUMMYFUNCTION("""COMPUTED_VALUE"""),599)</f>
        <v>599</v>
      </c>
      <c r="E1429" s="25" t="str">
        <f ca="1">IFERROR(__xludf.DUMMYFUNCTION("""COMPUTED_VALUE"""),"REA-U8881")</f>
        <v>REA-U8881</v>
      </c>
    </row>
    <row r="1430" spans="1:5" x14ac:dyDescent="0.2">
      <c r="A1430" s="22">
        <f ca="1">IFERROR(__xludf.DUMMYFUNCTION("""COMPUTED_VALUE"""),45194)</f>
        <v>45194</v>
      </c>
      <c r="B1430" s="23" t="str">
        <f ca="1">IFERROR(__xludf.DUMMYFUNCTION("""COMPUTED_VALUE"""),"PARAWAN WANNOWY FABIAN GOLD 100")</f>
        <v>PARAWAN WANNOWY FABIAN GOLD 100</v>
      </c>
      <c r="C1430" s="23"/>
      <c r="D1430" s="24">
        <f ca="1">IFERROR(__xludf.DUMMYFUNCTION("""COMPUTED_VALUE"""),839)</f>
        <v>839</v>
      </c>
      <c r="E1430" s="25" t="str">
        <f ca="1">IFERROR(__xludf.DUMMYFUNCTION("""COMPUTED_VALUE"""),"REA-K6526")</f>
        <v>REA-K6526</v>
      </c>
    </row>
    <row r="1431" spans="1:5" x14ac:dyDescent="0.2">
      <c r="A1431" s="22">
        <f ca="1">IFERROR(__xludf.DUMMYFUNCTION("""COMPUTED_VALUE"""),45194)</f>
        <v>45194</v>
      </c>
      <c r="B1431" s="23" t="str">
        <f ca="1">IFERROR(__xludf.DUMMYFUNCTION("""COMPUTED_VALUE"""),"UMYWALKA SAMI WHITE GOLD EDGE - NABLATOWA")</f>
        <v>UMYWALKA SAMI WHITE GOLD EDGE - NABLATOWA</v>
      </c>
      <c r="C1431" s="23"/>
      <c r="D1431" s="24">
        <f ca="1">IFERROR(__xludf.DUMMYFUNCTION("""COMPUTED_VALUE"""),339)</f>
        <v>339</v>
      </c>
      <c r="E1431" s="25" t="str">
        <f ca="1">IFERROR(__xludf.DUMMYFUNCTION("""COMPUTED_VALUE"""),"REA-U6758")</f>
        <v>REA-U6758</v>
      </c>
    </row>
    <row r="1432" spans="1:5" x14ac:dyDescent="0.2">
      <c r="A1432" s="22">
        <f ca="1">IFERROR(__xludf.DUMMYFUNCTION("""COMPUTED_VALUE"""),45194)</f>
        <v>45194</v>
      </c>
      <c r="B1432" s="23" t="str">
        <f ca="1">IFERROR(__xludf.DUMMYFUNCTION("""COMPUTED_VALUE"""),"UMYWALKA BELINDA GOLD BRUSH/BLACK - NABLATOWA")</f>
        <v>UMYWALKA BELINDA GOLD BRUSH/BLACK - NABLATOWA</v>
      </c>
      <c r="C1432" s="23"/>
      <c r="D1432" s="24">
        <f ca="1">IFERROR(__xludf.DUMMYFUNCTION("""COMPUTED_VALUE"""),479)</f>
        <v>479</v>
      </c>
      <c r="E1432" s="25" t="str">
        <f ca="1">IFERROR(__xludf.DUMMYFUNCTION("""COMPUTED_VALUE"""),"REA-U8780")</f>
        <v>REA-U8780</v>
      </c>
    </row>
    <row r="1433" spans="1:5" x14ac:dyDescent="0.2">
      <c r="A1433" s="22">
        <f ca="1">IFERROR(__xludf.DUMMYFUNCTION("""COMPUTED_VALUE"""),45194)</f>
        <v>45194</v>
      </c>
      <c r="B1433" s="23" t="str">
        <f ca="1">IFERROR(__xludf.DUMMYFUNCTION("""COMPUTED_VALUE"""),"UMYWALKA BELINDA GOLD EDGE - NABLATOWA")</f>
        <v>UMYWALKA BELINDA GOLD EDGE - NABLATOWA</v>
      </c>
      <c r="C1433" s="23"/>
      <c r="D1433" s="24">
        <f ca="1">IFERROR(__xludf.DUMMYFUNCTION("""COMPUTED_VALUE"""),359)</f>
        <v>359</v>
      </c>
      <c r="E1433" s="25" t="str">
        <f ca="1">IFERROR(__xludf.DUMMYFUNCTION("""COMPUTED_VALUE"""),"REA-U8736")</f>
        <v>REA-U8736</v>
      </c>
    </row>
    <row r="1434" spans="1:5" x14ac:dyDescent="0.2">
      <c r="A1434" s="22">
        <f ca="1">IFERROR(__xludf.DUMMYFUNCTION("""COMPUTED_VALUE"""),45194)</f>
        <v>45194</v>
      </c>
      <c r="B1434" s="23" t="str">
        <f ca="1">IFERROR(__xludf.DUMMYFUNCTION("""COMPUTED_VALUE"""),"UMYWALKA MELANIA GOLD/WHITE - NABLATOWA")</f>
        <v>UMYWALKA MELANIA GOLD/WHITE - NABLATOWA</v>
      </c>
      <c r="C1434" s="23"/>
      <c r="D1434" s="24">
        <f ca="1">IFERROR(__xludf.DUMMYFUNCTION("""COMPUTED_VALUE"""),329)</f>
        <v>329</v>
      </c>
      <c r="E1434" s="25" t="str">
        <f ca="1">IFERROR(__xludf.DUMMYFUNCTION("""COMPUTED_VALUE"""),"REA-U1050")</f>
        <v>REA-U1050</v>
      </c>
    </row>
    <row r="1435" spans="1:5" x14ac:dyDescent="0.2">
      <c r="A1435" s="22">
        <f ca="1">IFERROR(__xludf.DUMMYFUNCTION("""COMPUTED_VALUE"""),45194)</f>
        <v>45194</v>
      </c>
      <c r="B1435" s="23" t="str">
        <f ca="1">IFERROR(__xludf.DUMMYFUNCTION("""COMPUTED_VALUE"""),"UMYWALKA SOFIA IN BLACK/GOLD - NABLATOWA")</f>
        <v>UMYWALKA SOFIA IN BLACK/GOLD - NABLATOWA</v>
      </c>
      <c r="C1435" s="23"/>
      <c r="D1435" s="24">
        <f ca="1">IFERROR(__xludf.DUMMYFUNCTION("""COMPUTED_VALUE"""),339)</f>
        <v>339</v>
      </c>
      <c r="E1435" s="25" t="str">
        <f ca="1">IFERROR(__xludf.DUMMYFUNCTION("""COMPUTED_VALUE"""),"REA-U4527")</f>
        <v>REA-U4527</v>
      </c>
    </row>
    <row r="1436" spans="1:5" x14ac:dyDescent="0.2">
      <c r="A1436" s="22">
        <f ca="1">IFERROR(__xludf.DUMMYFUNCTION("""COMPUTED_VALUE"""),45194)</f>
        <v>45194</v>
      </c>
      <c r="B1436" s="23" t="str">
        <f ca="1">IFERROR(__xludf.DUMMYFUNCTION("""COMPUTED_VALUE"""),"UMYWALKA SOFIA BLACK GOLD EDGE - NABLATOWA")</f>
        <v>UMYWALKA SOFIA BLACK GOLD EDGE - NABLATOWA</v>
      </c>
      <c r="C1436" s="23"/>
      <c r="D1436" s="24">
        <f ca="1">IFERROR(__xludf.DUMMYFUNCTION("""COMPUTED_VALUE"""),339)</f>
        <v>339</v>
      </c>
      <c r="E1436" s="25" t="str">
        <f ca="1">IFERROR(__xludf.DUMMYFUNCTION("""COMPUTED_VALUE"""),"REA-U3695")</f>
        <v>REA-U3695</v>
      </c>
    </row>
    <row r="1437" spans="1:5" x14ac:dyDescent="0.2">
      <c r="A1437" s="22">
        <f ca="1">IFERROR(__xludf.DUMMYFUNCTION("""COMPUTED_VALUE"""),45194)</f>
        <v>45194</v>
      </c>
      <c r="B1437" s="23" t="str">
        <f ca="1">IFERROR(__xludf.DUMMYFUNCTION("""COMPUTED_VALUE"""),"UMYWALKA SOFIA GOLD BRUSH/BLACK - NABLATOWA")</f>
        <v>UMYWALKA SOFIA GOLD BRUSH/BLACK - NABLATOWA</v>
      </c>
      <c r="C1437" s="23"/>
      <c r="D1437" s="24">
        <f ca="1">IFERROR(__xludf.DUMMYFUNCTION("""COMPUTED_VALUE"""),369)</f>
        <v>369</v>
      </c>
      <c r="E1437" s="25" t="str">
        <f ca="1">IFERROR(__xludf.DUMMYFUNCTION("""COMPUTED_VALUE"""),"REA-U3310")</f>
        <v>REA-U3310</v>
      </c>
    </row>
    <row r="1438" spans="1:5" x14ac:dyDescent="0.2">
      <c r="A1438" s="22">
        <f ca="1">IFERROR(__xludf.DUMMYFUNCTION("""COMPUTED_VALUE"""),45194)</f>
        <v>45194</v>
      </c>
      <c r="B1438" s="23" t="str">
        <f ca="1">IFERROR(__xludf.DUMMYFUNCTION("""COMPUTED_VALUE"""),"UMYWALKA SOFIA GOLD/WHITE - NABLATOWA")</f>
        <v>UMYWALKA SOFIA GOLD/WHITE - NABLATOWA</v>
      </c>
      <c r="C1438" s="23"/>
      <c r="D1438" s="24">
        <f ca="1">IFERROR(__xludf.DUMMYFUNCTION("""COMPUTED_VALUE"""),339)</f>
        <v>339</v>
      </c>
      <c r="E1438" s="25" t="str">
        <f ca="1">IFERROR(__xludf.DUMMYFUNCTION("""COMPUTED_VALUE"""),"REA-U0456")</f>
        <v>REA-U0456</v>
      </c>
    </row>
    <row r="1439" spans="1:5" x14ac:dyDescent="0.2">
      <c r="A1439" s="22">
        <f ca="1">IFERROR(__xludf.DUMMYFUNCTION("""COMPUTED_VALUE"""),45194)</f>
        <v>45194</v>
      </c>
      <c r="B1439" s="23" t="str">
        <f ca="1">IFERROR(__xludf.DUMMYFUNCTION("""COMPUTED_VALUE"""),"UMYWALKA SOFIA GOLD/GOLD  - NABLATOWA")</f>
        <v>UMYWALKA SOFIA GOLD/GOLD  - NABLATOWA</v>
      </c>
      <c r="C1439" s="23"/>
      <c r="D1439" s="24">
        <f ca="1">IFERROR(__xludf.DUMMYFUNCTION("""COMPUTED_VALUE"""),299)</f>
        <v>299</v>
      </c>
      <c r="E1439" s="25" t="str">
        <f ca="1">IFERROR(__xludf.DUMMYFUNCTION("""COMPUTED_VALUE"""),"REA-U9015")</f>
        <v>REA-U9015</v>
      </c>
    </row>
    <row r="1440" spans="1:5" x14ac:dyDescent="0.2">
      <c r="A1440" s="22">
        <f ca="1">IFERROR(__xludf.DUMMYFUNCTION("""COMPUTED_VALUE"""),45194)</f>
        <v>45194</v>
      </c>
      <c r="B1440" s="23" t="str">
        <f ca="1">IFERROR(__xludf.DUMMYFUNCTION("""COMPUTED_VALUE"""),"UMYWALKA SOFIA BLACK - NABLATOWA")</f>
        <v>UMYWALKA SOFIA BLACK - NABLATOWA</v>
      </c>
      <c r="C1440" s="23"/>
      <c r="D1440" s="24">
        <f ca="1">IFERROR(__xludf.DUMMYFUNCTION("""COMPUTED_VALUE"""),259)</f>
        <v>259</v>
      </c>
      <c r="E1440" s="25" t="str">
        <f ca="1">IFERROR(__xludf.DUMMYFUNCTION("""COMPUTED_VALUE"""),"REA-U0154")</f>
        <v>REA-U0154</v>
      </c>
    </row>
    <row r="1441" spans="1:5" x14ac:dyDescent="0.2">
      <c r="A1441" s="22">
        <f ca="1">IFERROR(__xludf.DUMMYFUNCTION("""COMPUTED_VALUE"""),45187)</f>
        <v>45187</v>
      </c>
      <c r="B1441" s="23" t="str">
        <f ca="1">IFERROR(__xludf.DUMMYFUNCTION("""COMPUTED_VALUE"""),"UMYWALKA WENDY MARMO - NABLATOWA")</f>
        <v>UMYWALKA WENDY MARMO - NABLATOWA</v>
      </c>
      <c r="C1441" s="23"/>
      <c r="D1441" s="24">
        <f ca="1">IFERROR(__xludf.DUMMYFUNCTION("""COMPUTED_VALUE"""),309)</f>
        <v>309</v>
      </c>
      <c r="E1441" s="25" t="str">
        <f ca="1">IFERROR(__xludf.DUMMYFUNCTION("""COMPUTED_VALUE"""),"REA-U5053")</f>
        <v>REA-U5053</v>
      </c>
    </row>
    <row r="1442" spans="1:5" x14ac:dyDescent="0.2">
      <c r="A1442" s="22">
        <f ca="1">IFERROR(__xludf.DUMMYFUNCTION("""COMPUTED_VALUE"""),45187)</f>
        <v>45187</v>
      </c>
      <c r="B1442" s="23" t="str">
        <f ca="1">IFERROR(__xludf.DUMMYFUNCTION("""COMPUTED_VALUE"""),"BATERIA WANNOWA DART CZARNA")</f>
        <v>BATERIA WANNOWA DART CZARNA</v>
      </c>
      <c r="C1442" s="23"/>
      <c r="D1442" s="24">
        <f ca="1">IFERROR(__xludf.DUMMYFUNCTION("""COMPUTED_VALUE"""),409)</f>
        <v>409</v>
      </c>
      <c r="E1442" s="25" t="str">
        <f ca="1">IFERROR(__xludf.DUMMYFUNCTION("""COMPUTED_VALUE"""),"REA-B3300")</f>
        <v>REA-B3300</v>
      </c>
    </row>
    <row r="1443" spans="1:5" x14ac:dyDescent="0.2">
      <c r="A1443" s="22">
        <f ca="1">IFERROR(__xludf.DUMMYFUNCTION("""COMPUTED_VALUE"""),45187)</f>
        <v>45187</v>
      </c>
      <c r="B1443" s="23" t="str">
        <f ca="1">IFERROR(__xludf.DUMMYFUNCTION("""COMPUTED_VALUE"""),"BATERIA WANNOWA DART CHROM")</f>
        <v>BATERIA WANNOWA DART CHROM</v>
      </c>
      <c r="C1443" s="23"/>
      <c r="D1443" s="24">
        <f ca="1">IFERROR(__xludf.DUMMYFUNCTION("""COMPUTED_VALUE"""),399)</f>
        <v>399</v>
      </c>
      <c r="E1443" s="25" t="str">
        <f ca="1">IFERROR(__xludf.DUMMYFUNCTION("""COMPUTED_VALUE"""),"REA-B3301")</f>
        <v>REA-B3301</v>
      </c>
    </row>
    <row r="1444" spans="1:5" x14ac:dyDescent="0.2">
      <c r="A1444" s="22">
        <f ca="1">IFERROR(__xludf.DUMMYFUNCTION("""COMPUTED_VALUE"""),45187)</f>
        <v>45187</v>
      </c>
      <c r="B1444" s="23" t="str">
        <f ca="1">IFERROR(__xludf.DUMMYFUNCTION("""COMPUTED_VALUE"""),"BATERIA PRYSZNICOWA DART CZARNA")</f>
        <v>BATERIA PRYSZNICOWA DART CZARNA</v>
      </c>
      <c r="C1444" s="23"/>
      <c r="D1444" s="24">
        <f ca="1">IFERROR(__xludf.DUMMYFUNCTION("""COMPUTED_VALUE"""),339)</f>
        <v>339</v>
      </c>
      <c r="E1444" s="25" t="str">
        <f ca="1">IFERROR(__xludf.DUMMYFUNCTION("""COMPUTED_VALUE"""),"REA-B3302")</f>
        <v>REA-B3302</v>
      </c>
    </row>
    <row r="1445" spans="1:5" x14ac:dyDescent="0.2">
      <c r="A1445" s="22">
        <f ca="1">IFERROR(__xludf.DUMMYFUNCTION("""COMPUTED_VALUE"""),45187)</f>
        <v>45187</v>
      </c>
      <c r="B1445" s="23" t="str">
        <f ca="1">IFERROR(__xludf.DUMMYFUNCTION("""COMPUTED_VALUE"""),"BATERIA PRYSZNICOWA DART CHROM")</f>
        <v>BATERIA PRYSZNICOWA DART CHROM</v>
      </c>
      <c r="C1445" s="23"/>
      <c r="D1445" s="24">
        <f ca="1">IFERROR(__xludf.DUMMYFUNCTION("""COMPUTED_VALUE"""),319)</f>
        <v>319</v>
      </c>
      <c r="E1445" s="25" t="str">
        <f ca="1">IFERROR(__xludf.DUMMYFUNCTION("""COMPUTED_VALUE"""),"REA-B3303")</f>
        <v>REA-B3303</v>
      </c>
    </row>
    <row r="1446" spans="1:5" x14ac:dyDescent="0.2">
      <c r="A1446" s="22">
        <f ca="1">IFERROR(__xludf.DUMMYFUNCTION("""COMPUTED_VALUE"""),45187)</f>
        <v>45187</v>
      </c>
      <c r="B1446" s="23" t="str">
        <f ca="1">IFERROR(__xludf.DUMMYFUNCTION("""COMPUTED_VALUE"""),"BATERIA UMYWALKOWA WYSOKA OVAL CHROM")</f>
        <v>BATERIA UMYWALKOWA WYSOKA OVAL CHROM</v>
      </c>
      <c r="C1446" s="23"/>
      <c r="D1446" s="24">
        <f ca="1">IFERROR(__xludf.DUMMYFUNCTION("""COMPUTED_VALUE"""),279)</f>
        <v>279</v>
      </c>
      <c r="E1446" s="27" t="str">
        <f ca="1">IFERROR(__xludf.DUMMYFUNCTION("""COMPUTED_VALUE"""),"REA-B6510")</f>
        <v>REA-B6510</v>
      </c>
    </row>
    <row r="1447" spans="1:5" x14ac:dyDescent="0.2">
      <c r="A1447" s="22">
        <f ca="1">IFERROR(__xludf.DUMMYFUNCTION("""COMPUTED_VALUE"""),45187)</f>
        <v>45187</v>
      </c>
      <c r="B1447" s="23" t="str">
        <f ca="1">IFERROR(__xludf.DUMMYFUNCTION("""COMPUTED_VALUE"""),"BATERIA UMYWALKOWA NISKA OVAL CHROM")</f>
        <v>BATERIA UMYWALKOWA NISKA OVAL CHROM</v>
      </c>
      <c r="C1447" s="23"/>
      <c r="D1447" s="24">
        <f ca="1">IFERROR(__xludf.DUMMYFUNCTION("""COMPUTED_VALUE"""),249)</f>
        <v>249</v>
      </c>
      <c r="E1447" s="27" t="str">
        <f ca="1">IFERROR(__xludf.DUMMYFUNCTION("""COMPUTED_VALUE"""),"REA-B6514")</f>
        <v>REA-B6514</v>
      </c>
    </row>
    <row r="1448" spans="1:5" x14ac:dyDescent="0.2">
      <c r="A1448" s="22">
        <f ca="1">IFERROR(__xludf.DUMMYFUNCTION("""COMPUTED_VALUE"""),45187)</f>
        <v>45187</v>
      </c>
      <c r="B1448" s="23" t="str">
        <f ca="1">IFERROR(__xludf.DUMMYFUNCTION("""COMPUTED_VALUE"""),"KOREK KLIK-KLAK UNIWERSALNY BLACK")</f>
        <v>KOREK KLIK-KLAK UNIWERSALNY BLACK</v>
      </c>
      <c r="C1448" s="23"/>
      <c r="D1448" s="24">
        <f ca="1">IFERROR(__xludf.DUMMYFUNCTION("""COMPUTED_VALUE"""),99)</f>
        <v>99</v>
      </c>
      <c r="E1448" s="27" t="str">
        <f ca="1">IFERROR(__xludf.DUMMYFUNCTION("""COMPUTED_VALUE"""),"REA-A5216")</f>
        <v>REA-A5216</v>
      </c>
    </row>
    <row r="1449" spans="1:5" x14ac:dyDescent="0.2">
      <c r="A1449" s="22">
        <f ca="1">IFERROR(__xludf.DUMMYFUNCTION("""COMPUTED_VALUE"""),45187)</f>
        <v>45187</v>
      </c>
      <c r="B1449" s="23" t="str">
        <f ca="1">IFERROR(__xludf.DUMMYFUNCTION("""COMPUTED_VALUE"""),"ZESTAW NATRYSKOWY FENIX-DAVIS TERMOSTAT CHROME")</f>
        <v>ZESTAW NATRYSKOWY FENIX-DAVIS TERMOSTAT CHROME</v>
      </c>
      <c r="C1449" s="23"/>
      <c r="D1449" s="24">
        <f ca="1">IFERROR(__xludf.DUMMYFUNCTION("""COMPUTED_VALUE"""),1269)</f>
        <v>1269</v>
      </c>
      <c r="E1449" s="27" t="str">
        <f ca="1">IFERROR(__xludf.DUMMYFUNCTION("""COMPUTED_VALUE"""),"REA-P6356")</f>
        <v>REA-P6356</v>
      </c>
    </row>
    <row r="1450" spans="1:5" x14ac:dyDescent="0.2">
      <c r="A1450" s="22">
        <f ca="1">IFERROR(__xludf.DUMMYFUNCTION("""COMPUTED_VALUE"""),45187)</f>
        <v>45187</v>
      </c>
      <c r="B1450" s="23" t="str">
        <f ca="1">IFERROR(__xludf.DUMMYFUNCTION("""COMPUTED_VALUE"""),"ZESTAW NATRYSKOWO-WANNOWY LUNGO CHROM TERMOSTAT")</f>
        <v>ZESTAW NATRYSKOWO-WANNOWY LUNGO CHROM TERMOSTAT</v>
      </c>
      <c r="C1450" s="23"/>
      <c r="D1450" s="24">
        <f ca="1">IFERROR(__xludf.DUMMYFUNCTION("""COMPUTED_VALUE"""),819)</f>
        <v>819</v>
      </c>
      <c r="E1450" s="27" t="str">
        <f ca="1">IFERROR(__xludf.DUMMYFUNCTION("""COMPUTED_VALUE"""),"REA-P6607")</f>
        <v>REA-P6607</v>
      </c>
    </row>
    <row r="1451" spans="1:5" x14ac:dyDescent="0.2">
      <c r="A1451" s="22">
        <f ca="1">IFERROR(__xludf.DUMMYFUNCTION("""COMPUTED_VALUE"""),45187)</f>
        <v>45187</v>
      </c>
      <c r="B1451" s="23" t="str">
        <f ca="1">IFERROR(__xludf.DUMMYFUNCTION("""COMPUTED_VALUE"""),"ZESTAW NATRYSKOWY PODTYNKOWY LUNGO L.GOLD SZCZOTKO")</f>
        <v>ZESTAW NATRYSKOWY PODTYNKOWY LUNGO L.GOLD SZCZOTKO</v>
      </c>
      <c r="C1451" s="23"/>
      <c r="D1451" s="24">
        <f ca="1">IFERROR(__xludf.DUMMYFUNCTION("""COMPUTED_VALUE"""),1099)</f>
        <v>1099</v>
      </c>
      <c r="E1451" s="27" t="str">
        <f ca="1">IFERROR(__xludf.DUMMYFUNCTION("""COMPUTED_VALUE"""),"REA-P4160")</f>
        <v>REA-P4160</v>
      </c>
    </row>
    <row r="1452" spans="1:5" x14ac:dyDescent="0.2">
      <c r="A1452" s="22">
        <f ca="1">IFERROR(__xludf.DUMMYFUNCTION("""COMPUTED_VALUE"""),45187)</f>
        <v>45187</v>
      </c>
      <c r="B1452" s="23" t="str">
        <f ca="1">IFERROR(__xludf.DUMMYFUNCTION("""COMPUTED_VALUE"""),"ZESTAW NATRYSKOWY PODTYNKOWY LUNGO CHROM")</f>
        <v>ZESTAW NATRYSKOWY PODTYNKOWY LUNGO CHROM</v>
      </c>
      <c r="C1452" s="23"/>
      <c r="D1452" s="24">
        <f ca="1">IFERROR(__xludf.DUMMYFUNCTION("""COMPUTED_VALUE"""),879)</f>
        <v>879</v>
      </c>
      <c r="E1452" s="27" t="str">
        <f ca="1">IFERROR(__xludf.DUMMYFUNCTION("""COMPUTED_VALUE"""),"REA-P8007")</f>
        <v>REA-P8007</v>
      </c>
    </row>
    <row r="1453" spans="1:5" x14ac:dyDescent="0.2">
      <c r="A1453" s="22">
        <f ca="1">IFERROR(__xludf.DUMMYFUNCTION("""COMPUTED_VALUE"""),45187)</f>
        <v>45187</v>
      </c>
      <c r="B1453" s="23" t="str">
        <f ca="1">IFERROR(__xludf.DUMMYFUNCTION("""COMPUTED_VALUE"""),"ZESTAW NATRYSKOWY PODTYNKOWY LUNGO BLACK + BOX")</f>
        <v>ZESTAW NATRYSKOWY PODTYNKOWY LUNGO BLACK + BOX</v>
      </c>
      <c r="C1453" s="23"/>
      <c r="D1453" s="24">
        <f ca="1">IFERROR(__xludf.DUMMYFUNCTION("""COMPUTED_VALUE"""),899)</f>
        <v>899</v>
      </c>
      <c r="E1453" s="27" t="str">
        <f ca="1">IFERROR(__xludf.DUMMYFUNCTION("""COMPUTED_VALUE"""),"REA-P4100")</f>
        <v>REA-P4100</v>
      </c>
    </row>
    <row r="1454" spans="1:5" x14ac:dyDescent="0.2">
      <c r="A1454" s="22">
        <f ca="1">IFERROR(__xludf.DUMMYFUNCTION("""COMPUTED_VALUE"""),45187)</f>
        <v>45187</v>
      </c>
      <c r="B1454" s="23" t="str">
        <f ca="1">IFERROR(__xludf.DUMMYFUNCTION("""COMPUTED_VALUE"""),"ŚCIANKA PRYSZNICOWA CORTIS 120")</f>
        <v>ŚCIANKA PRYSZNICOWA CORTIS 120</v>
      </c>
      <c r="C1454" s="23"/>
      <c r="D1454" s="24">
        <f ca="1">IFERROR(__xludf.DUMMYFUNCTION("""COMPUTED_VALUE"""),1099)</f>
        <v>1099</v>
      </c>
      <c r="E1454" s="27" t="str">
        <f ca="1">IFERROR(__xludf.DUMMYFUNCTION("""COMPUTED_VALUE"""),"REA-K7211")</f>
        <v>REA-K7211</v>
      </c>
    </row>
    <row r="1455" spans="1:5" x14ac:dyDescent="0.2">
      <c r="A1455" s="22">
        <f ca="1">IFERROR(__xludf.DUMMYFUNCTION("""COMPUTED_VALUE"""),45187)</f>
        <v>45187</v>
      </c>
      <c r="B1455" s="23" t="str">
        <f ca="1">IFERROR(__xludf.DUMMYFUNCTION("""COMPUTED_VALUE"""),"ŚCIANKA PRYSZNICOWA CORTIS 100")</f>
        <v>ŚCIANKA PRYSZNICOWA CORTIS 100</v>
      </c>
      <c r="C1455" s="23"/>
      <c r="D1455" s="24">
        <f ca="1">IFERROR(__xludf.DUMMYFUNCTION("""COMPUTED_VALUE"""),1029)</f>
        <v>1029</v>
      </c>
      <c r="E1455" s="27" t="str">
        <f ca="1">IFERROR(__xludf.DUMMYFUNCTION("""COMPUTED_VALUE"""),"REA-K7210")</f>
        <v>REA-K7210</v>
      </c>
    </row>
    <row r="1456" spans="1:5" x14ac:dyDescent="0.2">
      <c r="A1456" s="22">
        <f ca="1">IFERROR(__xludf.DUMMYFUNCTION("""COMPUTED_VALUE"""),45187)</f>
        <v>45187</v>
      </c>
      <c r="B1456" s="23" t="str">
        <f ca="1">IFERROR(__xludf.DUMMYFUNCTION("""COMPUTED_VALUE"""),"ŚCIANKA PRYSZNICOWA 100 BLER-1")</f>
        <v>ŚCIANKA PRYSZNICOWA 100 BLER-1</v>
      </c>
      <c r="C1456" s="23"/>
      <c r="D1456" s="24">
        <f ca="1">IFERROR(__xludf.DUMMYFUNCTION("""COMPUTED_VALUE"""),899)</f>
        <v>899</v>
      </c>
      <c r="E1456" s="27" t="str">
        <f ca="1">IFERROR(__xludf.DUMMYFUNCTION("""COMPUTED_VALUE"""),"REA-K7955")</f>
        <v>REA-K7955</v>
      </c>
    </row>
    <row r="1457" spans="1:5" x14ac:dyDescent="0.2">
      <c r="A1457" s="22">
        <f ca="1">IFERROR(__xludf.DUMMYFUNCTION("""COMPUTED_VALUE"""),45187)</f>
        <v>45187</v>
      </c>
      <c r="B1457" s="23" t="str">
        <f ca="1">IFERROR(__xludf.DUMMYFUNCTION("""COMPUTED_VALUE"""),"DRZWI PRYSZNICOWE RAPID FOLD 90")</f>
        <v>DRZWI PRYSZNICOWE RAPID FOLD 90</v>
      </c>
      <c r="C1457" s="23"/>
      <c r="D1457" s="24">
        <f ca="1">IFERROR(__xludf.DUMMYFUNCTION("""COMPUTED_VALUE"""),899)</f>
        <v>899</v>
      </c>
      <c r="E1457" s="27" t="str">
        <f ca="1">IFERROR(__xludf.DUMMYFUNCTION("""COMPUTED_VALUE"""),"REA-K6419")</f>
        <v>REA-K6419</v>
      </c>
    </row>
    <row r="1458" spans="1:5" x14ac:dyDescent="0.2">
      <c r="A1458" s="22">
        <f ca="1">IFERROR(__xludf.DUMMYFUNCTION("""COMPUTED_VALUE"""),45187)</f>
        <v>45187</v>
      </c>
      <c r="B1458" s="23" t="str">
        <f ca="1">IFERROR(__xludf.DUMMYFUNCTION("""COMPUTED_VALUE"""),"DRZWI PRYSZNICOWE RAPID SLIDE GOLD 100")</f>
        <v>DRZWI PRYSZNICOWE RAPID SLIDE GOLD 100</v>
      </c>
      <c r="C1458" s="23"/>
      <c r="D1458" s="24">
        <f ca="1">IFERROR(__xludf.DUMMYFUNCTION("""COMPUTED_VALUE"""),899)</f>
        <v>899</v>
      </c>
      <c r="E1458" s="27" t="str">
        <f ca="1">IFERROR(__xludf.DUMMYFUNCTION("""COMPUTED_VALUE"""),"REA-K5611")</f>
        <v>REA-K5611</v>
      </c>
    </row>
    <row r="1459" spans="1:5" x14ac:dyDescent="0.2">
      <c r="A1459" s="22">
        <f ca="1">IFERROR(__xludf.DUMMYFUNCTION("""COMPUTED_VALUE"""),45187)</f>
        <v>45187</v>
      </c>
      <c r="B1459" s="23" t="str">
        <f ca="1">IFERROR(__xludf.DUMMYFUNCTION("""COMPUTED_VALUE"""),"KABINA DIAMOND GOLD 80x80")</f>
        <v>KABINA DIAMOND GOLD 80x80</v>
      </c>
      <c r="C1459" s="23"/>
      <c r="D1459" s="24">
        <f ca="1">IFERROR(__xludf.DUMMYFUNCTION("""COMPUTED_VALUE"""),1799)</f>
        <v>1799</v>
      </c>
      <c r="E1459" s="27" t="str">
        <f ca="1">IFERROR(__xludf.DUMMYFUNCTION("""COMPUTED_VALUE"""),"REA-K6615")</f>
        <v>REA-K6615</v>
      </c>
    </row>
    <row r="1460" spans="1:5" x14ac:dyDescent="0.2">
      <c r="A1460" s="22">
        <f ca="1">IFERROR(__xludf.DUMMYFUNCTION("""COMPUTED_VALUE"""),45187)</f>
        <v>45187</v>
      </c>
      <c r="B1460" s="23" t="str">
        <f ca="1">IFERROR(__xludf.DUMMYFUNCTION("""COMPUTED_VALUE"""),"WIESZAK NA RĘCZNIK/PÓŁKA EVO GOLD BRUSH")</f>
        <v>WIESZAK NA RĘCZNIK/PÓŁKA EVO GOLD BRUSH</v>
      </c>
      <c r="C1460" s="23"/>
      <c r="D1460" s="24">
        <f ca="1">IFERROR(__xludf.DUMMYFUNCTION("""COMPUTED_VALUE"""),490)</f>
        <v>490</v>
      </c>
      <c r="E1460" s="27" t="str">
        <f ca="1">IFERROR(__xludf.DUMMYFUNCTION("""COMPUTED_VALUE"""),"REA-46000")</f>
        <v>REA-46000</v>
      </c>
    </row>
    <row r="1461" spans="1:5" x14ac:dyDescent="0.2">
      <c r="A1461" s="22">
        <f ca="1">IFERROR(__xludf.DUMMYFUNCTION("""COMPUTED_VALUE"""),45187)</f>
        <v>45187</v>
      </c>
      <c r="B1461" s="23" t="str">
        <f ca="1">IFERROR(__xludf.DUMMYFUNCTION("""COMPUTED_VALUE"""),"ŚCIANKA RAPID GOLD 80")</f>
        <v>ŚCIANKA RAPID GOLD 80</v>
      </c>
      <c r="C1461" s="23"/>
      <c r="D1461" s="24">
        <f ca="1">IFERROR(__xludf.DUMMYFUNCTION("""COMPUTED_VALUE"""),650)</f>
        <v>650</v>
      </c>
      <c r="E1461" s="27" t="str">
        <f ca="1">IFERROR(__xludf.DUMMYFUNCTION("""COMPUTED_VALUE"""),"REA-K5621")</f>
        <v>REA-K5621</v>
      </c>
    </row>
    <row r="1462" spans="1:5" x14ac:dyDescent="0.2">
      <c r="A1462" s="22">
        <f ca="1">IFERROR(__xludf.DUMMYFUNCTION("""COMPUTED_VALUE"""),45187)</f>
        <v>45187</v>
      </c>
      <c r="B1462" s="23" t="str">
        <f ca="1">IFERROR(__xludf.DUMMYFUNCTION("""COMPUTED_VALUE"""),"ŚCIANKA RAPID GOLD 100")</f>
        <v>ŚCIANKA RAPID GOLD 100</v>
      </c>
      <c r="C1462" s="23"/>
      <c r="D1462" s="24">
        <f ca="1">IFERROR(__xludf.DUMMYFUNCTION("""COMPUTED_VALUE"""),750)</f>
        <v>750</v>
      </c>
      <c r="E1462" s="27" t="str">
        <f ca="1">IFERROR(__xludf.DUMMYFUNCTION("""COMPUTED_VALUE"""),"REA-K5625")</f>
        <v>REA-K5625</v>
      </c>
    </row>
    <row r="1463" spans="1:5" x14ac:dyDescent="0.2">
      <c r="A1463" s="22">
        <f ca="1">IFERROR(__xludf.DUMMYFUNCTION("""COMPUTED_VALUE"""),45187)</f>
        <v>45187</v>
      </c>
      <c r="B1463" s="23" t="str">
        <f ca="1">IFERROR(__xludf.DUMMYFUNCTION("""COMPUTED_VALUE"""),"ŚCIANKA RAPID GOLD 90")</f>
        <v>ŚCIANKA RAPID GOLD 90</v>
      </c>
      <c r="C1463" s="23"/>
      <c r="D1463" s="24">
        <f ca="1">IFERROR(__xludf.DUMMYFUNCTION("""COMPUTED_VALUE"""),700)</f>
        <v>700</v>
      </c>
      <c r="E1463" s="27" t="str">
        <f ca="1">IFERROR(__xludf.DUMMYFUNCTION("""COMPUTED_VALUE"""),"REA-K5624")</f>
        <v>REA-K5624</v>
      </c>
    </row>
    <row r="1464" spans="1:5" x14ac:dyDescent="0.2">
      <c r="A1464" s="22">
        <f ca="1">IFERROR(__xludf.DUMMYFUNCTION("""COMPUTED_VALUE"""),45187)</f>
        <v>45187</v>
      </c>
      <c r="B1464" s="23" t="str">
        <f ca="1">IFERROR(__xludf.DUMMYFUNCTION("""COMPUTED_VALUE"""),"KABINA SOLAR BLACK 80X100")</f>
        <v>KABINA SOLAR BLACK 80X100</v>
      </c>
      <c r="C1464" s="23"/>
      <c r="D1464" s="24">
        <f ca="1">IFERROR(__xludf.DUMMYFUNCTION("""COMPUTED_VALUE"""),1189)</f>
        <v>1189</v>
      </c>
      <c r="E1464" s="27" t="str">
        <f ca="1">IFERROR(__xludf.DUMMYFUNCTION("""COMPUTED_VALUE"""),"REA-K6310")</f>
        <v>REA-K6310</v>
      </c>
    </row>
    <row r="1465" spans="1:5" x14ac:dyDescent="0.2">
      <c r="A1465" s="22">
        <f ca="1">IFERROR(__xludf.DUMMYFUNCTION("""COMPUTED_VALUE"""),45187)</f>
        <v>45187</v>
      </c>
      <c r="B1465" s="23" t="str">
        <f ca="1">IFERROR(__xludf.DUMMYFUNCTION("""COMPUTED_VALUE"""),"ŚCIANKA PRYSZNICOWA HUGO BLACK 90")</f>
        <v>ŚCIANKA PRYSZNICOWA HUGO BLACK 90</v>
      </c>
      <c r="C1465" s="23"/>
      <c r="D1465" s="24">
        <f ca="1">IFERROR(__xludf.DUMMYFUNCTION("""COMPUTED_VALUE"""),550)</f>
        <v>550</v>
      </c>
      <c r="E1465" s="27" t="str">
        <f ca="1">IFERROR(__xludf.DUMMYFUNCTION("""COMPUTED_VALUE"""),"REA-K6611")</f>
        <v>REA-K6611</v>
      </c>
    </row>
    <row r="1466" spans="1:5" x14ac:dyDescent="0.2">
      <c r="A1466" s="22">
        <f ca="1">IFERROR(__xludf.DUMMYFUNCTION("""COMPUTED_VALUE"""),45187)</f>
        <v>45187</v>
      </c>
      <c r="B1466" s="23" t="str">
        <f ca="1">IFERROR(__xludf.DUMMYFUNCTION("""COMPUTED_VALUE"""),"KABINA DIAMOND GOLD 100x100")</f>
        <v>KABINA DIAMOND GOLD 100x100</v>
      </c>
      <c r="C1466" s="23"/>
      <c r="D1466" s="24">
        <f ca="1">IFERROR(__xludf.DUMMYFUNCTION("""COMPUTED_VALUE"""),1990)</f>
        <v>1990</v>
      </c>
      <c r="E1466" s="27" t="str">
        <f ca="1">IFERROR(__xludf.DUMMYFUNCTION("""COMPUTED_VALUE"""),"REA-K6616")</f>
        <v>REA-K6616</v>
      </c>
    </row>
    <row r="1467" spans="1:5" x14ac:dyDescent="0.2">
      <c r="A1467" s="22">
        <f ca="1">IFERROR(__xludf.DUMMYFUNCTION("""COMPUTED_VALUE"""),45187)</f>
        <v>45187</v>
      </c>
      <c r="B1467" s="23" t="str">
        <f ca="1">IFERROR(__xludf.DUMMYFUNCTION("""COMPUTED_VALUE"""),"ŚCIANKA DO KABINY NIXON-2  90")</f>
        <v>ŚCIANKA DO KABINY NIXON-2  90</v>
      </c>
      <c r="C1467" s="23"/>
      <c r="D1467" s="24">
        <f ca="1">IFERROR(__xludf.DUMMYFUNCTION("""COMPUTED_VALUE"""),650)</f>
        <v>650</v>
      </c>
      <c r="E1467" s="27" t="str">
        <f ca="1">IFERROR(__xludf.DUMMYFUNCTION("""COMPUTED_VALUE"""),"REA-K5011")</f>
        <v>REA-K5011</v>
      </c>
    </row>
    <row r="1468" spans="1:5" x14ac:dyDescent="0.2">
      <c r="A1468" s="22">
        <f ca="1">IFERROR(__xludf.DUMMYFUNCTION("""COMPUTED_VALUE"""),45187)</f>
        <v>45187</v>
      </c>
      <c r="B1468" s="23" t="str">
        <f ca="1">IFERROR(__xludf.DUMMYFUNCTION("""COMPUTED_VALUE"""),"ŚCIANKA DO KABINY NIXON-2  80")</f>
        <v>ŚCIANKA DO KABINY NIXON-2  80</v>
      </c>
      <c r="C1468" s="23"/>
      <c r="D1468" s="24">
        <f ca="1">IFERROR(__xludf.DUMMYFUNCTION("""COMPUTED_VALUE"""),580)</f>
        <v>580</v>
      </c>
      <c r="E1468" s="27" t="str">
        <f ca="1">IFERROR(__xludf.DUMMYFUNCTION("""COMPUTED_VALUE"""),"REA-K5010")</f>
        <v>REA-K5010</v>
      </c>
    </row>
    <row r="1469" spans="1:5" x14ac:dyDescent="0.2">
      <c r="A1469" s="22">
        <f ca="1">IFERROR(__xludf.DUMMYFUNCTION("""COMPUTED_VALUE"""),45187)</f>
        <v>45187</v>
      </c>
      <c r="B1469" s="23" t="str">
        <f ca="1">IFERROR(__xludf.DUMMYFUNCTION("""COMPUTED_VALUE"""),"MODUŁ KABINY FOLD N2 80")</f>
        <v>MODUŁ KABINY FOLD N2 80</v>
      </c>
      <c r="C1469" s="23"/>
      <c r="D1469" s="24">
        <f ca="1">IFERROR(__xludf.DUMMYFUNCTION("""COMPUTED_VALUE"""),790)</f>
        <v>790</v>
      </c>
      <c r="E1469" s="27" t="str">
        <f ca="1">IFERROR(__xludf.DUMMYFUNCTION("""COMPUTED_VALUE"""),"REA-K7443")</f>
        <v>REA-K7443</v>
      </c>
    </row>
    <row r="1470" spans="1:5" x14ac:dyDescent="0.2">
      <c r="A1470" s="22">
        <f ca="1">IFERROR(__xludf.DUMMYFUNCTION("""COMPUTED_VALUE"""),45187)</f>
        <v>45187</v>
      </c>
      <c r="B1470" s="23" t="str">
        <f ca="1">IFERROR(__xludf.DUMMYFUNCTION("""COMPUTED_VALUE"""),"KABINA FOLD N2 90*90 TRANSP")</f>
        <v>KABINA FOLD N2 90*90 TRANSP</v>
      </c>
      <c r="C1470" s="23"/>
      <c r="D1470" s="24">
        <f ca="1">IFERROR(__xludf.DUMMYFUNCTION("""COMPUTED_VALUE"""),1599)</f>
        <v>1599</v>
      </c>
      <c r="E1470" s="27" t="str">
        <f ca="1">IFERROR(__xludf.DUMMYFUNCTION("""COMPUTED_VALUE"""),"REA-K9991")</f>
        <v>REA-K9991</v>
      </c>
    </row>
    <row r="1471" spans="1:5" x14ac:dyDescent="0.2">
      <c r="A1471" s="22">
        <f ca="1">IFERROR(__xludf.DUMMYFUNCTION("""COMPUTED_VALUE"""),45187)</f>
        <v>45187</v>
      </c>
      <c r="B1471" s="23" t="str">
        <f ca="1">IFERROR(__xludf.DUMMYFUNCTION("""COMPUTED_VALUE"""),"DRZWI PRYSZNICOWE ALEX-805   80")</f>
        <v>DRZWI PRYSZNICOWE ALEX-805   80</v>
      </c>
      <c r="C1471" s="23"/>
      <c r="D1471" s="24">
        <f ca="1">IFERROR(__xludf.DUMMYFUNCTION("""COMPUTED_VALUE"""),839)</f>
        <v>839</v>
      </c>
      <c r="E1471" s="27" t="str">
        <f ca="1">IFERROR(__xludf.DUMMYFUNCTION("""COMPUTED_VALUE"""),"REA-K0287")</f>
        <v>REA-K0287</v>
      </c>
    </row>
    <row r="1472" spans="1:5" x14ac:dyDescent="0.2">
      <c r="A1472" s="22">
        <f ca="1">IFERROR(__xludf.DUMMYFUNCTION("""COMPUTED_VALUE"""),45181)</f>
        <v>45181</v>
      </c>
      <c r="B1472" s="23" t="str">
        <f ca="1">IFERROR(__xludf.DUMMYFUNCTION("""COMPUTED_VALUE"""),"ODPŁYW NEO ULTRA SLIM PRO SZCZOTKOWANY 700")</f>
        <v>ODPŁYW NEO ULTRA SLIM PRO SZCZOTKOWANY 700</v>
      </c>
      <c r="C1472" s="23"/>
      <c r="D1472" s="24">
        <f ca="1">IFERROR(__xludf.DUMMYFUNCTION("""COMPUTED_VALUE"""),169)</f>
        <v>169</v>
      </c>
      <c r="E1472" s="27" t="str">
        <f ca="1">IFERROR(__xludf.DUMMYFUNCTION("""COMPUTED_VALUE"""),"REA-G9801")</f>
        <v>REA-G9801</v>
      </c>
    </row>
    <row r="1473" spans="1:5" x14ac:dyDescent="0.2">
      <c r="A1473" s="22">
        <f ca="1">IFERROR(__xludf.DUMMYFUNCTION("""COMPUTED_VALUE"""),45181)</f>
        <v>45181</v>
      </c>
      <c r="B1473" s="23" t="str">
        <f ca="1">IFERROR(__xludf.DUMMYFUNCTION("""COMPUTED_VALUE"""),"ODPŁYW NEO ULTRA SLIM PRO SZCZOTKOWANY 800")</f>
        <v>ODPŁYW NEO ULTRA SLIM PRO SZCZOTKOWANY 800</v>
      </c>
      <c r="C1473" s="23"/>
      <c r="D1473" s="24">
        <f ca="1">IFERROR(__xludf.DUMMYFUNCTION("""COMPUTED_VALUE"""),179)</f>
        <v>179</v>
      </c>
      <c r="E1473" s="27" t="str">
        <f ca="1">IFERROR(__xludf.DUMMYFUNCTION("""COMPUTED_VALUE"""),"REA-G9802")</f>
        <v>REA-G9802</v>
      </c>
    </row>
    <row r="1474" spans="1:5" x14ac:dyDescent="0.2">
      <c r="A1474" s="22">
        <f ca="1">IFERROR(__xludf.DUMMYFUNCTION("""COMPUTED_VALUE"""),45181)</f>
        <v>45181</v>
      </c>
      <c r="B1474" s="23" t="str">
        <f ca="1">IFERROR(__xludf.DUMMYFUNCTION("""COMPUTED_VALUE"""),"ODPŁYW NEO ULTRA SLIM PRO SZCZOTKOWANY 600")</f>
        <v>ODPŁYW NEO ULTRA SLIM PRO SZCZOTKOWANY 600</v>
      </c>
      <c r="C1474" s="23"/>
      <c r="D1474" s="24">
        <f ca="1">IFERROR(__xludf.DUMMYFUNCTION("""COMPUTED_VALUE"""),159)</f>
        <v>159</v>
      </c>
      <c r="E1474" s="27" t="str">
        <f ca="1">IFERROR(__xludf.DUMMYFUNCTION("""COMPUTED_VALUE"""),"REA-G9800")</f>
        <v>REA-G9800</v>
      </c>
    </row>
    <row r="1475" spans="1:5" x14ac:dyDescent="0.2">
      <c r="A1475" s="22">
        <f ca="1">IFERROR(__xludf.DUMMYFUNCTION("""COMPUTED_VALUE"""),45181)</f>
        <v>45181</v>
      </c>
      <c r="B1475" s="23" t="str">
        <f ca="1">IFERROR(__xludf.DUMMYFUNCTION("""COMPUTED_VALUE"""),"ODPŁYW NEO ULTRA SLIM PRO ZŁOTY SZCZOTKOWANY 700")</f>
        <v>ODPŁYW NEO ULTRA SLIM PRO ZŁOTY SZCZOTKOWANY 700</v>
      </c>
      <c r="C1475" s="23"/>
      <c r="D1475" s="24">
        <f ca="1">IFERROR(__xludf.DUMMYFUNCTION("""COMPUTED_VALUE"""),199)</f>
        <v>199</v>
      </c>
      <c r="E1475" s="27" t="str">
        <f ca="1">IFERROR(__xludf.DUMMYFUNCTION("""COMPUTED_VALUE"""),"REA-G9804")</f>
        <v>REA-G9804</v>
      </c>
    </row>
    <row r="1476" spans="1:5" x14ac:dyDescent="0.2">
      <c r="A1476" s="22">
        <f ca="1">IFERROR(__xludf.DUMMYFUNCTION("""COMPUTED_VALUE"""),45181)</f>
        <v>45181</v>
      </c>
      <c r="B1476" s="23" t="str">
        <f ca="1">IFERROR(__xludf.DUMMYFUNCTION("""COMPUTED_VALUE"""),"ODPŁYW NEO ULTRA SLIM PRO ZŁOTY SZCZOTKOWANY 800")</f>
        <v>ODPŁYW NEO ULTRA SLIM PRO ZŁOTY SZCZOTKOWANY 800</v>
      </c>
      <c r="C1476" s="23"/>
      <c r="D1476" s="24">
        <f ca="1">IFERROR(__xludf.DUMMYFUNCTION("""COMPUTED_VALUE"""),379)</f>
        <v>379</v>
      </c>
      <c r="E1476" s="27" t="str">
        <f ca="1">IFERROR(__xludf.DUMMYFUNCTION("""COMPUTED_VALUE"""),"REA-G9805")</f>
        <v>REA-G9805</v>
      </c>
    </row>
    <row r="1477" spans="1:5" x14ac:dyDescent="0.2">
      <c r="A1477" s="22">
        <f ca="1">IFERROR(__xludf.DUMMYFUNCTION("""COMPUTED_VALUE"""),45181)</f>
        <v>45181</v>
      </c>
      <c r="B1477" s="23" t="str">
        <f ca="1">IFERROR(__xludf.DUMMYFUNCTION("""COMPUTED_VALUE"""),"ODPŁYW NEO ULTRA SLIM PRO ZŁOTY SZCZOTKOWANY 600")</f>
        <v>ODPŁYW NEO ULTRA SLIM PRO ZŁOTY SZCZOTKOWANY 600</v>
      </c>
      <c r="C1477" s="23"/>
      <c r="D1477" s="24">
        <f ca="1">IFERROR(__xludf.DUMMYFUNCTION("""COMPUTED_VALUE"""),189)</f>
        <v>189</v>
      </c>
      <c r="E1477" s="27" t="str">
        <f ca="1">IFERROR(__xludf.DUMMYFUNCTION("""COMPUTED_VALUE"""),"REA-G9803")</f>
        <v>REA-G9803</v>
      </c>
    </row>
    <row r="1478" spans="1:5" x14ac:dyDescent="0.2">
      <c r="A1478" s="22">
        <f ca="1">IFERROR(__xludf.DUMMYFUNCTION("""COMPUTED_VALUE"""),45181)</f>
        <v>45181</v>
      </c>
      <c r="B1478" s="23" t="str">
        <f ca="1">IFERROR(__xludf.DUMMYFUNCTION("""COMPUTED_VALUE"""),"UMYWALKA AKOYA PEARL - NABLATOWA")</f>
        <v>UMYWALKA AKOYA PEARL - NABLATOWA</v>
      </c>
      <c r="C1478" s="23"/>
      <c r="D1478" s="24">
        <f ca="1">IFERROR(__xludf.DUMMYFUNCTION("""COMPUTED_VALUE"""),499)</f>
        <v>499</v>
      </c>
      <c r="E1478" s="25" t="str">
        <f ca="1">IFERROR(__xludf.DUMMYFUNCTION("""COMPUTED_VALUE"""),"REA-U3309")</f>
        <v>REA-U3309</v>
      </c>
    </row>
    <row r="1479" spans="1:5" x14ac:dyDescent="0.2">
      <c r="A1479" s="22">
        <f ca="1">IFERROR(__xludf.DUMMYFUNCTION("""COMPUTED_VALUE"""),45181)</f>
        <v>45181</v>
      </c>
      <c r="B1479" s="23" t="str">
        <f ca="1">IFERROR(__xludf.DUMMYFUNCTION("""COMPUTED_VALUE"""),"UMYWALKA FLORISA BLACK MATT - NABLATOWA")</f>
        <v>UMYWALKA FLORISA BLACK MATT - NABLATOWA</v>
      </c>
      <c r="C1479" s="23"/>
      <c r="D1479" s="24">
        <f ca="1">IFERROR(__xludf.DUMMYFUNCTION("""COMPUTED_VALUE"""),459)</f>
        <v>459</v>
      </c>
      <c r="E1479" s="25" t="str">
        <f ca="1">IFERROR(__xludf.DUMMYFUNCTION("""COMPUTED_VALUE"""),"REA-U3307")</f>
        <v>REA-U3307</v>
      </c>
    </row>
    <row r="1480" spans="1:5" x14ac:dyDescent="0.2">
      <c r="A1480" s="22">
        <f ca="1">IFERROR(__xludf.DUMMYFUNCTION("""COMPUTED_VALUE"""),45181)</f>
        <v>45181</v>
      </c>
      <c r="B1480" s="23" t="str">
        <f ca="1">IFERROR(__xludf.DUMMYFUNCTION("""COMPUTED_VALUE"""),"UMYWALKA FLORISA - NABLATOWA")</f>
        <v>UMYWALKA FLORISA - NABLATOWA</v>
      </c>
      <c r="C1480" s="23"/>
      <c r="D1480" s="24">
        <f ca="1">IFERROR(__xludf.DUMMYFUNCTION("""COMPUTED_VALUE"""),459)</f>
        <v>459</v>
      </c>
      <c r="E1480" s="25" t="str">
        <f ca="1">IFERROR(__xludf.DUMMYFUNCTION("""COMPUTED_VALUE"""),"REA-U3308")</f>
        <v>REA-U3308</v>
      </c>
    </row>
    <row r="1481" spans="1:5" x14ac:dyDescent="0.2">
      <c r="A1481" s="22">
        <f ca="1">IFERROR(__xludf.DUMMYFUNCTION("""COMPUTED_VALUE"""),45181)</f>
        <v>45181</v>
      </c>
      <c r="B1481" s="23" t="str">
        <f ca="1">IFERROR(__xludf.DUMMYFUNCTION("""COMPUTED_VALUE"""),"UMYWALKA LUNA BLACK/GOLD - NABLATOWA")</f>
        <v>UMYWALKA LUNA BLACK/GOLD - NABLATOWA</v>
      </c>
      <c r="C1481" s="23"/>
      <c r="D1481" s="24">
        <f ca="1">IFERROR(__xludf.DUMMYFUNCTION("""COMPUTED_VALUE"""),429)</f>
        <v>429</v>
      </c>
      <c r="E1481" s="25" t="str">
        <f ca="1">IFERROR(__xludf.DUMMYFUNCTION("""COMPUTED_VALUE"""),"REA-U3306")</f>
        <v>REA-U3306</v>
      </c>
    </row>
    <row r="1482" spans="1:5" x14ac:dyDescent="0.2">
      <c r="A1482" s="22">
        <f ca="1">IFERROR(__xludf.DUMMYFUNCTION("""COMPUTED_VALUE"""),45181)</f>
        <v>45181</v>
      </c>
      <c r="B1482" s="23" t="str">
        <f ca="1">IFERROR(__xludf.DUMMYFUNCTION("""COMPUTED_VALUE"""),"UMYWALKA WILMA RUSTIC - NABLATOWA")</f>
        <v>UMYWALKA WILMA RUSTIC - NABLATOWA</v>
      </c>
      <c r="C1482" s="23"/>
      <c r="D1482" s="24">
        <f ca="1">IFERROR(__xludf.DUMMYFUNCTION("""COMPUTED_VALUE"""),439)</f>
        <v>439</v>
      </c>
      <c r="E1482" s="25" t="str">
        <f ca="1">IFERROR(__xludf.DUMMYFUNCTION("""COMPUTED_VALUE"""),"REA-U3305")</f>
        <v>REA-U3305</v>
      </c>
    </row>
    <row r="1483" spans="1:5" x14ac:dyDescent="0.2">
      <c r="A1483" s="22">
        <f ca="1">IFERROR(__xludf.DUMMYFUNCTION("""COMPUTED_VALUE"""),45181)</f>
        <v>45181</v>
      </c>
      <c r="B1483" s="23" t="str">
        <f ca="1">IFERROR(__xludf.DUMMYFUNCTION("""COMPUTED_VALUE"""),"UMYWALKA SAMI SILVER BRUSH/WHITE - NABLATOWA")</f>
        <v>UMYWALKA SAMI SILVER BRUSH/WHITE - NABLATOWA</v>
      </c>
      <c r="C1483" s="23"/>
      <c r="D1483" s="24">
        <f ca="1">IFERROR(__xludf.DUMMYFUNCTION("""COMPUTED_VALUE"""),399)</f>
        <v>399</v>
      </c>
      <c r="E1483" s="25" t="str">
        <f ca="1">IFERROR(__xludf.DUMMYFUNCTION("""COMPUTED_VALUE"""),"REA-U3304")</f>
        <v>REA-U3304</v>
      </c>
    </row>
    <row r="1484" spans="1:5" x14ac:dyDescent="0.2">
      <c r="A1484" s="22">
        <f ca="1">IFERROR(__xludf.DUMMYFUNCTION("""COMPUTED_VALUE"""),45181)</f>
        <v>45181</v>
      </c>
      <c r="B1484" s="23" t="str">
        <f ca="1">IFERROR(__xludf.DUMMYFUNCTION("""COMPUTED_VALUE"""),"UMYWALKA SAMI GOLD ROSE BRUSH/WHITE - NABLATOWA")</f>
        <v>UMYWALKA SAMI GOLD ROSE BRUSH/WHITE - NABLATOWA</v>
      </c>
      <c r="C1484" s="23"/>
      <c r="D1484" s="24">
        <f ca="1">IFERROR(__xludf.DUMMYFUNCTION("""COMPUTED_VALUE"""),399)</f>
        <v>399</v>
      </c>
      <c r="E1484" s="25" t="str">
        <f ca="1">IFERROR(__xludf.DUMMYFUNCTION("""COMPUTED_VALUE"""),"REA-U3303")</f>
        <v>REA-U3303</v>
      </c>
    </row>
    <row r="1485" spans="1:5" x14ac:dyDescent="0.2">
      <c r="A1485" s="22">
        <f ca="1">IFERROR(__xludf.DUMMYFUNCTION("""COMPUTED_VALUE"""),45181)</f>
        <v>45181</v>
      </c>
      <c r="B1485" s="23" t="str">
        <f ca="1">IFERROR(__xludf.DUMMYFUNCTION("""COMPUTED_VALUE"""),"UMYWALKA SAMI WHITE BRUSH GOLD")</f>
        <v>UMYWALKA SAMI WHITE BRUSH GOLD</v>
      </c>
      <c r="C1485" s="23"/>
      <c r="D1485" s="24">
        <f ca="1">IFERROR(__xludf.DUMMYFUNCTION("""COMPUTED_VALUE"""),419)</f>
        <v>419</v>
      </c>
      <c r="E1485" s="25" t="str">
        <f ca="1">IFERROR(__xludf.DUMMYFUNCTION("""COMPUTED_VALUE"""),"REA-U6630")</f>
        <v>REA-U6630</v>
      </c>
    </row>
    <row r="1486" spans="1:5" x14ac:dyDescent="0.2">
      <c r="A1486" s="22">
        <f ca="1">IFERROR(__xludf.DUMMYFUNCTION("""COMPUTED_VALUE"""),45181)</f>
        <v>45181</v>
      </c>
      <c r="B1486" s="23" t="str">
        <f ca="1">IFERROR(__xludf.DUMMYFUNCTION("""COMPUTED_VALUE"""),"UMYWALKA MALENA - NABLATOWA")</f>
        <v>UMYWALKA MALENA - NABLATOWA</v>
      </c>
      <c r="C1486" s="23"/>
      <c r="D1486" s="24">
        <f ca="1">IFERROR(__xludf.DUMMYFUNCTION("""COMPUTED_VALUE"""),439)</f>
        <v>439</v>
      </c>
      <c r="E1486" s="25" t="str">
        <f ca="1">IFERROR(__xludf.DUMMYFUNCTION("""COMPUTED_VALUE"""),"REA-U3302")</f>
        <v>REA-U3302</v>
      </c>
    </row>
    <row r="1487" spans="1:5" x14ac:dyDescent="0.2">
      <c r="A1487" s="22">
        <f ca="1">IFERROR(__xludf.DUMMYFUNCTION("""COMPUTED_VALUE"""),45181)</f>
        <v>45181</v>
      </c>
      <c r="B1487" s="23" t="str">
        <f ca="1">IFERROR(__xludf.DUMMYFUNCTION("""COMPUTED_VALUE"""),"UMYWALKA FIBO BLACK MATT - NABLATOWA")</f>
        <v>UMYWALKA FIBO BLACK MATT - NABLATOWA</v>
      </c>
      <c r="C1487" s="23"/>
      <c r="D1487" s="24">
        <f ca="1">IFERROR(__xludf.DUMMYFUNCTION("""COMPUTED_VALUE"""),299)</f>
        <v>299</v>
      </c>
      <c r="E1487" s="25" t="str">
        <f ca="1">IFERROR(__xludf.DUMMYFUNCTION("""COMPUTED_VALUE"""),"REA-U3301")</f>
        <v>REA-U3301</v>
      </c>
    </row>
    <row r="1488" spans="1:5" x14ac:dyDescent="0.2">
      <c r="A1488" s="22">
        <f ca="1">IFERROR(__xludf.DUMMYFUNCTION("""COMPUTED_VALUE"""),45181)</f>
        <v>45181</v>
      </c>
      <c r="B1488" s="23" t="str">
        <f ca="1">IFERROR(__xludf.DUMMYFUNCTION("""COMPUTED_VALUE"""),"UMYWALKA MARINA BLUE - NABLATOWA")</f>
        <v>UMYWALKA MARINA BLUE - NABLATOWA</v>
      </c>
      <c r="C1488" s="23"/>
      <c r="D1488" s="24">
        <f ca="1">IFERROR(__xludf.DUMMYFUNCTION("""COMPUTED_VALUE"""),579)</f>
        <v>579</v>
      </c>
      <c r="E1488" s="25" t="str">
        <f ca="1">IFERROR(__xludf.DUMMYFUNCTION("""COMPUTED_VALUE"""),"REA-U3300")</f>
        <v>REA-U3300</v>
      </c>
    </row>
    <row r="1489" spans="1:5" x14ac:dyDescent="0.2">
      <c r="A1489" s="22">
        <f ca="1">IFERROR(__xludf.DUMMYFUNCTION("""COMPUTED_VALUE"""),45176)</f>
        <v>45176</v>
      </c>
      <c r="B1489" s="23" t="str">
        <f ca="1">IFERROR(__xludf.DUMMYFUNCTION("""COMPUTED_VALUE"""),"WC - CARLO MINI RIML DUR/FLAT/ZM GOLD BRUSH/BLACK")</f>
        <v>WC - CARLO MINI RIML DUR/FLAT/ZM GOLD BRUSH/BLACK</v>
      </c>
      <c r="C1489" s="23"/>
      <c r="D1489" s="24">
        <f ca="1">IFERROR(__xludf.DUMMYFUNCTION("""COMPUTED_VALUE"""),1449)</f>
        <v>1449</v>
      </c>
      <c r="E1489" s="25" t="str">
        <f ca="1">IFERROR(__xludf.DUMMYFUNCTION("""COMPUTED_VALUE"""),"REA-C3300")</f>
        <v>REA-C3300</v>
      </c>
    </row>
    <row r="1490" spans="1:5" x14ac:dyDescent="0.2">
      <c r="A1490" s="22">
        <f ca="1">IFERROR(__xludf.DUMMYFUNCTION("""COMPUTED_VALUE"""),45176)</f>
        <v>45176</v>
      </c>
      <c r="B1490" s="23" t="str">
        <f ca="1">IFERROR(__xludf.DUMMYFUNCTION("""COMPUTED_VALUE"""),"UMYWALKA SOFIA GOLD BRUSH/BLACK - NABLATOWA")</f>
        <v>UMYWALKA SOFIA GOLD BRUSH/BLACK - NABLATOWA</v>
      </c>
      <c r="C1490" s="23"/>
      <c r="D1490" s="24">
        <f ca="1">IFERROR(__xludf.DUMMYFUNCTION("""COMPUTED_VALUE"""),369)</f>
        <v>369</v>
      </c>
      <c r="E1490" s="25" t="str">
        <f ca="1">IFERROR(__xludf.DUMMYFUNCTION("""COMPUTED_VALUE"""),"REA-U3310")</f>
        <v>REA-U3310</v>
      </c>
    </row>
    <row r="1491" spans="1:5" x14ac:dyDescent="0.2">
      <c r="A1491" s="22">
        <f ca="1">IFERROR(__xludf.DUMMYFUNCTION("""COMPUTED_VALUE"""),45176)</f>
        <v>45176</v>
      </c>
      <c r="B1491" s="23" t="str">
        <f ca="1">IFERROR(__xludf.DUMMYFUNCTION("""COMPUTED_VALUE"""),"ODPŁYW CROSS 120x120 SZCZOTKOWANY")</f>
        <v>ODPŁYW CROSS 120x120 SZCZOTKOWANY</v>
      </c>
      <c r="C1491" s="23"/>
      <c r="D1491" s="24">
        <f ca="1">IFERROR(__xludf.DUMMYFUNCTION("""COMPUTED_VALUE"""),159)</f>
        <v>159</v>
      </c>
      <c r="E1491" s="25" t="str">
        <f ca="1">IFERROR(__xludf.DUMMYFUNCTION("""COMPUTED_VALUE"""),"REA-G6200")</f>
        <v>REA-G6200</v>
      </c>
    </row>
    <row r="1492" spans="1:5" x14ac:dyDescent="0.2">
      <c r="A1492" s="22">
        <f ca="1">IFERROR(__xludf.DUMMYFUNCTION("""COMPUTED_VALUE"""),45176)</f>
        <v>45176</v>
      </c>
      <c r="B1492" s="23" t="str">
        <f ca="1">IFERROR(__xludf.DUMMYFUNCTION("""COMPUTED_VALUE"""),"ODPŁYW DOTS 120x120 SZCZOTKOWANY")</f>
        <v>ODPŁYW DOTS 120x120 SZCZOTKOWANY</v>
      </c>
      <c r="C1492" s="23"/>
      <c r="D1492" s="24">
        <f ca="1">IFERROR(__xludf.DUMMYFUNCTION("""COMPUTED_VALUE"""),159)</f>
        <v>159</v>
      </c>
      <c r="E1492" s="25" t="str">
        <f ca="1">IFERROR(__xludf.DUMMYFUNCTION("""COMPUTED_VALUE"""),"REA-G6202")</f>
        <v>REA-G6202</v>
      </c>
    </row>
    <row r="1493" spans="1:5" x14ac:dyDescent="0.2">
      <c r="A1493" s="22">
        <f ca="1">IFERROR(__xludf.DUMMYFUNCTION("""COMPUTED_VALUE"""),45176)</f>
        <v>45176</v>
      </c>
      <c r="B1493" s="23" t="str">
        <f ca="1">IFERROR(__xludf.DUMMYFUNCTION("""COMPUTED_VALUE"""),"ODPŁYW LINE 120x120 SZCZOTKOWANY")</f>
        <v>ODPŁYW LINE 120x120 SZCZOTKOWANY</v>
      </c>
      <c r="C1493" s="23"/>
      <c r="D1493" s="24">
        <f ca="1">IFERROR(__xludf.DUMMYFUNCTION("""COMPUTED_VALUE"""),159)</f>
        <v>159</v>
      </c>
      <c r="E1493" s="25" t="str">
        <f ca="1">IFERROR(__xludf.DUMMYFUNCTION("""COMPUTED_VALUE"""),"REA-G6204")</f>
        <v>REA-G6204</v>
      </c>
    </row>
    <row r="1494" spans="1:5" x14ac:dyDescent="0.2">
      <c r="A1494" s="22">
        <f ca="1">IFERROR(__xludf.DUMMYFUNCTION("""COMPUTED_VALUE"""),45176)</f>
        <v>45176</v>
      </c>
      <c r="B1494" s="23" t="str">
        <f ca="1">IFERROR(__xludf.DUMMYFUNCTION("""COMPUTED_VALUE"""),"ODPŁYW NEO 120x120 SZCZOTKOWANY")</f>
        <v>ODPŁYW NEO 120x120 SZCZOTKOWANY</v>
      </c>
      <c r="C1494" s="23"/>
      <c r="D1494" s="24">
        <f ca="1">IFERROR(__xludf.DUMMYFUNCTION("""COMPUTED_VALUE"""),159)</f>
        <v>159</v>
      </c>
      <c r="E1494" s="25" t="str">
        <f ca="1">IFERROR(__xludf.DUMMYFUNCTION("""COMPUTED_VALUE"""),"REA-G6206")</f>
        <v>REA-G6206</v>
      </c>
    </row>
    <row r="1495" spans="1:5" x14ac:dyDescent="0.2">
      <c r="A1495" s="22">
        <f ca="1">IFERROR(__xludf.DUMMYFUNCTION("""COMPUTED_VALUE"""),45176)</f>
        <v>45176</v>
      </c>
      <c r="B1495" s="23" t="str">
        <f ca="1">IFERROR(__xludf.DUMMYFUNCTION("""COMPUTED_VALUE"""),"ODPŁYW CROSS 150x150 SZCZOTKOWANY")</f>
        <v>ODPŁYW CROSS 150x150 SZCZOTKOWANY</v>
      </c>
      <c r="C1495" s="23"/>
      <c r="D1495" s="24">
        <f ca="1">IFERROR(__xludf.DUMMYFUNCTION("""COMPUTED_VALUE"""),169)</f>
        <v>169</v>
      </c>
      <c r="E1495" s="25" t="str">
        <f ca="1">IFERROR(__xludf.DUMMYFUNCTION("""COMPUTED_VALUE"""),"REA-G6201")</f>
        <v>REA-G6201</v>
      </c>
    </row>
    <row r="1496" spans="1:5" x14ac:dyDescent="0.2">
      <c r="A1496" s="22">
        <f ca="1">IFERROR(__xludf.DUMMYFUNCTION("""COMPUTED_VALUE"""),45176)</f>
        <v>45176</v>
      </c>
      <c r="B1496" s="23" t="str">
        <f ca="1">IFERROR(__xludf.DUMMYFUNCTION("""COMPUTED_VALUE"""),"ODPŁYW DOTS 150x150 SZCZOTKOWANY")</f>
        <v>ODPŁYW DOTS 150x150 SZCZOTKOWANY</v>
      </c>
      <c r="C1496" s="23"/>
      <c r="D1496" s="24">
        <f ca="1">IFERROR(__xludf.DUMMYFUNCTION("""COMPUTED_VALUE"""),169)</f>
        <v>169</v>
      </c>
      <c r="E1496" s="25" t="str">
        <f ca="1">IFERROR(__xludf.DUMMYFUNCTION("""COMPUTED_VALUE"""),"REA-G6203")</f>
        <v>REA-G6203</v>
      </c>
    </row>
    <row r="1497" spans="1:5" x14ac:dyDescent="0.2">
      <c r="A1497" s="22">
        <f ca="1">IFERROR(__xludf.DUMMYFUNCTION("""COMPUTED_VALUE"""),45176)</f>
        <v>45176</v>
      </c>
      <c r="B1497" s="23" t="str">
        <f ca="1">IFERROR(__xludf.DUMMYFUNCTION("""COMPUTED_VALUE"""),"ODPŁYW LINE 150x150 SZCZOTKOWANY")</f>
        <v>ODPŁYW LINE 150x150 SZCZOTKOWANY</v>
      </c>
      <c r="C1497" s="23"/>
      <c r="D1497" s="24">
        <f ca="1">IFERROR(__xludf.DUMMYFUNCTION("""COMPUTED_VALUE"""),169)</f>
        <v>169</v>
      </c>
      <c r="E1497" s="25" t="str">
        <f ca="1">IFERROR(__xludf.DUMMYFUNCTION("""COMPUTED_VALUE"""),"REA-G6205")</f>
        <v>REA-G6205</v>
      </c>
    </row>
    <row r="1498" spans="1:5" x14ac:dyDescent="0.2">
      <c r="A1498" s="22">
        <f ca="1">IFERROR(__xludf.DUMMYFUNCTION("""COMPUTED_VALUE"""),45176)</f>
        <v>45176</v>
      </c>
      <c r="B1498" s="23" t="str">
        <f ca="1">IFERROR(__xludf.DUMMYFUNCTION("""COMPUTED_VALUE"""),"ODPŁYW NEO 150x150 SZCZOTKOWANY")</f>
        <v>ODPŁYW NEO 150x150 SZCZOTKOWANY</v>
      </c>
      <c r="C1498" s="23"/>
      <c r="D1498" s="24">
        <f ca="1">IFERROR(__xludf.DUMMYFUNCTION("""COMPUTED_VALUE"""),169)</f>
        <v>169</v>
      </c>
      <c r="E1498" s="25" t="str">
        <f ca="1">IFERROR(__xludf.DUMMYFUNCTION("""COMPUTED_VALUE"""),"REA-G6207")</f>
        <v>REA-G6207</v>
      </c>
    </row>
    <row r="1499" spans="1:5" x14ac:dyDescent="0.2">
      <c r="A1499" s="22">
        <f ca="1">IFERROR(__xludf.DUMMYFUNCTION("""COMPUTED_VALUE"""),45173)</f>
        <v>45173</v>
      </c>
      <c r="B1499" s="23" t="str">
        <f ca="1">IFERROR(__xludf.DUMMYFUNCTION("""COMPUTED_VALUE"""),"PRZEDŁUŻKA 50cm DO ZESTAWU CZARNY")</f>
        <v>PRZEDŁUŻKA 50cm DO ZESTAWU CZARNY</v>
      </c>
      <c r="C1499" s="23"/>
      <c r="D1499" s="24">
        <f ca="1">IFERROR(__xludf.DUMMYFUNCTION("""COMPUTED_VALUE"""),75)</f>
        <v>75</v>
      </c>
      <c r="E1499" s="25" t="str">
        <f ca="1">IFERROR(__xludf.DUMMYFUNCTION("""COMPUTED_VALUE"""),"REA-K0880")</f>
        <v>REA-K0880</v>
      </c>
    </row>
    <row r="1500" spans="1:5" x14ac:dyDescent="0.2">
      <c r="A1500" s="22">
        <f ca="1">IFERROR(__xludf.DUMMYFUNCTION("""COMPUTED_VALUE"""),45173)</f>
        <v>45173</v>
      </c>
      <c r="B1500" s="23" t="str">
        <f ca="1">IFERROR(__xludf.DUMMYFUNCTION("""COMPUTED_VALUE"""),"PRZEDŁUŻKA 50cm DO ZESTAWU ZŁOTY")</f>
        <v>PRZEDŁUŻKA 50cm DO ZESTAWU ZŁOTY</v>
      </c>
      <c r="C1500" s="23"/>
      <c r="D1500" s="24">
        <f ca="1">IFERROR(__xludf.DUMMYFUNCTION("""COMPUTED_VALUE"""),85)</f>
        <v>85</v>
      </c>
      <c r="E1500" s="25" t="str">
        <f ca="1">IFERROR(__xludf.DUMMYFUNCTION("""COMPUTED_VALUE"""),"REA-K0890")</f>
        <v>REA-K0890</v>
      </c>
    </row>
    <row r="1501" spans="1:5" x14ac:dyDescent="0.2">
      <c r="A1501" s="22">
        <f ca="1">IFERROR(__xludf.DUMMYFUNCTION("""COMPUTED_VALUE"""),45173)</f>
        <v>45173</v>
      </c>
      <c r="B1501" s="23" t="str">
        <f ca="1">IFERROR(__xludf.DUMMYFUNCTION("""COMPUTED_VALUE"""),"PRZEDŁUŻKA 50cm DO ZESTAWU ZŁOTY SZCZOTKOWANY")</f>
        <v>PRZEDŁUŻKA 50cm DO ZESTAWU ZŁOTY SZCZOTKOWANY</v>
      </c>
      <c r="C1501" s="23"/>
      <c r="D1501" s="24">
        <f ca="1">IFERROR(__xludf.DUMMYFUNCTION("""COMPUTED_VALUE"""),85)</f>
        <v>85</v>
      </c>
      <c r="E1501" s="25" t="str">
        <f ca="1">IFERROR(__xludf.DUMMYFUNCTION("""COMPUTED_VALUE"""),"REA-K0891")</f>
        <v>REA-K0891</v>
      </c>
    </row>
    <row r="1502" spans="1:5" x14ac:dyDescent="0.2">
      <c r="A1502" s="22">
        <f ca="1">IFERROR(__xludf.DUMMYFUNCTION("""COMPUTED_VALUE"""),45173)</f>
        <v>45173</v>
      </c>
      <c r="B1502" s="23" t="str">
        <f ca="1">IFERROR(__xludf.DUMMYFUNCTION("""COMPUTED_VALUE"""),"PRZEDŁUŻKA 50cm DO ZESTAWU CHROM")</f>
        <v>PRZEDŁUŻKA 50cm DO ZESTAWU CHROM</v>
      </c>
      <c r="C1502" s="23"/>
      <c r="D1502" s="24">
        <f ca="1">IFERROR(__xludf.DUMMYFUNCTION("""COMPUTED_VALUE"""),65)</f>
        <v>65</v>
      </c>
      <c r="E1502" s="25" t="str">
        <f ca="1">IFERROR(__xludf.DUMMYFUNCTION("""COMPUTED_VALUE"""),"REA-K0881")</f>
        <v>REA-K0881</v>
      </c>
    </row>
    <row r="1503" spans="1:5" x14ac:dyDescent="0.2">
      <c r="A1503" s="22">
        <f ca="1">IFERROR(__xludf.DUMMYFUNCTION("""COMPUTED_VALUE"""),45173)</f>
        <v>45173</v>
      </c>
      <c r="B1503" s="23" t="str">
        <f ca="1">IFERROR(__xludf.DUMMYFUNCTION("""COMPUTED_VALUE"""),"BATERIA REA CLEVER BLACK")</f>
        <v>BATERIA REA CLEVER BLACK</v>
      </c>
      <c r="C1503" s="23"/>
      <c r="D1503" s="24">
        <f ca="1">IFERROR(__xludf.DUMMYFUNCTION("""COMPUTED_VALUE"""),149)</f>
        <v>149</v>
      </c>
      <c r="E1503" s="25" t="str">
        <f ca="1">IFERROR(__xludf.DUMMYFUNCTION("""COMPUTED_VALUE"""),"REA-B5698")</f>
        <v>REA-B5698</v>
      </c>
    </row>
    <row r="1504" spans="1:5" x14ac:dyDescent="0.2">
      <c r="A1504" s="22">
        <f ca="1">IFERROR(__xludf.DUMMYFUNCTION("""COMPUTED_VALUE"""),45173)</f>
        <v>45173</v>
      </c>
      <c r="B1504" s="23" t="str">
        <f ca="1">IFERROR(__xludf.DUMMYFUNCTION("""COMPUTED_VALUE"""),"BATERIA KUCHENNA GASPAR BLACK GOLD")</f>
        <v>BATERIA KUCHENNA GASPAR BLACK GOLD</v>
      </c>
      <c r="C1504" s="23"/>
      <c r="D1504" s="24">
        <f ca="1">IFERROR(__xludf.DUMMYFUNCTION("""COMPUTED_VALUE"""),389)</f>
        <v>389</v>
      </c>
      <c r="E1504" s="25" t="str">
        <f ca="1">IFERROR(__xludf.DUMMYFUNCTION("""COMPUTED_VALUE"""),"REA-B1019")</f>
        <v>REA-B1019</v>
      </c>
    </row>
    <row r="1505" spans="1:5" x14ac:dyDescent="0.2">
      <c r="A1505" s="22">
        <f ca="1">IFERROR(__xludf.DUMMYFUNCTION("""COMPUTED_VALUE"""),45173)</f>
        <v>45173</v>
      </c>
      <c r="B1505" s="23" t="str">
        <f ca="1">IFERROR(__xludf.DUMMYFUNCTION("""COMPUTED_VALUE"""),"BATERIA KUCHENNA GASPAR BLACK MAT")</f>
        <v>BATERIA KUCHENNA GASPAR BLACK MAT</v>
      </c>
      <c r="C1505" s="23"/>
      <c r="D1505" s="24">
        <f ca="1">IFERROR(__xludf.DUMMYFUNCTION("""COMPUTED_VALUE"""),389)</f>
        <v>389</v>
      </c>
      <c r="E1505" s="25" t="str">
        <f ca="1">IFERROR(__xludf.DUMMYFUNCTION("""COMPUTED_VALUE"""),"REA-B0233")</f>
        <v>REA-B0233</v>
      </c>
    </row>
    <row r="1506" spans="1:5" x14ac:dyDescent="0.2">
      <c r="A1506" s="22">
        <f ca="1">IFERROR(__xludf.DUMMYFUNCTION("""COMPUTED_VALUE"""),45173)</f>
        <v>45173</v>
      </c>
      <c r="B1506" s="23" t="str">
        <f ca="1">IFERROR(__xludf.DUMMYFUNCTION("""COMPUTED_VALUE"""),"BATERIA UMYWALKOWA LUNGO ART L.GOLD NISKA")</f>
        <v>BATERIA UMYWALKOWA LUNGO ART L.GOLD NISKA</v>
      </c>
      <c r="C1506" s="23"/>
      <c r="D1506" s="24">
        <f ca="1">IFERROR(__xludf.DUMMYFUNCTION("""COMPUTED_VALUE"""),299)</f>
        <v>299</v>
      </c>
      <c r="E1506" s="25" t="str">
        <f ca="1">IFERROR(__xludf.DUMMYFUNCTION("""COMPUTED_VALUE"""),"REA-B6322")</f>
        <v>REA-B6322</v>
      </c>
    </row>
    <row r="1507" spans="1:5" x14ac:dyDescent="0.2">
      <c r="A1507" s="22">
        <f ca="1">IFERROR(__xludf.DUMMYFUNCTION("""COMPUTED_VALUE"""),45173)</f>
        <v>45173</v>
      </c>
      <c r="B1507" s="23" t="str">
        <f ca="1">IFERROR(__xludf.DUMMYFUNCTION("""COMPUTED_VALUE"""),"PRZEDŁUŻKA OBROTOWA COLT CHROM ")</f>
        <v xml:space="preserve">PRZEDŁUŻKA OBROTOWA COLT CHROM </v>
      </c>
      <c r="C1507" s="23"/>
      <c r="D1507" s="24">
        <f ca="1">IFERROR(__xludf.DUMMYFUNCTION("""COMPUTED_VALUE"""),59)</f>
        <v>59</v>
      </c>
      <c r="E1507" s="25" t="str">
        <f ca="1">IFERROR(__xludf.DUMMYFUNCTION("""COMPUTED_VALUE"""),"REA-B0660")</f>
        <v>REA-B0660</v>
      </c>
    </row>
    <row r="1508" spans="1:5" x14ac:dyDescent="0.2">
      <c r="A1508" s="22">
        <f ca="1">IFERROR(__xludf.DUMMYFUNCTION("""COMPUTED_VALUE"""),45173)</f>
        <v>45173</v>
      </c>
      <c r="B1508" s="23" t="str">
        <f ca="1">IFERROR(__xludf.DUMMYFUNCTION("""COMPUTED_VALUE"""),"SYFON NISKI DO BRODZIKA WP-02")</f>
        <v>SYFON NISKI DO BRODZIKA WP-02</v>
      </c>
      <c r="C1508" s="23"/>
      <c r="D1508" s="24">
        <f ca="1">IFERROR(__xludf.DUMMYFUNCTION("""COMPUTED_VALUE"""),49)</f>
        <v>49</v>
      </c>
      <c r="E1508" s="25" t="str">
        <f ca="1">IFERROR(__xludf.DUMMYFUNCTION("""COMPUTED_VALUE"""),"REA-A8740")</f>
        <v>REA-A8740</v>
      </c>
    </row>
    <row r="1509" spans="1:5" x14ac:dyDescent="0.2">
      <c r="A1509" s="22">
        <f ca="1">IFERROR(__xludf.DUMMYFUNCTION("""COMPUTED_VALUE"""),45173)</f>
        <v>45173</v>
      </c>
      <c r="B1509" s="23" t="str">
        <f ca="1">IFERROR(__xludf.DUMMYFUNCTION("""COMPUTED_VALUE"""),"BATERIA BIDETOWA LUNGO CZARNA METALICZNA")</f>
        <v>BATERIA BIDETOWA LUNGO CZARNA METALICZNA</v>
      </c>
      <c r="C1509" s="23"/>
      <c r="D1509" s="24">
        <f ca="1">IFERROR(__xludf.DUMMYFUNCTION("""COMPUTED_VALUE"""),269)</f>
        <v>269</v>
      </c>
      <c r="E1509" s="25" t="str">
        <f ca="1">IFERROR(__xludf.DUMMYFUNCTION("""COMPUTED_VALUE"""),"REA-B0665")</f>
        <v>REA-B0665</v>
      </c>
    </row>
    <row r="1510" spans="1:5" x14ac:dyDescent="0.2">
      <c r="A1510" s="22">
        <f ca="1">IFERROR(__xludf.DUMMYFUNCTION("""COMPUTED_VALUE"""),45173)</f>
        <v>45173</v>
      </c>
      <c r="B1510" s="23" t="str">
        <f ca="1">IFERROR(__xludf.DUMMYFUNCTION("""COMPUTED_VALUE"""),"BATERIA BIDETOWA LUNGO CHROM")</f>
        <v>BATERIA BIDETOWA LUNGO CHROM</v>
      </c>
      <c r="C1510" s="23"/>
      <c r="D1510" s="24">
        <f ca="1">IFERROR(__xludf.DUMMYFUNCTION("""COMPUTED_VALUE"""),209)</f>
        <v>209</v>
      </c>
      <c r="E1510" s="25" t="str">
        <f ca="1">IFERROR(__xludf.DUMMYFUNCTION("""COMPUTED_VALUE"""),"REA-B0666")</f>
        <v>REA-B0666</v>
      </c>
    </row>
    <row r="1511" spans="1:5" x14ac:dyDescent="0.2">
      <c r="A1511" s="22">
        <f ca="1">IFERROR(__xludf.DUMMYFUNCTION("""COMPUTED_VALUE"""),45173)</f>
        <v>45173</v>
      </c>
      <c r="B1511" s="23" t="str">
        <f ca="1">IFERROR(__xludf.DUMMYFUNCTION("""COMPUTED_VALUE"""),"BATERIA BIDETOWA LUNGO CZARNA")</f>
        <v>BATERIA BIDETOWA LUNGO CZARNA</v>
      </c>
      <c r="C1511" s="23"/>
      <c r="D1511" s="24">
        <f ca="1">IFERROR(__xludf.DUMMYFUNCTION("""COMPUTED_VALUE"""),219)</f>
        <v>219</v>
      </c>
      <c r="E1511" s="25" t="str">
        <f ca="1">IFERROR(__xludf.DUMMYFUNCTION("""COMPUTED_VALUE"""),"REA-B0667")</f>
        <v>REA-B0667</v>
      </c>
    </row>
    <row r="1512" spans="1:5" x14ac:dyDescent="0.2">
      <c r="A1512" s="22">
        <f ca="1">IFERROR(__xludf.DUMMYFUNCTION("""COMPUTED_VALUE"""),45173)</f>
        <v>45173</v>
      </c>
      <c r="B1512" s="23" t="str">
        <f ca="1">IFERROR(__xludf.DUMMYFUNCTION("""COMPUTED_VALUE"""),"BATERIA BIDETOWA LUNGO ZŁOTA")</f>
        <v>BATERIA BIDETOWA LUNGO ZŁOTA</v>
      </c>
      <c r="C1512" s="23"/>
      <c r="D1512" s="24">
        <f ca="1">IFERROR(__xludf.DUMMYFUNCTION("""COMPUTED_VALUE"""),269)</f>
        <v>269</v>
      </c>
      <c r="E1512" s="25" t="str">
        <f ca="1">IFERROR(__xludf.DUMMYFUNCTION("""COMPUTED_VALUE"""),"REA-B0668")</f>
        <v>REA-B0668</v>
      </c>
    </row>
    <row r="1513" spans="1:5" x14ac:dyDescent="0.2">
      <c r="A1513" s="22">
        <f ca="1">IFERROR(__xludf.DUMMYFUNCTION("""COMPUTED_VALUE"""),45173)</f>
        <v>45173</v>
      </c>
      <c r="B1513" s="23" t="str">
        <f ca="1">IFERROR(__xludf.DUMMYFUNCTION("""COMPUTED_VALUE"""),"BATERIA KUCHENNA FRESH ZŁOTA")</f>
        <v>BATERIA KUCHENNA FRESH ZŁOTA</v>
      </c>
      <c r="C1513" s="23"/>
      <c r="D1513" s="24">
        <f ca="1">IFERROR(__xludf.DUMMYFUNCTION("""COMPUTED_VALUE"""),299)</f>
        <v>299</v>
      </c>
      <c r="E1513" s="25" t="str">
        <f ca="1">IFERROR(__xludf.DUMMYFUNCTION("""COMPUTED_VALUE"""),"REA-B0669")</f>
        <v>REA-B0669</v>
      </c>
    </row>
    <row r="1514" spans="1:5" x14ac:dyDescent="0.2">
      <c r="A1514" s="22">
        <f ca="1">IFERROR(__xludf.DUMMYFUNCTION("""COMPUTED_VALUE"""),45173)</f>
        <v>45173</v>
      </c>
      <c r="B1514" s="23" t="str">
        <f ca="1">IFERROR(__xludf.DUMMYFUNCTION("""COMPUTED_VALUE"""),"BATERIA UMYWALKOWA LUNGO CZARNA METALICZNA WYSOKA")</f>
        <v>BATERIA UMYWALKOWA LUNGO CZARNA METALICZNA WYSOKA</v>
      </c>
      <c r="C1514" s="23"/>
      <c r="D1514" s="24">
        <f ca="1">IFERROR(__xludf.DUMMYFUNCTION("""COMPUTED_VALUE"""),299)</f>
        <v>299</v>
      </c>
      <c r="E1514" s="25" t="str">
        <f ca="1">IFERROR(__xludf.DUMMYFUNCTION("""COMPUTED_VALUE"""),"REA-B0662")</f>
        <v>REA-B0662</v>
      </c>
    </row>
    <row r="1515" spans="1:5" x14ac:dyDescent="0.2">
      <c r="A1515" s="22">
        <f ca="1">IFERROR(__xludf.DUMMYFUNCTION("""COMPUTED_VALUE"""),45173)</f>
        <v>45173</v>
      </c>
      <c r="B1515" s="23" t="str">
        <f ca="1">IFERROR(__xludf.DUMMYFUNCTION("""COMPUTED_VALUE"""),"BATERIA UMYWALKOWA LUNGO CZARNA METALICZNA NISKA")</f>
        <v>BATERIA UMYWALKOWA LUNGO CZARNA METALICZNA NISKA</v>
      </c>
      <c r="C1515" s="23"/>
      <c r="D1515" s="24">
        <f ca="1">IFERROR(__xludf.DUMMYFUNCTION("""COMPUTED_VALUE"""),249)</f>
        <v>249</v>
      </c>
      <c r="E1515" s="25" t="str">
        <f ca="1">IFERROR(__xludf.DUMMYFUNCTION("""COMPUTED_VALUE"""),"REA-B0661")</f>
        <v>REA-B0661</v>
      </c>
    </row>
    <row r="1516" spans="1:5" x14ac:dyDescent="0.2">
      <c r="A1516" s="22">
        <f ca="1">IFERROR(__xludf.DUMMYFUNCTION("""COMPUTED_VALUE"""),45173)</f>
        <v>45173</v>
      </c>
      <c r="B1516" s="23" t="str">
        <f ca="1">IFERROR(__xludf.DUMMYFUNCTION("""COMPUTED_VALUE"""),"BATERIA UMYWALKOWA MAYSON L.GOLD NISKA")</f>
        <v>BATERIA UMYWALKOWA MAYSON L.GOLD NISKA</v>
      </c>
      <c r="C1516" s="23"/>
      <c r="D1516" s="24">
        <f ca="1">IFERROR(__xludf.DUMMYFUNCTION("""COMPUTED_VALUE"""),269)</f>
        <v>269</v>
      </c>
      <c r="E1516" s="25" t="str">
        <f ca="1">IFERROR(__xludf.DUMMYFUNCTION("""COMPUTED_VALUE"""),"REA-B5101")</f>
        <v>REA-B5101</v>
      </c>
    </row>
    <row r="1517" spans="1:5" x14ac:dyDescent="0.2">
      <c r="A1517" s="22">
        <f ca="1">IFERROR(__xludf.DUMMYFUNCTION("""COMPUTED_VALUE"""),45173)</f>
        <v>45173</v>
      </c>
      <c r="B1517" s="23" t="str">
        <f ca="1">IFERROR(__xludf.DUMMYFUNCTION("""COMPUTED_VALUE"""),"BATERIA UMYWALKOWA ORIX WYSOKA BLACK")</f>
        <v>BATERIA UMYWALKOWA ORIX WYSOKA BLACK</v>
      </c>
      <c r="C1517" s="23"/>
      <c r="D1517" s="24">
        <f ca="1">IFERROR(__xludf.DUMMYFUNCTION("""COMPUTED_VALUE"""),399)</f>
        <v>399</v>
      </c>
      <c r="E1517" s="25" t="str">
        <f ca="1">IFERROR(__xludf.DUMMYFUNCTION("""COMPUTED_VALUE"""),"REA-B8467")</f>
        <v>REA-B8467</v>
      </c>
    </row>
    <row r="1518" spans="1:5" x14ac:dyDescent="0.2">
      <c r="A1518" s="22">
        <f ca="1">IFERROR(__xludf.DUMMYFUNCTION("""COMPUTED_VALUE"""),45173)</f>
        <v>45173</v>
      </c>
      <c r="B1518" s="23" t="str">
        <f ca="1">IFERROR(__xludf.DUMMYFUNCTION("""COMPUTED_VALUE"""),"BATERIA WYSOKA TESS CHROM")</f>
        <v>BATERIA WYSOKA TESS CHROM</v>
      </c>
      <c r="C1518" s="23"/>
      <c r="D1518" s="24">
        <f ca="1">IFERROR(__xludf.DUMMYFUNCTION("""COMPUTED_VALUE"""),249)</f>
        <v>249</v>
      </c>
      <c r="E1518" s="25" t="str">
        <f ca="1">IFERROR(__xludf.DUMMYFUNCTION("""COMPUTED_VALUE"""),"REA-B8800")</f>
        <v>REA-B8800</v>
      </c>
    </row>
    <row r="1519" spans="1:5" x14ac:dyDescent="0.2">
      <c r="A1519" s="22">
        <f ca="1">IFERROR(__xludf.DUMMYFUNCTION("""COMPUTED_VALUE"""),45173)</f>
        <v>45173</v>
      </c>
      <c r="B1519" s="23" t="str">
        <f ca="1">IFERROR(__xludf.DUMMYFUNCTION("""COMPUTED_VALUE"""),"BATERIA UMYWALKOWA DART CZARNA WYSOKA")</f>
        <v>BATERIA UMYWALKOWA DART CZARNA WYSOKA</v>
      </c>
      <c r="C1519" s="23"/>
      <c r="D1519" s="24">
        <f ca="1">IFERROR(__xludf.DUMMYFUNCTION("""COMPUTED_VALUE"""),399)</f>
        <v>399</v>
      </c>
      <c r="E1519" s="25" t="str">
        <f ca="1">IFERROR(__xludf.DUMMYFUNCTION("""COMPUTED_VALUE"""),"REA-B0670")</f>
        <v>REA-B0670</v>
      </c>
    </row>
    <row r="1520" spans="1:5" x14ac:dyDescent="0.2">
      <c r="A1520" s="22">
        <f ca="1">IFERROR(__xludf.DUMMYFUNCTION("""COMPUTED_VALUE"""),45173)</f>
        <v>45173</v>
      </c>
      <c r="B1520" s="23" t="str">
        <f ca="1">IFERROR(__xludf.DUMMYFUNCTION("""COMPUTED_VALUE"""),"BATERIA UMYWALKOWA DART CHROM WYSOKA")</f>
        <v>BATERIA UMYWALKOWA DART CHROM WYSOKA</v>
      </c>
      <c r="C1520" s="23"/>
      <c r="D1520" s="24">
        <f ca="1">IFERROR(__xludf.DUMMYFUNCTION("""COMPUTED_VALUE"""),369)</f>
        <v>369</v>
      </c>
      <c r="E1520" s="25" t="str">
        <f ca="1">IFERROR(__xludf.DUMMYFUNCTION("""COMPUTED_VALUE"""),"REA-B0671")</f>
        <v>REA-B0671</v>
      </c>
    </row>
    <row r="1521" spans="1:5" x14ac:dyDescent="0.2">
      <c r="A1521" s="22">
        <f ca="1">IFERROR(__xludf.DUMMYFUNCTION("""COMPUTED_VALUE"""),45173)</f>
        <v>45173</v>
      </c>
      <c r="B1521" s="23" t="str">
        <f ca="1">IFERROR(__xludf.DUMMYFUNCTION("""COMPUTED_VALUE"""),"BATERIA UMYWALKOWA DART CZARNA NISKA")</f>
        <v>BATERIA UMYWALKOWA DART CZARNA NISKA</v>
      </c>
      <c r="C1521" s="23"/>
      <c r="D1521" s="24">
        <f ca="1">IFERROR(__xludf.DUMMYFUNCTION("""COMPUTED_VALUE"""),269)</f>
        <v>269</v>
      </c>
      <c r="E1521" s="25" t="str">
        <f ca="1">IFERROR(__xludf.DUMMYFUNCTION("""COMPUTED_VALUE"""),"REA-B0672")</f>
        <v>REA-B0672</v>
      </c>
    </row>
    <row r="1522" spans="1:5" x14ac:dyDescent="0.2">
      <c r="A1522" s="22">
        <f ca="1">IFERROR(__xludf.DUMMYFUNCTION("""COMPUTED_VALUE"""),45173)</f>
        <v>45173</v>
      </c>
      <c r="B1522" s="23" t="str">
        <f ca="1">IFERROR(__xludf.DUMMYFUNCTION("""COMPUTED_VALUE"""),"BATERIA UMYWALKOWA DART CHROM NISKA")</f>
        <v>BATERIA UMYWALKOWA DART CHROM NISKA</v>
      </c>
      <c r="C1522" s="23"/>
      <c r="D1522" s="24">
        <f ca="1">IFERROR(__xludf.DUMMYFUNCTION("""COMPUTED_VALUE"""),259)</f>
        <v>259</v>
      </c>
      <c r="E1522" s="25" t="str">
        <f ca="1">IFERROR(__xludf.DUMMYFUNCTION("""COMPUTED_VALUE"""),"REA-B0673")</f>
        <v>REA-B0673</v>
      </c>
    </row>
    <row r="1523" spans="1:5" x14ac:dyDescent="0.2">
      <c r="A1523" s="22">
        <f ca="1">IFERROR(__xludf.DUMMYFUNCTION("""COMPUTED_VALUE"""),45168)</f>
        <v>45168</v>
      </c>
      <c r="B1523" s="23" t="str">
        <f ca="1">IFERROR(__xludf.DUMMYFUNCTION("""COMPUTED_VALUE"""),"BRODZIK BAZALT WHITE 80x100")</f>
        <v>BRODZIK BAZALT WHITE 80x100</v>
      </c>
      <c r="C1523" s="23"/>
      <c r="D1523" s="24">
        <f ca="1">IFERROR(__xludf.DUMMYFUNCTION("""COMPUTED_VALUE"""),719)</f>
        <v>719</v>
      </c>
      <c r="E1523" s="25" t="str">
        <f ca="1">IFERROR(__xludf.DUMMYFUNCTION("""COMPUTED_VALUE"""),"REA-K3300")</f>
        <v>REA-K3300</v>
      </c>
    </row>
    <row r="1524" spans="1:5" x14ac:dyDescent="0.2">
      <c r="A1524" s="22">
        <f ca="1">IFERROR(__xludf.DUMMYFUNCTION("""COMPUTED_VALUE"""),45168)</f>
        <v>45168</v>
      </c>
      <c r="B1524" s="23" t="str">
        <f ca="1">IFERROR(__xludf.DUMMYFUNCTION("""COMPUTED_VALUE"""),"BRODZIK BAZALT WHITE 80x120")</f>
        <v>BRODZIK BAZALT WHITE 80x120</v>
      </c>
      <c r="C1524" s="23"/>
      <c r="D1524" s="24">
        <f ca="1">IFERROR(__xludf.DUMMYFUNCTION("""COMPUTED_VALUE"""),799)</f>
        <v>799</v>
      </c>
      <c r="E1524" s="25" t="str">
        <f ca="1">IFERROR(__xludf.DUMMYFUNCTION("""COMPUTED_VALUE"""),"REA-K3301")</f>
        <v>REA-K3301</v>
      </c>
    </row>
    <row r="1525" spans="1:5" x14ac:dyDescent="0.2">
      <c r="A1525" s="22">
        <f ca="1">IFERROR(__xludf.DUMMYFUNCTION("""COMPUTED_VALUE"""),45168)</f>
        <v>45168</v>
      </c>
      <c r="B1525" s="23" t="str">
        <f ca="1">IFERROR(__xludf.DUMMYFUNCTION("""COMPUTED_VALUE"""),"BRODZIK BAZALT WHITE 90x120")</f>
        <v>BRODZIK BAZALT WHITE 90x120</v>
      </c>
      <c r="C1525" s="23"/>
      <c r="D1525" s="24">
        <f ca="1">IFERROR(__xludf.DUMMYFUNCTION("""COMPUTED_VALUE"""),929)</f>
        <v>929</v>
      </c>
      <c r="E1525" s="25" t="str">
        <f ca="1">IFERROR(__xludf.DUMMYFUNCTION("""COMPUTED_VALUE"""),"REA-K3302")</f>
        <v>REA-K3302</v>
      </c>
    </row>
    <row r="1526" spans="1:5" x14ac:dyDescent="0.2">
      <c r="A1526" s="22">
        <f ca="1">IFERROR(__xludf.DUMMYFUNCTION("""COMPUTED_VALUE"""),45168)</f>
        <v>45168</v>
      </c>
      <c r="B1526" s="23" t="str">
        <f ca="1">IFERROR(__xludf.DUMMYFUNCTION("""COMPUTED_VALUE"""),"BRODZIK BAZALT WHITE 90x90")</f>
        <v>BRODZIK BAZALT WHITE 90x90</v>
      </c>
      <c r="C1526" s="23"/>
      <c r="D1526" s="24">
        <f ca="1">IFERROR(__xludf.DUMMYFUNCTION("""COMPUTED_VALUE"""),719)</f>
        <v>719</v>
      </c>
      <c r="E1526" s="25" t="str">
        <f ca="1">IFERROR(__xludf.DUMMYFUNCTION("""COMPUTED_VALUE"""),"REA-K3303")</f>
        <v>REA-K3303</v>
      </c>
    </row>
    <row r="1527" spans="1:5" x14ac:dyDescent="0.2">
      <c r="A1527" s="22">
        <f ca="1">IFERROR(__xludf.DUMMYFUNCTION("""COMPUTED_VALUE"""),45168)</f>
        <v>45168</v>
      </c>
      <c r="B1527" s="23" t="str">
        <f ca="1">IFERROR(__xludf.DUMMYFUNCTION("""COMPUTED_VALUE"""),"BRODZIK BAZALT BLACK 80x100")</f>
        <v>BRODZIK BAZALT BLACK 80x100</v>
      </c>
      <c r="C1527" s="23"/>
      <c r="D1527" s="24">
        <f ca="1">IFERROR(__xludf.DUMMYFUNCTION("""COMPUTED_VALUE"""),749)</f>
        <v>749</v>
      </c>
      <c r="E1527" s="25" t="str">
        <f ca="1">IFERROR(__xludf.DUMMYFUNCTION("""COMPUTED_VALUE"""),"REA-K3304")</f>
        <v>REA-K3304</v>
      </c>
    </row>
    <row r="1528" spans="1:5" x14ac:dyDescent="0.2">
      <c r="A1528" s="22">
        <f ca="1">IFERROR(__xludf.DUMMYFUNCTION("""COMPUTED_VALUE"""),45168)</f>
        <v>45168</v>
      </c>
      <c r="B1528" s="23" t="str">
        <f ca="1">IFERROR(__xludf.DUMMYFUNCTION("""COMPUTED_VALUE"""),"BRODZIK BAZALT BLACK 80x120")</f>
        <v>BRODZIK BAZALT BLACK 80x120</v>
      </c>
      <c r="C1528" s="23"/>
      <c r="D1528" s="24">
        <f ca="1">IFERROR(__xludf.DUMMYFUNCTION("""COMPUTED_VALUE"""),849)</f>
        <v>849</v>
      </c>
      <c r="E1528" s="25" t="str">
        <f ca="1">IFERROR(__xludf.DUMMYFUNCTION("""COMPUTED_VALUE"""),"REA-K3305")</f>
        <v>REA-K3305</v>
      </c>
    </row>
    <row r="1529" spans="1:5" x14ac:dyDescent="0.2">
      <c r="A1529" s="22">
        <f ca="1">IFERROR(__xludf.DUMMYFUNCTION("""COMPUTED_VALUE"""),45168)</f>
        <v>45168</v>
      </c>
      <c r="B1529" s="23" t="str">
        <f ca="1">IFERROR(__xludf.DUMMYFUNCTION("""COMPUTED_VALUE"""),"BRODZIK BAZALT BLACK 90x120")</f>
        <v>BRODZIK BAZALT BLACK 90x120</v>
      </c>
      <c r="C1529" s="23"/>
      <c r="D1529" s="24">
        <f ca="1">IFERROR(__xludf.DUMMYFUNCTION("""COMPUTED_VALUE"""),949)</f>
        <v>949</v>
      </c>
      <c r="E1529" s="25" t="str">
        <f ca="1">IFERROR(__xludf.DUMMYFUNCTION("""COMPUTED_VALUE"""),"REA-K3306")</f>
        <v>REA-K3306</v>
      </c>
    </row>
    <row r="1530" spans="1:5" x14ac:dyDescent="0.2">
      <c r="A1530" s="22">
        <f ca="1">IFERROR(__xludf.DUMMYFUNCTION("""COMPUTED_VALUE"""),45168)</f>
        <v>45168</v>
      </c>
      <c r="B1530" s="23" t="str">
        <f ca="1">IFERROR(__xludf.DUMMYFUNCTION("""COMPUTED_VALUE"""),"BRODZIK BAZALT BLACK 90x90")</f>
        <v>BRODZIK BAZALT BLACK 90x90</v>
      </c>
      <c r="C1530" s="23"/>
      <c r="D1530" s="24">
        <f ca="1">IFERROR(__xludf.DUMMYFUNCTION("""COMPUTED_VALUE"""),759)</f>
        <v>759</v>
      </c>
      <c r="E1530" s="25" t="str">
        <f ca="1">IFERROR(__xludf.DUMMYFUNCTION("""COMPUTED_VALUE"""),"REA-K3307")</f>
        <v>REA-K3307</v>
      </c>
    </row>
    <row r="1531" spans="1:5" x14ac:dyDescent="0.2">
      <c r="A1531" s="22">
        <f ca="1">IFERROR(__xludf.DUMMYFUNCTION("""COMPUTED_VALUE"""),45168)</f>
        <v>45168</v>
      </c>
      <c r="B1531" s="23" t="str">
        <f ca="1">IFERROR(__xludf.DUMMYFUNCTION("""COMPUTED_VALUE"""),"BRODZIK BAZALT LONG WHITE 80x100")</f>
        <v>BRODZIK BAZALT LONG WHITE 80x100</v>
      </c>
      <c r="C1531" s="23"/>
      <c r="D1531" s="24">
        <f ca="1">IFERROR(__xludf.DUMMYFUNCTION("""COMPUTED_VALUE"""),699)</f>
        <v>699</v>
      </c>
      <c r="E1531" s="25" t="str">
        <f ca="1">IFERROR(__xludf.DUMMYFUNCTION("""COMPUTED_VALUE"""),"REA-K3320")</f>
        <v>REA-K3320</v>
      </c>
    </row>
    <row r="1532" spans="1:5" x14ac:dyDescent="0.2">
      <c r="A1532" s="22">
        <f ca="1">IFERROR(__xludf.DUMMYFUNCTION("""COMPUTED_VALUE"""),45168)</f>
        <v>45168</v>
      </c>
      <c r="B1532" s="23" t="str">
        <f ca="1">IFERROR(__xludf.DUMMYFUNCTION("""COMPUTED_VALUE"""),"BRODZIK BAZALT LONG WHITE 80x120")</f>
        <v>BRODZIK BAZALT LONG WHITE 80x120</v>
      </c>
      <c r="C1532" s="23"/>
      <c r="D1532" s="24">
        <f ca="1">IFERROR(__xludf.DUMMYFUNCTION("""COMPUTED_VALUE"""),799)</f>
        <v>799</v>
      </c>
      <c r="E1532" s="25" t="str">
        <f ca="1">IFERROR(__xludf.DUMMYFUNCTION("""COMPUTED_VALUE"""),"REA-K3321")</f>
        <v>REA-K3321</v>
      </c>
    </row>
    <row r="1533" spans="1:5" x14ac:dyDescent="0.2">
      <c r="A1533" s="22">
        <f ca="1">IFERROR(__xludf.DUMMYFUNCTION("""COMPUTED_VALUE"""),45168)</f>
        <v>45168</v>
      </c>
      <c r="B1533" s="23" t="str">
        <f ca="1">IFERROR(__xludf.DUMMYFUNCTION("""COMPUTED_VALUE"""),"BRODZIK BAZALT LONG WHITE 90x120")</f>
        <v>BRODZIK BAZALT LONG WHITE 90x120</v>
      </c>
      <c r="C1533" s="23"/>
      <c r="D1533" s="24">
        <f ca="1">IFERROR(__xludf.DUMMYFUNCTION("""COMPUTED_VALUE"""),899)</f>
        <v>899</v>
      </c>
      <c r="E1533" s="25" t="str">
        <f ca="1">IFERROR(__xludf.DUMMYFUNCTION("""COMPUTED_VALUE"""),"REA-K3322")</f>
        <v>REA-K3322</v>
      </c>
    </row>
    <row r="1534" spans="1:5" x14ac:dyDescent="0.2">
      <c r="A1534" s="22">
        <f ca="1">IFERROR(__xludf.DUMMYFUNCTION("""COMPUTED_VALUE"""),45168)</f>
        <v>45168</v>
      </c>
      <c r="B1534" s="23" t="str">
        <f ca="1">IFERROR(__xludf.DUMMYFUNCTION("""COMPUTED_VALUE"""),"BRODZIK BAZALT LONG BLACK 80x100")</f>
        <v>BRODZIK BAZALT LONG BLACK 80x100</v>
      </c>
      <c r="C1534" s="23"/>
      <c r="D1534" s="24">
        <f ca="1">IFERROR(__xludf.DUMMYFUNCTION("""COMPUTED_VALUE"""),749)</f>
        <v>749</v>
      </c>
      <c r="E1534" s="25" t="str">
        <f ca="1">IFERROR(__xludf.DUMMYFUNCTION("""COMPUTED_VALUE"""),"REA-K3323")</f>
        <v>REA-K3323</v>
      </c>
    </row>
    <row r="1535" spans="1:5" x14ac:dyDescent="0.2">
      <c r="A1535" s="22">
        <f ca="1">IFERROR(__xludf.DUMMYFUNCTION("""COMPUTED_VALUE"""),45168)</f>
        <v>45168</v>
      </c>
      <c r="B1535" s="23" t="str">
        <f ca="1">IFERROR(__xludf.DUMMYFUNCTION("""COMPUTED_VALUE"""),"BRODZIK BAZALT LONG BLACK 80x120")</f>
        <v>BRODZIK BAZALT LONG BLACK 80x120</v>
      </c>
      <c r="C1535" s="23"/>
      <c r="D1535" s="24">
        <f ca="1">IFERROR(__xludf.DUMMYFUNCTION("""COMPUTED_VALUE"""),849)</f>
        <v>849</v>
      </c>
      <c r="E1535" s="25" t="str">
        <f ca="1">IFERROR(__xludf.DUMMYFUNCTION("""COMPUTED_VALUE"""),"REA-K3324")</f>
        <v>REA-K3324</v>
      </c>
    </row>
    <row r="1536" spans="1:5" x14ac:dyDescent="0.2">
      <c r="A1536" s="22">
        <f ca="1">IFERROR(__xludf.DUMMYFUNCTION("""COMPUTED_VALUE"""),45168)</f>
        <v>45168</v>
      </c>
      <c r="B1536" s="23" t="str">
        <f ca="1">IFERROR(__xludf.DUMMYFUNCTION("""COMPUTED_VALUE"""),"BRODZIK BAZALT LONG BLACK 90x120")</f>
        <v>BRODZIK BAZALT LONG BLACK 90x120</v>
      </c>
      <c r="C1536" s="23"/>
      <c r="D1536" s="24">
        <f ca="1">IFERROR(__xludf.DUMMYFUNCTION("""COMPUTED_VALUE"""),949)</f>
        <v>949</v>
      </c>
      <c r="E1536" s="25" t="str">
        <f ca="1">IFERROR(__xludf.DUMMYFUNCTION("""COMPUTED_VALUE"""),"REA-K3325")</f>
        <v>REA-K3325</v>
      </c>
    </row>
    <row r="1537" spans="1:5" x14ac:dyDescent="0.2">
      <c r="A1537" s="22">
        <f ca="1">IFERROR(__xludf.DUMMYFUNCTION("""COMPUTED_VALUE"""),45168)</f>
        <v>45168</v>
      </c>
      <c r="B1537" s="23" t="str">
        <f ca="1">IFERROR(__xludf.DUMMYFUNCTION("""COMPUTED_VALUE"""),"BRODZIK MAGNUM BLACK 80x100")</f>
        <v>BRODZIK MAGNUM BLACK 80x100</v>
      </c>
      <c r="C1537" s="23"/>
      <c r="D1537" s="24">
        <f ca="1">IFERROR(__xludf.DUMMYFUNCTION("""COMPUTED_VALUE"""),649)</f>
        <v>649</v>
      </c>
      <c r="E1537" s="25" t="str">
        <f ca="1">IFERROR(__xludf.DUMMYFUNCTION("""COMPUTED_VALUE"""),"REA-K3330")</f>
        <v>REA-K3330</v>
      </c>
    </row>
    <row r="1538" spans="1:5" x14ac:dyDescent="0.2">
      <c r="A1538" s="22">
        <f ca="1">IFERROR(__xludf.DUMMYFUNCTION("""COMPUTED_VALUE"""),45168)</f>
        <v>45168</v>
      </c>
      <c r="B1538" s="23" t="str">
        <f ca="1">IFERROR(__xludf.DUMMYFUNCTION("""COMPUTED_VALUE"""),"BRODZIK MAGNUM BLACK 80x120")</f>
        <v>BRODZIK MAGNUM BLACK 80x120</v>
      </c>
      <c r="C1538" s="23"/>
      <c r="D1538" s="24">
        <f ca="1">IFERROR(__xludf.DUMMYFUNCTION("""COMPUTED_VALUE"""),739)</f>
        <v>739</v>
      </c>
      <c r="E1538" s="25" t="str">
        <f ca="1">IFERROR(__xludf.DUMMYFUNCTION("""COMPUTED_VALUE"""),"REA-K3331")</f>
        <v>REA-K3331</v>
      </c>
    </row>
    <row r="1539" spans="1:5" x14ac:dyDescent="0.2">
      <c r="A1539" s="22">
        <f ca="1">IFERROR(__xludf.DUMMYFUNCTION("""COMPUTED_VALUE"""),45168)</f>
        <v>45168</v>
      </c>
      <c r="B1539" s="23" t="str">
        <f ca="1">IFERROR(__xludf.DUMMYFUNCTION("""COMPUTED_VALUE"""),"BRODZIK MAGNUM BLACK 90x120")</f>
        <v>BRODZIK MAGNUM BLACK 90x120</v>
      </c>
      <c r="C1539" s="23"/>
      <c r="D1539" s="24">
        <f ca="1">IFERROR(__xludf.DUMMYFUNCTION("""COMPUTED_VALUE"""),759)</f>
        <v>759</v>
      </c>
      <c r="E1539" s="25" t="str">
        <f ca="1">IFERROR(__xludf.DUMMYFUNCTION("""COMPUTED_VALUE"""),"REA-K3332")</f>
        <v>REA-K3332</v>
      </c>
    </row>
    <row r="1540" spans="1:5" x14ac:dyDescent="0.2">
      <c r="A1540" s="22">
        <f ca="1">IFERROR(__xludf.DUMMYFUNCTION("""COMPUTED_VALUE"""),45168)</f>
        <v>45168</v>
      </c>
      <c r="B1540" s="23" t="str">
        <f ca="1">IFERROR(__xludf.DUMMYFUNCTION("""COMPUTED_VALUE"""),"BRODZIK MAGNUM BLACK 90x90")</f>
        <v>BRODZIK MAGNUM BLACK 90x90</v>
      </c>
      <c r="C1540" s="23"/>
      <c r="D1540" s="24">
        <f ca="1">IFERROR(__xludf.DUMMYFUNCTION("""COMPUTED_VALUE"""),649)</f>
        <v>649</v>
      </c>
      <c r="E1540" s="25" t="str">
        <f ca="1">IFERROR(__xludf.DUMMYFUNCTION("""COMPUTED_VALUE"""),"REA-K3334")</f>
        <v>REA-K3334</v>
      </c>
    </row>
    <row r="1541" spans="1:5" x14ac:dyDescent="0.2">
      <c r="A1541" s="22">
        <f ca="1">IFERROR(__xludf.DUMMYFUNCTION("""COMPUTED_VALUE"""),45168)</f>
        <v>45168</v>
      </c>
      <c r="B1541" s="23" t="str">
        <f ca="1">IFERROR(__xludf.DUMMYFUNCTION("""COMPUTED_VALUE"""),"BRODZIK MAGNUM WHITE 80x100")</f>
        <v>BRODZIK MAGNUM WHITE 80x100</v>
      </c>
      <c r="C1541" s="23"/>
      <c r="D1541" s="24">
        <f ca="1">IFERROR(__xludf.DUMMYFUNCTION("""COMPUTED_VALUE"""),619)</f>
        <v>619</v>
      </c>
      <c r="E1541" s="25" t="str">
        <f ca="1">IFERROR(__xludf.DUMMYFUNCTION("""COMPUTED_VALUE"""),"REA-K3335")</f>
        <v>REA-K3335</v>
      </c>
    </row>
    <row r="1542" spans="1:5" x14ac:dyDescent="0.2">
      <c r="A1542" s="22">
        <f ca="1">IFERROR(__xludf.DUMMYFUNCTION("""COMPUTED_VALUE"""),45168)</f>
        <v>45168</v>
      </c>
      <c r="B1542" s="23" t="str">
        <f ca="1">IFERROR(__xludf.DUMMYFUNCTION("""COMPUTED_VALUE"""),"BRODZIK MAGNUM WHITE 80x120")</f>
        <v>BRODZIK MAGNUM WHITE 80x120</v>
      </c>
      <c r="C1542" s="23"/>
      <c r="D1542" s="24">
        <f ca="1">IFERROR(__xludf.DUMMYFUNCTION("""COMPUTED_VALUE"""),699)</f>
        <v>699</v>
      </c>
      <c r="E1542" s="25" t="str">
        <f ca="1">IFERROR(__xludf.DUMMYFUNCTION("""COMPUTED_VALUE"""),"REA-K3336")</f>
        <v>REA-K3336</v>
      </c>
    </row>
    <row r="1543" spans="1:5" x14ac:dyDescent="0.2">
      <c r="A1543" s="22">
        <f ca="1">IFERROR(__xludf.DUMMYFUNCTION("""COMPUTED_VALUE"""),45168)</f>
        <v>45168</v>
      </c>
      <c r="B1543" s="23" t="str">
        <f ca="1">IFERROR(__xludf.DUMMYFUNCTION("""COMPUTED_VALUE"""),"BRODZIK MAGNUM WHITE 90x120")</f>
        <v>BRODZIK MAGNUM WHITE 90x120</v>
      </c>
      <c r="C1543" s="23"/>
      <c r="D1543" s="24">
        <f ca="1">IFERROR(__xludf.DUMMYFUNCTION("""COMPUTED_VALUE"""),719)</f>
        <v>719</v>
      </c>
      <c r="E1543" s="25" t="str">
        <f ca="1">IFERROR(__xludf.DUMMYFUNCTION("""COMPUTED_VALUE"""),"REA-K3337")</f>
        <v>REA-K3337</v>
      </c>
    </row>
    <row r="1544" spans="1:5" x14ac:dyDescent="0.2">
      <c r="A1544" s="22">
        <f ca="1">IFERROR(__xludf.DUMMYFUNCTION("""COMPUTED_VALUE"""),45168)</f>
        <v>45168</v>
      </c>
      <c r="B1544" s="23" t="str">
        <f ca="1">IFERROR(__xludf.DUMMYFUNCTION("""COMPUTED_VALUE"""),"BRODZIK MAGNUM WHITE 90x90")</f>
        <v>BRODZIK MAGNUM WHITE 90x90</v>
      </c>
      <c r="C1544" s="23"/>
      <c r="D1544" s="24">
        <f ca="1">IFERROR(__xludf.DUMMYFUNCTION("""COMPUTED_VALUE"""),619)</f>
        <v>619</v>
      </c>
      <c r="E1544" s="25" t="str">
        <f ca="1">IFERROR(__xludf.DUMMYFUNCTION("""COMPUTED_VALUE"""),"REA-K3338")</f>
        <v>REA-K3338</v>
      </c>
    </row>
    <row r="1545" spans="1:5" x14ac:dyDescent="0.2">
      <c r="A1545" s="22">
        <f ca="1">IFERROR(__xludf.DUMMYFUNCTION("""COMPUTED_VALUE"""),45168)</f>
        <v>45168</v>
      </c>
      <c r="B1545" s="23" t="str">
        <f ca="1">IFERROR(__xludf.DUMMYFUNCTION("""COMPUTED_VALUE"""),"UMYWALKA ROYAL 60 WHITE GOLD - NABLATOWA")</f>
        <v>UMYWALKA ROYAL 60 WHITE GOLD - NABLATOWA</v>
      </c>
      <c r="C1545" s="23"/>
      <c r="D1545" s="24">
        <f ca="1">IFERROR(__xludf.DUMMYFUNCTION("""COMPUTED_VALUE"""),439)</f>
        <v>439</v>
      </c>
      <c r="E1545" s="25" t="str">
        <f ca="1">IFERROR(__xludf.DUMMYFUNCTION("""COMPUTED_VALUE"""),"REA-U7808")</f>
        <v>REA-U7808</v>
      </c>
    </row>
    <row r="1546" spans="1:5" x14ac:dyDescent="0.2">
      <c r="A1546" s="22">
        <f ca="1">IFERROR(__xludf.DUMMYFUNCTION("""COMPUTED_VALUE"""),45168)</f>
        <v>45168</v>
      </c>
      <c r="B1546" s="23" t="str">
        <f ca="1">IFERROR(__xludf.DUMMYFUNCTION("""COMPUTED_VALUE"""),"UMYWALKA VEGAS GRANIT SHINY - NABLATOWA")</f>
        <v>UMYWALKA VEGAS GRANIT SHINY - NABLATOWA</v>
      </c>
      <c r="C1546" s="23"/>
      <c r="D1546" s="24">
        <f ca="1">IFERROR(__xludf.DUMMYFUNCTION("""COMPUTED_VALUE"""),349)</f>
        <v>349</v>
      </c>
      <c r="E1546" s="25" t="str">
        <f ca="1">IFERROR(__xludf.DUMMYFUNCTION("""COMPUTED_VALUE"""),"REA-U5602")</f>
        <v>REA-U5602</v>
      </c>
    </row>
    <row r="1547" spans="1:5" x14ac:dyDescent="0.2">
      <c r="A1547" s="22">
        <f ca="1">IFERROR(__xludf.DUMMYFUNCTION("""COMPUTED_VALUE"""),45168)</f>
        <v>45168</v>
      </c>
      <c r="B1547" s="23" t="str">
        <f ca="1">IFERROR(__xludf.DUMMYFUNCTION("""COMPUTED_VALUE"""),"UMYWALKA VEGAS MARBLE BLACK SHINY-NABLATOWA")</f>
        <v>UMYWALKA VEGAS MARBLE BLACK SHINY-NABLATOWA</v>
      </c>
      <c r="C1547" s="23"/>
      <c r="D1547" s="24">
        <f ca="1">IFERROR(__xludf.DUMMYFUNCTION("""COMPUTED_VALUE"""),259)</f>
        <v>259</v>
      </c>
      <c r="E1547" s="25" t="str">
        <f ca="1">IFERROR(__xludf.DUMMYFUNCTION("""COMPUTED_VALUE"""),"REA-U5603")</f>
        <v>REA-U5603</v>
      </c>
    </row>
    <row r="1548" spans="1:5" x14ac:dyDescent="0.2">
      <c r="A1548" s="22">
        <f ca="1">IFERROR(__xludf.DUMMYFUNCTION("""COMPUTED_VALUE"""),45168)</f>
        <v>45168</v>
      </c>
      <c r="B1548" s="23" t="str">
        <f ca="1">IFERROR(__xludf.DUMMYFUNCTION("""COMPUTED_VALUE"""),"UMYWALKA INGA - NABLATOWA")</f>
        <v>UMYWALKA INGA - NABLATOWA</v>
      </c>
      <c r="C1548" s="23"/>
      <c r="D1548" s="24">
        <f ca="1">IFERROR(__xludf.DUMMYFUNCTION("""COMPUTED_VALUE"""),329)</f>
        <v>329</v>
      </c>
      <c r="E1548" s="25" t="str">
        <f ca="1">IFERROR(__xludf.DUMMYFUNCTION("""COMPUTED_VALUE"""),"REA-U1022")</f>
        <v>REA-U1022</v>
      </c>
    </row>
    <row r="1549" spans="1:5" x14ac:dyDescent="0.2">
      <c r="A1549" s="22">
        <f ca="1">IFERROR(__xludf.DUMMYFUNCTION("""COMPUTED_VALUE"""),45168)</f>
        <v>45168</v>
      </c>
      <c r="B1549" s="23" t="str">
        <f ca="1">IFERROR(__xludf.DUMMYFUNCTION("""COMPUTED_VALUE"""),"UMYWALKA MARGOT BLUE GOLD  - NABLATOWA")</f>
        <v>UMYWALKA MARGOT BLUE GOLD  - NABLATOWA</v>
      </c>
      <c r="C1549" s="23"/>
      <c r="D1549" s="24">
        <f ca="1">IFERROR(__xludf.DUMMYFUNCTION("""COMPUTED_VALUE"""),599)</f>
        <v>599</v>
      </c>
      <c r="E1549" s="25" t="str">
        <f ca="1">IFERROR(__xludf.DUMMYFUNCTION("""COMPUTED_VALUE"""),"REA-U8709")</f>
        <v>REA-U8709</v>
      </c>
    </row>
    <row r="1550" spans="1:5" x14ac:dyDescent="0.2">
      <c r="A1550" s="22">
        <f ca="1">IFERROR(__xludf.DUMMYFUNCTION("""COMPUTED_VALUE"""),45163)</f>
        <v>45163</v>
      </c>
      <c r="B1550" s="23" t="str">
        <f ca="1">IFERROR(__xludf.DUMMYFUNCTION("""COMPUTED_VALUE"""),"WC - CARLOS DUROPLAST/FLAT/ZM TERAZZO")</f>
        <v>WC - CARLOS DUROPLAST/FLAT/ZM TERAZZO</v>
      </c>
      <c r="C1550" s="23"/>
      <c r="D1550" s="24">
        <f ca="1">IFERROR(__xludf.DUMMYFUNCTION("""COMPUTED_VALUE"""),999)</f>
        <v>999</v>
      </c>
      <c r="E1550" s="25" t="str">
        <f ca="1">IFERROR(__xludf.DUMMYFUNCTION("""COMPUTED_VALUE"""),"REA-C8005")</f>
        <v>REA-C8005</v>
      </c>
    </row>
    <row r="1551" spans="1:5" x14ac:dyDescent="0.2">
      <c r="A1551" s="22">
        <f ca="1">IFERROR(__xludf.DUMMYFUNCTION("""COMPUTED_VALUE"""),45163)</f>
        <v>45163</v>
      </c>
      <c r="B1551" s="23" t="str">
        <f ca="1">IFERROR(__xludf.DUMMYFUNCTION("""COMPUTED_VALUE"""),"BATERIA UMYWALKOWA FALCON - WYSOKA")</f>
        <v>BATERIA UMYWALKOWA FALCON - WYSOKA</v>
      </c>
      <c r="C1551" s="23"/>
      <c r="D1551" s="24">
        <f ca="1">IFERROR(__xludf.DUMMYFUNCTION("""COMPUTED_VALUE"""),179)</f>
        <v>179</v>
      </c>
      <c r="E1551" s="25" t="str">
        <f ca="1">IFERROR(__xludf.DUMMYFUNCTION("""COMPUTED_VALUE"""),"BAT-00149")</f>
        <v>BAT-00149</v>
      </c>
    </row>
    <row r="1552" spans="1:5" x14ac:dyDescent="0.2">
      <c r="A1552" s="22">
        <f ca="1">IFERROR(__xludf.DUMMYFUNCTION("""COMPUTED_VALUE"""),45163)</f>
        <v>45163</v>
      </c>
      <c r="B1552" s="23" t="str">
        <f ca="1">IFERROR(__xludf.DUMMYFUNCTION("""COMPUTED_VALUE"""),"BATERIA UMYWALKOWA FALCON BLACK - WYSOKA")</f>
        <v>BATERIA UMYWALKOWA FALCON BLACK - WYSOKA</v>
      </c>
      <c r="C1552" s="23"/>
      <c r="D1552" s="24">
        <f ca="1">IFERROR(__xludf.DUMMYFUNCTION("""COMPUTED_VALUE"""),279)</f>
        <v>279</v>
      </c>
      <c r="E1552" s="25" t="str">
        <f ca="1">IFERROR(__xludf.DUMMYFUNCTION("""COMPUTED_VALUE"""),"REA-B0252")</f>
        <v>REA-B0252</v>
      </c>
    </row>
    <row r="1553" spans="1:5" x14ac:dyDescent="0.2">
      <c r="A1553" s="22">
        <f ca="1">IFERROR(__xludf.DUMMYFUNCTION("""COMPUTED_VALUE"""),45163)</f>
        <v>45163</v>
      </c>
      <c r="B1553" s="23" t="str">
        <f ca="1">IFERROR(__xludf.DUMMYFUNCTION("""COMPUTED_VALUE"""),"BATERIA ENZO")</f>
        <v>BATERIA ENZO</v>
      </c>
      <c r="C1553" s="23"/>
      <c r="D1553" s="24">
        <f ca="1">IFERROR(__xludf.DUMMYFUNCTION("""COMPUTED_VALUE"""),119)</f>
        <v>119</v>
      </c>
      <c r="E1553" s="25" t="str">
        <f ca="1">IFERROR(__xludf.DUMMYFUNCTION("""COMPUTED_VALUE"""),"REA-B0113")</f>
        <v>REA-B0113</v>
      </c>
    </row>
    <row r="1554" spans="1:5" x14ac:dyDescent="0.2">
      <c r="A1554" s="22">
        <f ca="1">IFERROR(__xludf.DUMMYFUNCTION("""COMPUTED_VALUE"""),45163)</f>
        <v>45163</v>
      </c>
      <c r="B1554" s="23" t="str">
        <f ca="1">IFERROR(__xludf.DUMMYFUNCTION("""COMPUTED_VALUE"""),"BATERIA UMYWALKOWA SONIC BLACK NISKA")</f>
        <v>BATERIA UMYWALKOWA SONIC BLACK NISKA</v>
      </c>
      <c r="C1554" s="23"/>
      <c r="D1554" s="24">
        <f ca="1">IFERROR(__xludf.DUMMYFUNCTION("""COMPUTED_VALUE"""),159)</f>
        <v>159</v>
      </c>
      <c r="E1554" s="25" t="str">
        <f ca="1">IFERROR(__xludf.DUMMYFUNCTION("""COMPUTED_VALUE"""),"BAT-00852")</f>
        <v>BAT-00852</v>
      </c>
    </row>
    <row r="1555" spans="1:5" x14ac:dyDescent="0.2">
      <c r="A1555" s="22">
        <f ca="1">IFERROR(__xludf.DUMMYFUNCTION("""COMPUTED_VALUE"""),45163)</f>
        <v>45163</v>
      </c>
      <c r="B1555" s="23" t="str">
        <f ca="1">IFERROR(__xludf.DUMMYFUNCTION("""COMPUTED_VALUE"""),"BATERIA PODTYNKOWA BRITO")</f>
        <v>BATERIA PODTYNKOWA BRITO</v>
      </c>
      <c r="C1555" s="23"/>
      <c r="D1555" s="24">
        <f ca="1">IFERROR(__xludf.DUMMYFUNCTION("""COMPUTED_VALUE"""),299)</f>
        <v>299</v>
      </c>
      <c r="E1555" s="25" t="str">
        <f ca="1">IFERROR(__xludf.DUMMYFUNCTION("""COMPUTED_VALUE"""),"REA-P0801")</f>
        <v>REA-P0801</v>
      </c>
    </row>
    <row r="1556" spans="1:5" x14ac:dyDescent="0.2">
      <c r="A1556" s="22">
        <f ca="1">IFERROR(__xludf.DUMMYFUNCTION("""COMPUTED_VALUE"""),45163)</f>
        <v>45163</v>
      </c>
      <c r="B1556" s="23" t="str">
        <f ca="1">IFERROR(__xludf.DUMMYFUNCTION("""COMPUTED_VALUE"""),"BATERIA UMYWALKOWA PODTYNKOWA LUNGO L.GOLD + BOX")</f>
        <v>BATERIA UMYWALKOWA PODTYNKOWA LUNGO L.GOLD + BOX</v>
      </c>
      <c r="C1556" s="23"/>
      <c r="D1556" s="24">
        <f ca="1">IFERROR(__xludf.DUMMYFUNCTION("""COMPUTED_VALUE"""),399)</f>
        <v>399</v>
      </c>
      <c r="E1556" s="25" t="str">
        <f ca="1">IFERROR(__xludf.DUMMYFUNCTION("""COMPUTED_VALUE"""),"REA-B8559")</f>
        <v>REA-B8559</v>
      </c>
    </row>
    <row r="1557" spans="1:5" x14ac:dyDescent="0.2">
      <c r="A1557" s="22">
        <f ca="1">IFERROR(__xludf.DUMMYFUNCTION("""COMPUTED_VALUE"""),45163)</f>
        <v>45163</v>
      </c>
      <c r="B1557" s="23" t="str">
        <f ca="1">IFERROR(__xludf.DUMMYFUNCTION("""COMPUTED_VALUE"""),"UMYWALKA SAMI NATURE MARBLE - NABLATOWA")</f>
        <v>UMYWALKA SAMI NATURE MARBLE - NABLATOWA</v>
      </c>
      <c r="C1557" s="23"/>
      <c r="D1557" s="24">
        <f ca="1">IFERROR(__xludf.DUMMYFUNCTION("""COMPUTED_VALUE"""),299)</f>
        <v>299</v>
      </c>
      <c r="E1557" s="25" t="str">
        <f ca="1">IFERROR(__xludf.DUMMYFUNCTION("""COMPUTED_VALUE"""),"REA-U6606")</f>
        <v>REA-U6606</v>
      </c>
    </row>
    <row r="1558" spans="1:5" x14ac:dyDescent="0.2">
      <c r="A1558" s="22">
        <f ca="1">IFERROR(__xludf.DUMMYFUNCTION("""COMPUTED_VALUE"""),45163)</f>
        <v>45163</v>
      </c>
      <c r="B1558" s="23" t="str">
        <f ca="1">IFERROR(__xludf.DUMMYFUNCTION("""COMPUTED_VALUE"""),"UMYWALKA SOFIA NATURE MARBLE - NABLATOWA")</f>
        <v>UMYWALKA SOFIA NATURE MARBLE - NABLATOWA</v>
      </c>
      <c r="C1558" s="23"/>
      <c r="D1558" s="24">
        <f ca="1">IFERROR(__xludf.DUMMYFUNCTION("""COMPUTED_VALUE"""),279)</f>
        <v>279</v>
      </c>
      <c r="E1558" s="25" t="str">
        <f ca="1">IFERROR(__xludf.DUMMYFUNCTION("""COMPUTED_VALUE"""),"REA-U6605")</f>
        <v>REA-U6605</v>
      </c>
    </row>
    <row r="1559" spans="1:5" x14ac:dyDescent="0.2">
      <c r="A1559" s="22">
        <f ca="1">IFERROR(__xludf.DUMMYFUNCTION("""COMPUTED_VALUE"""),45163)</f>
        <v>45163</v>
      </c>
      <c r="B1559" s="23" t="str">
        <f ca="1">IFERROR(__xludf.DUMMYFUNCTION("""COMPUTED_VALUE"""),"WC - MARTIN RIMLESS DUROPLAST/SLIM/ZM")</f>
        <v>WC - MARTIN RIMLESS DUROPLAST/SLIM/ZM</v>
      </c>
      <c r="C1559" s="23"/>
      <c r="D1559" s="24">
        <f ca="1">IFERROR(__xludf.DUMMYFUNCTION("""COMPUTED_VALUE"""),669)</f>
        <v>669</v>
      </c>
      <c r="E1559" s="25" t="str">
        <f ca="1">IFERROR(__xludf.DUMMYFUNCTION("""COMPUTED_VALUE"""),"REA-C8006")</f>
        <v>REA-C8006</v>
      </c>
    </row>
    <row r="1560" spans="1:5" x14ac:dyDescent="0.2">
      <c r="A1560" s="22">
        <f ca="1">IFERROR(__xludf.DUMMYFUNCTION("""COMPUTED_VALUE"""),45163)</f>
        <v>45163</v>
      </c>
      <c r="B1560" s="23" t="str">
        <f ca="1">IFERROR(__xludf.DUMMYFUNCTION("""COMPUTED_VALUE"""),"WC - CARTER RIMLESS DUROPLAST/SLIM/ZM")</f>
        <v>WC - CARTER RIMLESS DUROPLAST/SLIM/ZM</v>
      </c>
      <c r="C1560" s="23"/>
      <c r="D1560" s="24">
        <f ca="1">IFERROR(__xludf.DUMMYFUNCTION("""COMPUTED_VALUE"""),579)</f>
        <v>579</v>
      </c>
      <c r="E1560" s="25" t="str">
        <f ca="1">IFERROR(__xludf.DUMMYFUNCTION("""COMPUTED_VALUE"""),"REA-C1400")</f>
        <v>REA-C1400</v>
      </c>
    </row>
    <row r="1561" spans="1:5" x14ac:dyDescent="0.2">
      <c r="A1561" s="22">
        <f ca="1">IFERROR(__xludf.DUMMYFUNCTION("""COMPUTED_VALUE"""),45163)</f>
        <v>45163</v>
      </c>
      <c r="B1561" s="23" t="str">
        <f ca="1">IFERROR(__xludf.DUMMYFUNCTION("""COMPUTED_VALUE"""),"WC - CARLOS DUROPLAST/FLAT/ZM NATURE MARBLE")</f>
        <v>WC - CARLOS DUROPLAST/FLAT/ZM NATURE MARBLE</v>
      </c>
      <c r="C1561" s="23"/>
      <c r="D1561" s="24">
        <f ca="1">IFERROR(__xludf.DUMMYFUNCTION("""COMPUTED_VALUE"""),879)</f>
        <v>879</v>
      </c>
      <c r="E1561" s="25" t="str">
        <f ca="1">IFERROR(__xludf.DUMMYFUNCTION("""COMPUTED_VALUE"""),"REA-C6606")</f>
        <v>REA-C6606</v>
      </c>
    </row>
    <row r="1562" spans="1:5" x14ac:dyDescent="0.2">
      <c r="A1562" s="22">
        <f ca="1">IFERROR(__xludf.DUMMYFUNCTION("""COMPUTED_VALUE"""),45155)</f>
        <v>45155</v>
      </c>
      <c r="B1562" s="23" t="str">
        <f ca="1">IFERROR(__xludf.DUMMYFUNCTION("""COMPUTED_VALUE"""),"UMYWALKA NADIA 60 BLACK MARBLE SHINY - NABLATOWA")</f>
        <v>UMYWALKA NADIA 60 BLACK MARBLE SHINY - NABLATOWA</v>
      </c>
      <c r="C1562" s="23"/>
      <c r="D1562" s="24">
        <f ca="1">IFERROR(__xludf.DUMMYFUNCTION("""COMPUTED_VALUE"""),369)</f>
        <v>369</v>
      </c>
      <c r="E1562" s="25" t="str">
        <f ca="1">IFERROR(__xludf.DUMMYFUNCTION("""COMPUTED_VALUE"""),"REA-U0539")</f>
        <v>REA-U0539</v>
      </c>
    </row>
    <row r="1563" spans="1:5" x14ac:dyDescent="0.2">
      <c r="A1563" s="22">
        <f ca="1">IFERROR(__xludf.DUMMYFUNCTION("""COMPUTED_VALUE"""),45155)</f>
        <v>45155</v>
      </c>
      <c r="B1563" s="23" t="str">
        <f ca="1">IFERROR(__xludf.DUMMYFUNCTION("""COMPUTED_VALUE"""),"UMYWALKA ROYAL MINI BLACK/WHITE - NABLATOWA")</f>
        <v>UMYWALKA ROYAL MINI BLACK/WHITE - NABLATOWA</v>
      </c>
      <c r="C1563" s="23"/>
      <c r="D1563" s="24">
        <f ca="1">IFERROR(__xludf.DUMMYFUNCTION("""COMPUTED_VALUE"""),429)</f>
        <v>429</v>
      </c>
      <c r="E1563" s="25" t="str">
        <f ca="1">IFERROR(__xludf.DUMMYFUNCTION("""COMPUTED_VALUE"""),"REA-U0538")</f>
        <v>REA-U0538</v>
      </c>
    </row>
    <row r="1564" spans="1:5" x14ac:dyDescent="0.2">
      <c r="A1564" s="22">
        <f ca="1">IFERROR(__xludf.DUMMYFUNCTION("""COMPUTED_VALUE"""),45155)</f>
        <v>45155</v>
      </c>
      <c r="B1564" s="23" t="str">
        <f ca="1">IFERROR(__xludf.DUMMYFUNCTION("""COMPUTED_VALUE"""),"UMYWALKA ROYAL STATUARIO MARBLE MATT - NABLATOWA")</f>
        <v>UMYWALKA ROYAL STATUARIO MARBLE MATT - NABLATOWA</v>
      </c>
      <c r="C1564" s="23"/>
      <c r="D1564" s="24">
        <f ca="1">IFERROR(__xludf.DUMMYFUNCTION("""COMPUTED_VALUE"""),379)</f>
        <v>379</v>
      </c>
      <c r="E1564" s="25" t="str">
        <f ca="1">IFERROR(__xludf.DUMMYFUNCTION("""COMPUTED_VALUE"""),"REA-U8010")</f>
        <v>REA-U8010</v>
      </c>
    </row>
    <row r="1565" spans="1:5" x14ac:dyDescent="0.2">
      <c r="A1565" s="22">
        <f ca="1">IFERROR(__xludf.DUMMYFUNCTION("""COMPUTED_VALUE"""),45155)</f>
        <v>45155</v>
      </c>
      <c r="B1565" s="23" t="str">
        <f ca="1">IFERROR(__xludf.DUMMYFUNCTION("""COMPUTED_VALUE"""),"UMYWALKA BLANKA MARBLE - WOLNOSTOJĄCA")</f>
        <v>UMYWALKA BLANKA MARBLE - WOLNOSTOJĄCA</v>
      </c>
      <c r="C1565" s="23"/>
      <c r="D1565" s="24">
        <f ca="1">IFERROR(__xludf.DUMMYFUNCTION("""COMPUTED_VALUE"""),1599)</f>
        <v>1599</v>
      </c>
      <c r="E1565" s="25" t="str">
        <f ca="1">IFERROR(__xludf.DUMMYFUNCTION("""COMPUTED_VALUE"""),"REA-U8704")</f>
        <v>REA-U8704</v>
      </c>
    </row>
    <row r="1566" spans="1:5" x14ac:dyDescent="0.2">
      <c r="A1566" s="22">
        <f ca="1">IFERROR(__xludf.DUMMYFUNCTION("""COMPUTED_VALUE"""),45155)</f>
        <v>45155</v>
      </c>
      <c r="B1566" s="23" t="str">
        <f ca="1">IFERROR(__xludf.DUMMYFUNCTION("""COMPUTED_VALUE"""),"UMYWALKA LINDA STONE - NABLATOWA")</f>
        <v>UMYWALKA LINDA STONE - NABLATOWA</v>
      </c>
      <c r="C1566" s="23"/>
      <c r="D1566" s="24">
        <f ca="1">IFERROR(__xludf.DUMMYFUNCTION("""COMPUTED_VALUE"""),349)</f>
        <v>349</v>
      </c>
      <c r="E1566" s="25" t="str">
        <f ca="1">IFERROR(__xludf.DUMMYFUNCTION("""COMPUTED_VALUE"""),"REA-U1020")</f>
        <v>REA-U1020</v>
      </c>
    </row>
    <row r="1567" spans="1:5" x14ac:dyDescent="0.2">
      <c r="A1567" s="22">
        <f ca="1">IFERROR(__xludf.DUMMYFUNCTION("""COMPUTED_VALUE"""),45155)</f>
        <v>45155</v>
      </c>
      <c r="B1567" s="23" t="str">
        <f ca="1">IFERROR(__xludf.DUMMYFUNCTION("""COMPUTED_VALUE"""),"UMYWALKA BLANKA - WOLNOSTOJĄCA")</f>
        <v>UMYWALKA BLANKA - WOLNOSTOJĄCA</v>
      </c>
      <c r="C1567" s="23"/>
      <c r="D1567" s="24">
        <f ca="1">IFERROR(__xludf.DUMMYFUNCTION("""COMPUTED_VALUE"""),999)</f>
        <v>999</v>
      </c>
      <c r="E1567" s="25" t="str">
        <f ca="1">IFERROR(__xludf.DUMMYFUNCTION("""COMPUTED_VALUE"""),"REA-U5635")</f>
        <v>REA-U5635</v>
      </c>
    </row>
    <row r="1568" spans="1:5" x14ac:dyDescent="0.2">
      <c r="A1568" s="22">
        <f ca="1">IFERROR(__xludf.DUMMYFUNCTION("""COMPUTED_VALUE"""),45155)</f>
        <v>45155</v>
      </c>
      <c r="B1568" s="23" t="str">
        <f ca="1">IFERROR(__xludf.DUMMYFUNCTION("""COMPUTED_VALUE"""),"UMYWALKA VALERIA N - NABLATOWA")</f>
        <v>UMYWALKA VALERIA N - NABLATOWA</v>
      </c>
      <c r="C1568" s="23"/>
      <c r="D1568" s="24">
        <f ca="1">IFERROR(__xludf.DUMMYFUNCTION("""COMPUTED_VALUE"""),299)</f>
        <v>299</v>
      </c>
      <c r="E1568" s="25" t="str">
        <f ca="1">IFERROR(__xludf.DUMMYFUNCTION("""COMPUTED_VALUE"""),"REA-U5000")</f>
        <v>REA-U5000</v>
      </c>
    </row>
    <row r="1569" spans="1:5" x14ac:dyDescent="0.2">
      <c r="A1569" s="22">
        <f ca="1">IFERROR(__xludf.DUMMYFUNCTION("""COMPUTED_VALUE"""),45155)</f>
        <v>45155</v>
      </c>
      <c r="B1569" s="23" t="str">
        <f ca="1">IFERROR(__xludf.DUMMYFUNCTION("""COMPUTED_VALUE"""),"WC - CARLOS DUROPLAST/SLIM/ZM LAVA MATT")</f>
        <v>WC - CARLOS DUROPLAST/SLIM/ZM LAVA MATT</v>
      </c>
      <c r="C1569" s="23"/>
      <c r="D1569" s="24">
        <f ca="1">IFERROR(__xludf.DUMMYFUNCTION("""COMPUTED_VALUE"""),1099)</f>
        <v>1099</v>
      </c>
      <c r="E1569" s="25" t="str">
        <f ca="1">IFERROR(__xludf.DUMMYFUNCTION("""COMPUTED_VALUE"""),"REA-C8004")</f>
        <v>REA-C8004</v>
      </c>
    </row>
    <row r="1570" spans="1:5" x14ac:dyDescent="0.2">
      <c r="A1570" s="22">
        <f ca="1">IFERROR(__xludf.DUMMYFUNCTION("""COMPUTED_VALUE"""),45155)</f>
        <v>45155</v>
      </c>
      <c r="B1570" s="23" t="str">
        <f ca="1">IFERROR(__xludf.DUMMYFUNCTION("""COMPUTED_VALUE"""),"WC - CARLOS DUROPLAST/SLIM/ZM GRANIT MATT")</f>
        <v>WC - CARLOS DUROPLAST/SLIM/ZM GRANIT MATT</v>
      </c>
      <c r="C1570" s="23"/>
      <c r="D1570" s="24">
        <f ca="1">IFERROR(__xludf.DUMMYFUNCTION("""COMPUTED_VALUE"""),1099)</f>
        <v>1099</v>
      </c>
      <c r="E1570" s="25" t="str">
        <f ca="1">IFERROR(__xludf.DUMMYFUNCTION("""COMPUTED_VALUE"""),"REA-C8003")</f>
        <v>REA-C8003</v>
      </c>
    </row>
    <row r="1571" spans="1:5" x14ac:dyDescent="0.2">
      <c r="A1571" s="22">
        <f ca="1">IFERROR(__xludf.DUMMYFUNCTION("""COMPUTED_VALUE"""),45155)</f>
        <v>45155</v>
      </c>
      <c r="B1571" s="23" t="str">
        <f ca="1">IFERROR(__xludf.DUMMYFUNCTION("""COMPUTED_VALUE"""),"WC - CARLOS DUROPLAST/SLIM/ZM LAVA SHINY")</f>
        <v>WC - CARLOS DUROPLAST/SLIM/ZM LAVA SHINY</v>
      </c>
      <c r="C1571" s="23"/>
      <c r="D1571" s="24">
        <f ca="1">IFERROR(__xludf.DUMMYFUNCTION("""COMPUTED_VALUE"""),1159)</f>
        <v>1159</v>
      </c>
      <c r="E1571" s="25" t="str">
        <f ca="1">IFERROR(__xludf.DUMMYFUNCTION("""COMPUTED_VALUE"""),"REA-C0536")</f>
        <v>REA-C0536</v>
      </c>
    </row>
    <row r="1572" spans="1:5" x14ac:dyDescent="0.2">
      <c r="A1572" s="22">
        <f ca="1">IFERROR(__xludf.DUMMYFUNCTION("""COMPUTED_VALUE"""),45155)</f>
        <v>45155</v>
      </c>
      <c r="B1572" s="23" t="str">
        <f ca="1">IFERROR(__xludf.DUMMYFUNCTION("""COMPUTED_VALUE"""),"WC - CARLOS DUROPLAST/SLIM/ZM GRANIT SHINY")</f>
        <v>WC - CARLOS DUROPLAST/SLIM/ZM GRANIT SHINY</v>
      </c>
      <c r="C1572" s="23"/>
      <c r="D1572" s="24">
        <f ca="1">IFERROR(__xludf.DUMMYFUNCTION("""COMPUTED_VALUE"""),1159)</f>
        <v>1159</v>
      </c>
      <c r="E1572" s="25" t="str">
        <f ca="1">IFERROR(__xludf.DUMMYFUNCTION("""COMPUTED_VALUE"""),"REA-C8002")</f>
        <v>REA-C8002</v>
      </c>
    </row>
    <row r="1573" spans="1:5" x14ac:dyDescent="0.2">
      <c r="A1573" s="22">
        <f ca="1">IFERROR(__xludf.DUMMYFUNCTION("""COMPUTED_VALUE"""),45155)</f>
        <v>45155</v>
      </c>
      <c r="B1573" s="23" t="str">
        <f ca="1">IFERROR(__xludf.DUMMYFUNCTION("""COMPUTED_VALUE"""),"UMYWALKA MERYL BLACK - NABLATOWA")</f>
        <v>UMYWALKA MERYL BLACK - NABLATOWA</v>
      </c>
      <c r="C1573" s="23"/>
      <c r="D1573" s="24">
        <f ca="1">IFERROR(__xludf.DUMMYFUNCTION("""COMPUTED_VALUE"""),649)</f>
        <v>649</v>
      </c>
      <c r="E1573" s="25" t="str">
        <f ca="1">IFERROR(__xludf.DUMMYFUNCTION("""COMPUTED_VALUE"""),"REA-U8811")</f>
        <v>REA-U8811</v>
      </c>
    </row>
    <row r="1574" spans="1:5" x14ac:dyDescent="0.2">
      <c r="A1574" s="22">
        <f ca="1">IFERROR(__xludf.DUMMYFUNCTION("""COMPUTED_VALUE"""),45148)</f>
        <v>45148</v>
      </c>
      <c r="B1574" s="23" t="str">
        <f ca="1">IFERROR(__xludf.DUMMYFUNCTION("""COMPUTED_VALUE"""),"UMYWALKA RIVER - WOLNOSTOJĄCA ")</f>
        <v xml:space="preserve">UMYWALKA RIVER - WOLNOSTOJĄCA </v>
      </c>
      <c r="C1574" s="23"/>
      <c r="D1574" s="24">
        <f ca="1">IFERROR(__xludf.DUMMYFUNCTION("""COMPUTED_VALUE"""),899)</f>
        <v>899</v>
      </c>
      <c r="E1574" s="25" t="str">
        <f ca="1">IFERROR(__xludf.DUMMYFUNCTION("""COMPUTED_VALUE"""),"REA-U6962")</f>
        <v>REA-U6962</v>
      </c>
    </row>
    <row r="1575" spans="1:5" x14ac:dyDescent="0.2">
      <c r="A1575" s="22">
        <f ca="1">IFERROR(__xludf.DUMMYFUNCTION("""COMPUTED_VALUE"""),45148)</f>
        <v>45148</v>
      </c>
      <c r="B1575" s="23" t="str">
        <f ca="1">IFERROR(__xludf.DUMMYFUNCTION("""COMPUTED_VALUE"""),"WANNA MALTA 170")</f>
        <v>WANNA MALTA 170</v>
      </c>
      <c r="C1575" s="23"/>
      <c r="D1575" s="24">
        <f ca="1">IFERROR(__xludf.DUMMYFUNCTION("""COMPUTED_VALUE"""),3519)</f>
        <v>3519</v>
      </c>
      <c r="E1575" s="25" t="str">
        <f ca="1">IFERROR(__xludf.DUMMYFUNCTION("""COMPUTED_VALUE"""),"REA-W3003")</f>
        <v>REA-W3003</v>
      </c>
    </row>
    <row r="1576" spans="1:5" x14ac:dyDescent="0.2">
      <c r="A1576" s="22">
        <f ca="1">IFERROR(__xludf.DUMMYFUNCTION("""COMPUTED_VALUE"""),45148)</f>
        <v>45148</v>
      </c>
      <c r="B1576" s="23" t="str">
        <f ca="1">IFERROR(__xludf.DUMMYFUNCTION("""COMPUTED_VALUE"""),"WANNA CORI 170")</f>
        <v>WANNA CORI 170</v>
      </c>
      <c r="C1576" s="23"/>
      <c r="D1576" s="24">
        <f ca="1">IFERROR(__xludf.DUMMYFUNCTION("""COMPUTED_VALUE"""),3399)</f>
        <v>3399</v>
      </c>
      <c r="E1576" s="25" t="str">
        <f ca="1">IFERROR(__xludf.DUMMYFUNCTION("""COMPUTED_VALUE"""),"REA-W3001")</f>
        <v>REA-W3001</v>
      </c>
    </row>
    <row r="1577" spans="1:5" x14ac:dyDescent="0.2">
      <c r="A1577" s="22">
        <f ca="1">IFERROR(__xludf.DUMMYFUNCTION("""COMPUTED_VALUE"""),45148)</f>
        <v>45148</v>
      </c>
      <c r="B1577" s="23" t="str">
        <f ca="1">IFERROR(__xludf.DUMMYFUNCTION("""COMPUTED_VALUE"""),"WANNA CORI 160")</f>
        <v>WANNA CORI 160</v>
      </c>
      <c r="C1577" s="23"/>
      <c r="D1577" s="24">
        <f ca="1">IFERROR(__xludf.DUMMYFUNCTION("""COMPUTED_VALUE"""),3299)</f>
        <v>3299</v>
      </c>
      <c r="E1577" s="25" t="str">
        <f ca="1">IFERROR(__xludf.DUMMYFUNCTION("""COMPUTED_VALUE"""),"REA-W3000")</f>
        <v>REA-W3000</v>
      </c>
    </row>
    <row r="1578" spans="1:5" x14ac:dyDescent="0.2">
      <c r="A1578" s="22">
        <f ca="1">IFERROR(__xludf.DUMMYFUNCTION("""COMPUTED_VALUE"""),45148)</f>
        <v>45148</v>
      </c>
      <c r="B1578" s="23" t="str">
        <f ca="1">IFERROR(__xludf.DUMMYFUNCTION("""COMPUTED_VALUE"""),"WANNA MALTA 150")</f>
        <v>WANNA MALTA 150</v>
      </c>
      <c r="C1578" s="23"/>
      <c r="D1578" s="24">
        <f ca="1">IFERROR(__xludf.DUMMYFUNCTION("""COMPUTED_VALUE"""),3499)</f>
        <v>3499</v>
      </c>
      <c r="E1578" s="25" t="str">
        <f ca="1">IFERROR(__xludf.DUMMYFUNCTION("""COMPUTED_VALUE"""),"REA-W3002")</f>
        <v>REA-W3002</v>
      </c>
    </row>
    <row r="1579" spans="1:5" x14ac:dyDescent="0.2">
      <c r="A1579" s="22">
        <f ca="1">IFERROR(__xludf.DUMMYFUNCTION("""COMPUTED_VALUE"""),45148)</f>
        <v>45148</v>
      </c>
      <c r="B1579" s="23" t="str">
        <f ca="1">IFERROR(__xludf.DUMMYFUNCTION("""COMPUTED_VALUE"""),"WANNA OLIMPIA 150")</f>
        <v>WANNA OLIMPIA 150</v>
      </c>
      <c r="C1579" s="23"/>
      <c r="D1579" s="24">
        <f ca="1">IFERROR(__xludf.DUMMYFUNCTION("""COMPUTED_VALUE"""),3599)</f>
        <v>3599</v>
      </c>
      <c r="E1579" s="25" t="str">
        <f ca="1">IFERROR(__xludf.DUMMYFUNCTION("""COMPUTED_VALUE"""),"REA-W0634")</f>
        <v>REA-W0634</v>
      </c>
    </row>
    <row r="1580" spans="1:5" x14ac:dyDescent="0.2">
      <c r="A1580" s="22">
        <f ca="1">IFERROR(__xludf.DUMMYFUNCTION("""COMPUTED_VALUE"""),45148)</f>
        <v>45148</v>
      </c>
      <c r="B1580" s="23" t="str">
        <f ca="1">IFERROR(__xludf.DUMMYFUNCTION("""COMPUTED_VALUE"""),"WANNA KERRANO 170")</f>
        <v>WANNA KERRANO 170</v>
      </c>
      <c r="C1580" s="23"/>
      <c r="D1580" s="24">
        <f ca="1">IFERROR(__xludf.DUMMYFUNCTION("""COMPUTED_VALUE"""),3690)</f>
        <v>3690</v>
      </c>
      <c r="E1580" s="25" t="str">
        <f ca="1">IFERROR(__xludf.DUMMYFUNCTION("""COMPUTED_VALUE"""),"REA-W2003")</f>
        <v>REA-W2003</v>
      </c>
    </row>
    <row r="1581" spans="1:5" x14ac:dyDescent="0.2">
      <c r="A1581" s="22">
        <f ca="1">IFERROR(__xludf.DUMMYFUNCTION("""COMPUTED_VALUE"""),45148)</f>
        <v>45148</v>
      </c>
      <c r="B1581" s="23" t="str">
        <f ca="1">IFERROR(__xludf.DUMMYFUNCTION("""COMPUTED_VALUE"""),"WANNA KERRANO 150")</f>
        <v>WANNA KERRANO 150</v>
      </c>
      <c r="C1581" s="23"/>
      <c r="D1581" s="24">
        <f ca="1">IFERROR(__xludf.DUMMYFUNCTION("""COMPUTED_VALUE"""),3490)</f>
        <v>3490</v>
      </c>
      <c r="E1581" s="25" t="str">
        <f ca="1">IFERROR(__xludf.DUMMYFUNCTION("""COMPUTED_VALUE"""),"REA-W2002")</f>
        <v>REA-W2002</v>
      </c>
    </row>
    <row r="1582" spans="1:5" x14ac:dyDescent="0.2">
      <c r="A1582" s="22">
        <f ca="1">IFERROR(__xludf.DUMMYFUNCTION("""COMPUTED_VALUE"""),45148)</f>
        <v>45148</v>
      </c>
      <c r="B1582" s="23" t="str">
        <f ca="1">IFERROR(__xludf.DUMMYFUNCTION("""COMPUTED_VALUE"""),"UMYWALKA RITA SLIM - WOLNOSTOJĄCA")</f>
        <v>UMYWALKA RITA SLIM - WOLNOSTOJĄCA</v>
      </c>
      <c r="C1582" s="23"/>
      <c r="D1582" s="24">
        <f ca="1">IFERROR(__xludf.DUMMYFUNCTION("""COMPUTED_VALUE"""),919)</f>
        <v>919</v>
      </c>
      <c r="E1582" s="25" t="str">
        <f ca="1">IFERROR(__xludf.DUMMYFUNCTION("""COMPUTED_VALUE"""),"REA-U9901")</f>
        <v>REA-U9901</v>
      </c>
    </row>
    <row r="1583" spans="1:5" x14ac:dyDescent="0.2">
      <c r="A1583" s="22">
        <f ca="1">IFERROR(__xludf.DUMMYFUNCTION("""COMPUTED_VALUE"""),45148)</f>
        <v>45148</v>
      </c>
      <c r="B1583" s="23" t="str">
        <f ca="1">IFERROR(__xludf.DUMMYFUNCTION("""COMPUTED_VALUE"""),"UMYWALKA DARIA - WOLNOSTOJĄCA")</f>
        <v>UMYWALKA DARIA - WOLNOSTOJĄCA</v>
      </c>
      <c r="C1583" s="23"/>
      <c r="D1583" s="24">
        <f ca="1">IFERROR(__xludf.DUMMYFUNCTION("""COMPUTED_VALUE"""),999)</f>
        <v>999</v>
      </c>
      <c r="E1583" s="25" t="str">
        <f ca="1">IFERROR(__xludf.DUMMYFUNCTION("""COMPUTED_VALUE"""),"REA-U9900")</f>
        <v>REA-U9900</v>
      </c>
    </row>
    <row r="1584" spans="1:5" x14ac:dyDescent="0.2">
      <c r="A1584" s="22">
        <f ca="1">IFERROR(__xludf.DUMMYFUNCTION("""COMPUTED_VALUE"""),45148)</f>
        <v>45148</v>
      </c>
      <c r="B1584" s="23" t="str">
        <f ca="1">IFERROR(__xludf.DUMMYFUNCTION("""COMPUTED_VALUE"""),"UMYWALKA ARIS - WOLNOSTOJĄCA")</f>
        <v>UMYWALKA ARIS - WOLNOSTOJĄCA</v>
      </c>
      <c r="C1584" s="23"/>
      <c r="D1584" s="24">
        <f ca="1">IFERROR(__xludf.DUMMYFUNCTION("""COMPUTED_VALUE"""),999)</f>
        <v>999</v>
      </c>
      <c r="E1584" s="25" t="str">
        <f ca="1">IFERROR(__xludf.DUMMYFUNCTION("""COMPUTED_VALUE"""),"REA-U5637")</f>
        <v>REA-U5637</v>
      </c>
    </row>
    <row r="1585" spans="1:5" x14ac:dyDescent="0.2">
      <c r="A1585" s="22">
        <f ca="1">IFERROR(__xludf.DUMMYFUNCTION("""COMPUTED_VALUE"""),45148)</f>
        <v>45148</v>
      </c>
      <c r="B1585" s="23" t="str">
        <f ca="1">IFERROR(__xludf.DUMMYFUNCTION("""COMPUTED_VALUE"""),"UMYWALKA ARIS MARBLE - WOLNOSTOJĄCA")</f>
        <v>UMYWALKA ARIS MARBLE - WOLNOSTOJĄCA</v>
      </c>
      <c r="C1585" s="23"/>
      <c r="D1585" s="24">
        <f ca="1">IFERROR(__xludf.DUMMYFUNCTION("""COMPUTED_VALUE"""),1499)</f>
        <v>1499</v>
      </c>
      <c r="E1585" s="25" t="str">
        <f ca="1">IFERROR(__xludf.DUMMYFUNCTION("""COMPUTED_VALUE"""),"REA-U6906")</f>
        <v>REA-U6906</v>
      </c>
    </row>
    <row r="1586" spans="1:5" x14ac:dyDescent="0.2">
      <c r="A1586" s="22">
        <f ca="1">IFERROR(__xludf.DUMMYFUNCTION("""COMPUTED_VALUE"""),45148)</f>
        <v>45148</v>
      </c>
      <c r="B1586" s="23" t="str">
        <f ca="1">IFERROR(__xludf.DUMMYFUNCTION("""COMPUTED_VALUE"""),"UMYWALKA AGNES - WOLNOSTOJĄCA")</f>
        <v>UMYWALKA AGNES - WOLNOSTOJĄCA</v>
      </c>
      <c r="C1586" s="23"/>
      <c r="D1586" s="24">
        <f ca="1">IFERROR(__xludf.DUMMYFUNCTION("""COMPUTED_VALUE"""),999)</f>
        <v>999</v>
      </c>
      <c r="E1586" s="25" t="str">
        <f ca="1">IFERROR(__xludf.DUMMYFUNCTION("""COMPUTED_VALUE"""),"REA-U9906")</f>
        <v>REA-U9906</v>
      </c>
    </row>
    <row r="1587" spans="1:5" x14ac:dyDescent="0.2">
      <c r="A1587" s="22">
        <f ca="1">IFERROR(__xludf.DUMMYFUNCTION("""COMPUTED_VALUE"""),45148)</f>
        <v>45148</v>
      </c>
      <c r="B1587" s="23" t="str">
        <f ca="1">IFERROR(__xludf.DUMMYFUNCTION("""COMPUTED_VALUE"""),"UMYWALKA NADIA GOLD EDGE - NABLATOWA")</f>
        <v>UMYWALKA NADIA GOLD EDGE - NABLATOWA</v>
      </c>
      <c r="C1587" s="23"/>
      <c r="D1587" s="24">
        <f ca="1">IFERROR(__xludf.DUMMYFUNCTION("""COMPUTED_VALUE"""),499)</f>
        <v>499</v>
      </c>
      <c r="E1587" s="25" t="str">
        <f ca="1">IFERROR(__xludf.DUMMYFUNCTION("""COMPUTED_VALUE"""),"REA-U1063")</f>
        <v>REA-U1063</v>
      </c>
    </row>
    <row r="1588" spans="1:5" x14ac:dyDescent="0.2">
      <c r="A1588" s="22">
        <f ca="1">IFERROR(__xludf.DUMMYFUNCTION("""COMPUTED_VALUE"""),45142)</f>
        <v>45142</v>
      </c>
      <c r="B1588" s="23" t="str">
        <f ca="1">IFERROR(__xludf.DUMMYFUNCTION("""COMPUTED_VALUE"""),"BATERIA KUCHENNA PACO CZARNA")</f>
        <v>BATERIA KUCHENNA PACO CZARNA</v>
      </c>
      <c r="C1588" s="23"/>
      <c r="D1588" s="24">
        <f ca="1">IFERROR(__xludf.DUMMYFUNCTION("""COMPUTED_VALUE"""),209)</f>
        <v>209</v>
      </c>
      <c r="E1588" s="25" t="str">
        <f ca="1">IFERROR(__xludf.DUMMYFUNCTION("""COMPUTED_VALUE"""),"REA-B0536")</f>
        <v>REA-B0536</v>
      </c>
    </row>
    <row r="1589" spans="1:5" x14ac:dyDescent="0.2">
      <c r="A1589" s="22">
        <f ca="1">IFERROR(__xludf.DUMMYFUNCTION("""COMPUTED_VALUE"""),45142)</f>
        <v>45142</v>
      </c>
      <c r="B1589" s="23" t="str">
        <f ca="1">IFERROR(__xludf.DUMMYFUNCTION("""COMPUTED_VALUE"""),"BATERIA KUCHENNA PACO NIKIEL SZCZOTKOWANY")</f>
        <v>BATERIA KUCHENNA PACO NIKIEL SZCZOTKOWANY</v>
      </c>
      <c r="C1589" s="23"/>
      <c r="D1589" s="24">
        <f ca="1">IFERROR(__xludf.DUMMYFUNCTION("""COMPUTED_VALUE"""),199)</f>
        <v>199</v>
      </c>
      <c r="E1589" s="25" t="str">
        <f ca="1">IFERROR(__xludf.DUMMYFUNCTION("""COMPUTED_VALUE"""),"REA-B0537")</f>
        <v>REA-B0537</v>
      </c>
    </row>
    <row r="1590" spans="1:5" x14ac:dyDescent="0.2">
      <c r="A1590" s="22">
        <f ca="1">IFERROR(__xludf.DUMMYFUNCTION("""COMPUTED_VALUE"""),45142)</f>
        <v>45142</v>
      </c>
      <c r="B1590" s="23" t="str">
        <f ca="1">IFERROR(__xludf.DUMMYFUNCTION("""COMPUTED_VALUE"""),"ZESTAW NATRYSKOWY VINCENT CZARNY TERMOSTAT")</f>
        <v>ZESTAW NATRYSKOWY VINCENT CZARNY TERMOSTAT</v>
      </c>
      <c r="C1590" s="23"/>
      <c r="D1590" s="24">
        <f ca="1">IFERROR(__xludf.DUMMYFUNCTION("""COMPUTED_VALUE"""),799)</f>
        <v>799</v>
      </c>
      <c r="E1590" s="25" t="str">
        <f ca="1">IFERROR(__xludf.DUMMYFUNCTION("""COMPUTED_VALUE"""),"REA-P6600")</f>
        <v>REA-P6600</v>
      </c>
    </row>
    <row r="1591" spans="1:5" x14ac:dyDescent="0.2">
      <c r="A1591" s="22">
        <f ca="1">IFERROR(__xludf.DUMMYFUNCTION("""COMPUTED_VALUE"""),45142)</f>
        <v>45142</v>
      </c>
      <c r="B1591" s="23" t="str">
        <f ca="1">IFERROR(__xludf.DUMMYFUNCTION("""COMPUTED_VALUE"""),"ZESTAW NATRYSKOWY VERSO CZARNY+ BOX")</f>
        <v>ZESTAW NATRYSKOWY VERSO CZARNY+ BOX</v>
      </c>
      <c r="C1591" s="23"/>
      <c r="D1591" s="24">
        <f ca="1">IFERROR(__xludf.DUMMYFUNCTION("""COMPUTED_VALUE"""),569)</f>
        <v>569</v>
      </c>
      <c r="E1591" s="25" t="str">
        <f ca="1">IFERROR(__xludf.DUMMYFUNCTION("""COMPUTED_VALUE"""),"REA-P9145")</f>
        <v>REA-P9145</v>
      </c>
    </row>
    <row r="1592" spans="1:5" x14ac:dyDescent="0.2">
      <c r="A1592" s="22">
        <f ca="1">IFERROR(__xludf.DUMMYFUNCTION("""COMPUTED_VALUE"""),45142)</f>
        <v>45142</v>
      </c>
      <c r="B1592" s="23" t="str">
        <f ca="1">IFERROR(__xludf.DUMMYFUNCTION("""COMPUTED_VALUE"""),"ZESTAW NATRYSKOWO-WANNOWY Z WYLEWKĄ LUNGO CHROM")</f>
        <v>ZESTAW NATRYSKOWO-WANNOWY Z WYLEWKĄ LUNGO CHROM</v>
      </c>
      <c r="C1592" s="23"/>
      <c r="D1592" s="24">
        <f ca="1">IFERROR(__xludf.DUMMYFUNCTION("""COMPUTED_VALUE"""),959)</f>
        <v>959</v>
      </c>
      <c r="E1592" s="25" t="str">
        <f ca="1">IFERROR(__xludf.DUMMYFUNCTION("""COMPUTED_VALUE"""),"REA-P6612")</f>
        <v>REA-P6612</v>
      </c>
    </row>
    <row r="1593" spans="1:5" x14ac:dyDescent="0.2">
      <c r="A1593" s="22">
        <f ca="1">IFERROR(__xludf.DUMMYFUNCTION("""COMPUTED_VALUE"""),45142)</f>
        <v>45142</v>
      </c>
      <c r="B1593" s="23" t="str">
        <f ca="1">IFERROR(__xludf.DUMMYFUNCTION("""COMPUTED_VALUE"""),"ZESTAW NATRYSKOWO-WANNOWY Z WYLEWKĄ LUNGO ZŁOTY SZ")</f>
        <v>ZESTAW NATRYSKOWO-WANNOWY Z WYLEWKĄ LUNGO ZŁOTY SZ</v>
      </c>
      <c r="C1593" s="23"/>
      <c r="D1593" s="24">
        <f ca="1">IFERROR(__xludf.DUMMYFUNCTION("""COMPUTED_VALUE"""),1159)</f>
        <v>1159</v>
      </c>
      <c r="E1593" s="25" t="str">
        <f ca="1">IFERROR(__xludf.DUMMYFUNCTION("""COMPUTED_VALUE"""),"REA-P6609")</f>
        <v>REA-P6609</v>
      </c>
    </row>
    <row r="1594" spans="1:5" x14ac:dyDescent="0.2">
      <c r="A1594" s="22">
        <f ca="1">IFERROR(__xludf.DUMMYFUNCTION("""COMPUTED_VALUE"""),45142)</f>
        <v>45142</v>
      </c>
      <c r="B1594" s="23" t="str">
        <f ca="1">IFERROR(__xludf.DUMMYFUNCTION("""COMPUTED_VALUE"""),"RAMIĘ DO RAPID PRZYŚCIENNEJ CHROM")</f>
        <v>RAMIĘ DO RAPID PRZYŚCIENNEJ CHROM</v>
      </c>
      <c r="C1594" s="23"/>
      <c r="D1594" s="24">
        <f ca="1">IFERROR(__xludf.DUMMYFUNCTION("""COMPUTED_VALUE"""),100)</f>
        <v>100</v>
      </c>
      <c r="E1594" s="25" t="str">
        <f ca="1">IFERROR(__xludf.DUMMYFUNCTION("""COMPUTED_VALUE"""),"REA-K5699")</f>
        <v>REA-K5699</v>
      </c>
    </row>
    <row r="1595" spans="1:5" x14ac:dyDescent="0.2">
      <c r="A1595" s="22">
        <f ca="1">IFERROR(__xludf.DUMMYFUNCTION("""COMPUTED_VALUE"""),45142)</f>
        <v>45142</v>
      </c>
      <c r="B1595" s="23" t="str">
        <f ca="1">IFERROR(__xludf.DUMMYFUNCTION("""COMPUTED_VALUE"""),"RAMIĘ DO RAPID PRZYŚCIENNEJ BLACK")</f>
        <v>RAMIĘ DO RAPID PRZYŚCIENNEJ BLACK</v>
      </c>
      <c r="C1595" s="23"/>
      <c r="D1595" s="24">
        <f ca="1">IFERROR(__xludf.DUMMYFUNCTION("""COMPUTED_VALUE"""),100)</f>
        <v>100</v>
      </c>
      <c r="E1595" s="25" t="str">
        <f ca="1">IFERROR(__xludf.DUMMYFUNCTION("""COMPUTED_VALUE"""),"REA-K5670")</f>
        <v>REA-K5670</v>
      </c>
    </row>
    <row r="1596" spans="1:5" x14ac:dyDescent="0.2">
      <c r="A1596" s="22">
        <f ca="1">IFERROR(__xludf.DUMMYFUNCTION("""COMPUTED_VALUE"""),45142)</f>
        <v>45142</v>
      </c>
      <c r="B1596" s="23" t="str">
        <f ca="1">IFERROR(__xludf.DUMMYFUNCTION("""COMPUTED_VALUE"""),"ŚCIANKA PRYSZNICOWA BLER 110")</f>
        <v>ŚCIANKA PRYSZNICOWA BLER 110</v>
      </c>
      <c r="C1596" s="23"/>
      <c r="D1596" s="24">
        <f ca="1">IFERROR(__xludf.DUMMYFUNCTION("""COMPUTED_VALUE"""),949)</f>
        <v>949</v>
      </c>
      <c r="E1596" s="25" t="str">
        <f ca="1">IFERROR(__xludf.DUMMYFUNCTION("""COMPUTED_VALUE"""),"REA-K7630")</f>
        <v>REA-K7630</v>
      </c>
    </row>
    <row r="1597" spans="1:5" x14ac:dyDescent="0.2">
      <c r="A1597" s="22">
        <f ca="1">IFERROR(__xludf.DUMMYFUNCTION("""COMPUTED_VALUE"""),45142)</f>
        <v>45142</v>
      </c>
      <c r="B1597" s="23" t="str">
        <f ca="1">IFERROR(__xludf.DUMMYFUNCTION("""COMPUTED_VALUE"""),"ŚCIANKA PRYSZNICOWA BLER 100")</f>
        <v>ŚCIANKA PRYSZNICOWA BLER 100</v>
      </c>
      <c r="C1597" s="23"/>
      <c r="D1597" s="24">
        <f ca="1">IFERROR(__xludf.DUMMYFUNCTION("""COMPUTED_VALUE"""),899)</f>
        <v>899</v>
      </c>
      <c r="E1597" s="25" t="str">
        <f ca="1">IFERROR(__xludf.DUMMYFUNCTION("""COMPUTED_VALUE"""),"REA-K7634")</f>
        <v>REA-K7634</v>
      </c>
    </row>
    <row r="1598" spans="1:5" x14ac:dyDescent="0.2">
      <c r="A1598" s="22">
        <f ca="1">IFERROR(__xludf.DUMMYFUNCTION("""COMPUTED_VALUE"""),45142)</f>
        <v>45142</v>
      </c>
      <c r="B1598" s="23" t="str">
        <f ca="1">IFERROR(__xludf.DUMMYFUNCTION("""COMPUTED_VALUE"""),"ŚCIANKA PRYSZNICOWA BLER 90")</f>
        <v>ŚCIANKA PRYSZNICOWA BLER 90</v>
      </c>
      <c r="C1598" s="23"/>
      <c r="D1598" s="24">
        <f ca="1">IFERROR(__xludf.DUMMYFUNCTION("""COMPUTED_VALUE"""),839)</f>
        <v>839</v>
      </c>
      <c r="E1598" s="25" t="str">
        <f ca="1">IFERROR(__xludf.DUMMYFUNCTION("""COMPUTED_VALUE"""),"REA-K7638")</f>
        <v>REA-K7638</v>
      </c>
    </row>
    <row r="1599" spans="1:5" x14ac:dyDescent="0.2">
      <c r="A1599" s="22">
        <f ca="1">IFERROR(__xludf.DUMMYFUNCTION("""COMPUTED_VALUE"""),45142)</f>
        <v>45142</v>
      </c>
      <c r="B1599" s="23" t="str">
        <f ca="1">IFERROR(__xludf.DUMMYFUNCTION("""COMPUTED_VALUE"""),"PARAWAN RUCHOMY LAGOS-1 80")</f>
        <v>PARAWAN RUCHOMY LAGOS-1 80</v>
      </c>
      <c r="C1599" s="23"/>
      <c r="D1599" s="24">
        <f ca="1">IFERROR(__xludf.DUMMYFUNCTION("""COMPUTED_VALUE"""),459)</f>
        <v>459</v>
      </c>
      <c r="E1599" s="25" t="str">
        <f ca="1">IFERROR(__xludf.DUMMYFUNCTION("""COMPUTED_VALUE"""),"REA-K4570")</f>
        <v>REA-K4570</v>
      </c>
    </row>
    <row r="1600" spans="1:5" x14ac:dyDescent="0.2">
      <c r="A1600" s="22">
        <f ca="1">IFERROR(__xludf.DUMMYFUNCTION("""COMPUTED_VALUE"""),45142)</f>
        <v>45142</v>
      </c>
      <c r="B1600" s="23" t="str">
        <f ca="1">IFERROR(__xludf.DUMMYFUNCTION("""COMPUTED_VALUE"""),"PARAWAN RUCHOMY LAGOS 80")</f>
        <v>PARAWAN RUCHOMY LAGOS 80</v>
      </c>
      <c r="C1600" s="23"/>
      <c r="D1600" s="24">
        <f ca="1">IFERROR(__xludf.DUMMYFUNCTION("""COMPUTED_VALUE"""),499)</f>
        <v>499</v>
      </c>
      <c r="E1600" s="25" t="str">
        <f ca="1">IFERROR(__xludf.DUMMYFUNCTION("""COMPUTED_VALUE"""),"REA-K7633")</f>
        <v>REA-K7633</v>
      </c>
    </row>
    <row r="1601" spans="1:5" x14ac:dyDescent="0.2">
      <c r="A1601" s="22">
        <f ca="1">IFERROR(__xludf.DUMMYFUNCTION("""COMPUTED_VALUE"""),45142)</f>
        <v>45142</v>
      </c>
      <c r="B1601" s="23" t="str">
        <f ca="1">IFERROR(__xludf.DUMMYFUNCTION("""COMPUTED_VALUE"""),"ŚCIANKA PRYSZNICOWA AERO GOLD BRUSH 120")</f>
        <v>ŚCIANKA PRYSZNICOWA AERO GOLD BRUSH 120</v>
      </c>
      <c r="C1601" s="23"/>
      <c r="D1601" s="24">
        <f ca="1">IFERROR(__xludf.DUMMYFUNCTION("""COMPUTED_VALUE"""),1059)</f>
        <v>1059</v>
      </c>
      <c r="E1601" s="25" t="str">
        <f ca="1">IFERROR(__xludf.DUMMYFUNCTION("""COMPUTED_VALUE"""),"REA-K4702")</f>
        <v>REA-K4702</v>
      </c>
    </row>
    <row r="1602" spans="1:5" x14ac:dyDescent="0.2">
      <c r="A1602" s="22">
        <f ca="1">IFERROR(__xludf.DUMMYFUNCTION("""COMPUTED_VALUE"""),45142)</f>
        <v>45142</v>
      </c>
      <c r="B1602" s="23" t="str">
        <f ca="1">IFERROR(__xludf.DUMMYFUNCTION("""COMPUTED_VALUE"""),"ŚCIANKA PRYSZNICOWA AERO GOLD BRUSH 90")</f>
        <v>ŚCIANKA PRYSZNICOWA AERO GOLD BRUSH 90</v>
      </c>
      <c r="C1602" s="23"/>
      <c r="D1602" s="24">
        <f ca="1">IFERROR(__xludf.DUMMYFUNCTION("""COMPUTED_VALUE"""),959)</f>
        <v>959</v>
      </c>
      <c r="E1602" s="25" t="str">
        <f ca="1">IFERROR(__xludf.DUMMYFUNCTION("""COMPUTED_VALUE"""),"REA-K4700")</f>
        <v>REA-K4700</v>
      </c>
    </row>
    <row r="1603" spans="1:5" x14ac:dyDescent="0.2">
      <c r="A1603" s="22">
        <f ca="1">IFERROR(__xludf.DUMMYFUNCTION("""COMPUTED_VALUE"""),45142)</f>
        <v>45142</v>
      </c>
      <c r="B1603" s="23" t="str">
        <f ca="1">IFERROR(__xludf.DUMMYFUNCTION("""COMPUTED_VALUE"""),"ŚCIANKA PRYSZNICOWA AERO GOLD BRUSH 100")</f>
        <v>ŚCIANKA PRYSZNICOWA AERO GOLD BRUSH 100</v>
      </c>
      <c r="C1603" s="23"/>
      <c r="D1603" s="24">
        <f ca="1">IFERROR(__xludf.DUMMYFUNCTION("""COMPUTED_VALUE"""),979)</f>
        <v>979</v>
      </c>
      <c r="E1603" s="25" t="str">
        <f ca="1">IFERROR(__xludf.DUMMYFUNCTION("""COMPUTED_VALUE"""),"REA-K4701")</f>
        <v>REA-K4701</v>
      </c>
    </row>
    <row r="1604" spans="1:5" x14ac:dyDescent="0.2">
      <c r="A1604" s="22">
        <f ca="1">IFERROR(__xludf.DUMMYFUNCTION("""COMPUTED_VALUE"""),45142)</f>
        <v>45142</v>
      </c>
      <c r="B1604" s="23" t="str">
        <f ca="1">IFERROR(__xludf.DUMMYFUNCTION("""COMPUTED_VALUE"""),"UMYWALKA NEL BLACK - PODBLATOWA")</f>
        <v>UMYWALKA NEL BLACK - PODBLATOWA</v>
      </c>
      <c r="C1604" s="23"/>
      <c r="D1604" s="24">
        <f ca="1">IFERROR(__xludf.DUMMYFUNCTION("""COMPUTED_VALUE"""),259)</f>
        <v>259</v>
      </c>
      <c r="E1604" s="25" t="str">
        <f ca="1">IFERROR(__xludf.DUMMYFUNCTION("""COMPUTED_VALUE"""),"REA-U1023")</f>
        <v>REA-U1023</v>
      </c>
    </row>
    <row r="1605" spans="1:5" x14ac:dyDescent="0.2">
      <c r="A1605" s="22">
        <f ca="1">IFERROR(__xludf.DUMMYFUNCTION("""COMPUTED_VALUE"""),45142)</f>
        <v>45142</v>
      </c>
      <c r="B1605" s="23" t="str">
        <f ca="1">IFERROR(__xludf.DUMMYFUNCTION("""COMPUTED_VALUE"""),"UMYWALKA KELLY MARMO - NABLATOWA")</f>
        <v>UMYWALKA KELLY MARMO - NABLATOWA</v>
      </c>
      <c r="C1605" s="23"/>
      <c r="D1605" s="24">
        <f ca="1">IFERROR(__xludf.DUMMYFUNCTION("""COMPUTED_VALUE"""),339)</f>
        <v>339</v>
      </c>
      <c r="E1605" s="25" t="str">
        <f ca="1">IFERROR(__xludf.DUMMYFUNCTION("""COMPUTED_VALUE"""),"REA-U5052")</f>
        <v>REA-U5052</v>
      </c>
    </row>
    <row r="1606" spans="1:5" x14ac:dyDescent="0.2">
      <c r="A1606" s="22">
        <f ca="1">IFERROR(__xludf.DUMMYFUNCTION("""COMPUTED_VALUE"""),45142)</f>
        <v>45142</v>
      </c>
      <c r="B1606" s="23" t="str">
        <f ca="1">IFERROR(__xludf.DUMMYFUNCTION("""COMPUTED_VALUE"""),"UMYWALKA GINA 60 - NABLATOWA")</f>
        <v>UMYWALKA GINA 60 - NABLATOWA</v>
      </c>
      <c r="C1606" s="23"/>
      <c r="D1606" s="24">
        <f ca="1">IFERROR(__xludf.DUMMYFUNCTION("""COMPUTED_VALUE"""),419)</f>
        <v>419</v>
      </c>
      <c r="E1606" s="25" t="str">
        <f ca="1">IFERROR(__xludf.DUMMYFUNCTION("""COMPUTED_VALUE"""),"REA-U0677")</f>
        <v>REA-U0677</v>
      </c>
    </row>
    <row r="1607" spans="1:5" x14ac:dyDescent="0.2">
      <c r="A1607" s="22">
        <f ca="1">IFERROR(__xludf.DUMMYFUNCTION("""COMPUTED_VALUE"""),45142)</f>
        <v>45142</v>
      </c>
      <c r="B1607" s="23" t="str">
        <f ca="1">IFERROR(__xludf.DUMMYFUNCTION("""COMPUTED_VALUE"""),"UMYWALKA REMI - NABLATOWA")</f>
        <v>UMYWALKA REMI - NABLATOWA</v>
      </c>
      <c r="C1607" s="23"/>
      <c r="D1607" s="24">
        <f ca="1">IFERROR(__xludf.DUMMYFUNCTION("""COMPUTED_VALUE"""),279)</f>
        <v>279</v>
      </c>
      <c r="E1607" s="25" t="str">
        <f ca="1">IFERROR(__xludf.DUMMYFUNCTION("""COMPUTED_VALUE"""),"REA-U6961")</f>
        <v>REA-U6961</v>
      </c>
    </row>
    <row r="1608" spans="1:5" x14ac:dyDescent="0.2">
      <c r="A1608" s="22">
        <f ca="1">IFERROR(__xludf.DUMMYFUNCTION("""COMPUTED_VALUE"""),45142)</f>
        <v>45142</v>
      </c>
      <c r="B1608" s="23" t="str">
        <f ca="1">IFERROR(__xludf.DUMMYFUNCTION("""COMPUTED_VALUE"""),"UMYWALKA SOFIA MINI BLACK MARBLE SHINY - NABLATOWA")</f>
        <v>UMYWALKA SOFIA MINI BLACK MARBLE SHINY - NABLATOWA</v>
      </c>
      <c r="C1608" s="23"/>
      <c r="D1608" s="24">
        <f ca="1">IFERROR(__xludf.DUMMYFUNCTION("""COMPUTED_VALUE"""),269)</f>
        <v>269</v>
      </c>
      <c r="E1608" s="25" t="str">
        <f ca="1">IFERROR(__xludf.DUMMYFUNCTION("""COMPUTED_VALUE"""),"REA-U6963")</f>
        <v>REA-U6963</v>
      </c>
    </row>
    <row r="1609" spans="1:5" x14ac:dyDescent="0.2">
      <c r="A1609" s="22">
        <f ca="1">IFERROR(__xludf.DUMMYFUNCTION("""COMPUTED_VALUE"""),45142)</f>
        <v>45142</v>
      </c>
      <c r="B1609" s="23" t="str">
        <f ca="1">IFERROR(__xludf.DUMMYFUNCTION("""COMPUTED_VALUE"""),"UMYWALKA CHARLOTTE - NABLATOWA")</f>
        <v>UMYWALKA CHARLOTTE - NABLATOWA</v>
      </c>
      <c r="C1609" s="23"/>
      <c r="D1609" s="24">
        <f ca="1">IFERROR(__xludf.DUMMYFUNCTION("""COMPUTED_VALUE"""),299)</f>
        <v>299</v>
      </c>
      <c r="E1609" s="25" t="str">
        <f ca="1">IFERROR(__xludf.DUMMYFUNCTION("""COMPUTED_VALUE"""),"REA-U6960")</f>
        <v>REA-U6960</v>
      </c>
    </row>
    <row r="1610" spans="1:5" x14ac:dyDescent="0.2">
      <c r="A1610" s="22">
        <f ca="1">IFERROR(__xludf.DUMMYFUNCTION("""COMPUTED_VALUE"""),45139)</f>
        <v>45139</v>
      </c>
      <c r="B1610" s="23" t="str">
        <f ca="1">IFERROR(__xludf.DUMMYFUNCTION("""COMPUTED_VALUE"""),"UMYWALKA DENIS WHITE - NABLATOWA")</f>
        <v>UMYWALKA DENIS WHITE - NABLATOWA</v>
      </c>
      <c r="C1610" s="23"/>
      <c r="D1610" s="24">
        <f ca="1">IFERROR(__xludf.DUMMYFUNCTION("""COMPUTED_VALUE"""),329)</f>
        <v>329</v>
      </c>
      <c r="E1610" s="25" t="str">
        <f ca="1">IFERROR(__xludf.DUMMYFUNCTION("""COMPUTED_VALUE"""),"REA-U4800")</f>
        <v>REA-U4800</v>
      </c>
    </row>
    <row r="1611" spans="1:5" x14ac:dyDescent="0.2">
      <c r="A1611" s="22">
        <f ca="1">IFERROR(__xludf.DUMMYFUNCTION("""COMPUTED_VALUE"""),45139)</f>
        <v>45139</v>
      </c>
      <c r="B1611" s="23" t="str">
        <f ca="1">IFERROR(__xludf.DUMMYFUNCTION("""COMPUTED_VALUE"""),"UMYWALKA VEGAS MARBLE BLACK MAT - NABLATOWA")</f>
        <v>UMYWALKA VEGAS MARBLE BLACK MAT - NABLATOWA</v>
      </c>
      <c r="C1611" s="23"/>
      <c r="D1611" s="24">
        <f ca="1">IFERROR(__xludf.DUMMYFUNCTION("""COMPUTED_VALUE"""),299)</f>
        <v>299</v>
      </c>
      <c r="E1611" s="25" t="str">
        <f ca="1">IFERROR(__xludf.DUMMYFUNCTION("""COMPUTED_VALUE"""),"REA-U0994")</f>
        <v>REA-U0994</v>
      </c>
    </row>
    <row r="1612" spans="1:5" x14ac:dyDescent="0.2">
      <c r="A1612" s="22">
        <f ca="1">IFERROR(__xludf.DUMMYFUNCTION("""COMPUTED_VALUE"""),45139)</f>
        <v>45139</v>
      </c>
      <c r="B1612" s="23" t="str">
        <f ca="1">IFERROR(__xludf.DUMMYFUNCTION("""COMPUTED_VALUE"""),"UMYWALKA VEGAS MARBLE BLACK SHINY-NABLATOWA")</f>
        <v>UMYWALKA VEGAS MARBLE BLACK SHINY-NABLATOWA</v>
      </c>
      <c r="C1612" s="23"/>
      <c r="D1612" s="24">
        <f ca="1">IFERROR(__xludf.DUMMYFUNCTION("""COMPUTED_VALUE"""),259)</f>
        <v>259</v>
      </c>
      <c r="E1612" s="25" t="str">
        <f ca="1">IFERROR(__xludf.DUMMYFUNCTION("""COMPUTED_VALUE"""),"REA-U5603")</f>
        <v>REA-U5603</v>
      </c>
    </row>
    <row r="1613" spans="1:5" x14ac:dyDescent="0.2">
      <c r="A1613" s="22">
        <f ca="1">IFERROR(__xludf.DUMMYFUNCTION("""COMPUTED_VALUE"""),45139)</f>
        <v>45139</v>
      </c>
      <c r="B1613" s="23" t="str">
        <f ca="1">IFERROR(__xludf.DUMMYFUNCTION("""COMPUTED_VALUE"""),"UMYWALKA BLANKA NATURAL MATT - WOLNOSTOJĄCA")</f>
        <v>UMYWALKA BLANKA NATURAL MATT - WOLNOSTOJĄCA</v>
      </c>
      <c r="C1613" s="23"/>
      <c r="D1613" s="24">
        <f ca="1">IFERROR(__xludf.DUMMYFUNCTION("""COMPUTED_VALUE"""),1499)</f>
        <v>1499</v>
      </c>
      <c r="E1613" s="25" t="str">
        <f ca="1">IFERROR(__xludf.DUMMYFUNCTION("""COMPUTED_VALUE"""),"REA-U4664")</f>
        <v>REA-U4664</v>
      </c>
    </row>
    <row r="1614" spans="1:5" x14ac:dyDescent="0.2">
      <c r="A1614" s="22">
        <f ca="1">IFERROR(__xludf.DUMMYFUNCTION("""COMPUTED_VALUE"""),45138)</f>
        <v>45138</v>
      </c>
      <c r="B1614" s="23" t="str">
        <f ca="1">IFERROR(__xludf.DUMMYFUNCTION("""COMPUTED_VALUE"""),"UMYWALKA CLEO WHITE/BLACK EDGE - NABLATOWA")</f>
        <v>UMYWALKA CLEO WHITE/BLACK EDGE - NABLATOWA</v>
      </c>
      <c r="C1614" s="23"/>
      <c r="D1614" s="24">
        <f ca="1">IFERROR(__xludf.DUMMYFUNCTION("""COMPUTED_VALUE"""),339)</f>
        <v>339</v>
      </c>
      <c r="E1614" s="25" t="str">
        <f ca="1">IFERROR(__xludf.DUMMYFUNCTION("""COMPUTED_VALUE"""),"REA-U6210")</f>
        <v>REA-U6210</v>
      </c>
    </row>
    <row r="1615" spans="1:5" x14ac:dyDescent="0.2">
      <c r="A1615" s="22">
        <f ca="1">IFERROR(__xludf.DUMMYFUNCTION("""COMPUTED_VALUE"""),45138)</f>
        <v>45138</v>
      </c>
      <c r="B1615" s="23" t="str">
        <f ca="1">IFERROR(__xludf.DUMMYFUNCTION("""COMPUTED_VALUE"""),"UMYWALKA SOFIA MINI - NABLATOWA")</f>
        <v>UMYWALKA SOFIA MINI - NABLATOWA</v>
      </c>
      <c r="C1615" s="23"/>
      <c r="D1615" s="24">
        <f ca="1">IFERROR(__xludf.DUMMYFUNCTION("""COMPUTED_VALUE"""),169)</f>
        <v>169</v>
      </c>
      <c r="E1615" s="25" t="str">
        <f ca="1">IFERROR(__xludf.DUMMYFUNCTION("""COMPUTED_VALUE"""),"REA-U0623")</f>
        <v>REA-U0623</v>
      </c>
    </row>
    <row r="1616" spans="1:5" x14ac:dyDescent="0.2">
      <c r="A1616" s="22">
        <f ca="1">IFERROR(__xludf.DUMMYFUNCTION("""COMPUTED_VALUE"""),45138)</f>
        <v>45138</v>
      </c>
      <c r="B1616" s="23" t="str">
        <f ca="1">IFERROR(__xludf.DUMMYFUNCTION("""COMPUTED_VALUE"""),"UMYWALKA PAMELA - NABLATOWA")</f>
        <v>UMYWALKA PAMELA - NABLATOWA</v>
      </c>
      <c r="C1616" s="23"/>
      <c r="D1616" s="24">
        <f ca="1">IFERROR(__xludf.DUMMYFUNCTION("""COMPUTED_VALUE"""),249)</f>
        <v>249</v>
      </c>
      <c r="E1616" s="25" t="str">
        <f ca="1">IFERROR(__xludf.DUMMYFUNCTION("""COMPUTED_VALUE"""),"REA-U4603")</f>
        <v>REA-U4603</v>
      </c>
    </row>
    <row r="1617" spans="1:5" x14ac:dyDescent="0.2">
      <c r="A1617" s="22">
        <f ca="1">IFERROR(__xludf.DUMMYFUNCTION("""COMPUTED_VALUE"""),45138)</f>
        <v>45138</v>
      </c>
      <c r="B1617" s="23" t="str">
        <f ca="1">IFERROR(__xludf.DUMMYFUNCTION("""COMPUTED_VALUE"""),"UMYWALKA CLEO 81 - NABLATOWA")</f>
        <v>UMYWALKA CLEO 81 - NABLATOWA</v>
      </c>
      <c r="C1617" s="23"/>
      <c r="D1617" s="24">
        <f ca="1">IFERROR(__xludf.DUMMYFUNCTION("""COMPUTED_VALUE"""),429)</f>
        <v>429</v>
      </c>
      <c r="E1617" s="25" t="str">
        <f ca="1">IFERROR(__xludf.DUMMYFUNCTION("""COMPUTED_VALUE"""),"REA-U0563")</f>
        <v>REA-U0563</v>
      </c>
    </row>
    <row r="1618" spans="1:5" x14ac:dyDescent="0.2">
      <c r="A1618" s="22">
        <f ca="1">IFERROR(__xludf.DUMMYFUNCTION("""COMPUTED_VALUE"""),45138)</f>
        <v>45138</v>
      </c>
      <c r="B1618" s="23" t="str">
        <f ca="1">IFERROR(__xludf.DUMMYFUNCTION("""COMPUTED_VALUE"""),"UMYWALKA CLEO 81 SHINY AIAX - NABLATOWA")</f>
        <v>UMYWALKA CLEO 81 SHINY AIAX - NABLATOWA</v>
      </c>
      <c r="C1618" s="23"/>
      <c r="D1618" s="24">
        <f ca="1">IFERROR(__xludf.DUMMYFUNCTION("""COMPUTED_VALUE"""),539)</f>
        <v>539</v>
      </c>
      <c r="E1618" s="25" t="str">
        <f ca="1">IFERROR(__xludf.DUMMYFUNCTION("""COMPUTED_VALUE"""),"REA-U8404")</f>
        <v>REA-U8404</v>
      </c>
    </row>
    <row r="1619" spans="1:5" x14ac:dyDescent="0.2">
      <c r="A1619" s="22">
        <f ca="1">IFERROR(__xludf.DUMMYFUNCTION("""COMPUTED_VALUE"""),45138)</f>
        <v>45138</v>
      </c>
      <c r="B1619" s="23" t="str">
        <f ca="1">IFERROR(__xludf.DUMMYFUNCTION("""COMPUTED_VALUE"""),"UMYWALKA CLEO 81 SHINY MARMO - NABLATOWA")</f>
        <v>UMYWALKA CLEO 81 SHINY MARMO - NABLATOWA</v>
      </c>
      <c r="C1619" s="23"/>
      <c r="D1619" s="24">
        <f ca="1">IFERROR(__xludf.DUMMYFUNCTION("""COMPUTED_VALUE"""),499)</f>
        <v>499</v>
      </c>
      <c r="E1619" s="25" t="str">
        <f ca="1">IFERROR(__xludf.DUMMYFUNCTION("""COMPUTED_VALUE"""),"REA-U8403")</f>
        <v>REA-U8403</v>
      </c>
    </row>
    <row r="1620" spans="1:5" x14ac:dyDescent="0.2">
      <c r="A1620" s="22">
        <f ca="1">IFERROR(__xludf.DUMMYFUNCTION("""COMPUTED_VALUE"""),45138)</f>
        <v>45138</v>
      </c>
      <c r="B1620" s="23" t="str">
        <f ca="1">IFERROR(__xludf.DUMMYFUNCTION("""COMPUTED_VALUE"""),"UMYWALKA BELINDA WHITE BLACK - NABLATOWA")</f>
        <v>UMYWALKA BELINDA WHITE BLACK - NABLATOWA</v>
      </c>
      <c r="C1620" s="23"/>
      <c r="D1620" s="24">
        <f ca="1">IFERROR(__xludf.DUMMYFUNCTION("""COMPUTED_VALUE"""),399)</f>
        <v>399</v>
      </c>
      <c r="E1620" s="25" t="str">
        <f ca="1">IFERROR(__xludf.DUMMYFUNCTION("""COMPUTED_VALUE"""),"REA-U6332")</f>
        <v>REA-U6332</v>
      </c>
    </row>
    <row r="1621" spans="1:5" x14ac:dyDescent="0.2">
      <c r="A1621" s="22">
        <f ca="1">IFERROR(__xludf.DUMMYFUNCTION("""COMPUTED_VALUE"""),45138)</f>
        <v>45138</v>
      </c>
      <c r="B1621" s="23" t="str">
        <f ca="1">IFERROR(__xludf.DUMMYFUNCTION("""COMPUTED_VALUE"""),"UMYWALKA CLEO 61 BLACK AIAX MATT - NABLATOWA")</f>
        <v>UMYWALKA CLEO 61 BLACK AIAX MATT - NABLATOWA</v>
      </c>
      <c r="C1621" s="23"/>
      <c r="D1621" s="24">
        <f ca="1">IFERROR(__xludf.DUMMYFUNCTION("""COMPUTED_VALUE"""),449)</f>
        <v>449</v>
      </c>
      <c r="E1621" s="25" t="str">
        <f ca="1">IFERROR(__xludf.DUMMYFUNCTION("""COMPUTED_VALUE"""),"REA-U6625")</f>
        <v>REA-U6625</v>
      </c>
    </row>
    <row r="1622" spans="1:5" x14ac:dyDescent="0.2">
      <c r="A1622" s="22">
        <f ca="1">IFERROR(__xludf.DUMMYFUNCTION("""COMPUTED_VALUE"""),45138)</f>
        <v>45138</v>
      </c>
      <c r="B1622" s="23" t="str">
        <f ca="1">IFERROR(__xludf.DUMMYFUNCTION("""COMPUTED_VALUE"""),"UMYWALKA ROYAL 60 SHINY AIAX - NABLATOWA")</f>
        <v>UMYWALKA ROYAL 60 SHINY AIAX - NABLATOWA</v>
      </c>
      <c r="C1622" s="23"/>
      <c r="D1622" s="24">
        <f ca="1">IFERROR(__xludf.DUMMYFUNCTION("""COMPUTED_VALUE"""),419)</f>
        <v>419</v>
      </c>
      <c r="E1622" s="25" t="str">
        <f ca="1">IFERROR(__xludf.DUMMYFUNCTION("""COMPUTED_VALUE"""),"REA-U8548")</f>
        <v>REA-U8548</v>
      </c>
    </row>
    <row r="1623" spans="1:5" x14ac:dyDescent="0.2">
      <c r="A1623" s="22">
        <f ca="1">IFERROR(__xludf.DUMMYFUNCTION("""COMPUTED_VALUE"""),45138)</f>
        <v>45138</v>
      </c>
      <c r="B1623" s="23" t="str">
        <f ca="1">IFERROR(__xludf.DUMMYFUNCTION("""COMPUTED_VALUE"""),"UMYWALKA BELINDA MINI - NABLATOWA")</f>
        <v>UMYWALKA BELINDA MINI - NABLATOWA</v>
      </c>
      <c r="C1623" s="23"/>
      <c r="D1623" s="24">
        <f ca="1">IFERROR(__xludf.DUMMYFUNCTION("""COMPUTED_VALUE"""),199)</f>
        <v>199</v>
      </c>
      <c r="E1623" s="25" t="str">
        <f ca="1">IFERROR(__xludf.DUMMYFUNCTION("""COMPUTED_VALUE"""),"REA-U5667")</f>
        <v>REA-U5667</v>
      </c>
    </row>
    <row r="1624" spans="1:5" x14ac:dyDescent="0.2">
      <c r="A1624" s="22">
        <f ca="1">IFERROR(__xludf.DUMMYFUNCTION("""COMPUTED_VALUE"""),45138)</f>
        <v>45138</v>
      </c>
      <c r="B1624" s="23" t="str">
        <f ca="1">IFERROR(__xludf.DUMMYFUNCTION("""COMPUTED_VALUE"""),"UMYWALKA BELINDA SLIM - NABLATOWA")</f>
        <v>UMYWALKA BELINDA SLIM - NABLATOWA</v>
      </c>
      <c r="C1624" s="23"/>
      <c r="D1624" s="24">
        <f ca="1">IFERROR(__xludf.DUMMYFUNCTION("""COMPUTED_VALUE"""),229)</f>
        <v>229</v>
      </c>
      <c r="E1624" s="25" t="str">
        <f ca="1">IFERROR(__xludf.DUMMYFUNCTION("""COMPUTED_VALUE"""),"REA-U6521")</f>
        <v>REA-U6521</v>
      </c>
    </row>
    <row r="1625" spans="1:5" x14ac:dyDescent="0.2">
      <c r="A1625" s="22">
        <f ca="1">IFERROR(__xludf.DUMMYFUNCTION("""COMPUTED_VALUE"""),45138)</f>
        <v>45138</v>
      </c>
      <c r="B1625" s="23" t="str">
        <f ca="1">IFERROR(__xludf.DUMMYFUNCTION("""COMPUTED_VALUE"""),"UMYWALKA KAMILA BLACK - WOLNOSTOJĄCA")</f>
        <v>UMYWALKA KAMILA BLACK - WOLNOSTOJĄCA</v>
      </c>
      <c r="C1625" s="23"/>
      <c r="D1625" s="24">
        <f ca="1">IFERROR(__xludf.DUMMYFUNCTION("""COMPUTED_VALUE"""),1059)</f>
        <v>1059</v>
      </c>
      <c r="E1625" s="25" t="str">
        <f ca="1">IFERROR(__xludf.DUMMYFUNCTION("""COMPUTED_VALUE"""),"REA-U5644")</f>
        <v>REA-U5644</v>
      </c>
    </row>
    <row r="1626" spans="1:5" x14ac:dyDescent="0.2">
      <c r="A1626" s="22">
        <f ca="1">IFERROR(__xludf.DUMMYFUNCTION("""COMPUTED_VALUE"""),45138)</f>
        <v>45138</v>
      </c>
      <c r="B1626" s="23" t="str">
        <f ca="1">IFERROR(__xludf.DUMMYFUNCTION("""COMPUTED_VALUE"""),"UMYWALKA LINDA LAVA MATT - NABLATOWA")</f>
        <v>UMYWALKA LINDA LAVA MATT - NABLATOWA</v>
      </c>
      <c r="C1626" s="23"/>
      <c r="D1626" s="24">
        <f ca="1">IFERROR(__xludf.DUMMYFUNCTION("""COMPUTED_VALUE"""),359)</f>
        <v>359</v>
      </c>
      <c r="E1626" s="25" t="str">
        <f ca="1">IFERROR(__xludf.DUMMYFUNCTION("""COMPUTED_VALUE"""),"REA-U8568")</f>
        <v>REA-U8568</v>
      </c>
    </row>
    <row r="1627" spans="1:5" x14ac:dyDescent="0.2">
      <c r="A1627" s="22">
        <f ca="1">IFERROR(__xludf.DUMMYFUNCTION("""COMPUTED_VALUE"""),45138)</f>
        <v>45138</v>
      </c>
      <c r="B1627" s="23" t="str">
        <f ca="1">IFERROR(__xludf.DUMMYFUNCTION("""COMPUTED_VALUE"""),"UMYWALKA LINDA GRANIT - NABLATOWA")</f>
        <v>UMYWALKA LINDA GRANIT - NABLATOWA</v>
      </c>
      <c r="C1627" s="23"/>
      <c r="D1627" s="24">
        <f ca="1">IFERROR(__xludf.DUMMYFUNCTION("""COMPUTED_VALUE"""),349)</f>
        <v>349</v>
      </c>
      <c r="E1627" s="25" t="str">
        <f ca="1">IFERROR(__xludf.DUMMYFUNCTION("""COMPUTED_VALUE"""),"REA-U2514")</f>
        <v>REA-U2514</v>
      </c>
    </row>
    <row r="1628" spans="1:5" x14ac:dyDescent="0.2">
      <c r="A1628" s="22">
        <f ca="1">IFERROR(__xludf.DUMMYFUNCTION("""COMPUTED_VALUE"""),45138)</f>
        <v>45138</v>
      </c>
      <c r="B1628" s="23" t="str">
        <f ca="1">IFERROR(__xludf.DUMMYFUNCTION("""COMPUTED_VALUE"""),"UMYWALKA MERY - NABLATOWA")</f>
        <v>UMYWALKA MERY - NABLATOWA</v>
      </c>
      <c r="C1628" s="23"/>
      <c r="D1628" s="24">
        <f ca="1">IFERROR(__xludf.DUMMYFUNCTION("""COMPUTED_VALUE"""),269)</f>
        <v>269</v>
      </c>
      <c r="E1628" s="25" t="str">
        <f ca="1">IFERROR(__xludf.DUMMYFUNCTION("""COMPUTED_VALUE"""),"REA-U0699")</f>
        <v>REA-U0699</v>
      </c>
    </row>
    <row r="1629" spans="1:5" x14ac:dyDescent="0.2">
      <c r="A1629" s="22">
        <f ca="1">IFERROR(__xludf.DUMMYFUNCTION("""COMPUTED_VALUE"""),45138)</f>
        <v>45138</v>
      </c>
      <c r="B1629" s="23" t="str">
        <f ca="1">IFERROR(__xludf.DUMMYFUNCTION("""COMPUTED_VALUE"""),"UMYWALKA ROYAL 60 - NABLATOWA")</f>
        <v>UMYWALKA ROYAL 60 - NABLATOWA</v>
      </c>
      <c r="C1629" s="23"/>
      <c r="D1629" s="24">
        <f ca="1">IFERROR(__xludf.DUMMYFUNCTION("""COMPUTED_VALUE"""),329)</f>
        <v>329</v>
      </c>
      <c r="E1629" s="25" t="str">
        <f ca="1">IFERROR(__xludf.DUMMYFUNCTION("""COMPUTED_VALUE"""),"REA-U0441")</f>
        <v>REA-U0441</v>
      </c>
    </row>
    <row r="1630" spans="1:5" x14ac:dyDescent="0.2">
      <c r="A1630" s="22">
        <f ca="1">IFERROR(__xludf.DUMMYFUNCTION("""COMPUTED_VALUE"""),45138)</f>
        <v>45138</v>
      </c>
      <c r="B1630" s="23" t="str">
        <f ca="1">IFERROR(__xludf.DUMMYFUNCTION("""COMPUTED_VALUE"""),"UMYWALKA SOFIA - NABLATOWA")</f>
        <v>UMYWALKA SOFIA - NABLATOWA</v>
      </c>
      <c r="C1630" s="23"/>
      <c r="D1630" s="24">
        <f ca="1">IFERROR(__xludf.DUMMYFUNCTION("""COMPUTED_VALUE"""),179)</f>
        <v>179</v>
      </c>
      <c r="E1630" s="25" t="str">
        <f ca="1">IFERROR(__xludf.DUMMYFUNCTION("""COMPUTED_VALUE"""),"REA-U0133")</f>
        <v>REA-U0133</v>
      </c>
    </row>
    <row r="1631" spans="1:5" x14ac:dyDescent="0.2">
      <c r="A1631" s="22">
        <f ca="1">IFERROR(__xludf.DUMMYFUNCTION("""COMPUTED_VALUE"""),45138)</f>
        <v>45138</v>
      </c>
      <c r="B1631" s="23" t="str">
        <f ca="1">IFERROR(__xludf.DUMMYFUNCTION("""COMPUTED_VALUE"""),"UMYWALKA GRETA 65 - NABLATOWA")</f>
        <v>UMYWALKA GRETA 65 - NABLATOWA</v>
      </c>
      <c r="C1631" s="23"/>
      <c r="D1631" s="24">
        <f ca="1">IFERROR(__xludf.DUMMYFUNCTION("""COMPUTED_VALUE"""),379)</f>
        <v>379</v>
      </c>
      <c r="E1631" s="25" t="str">
        <f ca="1">IFERROR(__xludf.DUMMYFUNCTION("""COMPUTED_VALUE"""),"REA-U8537")</f>
        <v>REA-U8537</v>
      </c>
    </row>
    <row r="1632" spans="1:5" x14ac:dyDescent="0.2">
      <c r="A1632" s="22">
        <f ca="1">IFERROR(__xludf.DUMMYFUNCTION("""COMPUTED_VALUE"""),45134)</f>
        <v>45134</v>
      </c>
      <c r="B1632" s="23" t="str">
        <f ca="1">IFERROR(__xludf.DUMMYFUNCTION("""COMPUTED_VALUE"""),"KABINA 80X100 PUNTO BLACK")</f>
        <v>KABINA 80X100 PUNTO BLACK</v>
      </c>
      <c r="C1632" s="23"/>
      <c r="D1632" s="24">
        <f ca="1">IFERROR(__xludf.DUMMYFUNCTION("""COMPUTED_VALUE"""),899)</f>
        <v>899</v>
      </c>
      <c r="E1632" s="25" t="str">
        <f ca="1">IFERROR(__xludf.DUMMYFUNCTION("""COMPUTED_VALUE"""),"REA-K4806")</f>
        <v>REA-K4806</v>
      </c>
    </row>
    <row r="1633" spans="1:5" x14ac:dyDescent="0.2">
      <c r="A1633" s="22">
        <f ca="1">IFERROR(__xludf.DUMMYFUNCTION("""COMPUTED_VALUE"""),45134)</f>
        <v>45134</v>
      </c>
      <c r="B1633" s="23" t="str">
        <f ca="1">IFERROR(__xludf.DUMMYFUNCTION("""COMPUTED_VALUE"""),"KABINA 80X80 PUNTO BLACK")</f>
        <v>KABINA 80X80 PUNTO BLACK</v>
      </c>
      <c r="C1633" s="23"/>
      <c r="D1633" s="24">
        <f ca="1">IFERROR(__xludf.DUMMYFUNCTION("""COMPUTED_VALUE"""),799)</f>
        <v>799</v>
      </c>
      <c r="E1633" s="25" t="str">
        <f ca="1">IFERROR(__xludf.DUMMYFUNCTION("""COMPUTED_VALUE"""),"REA-K4800")</f>
        <v>REA-K4800</v>
      </c>
    </row>
    <row r="1634" spans="1:5" x14ac:dyDescent="0.2">
      <c r="A1634" s="22">
        <f ca="1">IFERROR(__xludf.DUMMYFUNCTION("""COMPUTED_VALUE"""),45134)</f>
        <v>45134</v>
      </c>
      <c r="B1634" s="23" t="str">
        <f ca="1">IFERROR(__xludf.DUMMYFUNCTION("""COMPUTED_VALUE"""),"KABINA LOOK BLACK 90x90")</f>
        <v>KABINA LOOK BLACK 90x90</v>
      </c>
      <c r="C1634" s="23"/>
      <c r="D1634" s="24">
        <f ca="1">IFERROR(__xludf.DUMMYFUNCTION("""COMPUTED_VALUE"""),879)</f>
        <v>879</v>
      </c>
      <c r="E1634" s="25" t="str">
        <f ca="1">IFERROR(__xludf.DUMMYFUNCTION("""COMPUTED_VALUE"""),"REA-K7903")</f>
        <v>REA-K7903</v>
      </c>
    </row>
    <row r="1635" spans="1:5" x14ac:dyDescent="0.2">
      <c r="A1635" s="22">
        <f ca="1">IFERROR(__xludf.DUMMYFUNCTION("""COMPUTED_VALUE"""),45134)</f>
        <v>45134</v>
      </c>
      <c r="B1635" s="23" t="str">
        <f ca="1">IFERROR(__xludf.DUMMYFUNCTION("""COMPUTED_VALUE"""),"KABINA LOOK BLACK 80x80")</f>
        <v>KABINA LOOK BLACK 80x80</v>
      </c>
      <c r="C1635" s="23"/>
      <c r="D1635" s="24">
        <f ca="1">IFERROR(__xludf.DUMMYFUNCTION("""COMPUTED_VALUE"""),799)</f>
        <v>799</v>
      </c>
      <c r="E1635" s="25" t="str">
        <f ca="1">IFERROR(__xludf.DUMMYFUNCTION("""COMPUTED_VALUE"""),"REA-K7902")</f>
        <v>REA-K7902</v>
      </c>
    </row>
    <row r="1636" spans="1:5" x14ac:dyDescent="0.2">
      <c r="A1636" s="22">
        <f ca="1">IFERROR(__xludf.DUMMYFUNCTION("""COMPUTED_VALUE"""),45134)</f>
        <v>45134</v>
      </c>
      <c r="B1636" s="23" t="str">
        <f ca="1">IFERROR(__xludf.DUMMYFUNCTION("""COMPUTED_VALUE"""),"KABINA 80X100 CONCEPT BLACK")</f>
        <v>KABINA 80X100 CONCEPT BLACK</v>
      </c>
      <c r="C1636" s="23"/>
      <c r="D1636" s="24">
        <f ca="1">IFERROR(__xludf.DUMMYFUNCTION("""COMPUTED_VALUE"""),939)</f>
        <v>939</v>
      </c>
      <c r="E1636" s="25" t="str">
        <f ca="1">IFERROR(__xludf.DUMMYFUNCTION("""COMPUTED_VALUE"""),"REA-K6389")</f>
        <v>REA-K6389</v>
      </c>
    </row>
    <row r="1637" spans="1:5" x14ac:dyDescent="0.2">
      <c r="A1637" s="22">
        <f ca="1">IFERROR(__xludf.DUMMYFUNCTION("""COMPUTED_VALUE"""),45134)</f>
        <v>45134</v>
      </c>
      <c r="B1637" s="23" t="str">
        <f ca="1">IFERROR(__xludf.DUMMYFUNCTION("""COMPUTED_VALUE"""),"KABINA 90X90 CONCEPT BLACK")</f>
        <v>KABINA 90X90 CONCEPT BLACK</v>
      </c>
      <c r="C1637" s="23"/>
      <c r="D1637" s="24">
        <f ca="1">IFERROR(__xludf.DUMMYFUNCTION("""COMPUTED_VALUE"""),929)</f>
        <v>929</v>
      </c>
      <c r="E1637" s="25" t="str">
        <f ca="1">IFERROR(__xludf.DUMMYFUNCTION("""COMPUTED_VALUE"""),"REA-K5478")</f>
        <v>REA-K5478</v>
      </c>
    </row>
    <row r="1638" spans="1:5" x14ac:dyDescent="0.2">
      <c r="A1638" s="22">
        <f ca="1">IFERROR(__xludf.DUMMYFUNCTION("""COMPUTED_VALUE"""),45134)</f>
        <v>45134</v>
      </c>
      <c r="B1638" s="23" t="str">
        <f ca="1">IFERROR(__xludf.DUMMYFUNCTION("""COMPUTED_VALUE"""),"KABINA 80X80 CONCEPT BLACK")</f>
        <v>KABINA 80X80 CONCEPT BLACK</v>
      </c>
      <c r="C1638" s="23"/>
      <c r="D1638" s="24">
        <f ca="1">IFERROR(__xludf.DUMMYFUNCTION("""COMPUTED_VALUE"""),829)</f>
        <v>829</v>
      </c>
      <c r="E1638" s="25" t="str">
        <f ca="1">IFERROR(__xludf.DUMMYFUNCTION("""COMPUTED_VALUE"""),"REA-K5479")</f>
        <v>REA-K5479</v>
      </c>
    </row>
    <row r="1639" spans="1:5" x14ac:dyDescent="0.2">
      <c r="A1639" s="22">
        <f ca="1">IFERROR(__xludf.DUMMYFUNCTION("""COMPUTED_VALUE"""),45134)</f>
        <v>45134</v>
      </c>
      <c r="B1639" s="23" t="str">
        <f ca="1">IFERROR(__xludf.DUMMYFUNCTION("""COMPUTED_VALUE"""),"KABINA 80X80 PUNTO TRANSP")</f>
        <v>KABINA 80X80 PUNTO TRANSP</v>
      </c>
      <c r="C1639" s="23"/>
      <c r="D1639" s="24">
        <f ca="1">IFERROR(__xludf.DUMMYFUNCTION("""COMPUTED_VALUE"""),799)</f>
        <v>799</v>
      </c>
      <c r="E1639" s="25" t="str">
        <f ca="1">IFERROR(__xludf.DUMMYFUNCTION("""COMPUTED_VALUE"""),"REA-K0863")</f>
        <v>REA-K0863</v>
      </c>
    </row>
    <row r="1640" spans="1:5" x14ac:dyDescent="0.2">
      <c r="A1640" s="22">
        <f ca="1">IFERROR(__xludf.DUMMYFUNCTION("""COMPUTED_VALUE"""),45134)</f>
        <v>45134</v>
      </c>
      <c r="B1640" s="23" t="str">
        <f ca="1">IFERROR(__xludf.DUMMYFUNCTION("""COMPUTED_VALUE"""),"KABINA 90X90 PUNTO TRANSP")</f>
        <v>KABINA 90X90 PUNTO TRANSP</v>
      </c>
      <c r="C1640" s="23"/>
      <c r="D1640" s="24">
        <f ca="1">IFERROR(__xludf.DUMMYFUNCTION("""COMPUTED_VALUE"""),859)</f>
        <v>859</v>
      </c>
      <c r="E1640" s="25" t="str">
        <f ca="1">IFERROR(__xludf.DUMMYFUNCTION("""COMPUTED_VALUE"""),"REA-K0867")</f>
        <v>REA-K0867</v>
      </c>
    </row>
    <row r="1641" spans="1:5" x14ac:dyDescent="0.2">
      <c r="A1641" s="22">
        <f ca="1">IFERROR(__xludf.DUMMYFUNCTION("""COMPUTED_VALUE"""),45134)</f>
        <v>45134</v>
      </c>
      <c r="B1641" s="23" t="str">
        <f ca="1">IFERROR(__xludf.DUMMYFUNCTION("""COMPUTED_VALUE"""),"KABINA 80X100 PUNTO TRANSP")</f>
        <v>KABINA 80X100 PUNTO TRANSP</v>
      </c>
      <c r="C1641" s="23"/>
      <c r="D1641" s="24">
        <f ca="1">IFERROR(__xludf.DUMMYFUNCTION("""COMPUTED_VALUE"""),899)</f>
        <v>899</v>
      </c>
      <c r="E1641" s="25" t="str">
        <f ca="1">IFERROR(__xludf.DUMMYFUNCTION("""COMPUTED_VALUE"""),"REA-K1889")</f>
        <v>REA-K1889</v>
      </c>
    </row>
    <row r="1642" spans="1:5" x14ac:dyDescent="0.2">
      <c r="A1642" s="22">
        <f ca="1">IFERROR(__xludf.DUMMYFUNCTION("""COMPUTED_VALUE"""),45134)</f>
        <v>45134</v>
      </c>
      <c r="B1642" s="23" t="str">
        <f ca="1">IFERROR(__xludf.DUMMYFUNCTION("""COMPUTED_VALUE"""),"ŚCIANKA PRYSZNICOWA MOLIER 90 CHROM")</f>
        <v>ŚCIANKA PRYSZNICOWA MOLIER 90 CHROM</v>
      </c>
      <c r="C1642" s="23"/>
      <c r="D1642" s="24">
        <f ca="1">IFERROR(__xludf.DUMMYFUNCTION("""COMPUTED_VALUE"""),470)</f>
        <v>470</v>
      </c>
      <c r="E1642" s="25" t="str">
        <f ca="1">IFERROR(__xludf.DUMMYFUNCTION("""COMPUTED_VALUE"""),"REA-K8535")</f>
        <v>REA-K8535</v>
      </c>
    </row>
    <row r="1643" spans="1:5" x14ac:dyDescent="0.2">
      <c r="A1643" s="22">
        <f ca="1">IFERROR(__xludf.DUMMYFUNCTION("""COMPUTED_VALUE"""),45134)</f>
        <v>45134</v>
      </c>
      <c r="B1643" s="23" t="str">
        <f ca="1">IFERROR(__xludf.DUMMYFUNCTION("""COMPUTED_VALUE"""),"DRZWI PRYSZNICOWE RAPID SWING 120")</f>
        <v>DRZWI PRYSZNICOWE RAPID SWING 120</v>
      </c>
      <c r="C1643" s="23"/>
      <c r="D1643" s="24">
        <f ca="1">IFERROR(__xludf.DUMMYFUNCTION("""COMPUTED_VALUE"""),999)</f>
        <v>999</v>
      </c>
      <c r="E1643" s="25" t="str">
        <f ca="1">IFERROR(__xludf.DUMMYFUNCTION("""COMPUTED_VALUE"""),"REA-K6413")</f>
        <v>REA-K6413</v>
      </c>
    </row>
    <row r="1644" spans="1:5" x14ac:dyDescent="0.2">
      <c r="A1644" s="22">
        <f ca="1">IFERROR(__xludf.DUMMYFUNCTION("""COMPUTED_VALUE"""),45134)</f>
        <v>45134</v>
      </c>
      <c r="B1644" s="23" t="str">
        <f ca="1">IFERROR(__xludf.DUMMYFUNCTION("""COMPUTED_VALUE"""),"DRZWI PRYSZNICOWE RAPID SWING 70")</f>
        <v>DRZWI PRYSZNICOWE RAPID SWING 70</v>
      </c>
      <c r="C1644" s="23"/>
      <c r="D1644" s="24">
        <f ca="1">IFERROR(__xludf.DUMMYFUNCTION("""COMPUTED_VALUE"""),829)</f>
        <v>829</v>
      </c>
      <c r="E1644" s="25" t="str">
        <f ca="1">IFERROR(__xludf.DUMMYFUNCTION("""COMPUTED_VALUE"""),"REA-K6407")</f>
        <v>REA-K6407</v>
      </c>
    </row>
    <row r="1645" spans="1:5" x14ac:dyDescent="0.2">
      <c r="A1645" s="22">
        <f ca="1">IFERROR(__xludf.DUMMYFUNCTION("""COMPUTED_VALUE"""),45134)</f>
        <v>45134</v>
      </c>
      <c r="B1645" s="23" t="str">
        <f ca="1">IFERROR(__xludf.DUMMYFUNCTION("""COMPUTED_VALUE"""),"DRZWI PRYSZNICOWE RAPID SWING 80")</f>
        <v>DRZWI PRYSZNICOWE RAPID SWING 80</v>
      </c>
      <c r="C1645" s="23"/>
      <c r="D1645" s="24">
        <f ca="1">IFERROR(__xludf.DUMMYFUNCTION("""COMPUTED_VALUE"""),859)</f>
        <v>859</v>
      </c>
      <c r="E1645" s="25" t="str">
        <f ca="1">IFERROR(__xludf.DUMMYFUNCTION("""COMPUTED_VALUE"""),"REA-K6408")</f>
        <v>REA-K6408</v>
      </c>
    </row>
    <row r="1646" spans="1:5" x14ac:dyDescent="0.2">
      <c r="A1646" s="22">
        <f ca="1">IFERROR(__xludf.DUMMYFUNCTION("""COMPUTED_VALUE"""),45134)</f>
        <v>45134</v>
      </c>
      <c r="B1646" s="23" t="str">
        <f ca="1">IFERROR(__xludf.DUMMYFUNCTION("""COMPUTED_VALUE"""),"DRZWI PRYSZNICOWE RAPID SWING 100")</f>
        <v>DRZWI PRYSZNICOWE RAPID SWING 100</v>
      </c>
      <c r="C1646" s="23"/>
      <c r="D1646" s="24">
        <f ca="1">IFERROR(__xludf.DUMMYFUNCTION("""COMPUTED_VALUE"""),919)</f>
        <v>919</v>
      </c>
      <c r="E1646" s="25" t="str">
        <f ca="1">IFERROR(__xludf.DUMMYFUNCTION("""COMPUTED_VALUE"""),"REA-K6410")</f>
        <v>REA-K6410</v>
      </c>
    </row>
    <row r="1647" spans="1:5" x14ac:dyDescent="0.2">
      <c r="A1647" s="22">
        <f ca="1">IFERROR(__xludf.DUMMYFUNCTION("""COMPUTED_VALUE"""),45134)</f>
        <v>45134</v>
      </c>
      <c r="B1647" s="23" t="str">
        <f ca="1">IFERROR(__xludf.DUMMYFUNCTION("""COMPUTED_VALUE"""),"DRZWI PRYSZNICOWE RAPID SWING 90")</f>
        <v>DRZWI PRYSZNICOWE RAPID SWING 90</v>
      </c>
      <c r="C1647" s="23"/>
      <c r="D1647" s="24">
        <f ca="1">IFERROR(__xludf.DUMMYFUNCTION("""COMPUTED_VALUE"""),889)</f>
        <v>889</v>
      </c>
      <c r="E1647" s="25" t="str">
        <f ca="1">IFERROR(__xludf.DUMMYFUNCTION("""COMPUTED_VALUE"""),"REA-K6409")</f>
        <v>REA-K6409</v>
      </c>
    </row>
    <row r="1648" spans="1:5" x14ac:dyDescent="0.2">
      <c r="A1648" s="22">
        <f ca="1">IFERROR(__xludf.DUMMYFUNCTION("""COMPUTED_VALUE"""),45134)</f>
        <v>45134</v>
      </c>
      <c r="B1648" s="23" t="str">
        <f ca="1">IFERROR(__xludf.DUMMYFUNCTION("""COMPUTED_VALUE"""),"KABINA SOLAR L.GOLD 80X100")</f>
        <v>KABINA SOLAR L.GOLD 80X100</v>
      </c>
      <c r="C1648" s="23"/>
      <c r="D1648" s="24">
        <f ca="1">IFERROR(__xludf.DUMMYFUNCTION("""COMPUTED_VALUE"""),1299)</f>
        <v>1299</v>
      </c>
      <c r="E1648" s="25" t="str">
        <f ca="1">IFERROR(__xludf.DUMMYFUNCTION("""COMPUTED_VALUE"""),"REA-K4901")</f>
        <v>REA-K4901</v>
      </c>
    </row>
    <row r="1649" spans="1:5" x14ac:dyDescent="0.2">
      <c r="A1649" s="22">
        <f ca="1">IFERROR(__xludf.DUMMYFUNCTION("""COMPUTED_VALUE"""),45134)</f>
        <v>45134</v>
      </c>
      <c r="B1649" s="23" t="str">
        <f ca="1">IFERROR(__xludf.DUMMYFUNCTION("""COMPUTED_VALUE"""),"DRZWI PRYSZNICOWE MOLIER 100 BLACK")</f>
        <v>DRZWI PRYSZNICOWE MOLIER 100 BLACK</v>
      </c>
      <c r="C1649" s="23"/>
      <c r="D1649" s="24">
        <f ca="1">IFERROR(__xludf.DUMMYFUNCTION("""COMPUTED_VALUE"""),959)</f>
        <v>959</v>
      </c>
      <c r="E1649" s="25" t="str">
        <f ca="1">IFERROR(__xludf.DUMMYFUNCTION("""COMPUTED_VALUE"""),"REA-K6963")</f>
        <v>REA-K6963</v>
      </c>
    </row>
    <row r="1650" spans="1:5" x14ac:dyDescent="0.2">
      <c r="A1650" s="22">
        <f ca="1">IFERROR(__xludf.DUMMYFUNCTION("""COMPUTED_VALUE"""),45134)</f>
        <v>45134</v>
      </c>
      <c r="B1650" s="23" t="str">
        <f ca="1">IFERROR(__xludf.DUMMYFUNCTION("""COMPUTED_VALUE"""),"KABINA FARGO BLACK 90X90 U")</f>
        <v>KABINA FARGO BLACK 90X90 U</v>
      </c>
      <c r="C1650" s="23"/>
      <c r="D1650" s="24">
        <f ca="1">IFERROR(__xludf.DUMMYFUNCTION("""COMPUTED_VALUE"""),1599)</f>
        <v>1599</v>
      </c>
      <c r="E1650" s="25" t="str">
        <f ca="1">IFERROR(__xludf.DUMMYFUNCTION("""COMPUTED_VALUE"""),"REA-K6318")</f>
        <v>REA-K6318</v>
      </c>
    </row>
    <row r="1651" spans="1:5" x14ac:dyDescent="0.2">
      <c r="A1651" s="22">
        <f ca="1">IFERROR(__xludf.DUMMYFUNCTION("""COMPUTED_VALUE"""),45134)</f>
        <v>45134</v>
      </c>
      <c r="B1651" s="23" t="str">
        <f ca="1">IFERROR(__xludf.DUMMYFUNCTION("""COMPUTED_VALUE"""),"DRZWI PRYSZNICOWE MOLIER 80 BLACK")</f>
        <v>DRZWI PRYSZNICOWE MOLIER 80 BLACK</v>
      </c>
      <c r="C1651" s="23"/>
      <c r="D1651" s="24">
        <f ca="1">IFERROR(__xludf.DUMMYFUNCTION("""COMPUTED_VALUE"""),899)</f>
        <v>899</v>
      </c>
      <c r="E1651" s="25" t="str">
        <f ca="1">IFERROR(__xludf.DUMMYFUNCTION("""COMPUTED_VALUE"""),"REA-K8537")</f>
        <v>REA-K8537</v>
      </c>
    </row>
    <row r="1652" spans="1:5" x14ac:dyDescent="0.2">
      <c r="A1652" s="22">
        <f ca="1">IFERROR(__xludf.DUMMYFUNCTION("""COMPUTED_VALUE"""),45134)</f>
        <v>45134</v>
      </c>
      <c r="B1652" s="23" t="str">
        <f ca="1">IFERROR(__xludf.DUMMYFUNCTION("""COMPUTED_VALUE"""),"PARAWAN WANNOWY AGAT 80")</f>
        <v>PARAWAN WANNOWY AGAT 80</v>
      </c>
      <c r="C1652" s="23"/>
      <c r="D1652" s="24">
        <f ca="1">IFERROR(__xludf.DUMMYFUNCTION("""COMPUTED_VALUE"""),599)</f>
        <v>599</v>
      </c>
      <c r="E1652" s="25" t="str">
        <f ca="1">IFERROR(__xludf.DUMMYFUNCTION("""COMPUTED_VALUE"""),"REA-W0700")</f>
        <v>REA-W0700</v>
      </c>
    </row>
    <row r="1653" spans="1:5" x14ac:dyDescent="0.2">
      <c r="A1653" s="22">
        <f ca="1">IFERROR(__xludf.DUMMYFUNCTION("""COMPUTED_VALUE"""),45131)</f>
        <v>45131</v>
      </c>
      <c r="B1653" s="23" t="str">
        <f ca="1">IFERROR(__xludf.DUMMYFUNCTION("""COMPUTED_VALUE"""),"UMYWALKA PEARL - NABLATOWA")</f>
        <v>UMYWALKA PEARL - NABLATOWA</v>
      </c>
      <c r="C1653" s="23"/>
      <c r="D1653" s="24">
        <f ca="1">IFERROR(__xludf.DUMMYFUNCTION("""COMPUTED_VALUE"""),399)</f>
        <v>399</v>
      </c>
      <c r="E1653" s="25" t="str">
        <f ca="1">IFERROR(__xludf.DUMMYFUNCTION("""COMPUTED_VALUE"""),"REA-U0265")</f>
        <v>REA-U0265</v>
      </c>
    </row>
    <row r="1654" spans="1:5" x14ac:dyDescent="0.2">
      <c r="A1654" s="22">
        <f ca="1">IFERROR(__xludf.DUMMYFUNCTION("""COMPUTED_VALUE"""),45126)</f>
        <v>45126</v>
      </c>
      <c r="B1654" s="23" t="str">
        <f ca="1">IFERROR(__xludf.DUMMYFUNCTION("""COMPUTED_VALUE"""),"WC- CALANI LOYD SLIM")</f>
        <v>WC- CALANI LOYD SLIM</v>
      </c>
      <c r="C1654" s="23"/>
      <c r="D1654" s="24">
        <f ca="1">IFERROR(__xludf.DUMMYFUNCTION("""COMPUTED_VALUE"""),519)</f>
        <v>519</v>
      </c>
      <c r="E1654" s="25" t="str">
        <f ca="1">IFERROR(__xludf.DUMMYFUNCTION("""COMPUTED_VALUE"""),"CAL-C0002")</f>
        <v>CAL-C0002</v>
      </c>
    </row>
    <row r="1655" spans="1:5" x14ac:dyDescent="0.2">
      <c r="A1655" s="22">
        <f ca="1">IFERROR(__xludf.DUMMYFUNCTION("""COMPUTED_VALUE"""),45126)</f>
        <v>45126</v>
      </c>
      <c r="B1655" s="23" t="str">
        <f ca="1">IFERROR(__xludf.DUMMYFUNCTION("""COMPUTED_VALUE"""),"ZESTAW NATRYSKOWY MIKE BLACK")</f>
        <v>ZESTAW NATRYSKOWY MIKE BLACK</v>
      </c>
      <c r="C1655" s="23"/>
      <c r="D1655" s="24">
        <f ca="1">IFERROR(__xludf.DUMMYFUNCTION("""COMPUTED_VALUE"""),649)</f>
        <v>649</v>
      </c>
      <c r="E1655" s="25" t="str">
        <f ca="1">IFERROR(__xludf.DUMMYFUNCTION("""COMPUTED_VALUE"""),"REA-P0550")</f>
        <v>REA-P0550</v>
      </c>
    </row>
    <row r="1656" spans="1:5" x14ac:dyDescent="0.2">
      <c r="A1656" s="22">
        <f ca="1">IFERROR(__xludf.DUMMYFUNCTION("""COMPUTED_VALUE"""),45126)</f>
        <v>45126</v>
      </c>
      <c r="B1656" s="23" t="str">
        <f ca="1">IFERROR(__xludf.DUMMYFUNCTION("""COMPUTED_VALUE"""),"UMYWALKA LINDA BLACK - NABLATOWA")</f>
        <v>UMYWALKA LINDA BLACK - NABLATOWA</v>
      </c>
      <c r="C1656" s="23"/>
      <c r="D1656" s="24">
        <f ca="1">IFERROR(__xludf.DUMMYFUNCTION("""COMPUTED_VALUE"""),269)</f>
        <v>269</v>
      </c>
      <c r="E1656" s="25" t="str">
        <f ca="1">IFERROR(__xludf.DUMMYFUNCTION("""COMPUTED_VALUE"""),"REA-U8523")</f>
        <v>REA-U8523</v>
      </c>
    </row>
    <row r="1657" spans="1:5" x14ac:dyDescent="0.2">
      <c r="A1657" s="22">
        <f ca="1">IFERROR(__xludf.DUMMYFUNCTION("""COMPUTED_VALUE"""),45126)</f>
        <v>45126</v>
      </c>
      <c r="B1657" s="23" t="str">
        <f ca="1">IFERROR(__xludf.DUMMYFUNCTION("""COMPUTED_VALUE"""),"UMYWALKA BELINDA BLACK/GOLD EDGE - NABLATOWA")</f>
        <v>UMYWALKA BELINDA BLACK/GOLD EDGE - NABLATOWA</v>
      </c>
      <c r="C1657" s="23"/>
      <c r="D1657" s="24">
        <f ca="1">IFERROR(__xludf.DUMMYFUNCTION("""COMPUTED_VALUE"""),399)</f>
        <v>399</v>
      </c>
      <c r="E1657" s="25" t="str">
        <f ca="1">IFERROR(__xludf.DUMMYFUNCTION("""COMPUTED_VALUE"""),"REA-U8796")</f>
        <v>REA-U8796</v>
      </c>
    </row>
    <row r="1658" spans="1:5" x14ac:dyDescent="0.2">
      <c r="A1658" s="22">
        <f ca="1">IFERROR(__xludf.DUMMYFUNCTION("""COMPUTED_VALUE"""),45126)</f>
        <v>45126</v>
      </c>
      <c r="B1658" s="23" t="str">
        <f ca="1">IFERROR(__xludf.DUMMYFUNCTION("""COMPUTED_VALUE"""),"UMYWALKA CLEO - NABLATOWA")</f>
        <v>UMYWALKA CLEO - NABLATOWA</v>
      </c>
      <c r="C1658" s="23"/>
      <c r="D1658" s="24">
        <f ca="1">IFERROR(__xludf.DUMMYFUNCTION("""COMPUTED_VALUE"""),349)</f>
        <v>349</v>
      </c>
      <c r="E1658" s="25" t="str">
        <f ca="1">IFERROR(__xludf.DUMMYFUNCTION("""COMPUTED_VALUE"""),"REA-U0024")</f>
        <v>REA-U0024</v>
      </c>
    </row>
    <row r="1659" spans="1:5" x14ac:dyDescent="0.2">
      <c r="A1659" s="22">
        <f ca="1">IFERROR(__xludf.DUMMYFUNCTION("""COMPUTED_VALUE"""),45126)</f>
        <v>45126</v>
      </c>
      <c r="B1659" s="23" t="str">
        <f ca="1">IFERROR(__xludf.DUMMYFUNCTION("""COMPUTED_VALUE"""),"ODPŁYW NEO SLIM PRO-500 BRUSH")</f>
        <v>ODPŁYW NEO SLIM PRO-500 BRUSH</v>
      </c>
      <c r="C1659" s="23"/>
      <c r="D1659" s="24">
        <f ca="1">IFERROR(__xludf.DUMMYFUNCTION("""COMPUTED_VALUE"""),189)</f>
        <v>189</v>
      </c>
      <c r="E1659" s="25" t="str">
        <f ca="1">IFERROR(__xludf.DUMMYFUNCTION("""COMPUTED_VALUE"""),"REA-G8749")</f>
        <v>REA-G8749</v>
      </c>
    </row>
    <row r="1660" spans="1:5" x14ac:dyDescent="0.2">
      <c r="A1660" s="22">
        <f ca="1">IFERROR(__xludf.DUMMYFUNCTION("""COMPUTED_VALUE"""),45113)</f>
        <v>45113</v>
      </c>
      <c r="B1660" s="23" t="str">
        <f ca="1">IFERROR(__xludf.DUMMYFUNCTION("""COMPUTED_VALUE"""),"ZESTAW NATRYSKOWY PAROT ZŁOTY SZCZOTKOWANY TERMOST")</f>
        <v>ZESTAW NATRYSKOWY PAROT ZŁOTY SZCZOTKOWANY TERMOST</v>
      </c>
      <c r="C1660" s="23"/>
      <c r="D1660" s="24">
        <f ca="1">IFERROR(__xludf.DUMMYFUNCTION("""COMPUTED_VALUE"""),929)</f>
        <v>929</v>
      </c>
      <c r="E1660" s="25" t="str">
        <f ca="1">IFERROR(__xludf.DUMMYFUNCTION("""COMPUTED_VALUE"""),"REA-P2323")</f>
        <v>REA-P2323</v>
      </c>
    </row>
    <row r="1661" spans="1:5" x14ac:dyDescent="0.2">
      <c r="A1661" s="22">
        <f ca="1">IFERROR(__xludf.DUMMYFUNCTION("""COMPUTED_VALUE"""),45113)</f>
        <v>45113</v>
      </c>
      <c r="B1661" s="23" t="str">
        <f ca="1">IFERROR(__xludf.DUMMYFUNCTION("""COMPUTED_VALUE"""),"ZESTAW NATRYSKOWY JACK BLACK")</f>
        <v>ZESTAW NATRYSKOWY JACK BLACK</v>
      </c>
      <c r="C1661" s="23"/>
      <c r="D1661" s="24">
        <f ca="1">IFERROR(__xludf.DUMMYFUNCTION("""COMPUTED_VALUE"""),739)</f>
        <v>739</v>
      </c>
      <c r="E1661" s="25" t="str">
        <f ca="1">IFERROR(__xludf.DUMMYFUNCTION("""COMPUTED_VALUE"""),"REA-P7009")</f>
        <v>REA-P7009</v>
      </c>
    </row>
    <row r="1662" spans="1:5" x14ac:dyDescent="0.2">
      <c r="A1662" s="22">
        <f ca="1">IFERROR(__xludf.DUMMYFUNCTION("""COMPUTED_VALUE"""),45113)</f>
        <v>45113</v>
      </c>
      <c r="B1662" s="23" t="str">
        <f ca="1">IFERROR(__xludf.DUMMYFUNCTION("""COMPUTED_VALUE"""),"ZESTAW NATRYSKOWY LUIS BLACK")</f>
        <v>ZESTAW NATRYSKOWY LUIS BLACK</v>
      </c>
      <c r="C1662" s="23"/>
      <c r="D1662" s="24">
        <f ca="1">IFERROR(__xludf.DUMMYFUNCTION("""COMPUTED_VALUE"""),419)</f>
        <v>419</v>
      </c>
      <c r="E1662" s="25" t="str">
        <f ca="1">IFERROR(__xludf.DUMMYFUNCTION("""COMPUTED_VALUE"""),"REA-P7005")</f>
        <v>REA-P7005</v>
      </c>
    </row>
    <row r="1663" spans="1:5" x14ac:dyDescent="0.2">
      <c r="A1663" s="22">
        <f ca="1">IFERROR(__xludf.DUMMYFUNCTION("""COMPUTED_VALUE"""),45113)</f>
        <v>45113</v>
      </c>
      <c r="B1663" s="23" t="str">
        <f ca="1">IFERROR(__xludf.DUMMYFUNCTION("""COMPUTED_VALUE"""),"ZESTAW NATRYSKOWY LUIS GOLD")</f>
        <v>ZESTAW NATRYSKOWY LUIS GOLD</v>
      </c>
      <c r="C1663" s="23"/>
      <c r="D1663" s="24">
        <f ca="1">IFERROR(__xludf.DUMMYFUNCTION("""COMPUTED_VALUE"""),499)</f>
        <v>499</v>
      </c>
      <c r="E1663" s="25" t="str">
        <f ca="1">IFERROR(__xludf.DUMMYFUNCTION("""COMPUTED_VALUE"""),"REA-P7006")</f>
        <v>REA-P7006</v>
      </c>
    </row>
    <row r="1664" spans="1:5" x14ac:dyDescent="0.2">
      <c r="A1664" s="22">
        <f ca="1">IFERROR(__xludf.DUMMYFUNCTION("""COMPUTED_VALUE"""),45113)</f>
        <v>45113</v>
      </c>
      <c r="B1664" s="23" t="str">
        <f ca="1">IFERROR(__xludf.DUMMYFUNCTION("""COMPUTED_VALUE"""),"ZESTAW NATRYSKOWY LUIS CHROM")</f>
        <v>ZESTAW NATRYSKOWY LUIS CHROM</v>
      </c>
      <c r="C1664" s="23"/>
      <c r="D1664" s="24">
        <f ca="1">IFERROR(__xludf.DUMMYFUNCTION("""COMPUTED_VALUE"""),419)</f>
        <v>419</v>
      </c>
      <c r="E1664" s="25" t="str">
        <f ca="1">IFERROR(__xludf.DUMMYFUNCTION("""COMPUTED_VALUE"""),"REA-P7007")</f>
        <v>REA-P7007</v>
      </c>
    </row>
    <row r="1665" spans="1:5" x14ac:dyDescent="0.2">
      <c r="A1665" s="22">
        <f ca="1">IFERROR(__xludf.DUMMYFUNCTION("""COMPUTED_VALUE"""),45113)</f>
        <v>45113</v>
      </c>
      <c r="B1665" s="23" t="str">
        <f ca="1">IFERROR(__xludf.DUMMYFUNCTION("""COMPUTED_VALUE"""),"SŁUCHAWKA + WĄŻ + UCHWYT BLACK")</f>
        <v>SŁUCHAWKA + WĄŻ + UCHWYT BLACK</v>
      </c>
      <c r="C1665" s="23"/>
      <c r="D1665" s="24">
        <f ca="1">IFERROR(__xludf.DUMMYFUNCTION("""COMPUTED_VALUE"""),69)</f>
        <v>69</v>
      </c>
      <c r="E1665" s="25" t="str">
        <f ca="1">IFERROR(__xludf.DUMMYFUNCTION("""COMPUTED_VALUE"""),"REA-P4101")</f>
        <v>REA-P4101</v>
      </c>
    </row>
    <row r="1666" spans="1:5" x14ac:dyDescent="0.2">
      <c r="A1666" s="22">
        <f ca="1">IFERROR(__xludf.DUMMYFUNCTION("""COMPUTED_VALUE"""),45113)</f>
        <v>45113</v>
      </c>
      <c r="B1666" s="23" t="str">
        <f ca="1">IFERROR(__xludf.DUMMYFUNCTION("""COMPUTED_VALUE"""),"ZESTAW NATRYSKOWY BRAVO")</f>
        <v>ZESTAW NATRYSKOWY BRAVO</v>
      </c>
      <c r="C1666" s="23"/>
      <c r="D1666" s="24">
        <f ca="1">IFERROR(__xludf.DUMMYFUNCTION("""COMPUTED_VALUE"""),479)</f>
        <v>479</v>
      </c>
      <c r="E1666" s="25" t="str">
        <f ca="1">IFERROR(__xludf.DUMMYFUNCTION("""COMPUTED_VALUE"""),"REA-P0636")</f>
        <v>REA-P0636</v>
      </c>
    </row>
    <row r="1667" spans="1:5" x14ac:dyDescent="0.2">
      <c r="A1667" s="22">
        <f ca="1">IFERROR(__xludf.DUMMYFUNCTION("""COMPUTED_VALUE"""),45113)</f>
        <v>45113</v>
      </c>
      <c r="B1667" s="23" t="str">
        <f ca="1">IFERROR(__xludf.DUMMYFUNCTION("""COMPUTED_VALUE"""),"ZESTAW NATRYSKOWY MILAN")</f>
        <v>ZESTAW NATRYSKOWY MILAN</v>
      </c>
      <c r="C1667" s="23"/>
      <c r="D1667" s="24">
        <f ca="1">IFERROR(__xludf.DUMMYFUNCTION("""COMPUTED_VALUE"""),819)</f>
        <v>819</v>
      </c>
      <c r="E1667" s="25" t="str">
        <f ca="1">IFERROR(__xludf.DUMMYFUNCTION("""COMPUTED_VALUE"""),"REA-P0222")</f>
        <v>REA-P0222</v>
      </c>
    </row>
    <row r="1668" spans="1:5" x14ac:dyDescent="0.2">
      <c r="A1668" s="22">
        <f ca="1">IFERROR(__xludf.DUMMYFUNCTION("""COMPUTED_VALUE"""),45113)</f>
        <v>45113</v>
      </c>
      <c r="B1668" s="23" t="str">
        <f ca="1">IFERROR(__xludf.DUMMYFUNCTION("""COMPUTED_VALUE"""),"ZESTAW NATRYSKOWY TOM GOLD")</f>
        <v>ZESTAW NATRYSKOWY TOM GOLD</v>
      </c>
      <c r="C1668" s="23"/>
      <c r="D1668" s="24">
        <f ca="1">IFERROR(__xludf.DUMMYFUNCTION("""COMPUTED_VALUE"""),799)</f>
        <v>799</v>
      </c>
      <c r="E1668" s="25" t="str">
        <f ca="1">IFERROR(__xludf.DUMMYFUNCTION("""COMPUTED_VALUE"""),"REA-P7102")</f>
        <v>REA-P7102</v>
      </c>
    </row>
    <row r="1669" spans="1:5" x14ac:dyDescent="0.2">
      <c r="A1669" s="22">
        <f ca="1">IFERROR(__xludf.DUMMYFUNCTION("""COMPUTED_VALUE"""),45112)</f>
        <v>45112</v>
      </c>
      <c r="B1669" s="23" t="str">
        <f ca="1">IFERROR(__xludf.DUMMYFUNCTION("""COMPUTED_VALUE"""),"ODPŁYW NEO SLIM PRO-600 BRUSH")</f>
        <v>ODPŁYW NEO SLIM PRO-600 BRUSH</v>
      </c>
      <c r="C1669" s="23"/>
      <c r="D1669" s="24">
        <f ca="1">IFERROR(__xludf.DUMMYFUNCTION("""COMPUTED_VALUE"""),209)</f>
        <v>209</v>
      </c>
      <c r="E1669" s="25" t="str">
        <f ca="1">IFERROR(__xludf.DUMMYFUNCTION("""COMPUTED_VALUE"""),"REA-G8400")</f>
        <v>REA-G8400</v>
      </c>
    </row>
    <row r="1670" spans="1:5" x14ac:dyDescent="0.2">
      <c r="A1670" s="22">
        <f ca="1">IFERROR(__xludf.DUMMYFUNCTION("""COMPUTED_VALUE"""),45112)</f>
        <v>45112</v>
      </c>
      <c r="B1670" s="23" t="str">
        <f ca="1">IFERROR(__xludf.DUMMYFUNCTION("""COMPUTED_VALUE"""),"ODPŁYW GREEK- 600 MIRROR GOLD PRO")</f>
        <v>ODPŁYW GREEK- 600 MIRROR GOLD PRO</v>
      </c>
      <c r="C1670" s="23"/>
      <c r="D1670" s="24">
        <f ca="1">IFERROR(__xludf.DUMMYFUNCTION("""COMPUTED_VALUE"""),319)</f>
        <v>319</v>
      </c>
      <c r="E1670" s="25" t="str">
        <f ca="1">IFERROR(__xludf.DUMMYFUNCTION("""COMPUTED_VALUE"""),"REA-G8027")</f>
        <v>REA-G8027</v>
      </c>
    </row>
    <row r="1671" spans="1:5" x14ac:dyDescent="0.2">
      <c r="A1671" s="22">
        <f ca="1">IFERROR(__xludf.DUMMYFUNCTION("""COMPUTED_VALUE"""),45112)</f>
        <v>45112</v>
      </c>
      <c r="B1671" s="23" t="str">
        <f ca="1">IFERROR(__xludf.DUMMYFUNCTION("""COMPUTED_VALUE"""),"ODPŁYW GREEK- 700 MIRROR GOLD PRO")</f>
        <v>ODPŁYW GREEK- 700 MIRROR GOLD PRO</v>
      </c>
      <c r="C1671" s="23"/>
      <c r="D1671" s="24">
        <f ca="1">IFERROR(__xludf.DUMMYFUNCTION("""COMPUTED_VALUE"""),359)</f>
        <v>359</v>
      </c>
      <c r="E1671" s="25" t="str">
        <f ca="1">IFERROR(__xludf.DUMMYFUNCTION("""COMPUTED_VALUE"""),"REA-G8028")</f>
        <v>REA-G8028</v>
      </c>
    </row>
    <row r="1672" spans="1:5" x14ac:dyDescent="0.2">
      <c r="A1672" s="22">
        <f ca="1">IFERROR(__xludf.DUMMYFUNCTION("""COMPUTED_VALUE"""),45112)</f>
        <v>45112</v>
      </c>
      <c r="B1672" s="23" t="str">
        <f ca="1">IFERROR(__xludf.DUMMYFUNCTION("""COMPUTED_VALUE"""),"ODPŁYW GREEK- 800 MIRROR GOLD PRO")</f>
        <v>ODPŁYW GREEK- 800 MIRROR GOLD PRO</v>
      </c>
      <c r="C1672" s="23"/>
      <c r="D1672" s="24">
        <f ca="1">IFERROR(__xludf.DUMMYFUNCTION("""COMPUTED_VALUE"""),389)</f>
        <v>389</v>
      </c>
      <c r="E1672" s="25" t="str">
        <f ca="1">IFERROR(__xludf.DUMMYFUNCTION("""COMPUTED_VALUE"""),"REA-G8029")</f>
        <v>REA-G8029</v>
      </c>
    </row>
    <row r="1673" spans="1:5" x14ac:dyDescent="0.2">
      <c r="A1673" s="22">
        <f ca="1">IFERROR(__xludf.DUMMYFUNCTION("""COMPUTED_VALUE"""),45112)</f>
        <v>45112</v>
      </c>
      <c r="B1673" s="23" t="str">
        <f ca="1">IFERROR(__xludf.DUMMYFUNCTION("""COMPUTED_VALUE"""),"ODPŁYW NEO PRO MIRROR L.GOLD 900")</f>
        <v>ODPŁYW NEO PRO MIRROR L.GOLD 900</v>
      </c>
      <c r="C1673" s="23"/>
      <c r="D1673" s="24">
        <f ca="1">IFERROR(__xludf.DUMMYFUNCTION("""COMPUTED_VALUE"""),419)</f>
        <v>419</v>
      </c>
      <c r="E1673" s="25" t="str">
        <f ca="1">IFERROR(__xludf.DUMMYFUNCTION("""COMPUTED_VALUE"""),"REA-G5602")</f>
        <v>REA-G5602</v>
      </c>
    </row>
    <row r="1674" spans="1:5" x14ac:dyDescent="0.2">
      <c r="A1674" s="22">
        <f ca="1">IFERROR(__xludf.DUMMYFUNCTION("""COMPUTED_VALUE"""),45112)</f>
        <v>45112</v>
      </c>
      <c r="B1674" s="23" t="str">
        <f ca="1">IFERROR(__xludf.DUMMYFUNCTION("""COMPUTED_VALUE"""),"ODPŁYW NEO PRO MIRROR L.GOLD 600")</f>
        <v>ODPŁYW NEO PRO MIRROR L.GOLD 600</v>
      </c>
      <c r="C1674" s="23"/>
      <c r="D1674" s="24">
        <f ca="1">IFERROR(__xludf.DUMMYFUNCTION("""COMPUTED_VALUE"""),319)</f>
        <v>319</v>
      </c>
      <c r="E1674" s="25" t="str">
        <f ca="1">IFERROR(__xludf.DUMMYFUNCTION("""COMPUTED_VALUE"""),"REA-G5610")</f>
        <v>REA-G5610</v>
      </c>
    </row>
    <row r="1675" spans="1:5" x14ac:dyDescent="0.2">
      <c r="A1675" s="22">
        <f ca="1">IFERROR(__xludf.DUMMYFUNCTION("""COMPUTED_VALUE"""),45112)</f>
        <v>45112</v>
      </c>
      <c r="B1675" s="23" t="str">
        <f ca="1">IFERROR(__xludf.DUMMYFUNCTION("""COMPUTED_VALUE"""),"ODPŁYW NEO &amp; PURE-500 N BRUSH")</f>
        <v>ODPŁYW NEO &amp; PURE-500 N BRUSH</v>
      </c>
      <c r="C1675" s="23"/>
      <c r="D1675" s="24">
        <f ca="1">IFERROR(__xludf.DUMMYFUNCTION("""COMPUTED_VALUE"""),199)</f>
        <v>199</v>
      </c>
      <c r="E1675" s="25" t="str">
        <f ca="1">IFERROR(__xludf.DUMMYFUNCTION("""COMPUTED_VALUE"""),"REA-G0090")</f>
        <v>REA-G0090</v>
      </c>
    </row>
    <row r="1676" spans="1:5" x14ac:dyDescent="0.2">
      <c r="A1676" s="22">
        <f ca="1">IFERROR(__xludf.DUMMYFUNCTION("""COMPUTED_VALUE"""),45112)</f>
        <v>45112</v>
      </c>
      <c r="B1676" s="23" t="str">
        <f ca="1">IFERROR(__xludf.DUMMYFUNCTION("""COMPUTED_VALUE"""),"ODPŁYW NEO &amp; PURE-600 N BRUSH")</f>
        <v>ODPŁYW NEO &amp; PURE-600 N BRUSH</v>
      </c>
      <c r="C1676" s="23"/>
      <c r="D1676" s="24">
        <f ca="1">IFERROR(__xludf.DUMMYFUNCTION("""COMPUTED_VALUE"""),219)</f>
        <v>219</v>
      </c>
      <c r="E1676" s="25" t="str">
        <f ca="1">IFERROR(__xludf.DUMMYFUNCTION("""COMPUTED_VALUE"""),"REA-G0091")</f>
        <v>REA-G0091</v>
      </c>
    </row>
    <row r="1677" spans="1:5" x14ac:dyDescent="0.2">
      <c r="A1677" s="22">
        <f ca="1">IFERROR(__xludf.DUMMYFUNCTION("""COMPUTED_VALUE"""),45112)</f>
        <v>45112</v>
      </c>
      <c r="B1677" s="23" t="str">
        <f ca="1">IFERROR(__xludf.DUMMYFUNCTION("""COMPUTED_VALUE"""),"ODPŁYW NEO &amp; PURE-700 N BRUSH")</f>
        <v>ODPŁYW NEO &amp; PURE-700 N BRUSH</v>
      </c>
      <c r="C1677" s="23"/>
      <c r="D1677" s="24">
        <f ca="1">IFERROR(__xludf.DUMMYFUNCTION("""COMPUTED_VALUE"""),239)</f>
        <v>239</v>
      </c>
      <c r="E1677" s="25" t="str">
        <f ca="1">IFERROR(__xludf.DUMMYFUNCTION("""COMPUTED_VALUE"""),"REA-G0092")</f>
        <v>REA-G0092</v>
      </c>
    </row>
    <row r="1678" spans="1:5" x14ac:dyDescent="0.2">
      <c r="A1678" s="22">
        <f ca="1">IFERROR(__xludf.DUMMYFUNCTION("""COMPUTED_VALUE"""),45112)</f>
        <v>45112</v>
      </c>
      <c r="B1678" s="23" t="str">
        <f ca="1">IFERROR(__xludf.DUMMYFUNCTION("""COMPUTED_VALUE"""),"ODPŁYW NEO &amp; PURE-800 N BRUSH")</f>
        <v>ODPŁYW NEO &amp; PURE-800 N BRUSH</v>
      </c>
      <c r="C1678" s="23"/>
      <c r="D1678" s="24">
        <f ca="1">IFERROR(__xludf.DUMMYFUNCTION("""COMPUTED_VALUE"""),259)</f>
        <v>259</v>
      </c>
      <c r="E1678" s="25" t="str">
        <f ca="1">IFERROR(__xludf.DUMMYFUNCTION("""COMPUTED_VALUE"""),"REA-G0093")</f>
        <v>REA-G0093</v>
      </c>
    </row>
    <row r="1679" spans="1:5" x14ac:dyDescent="0.2">
      <c r="A1679" s="22">
        <f ca="1">IFERROR(__xludf.DUMMYFUNCTION("""COMPUTED_VALUE"""),45112)</f>
        <v>45112</v>
      </c>
      <c r="B1679" s="23" t="str">
        <f ca="1">IFERROR(__xludf.DUMMYFUNCTION("""COMPUTED_VALUE"""),"ODPŁYW NEO &amp; PURE-900 N BRUSH")</f>
        <v>ODPŁYW NEO &amp; PURE-900 N BRUSH</v>
      </c>
      <c r="C1679" s="23"/>
      <c r="D1679" s="24">
        <f ca="1">IFERROR(__xludf.DUMMYFUNCTION("""COMPUTED_VALUE"""),279)</f>
        <v>279</v>
      </c>
      <c r="E1679" s="25" t="str">
        <f ca="1">IFERROR(__xludf.DUMMYFUNCTION("""COMPUTED_VALUE"""),"REA-G0094")</f>
        <v>REA-G0094</v>
      </c>
    </row>
    <row r="1680" spans="1:5" x14ac:dyDescent="0.2">
      <c r="A1680" s="22">
        <f ca="1">IFERROR(__xludf.DUMMYFUNCTION("""COMPUTED_VALUE"""),45112)</f>
        <v>45112</v>
      </c>
      <c r="B1680" s="23" t="str">
        <f ca="1">IFERROR(__xludf.DUMMYFUNCTION("""COMPUTED_VALUE"""),"ODPŁYW NEO &amp; PURE-1000 N BRUSH")</f>
        <v>ODPŁYW NEO &amp; PURE-1000 N BRUSH</v>
      </c>
      <c r="C1680" s="23"/>
      <c r="D1680" s="24">
        <f ca="1">IFERROR(__xludf.DUMMYFUNCTION("""COMPUTED_VALUE"""),299)</f>
        <v>299</v>
      </c>
      <c r="E1680" s="25" t="str">
        <f ca="1">IFERROR(__xludf.DUMMYFUNCTION("""COMPUTED_VALUE"""),"REA-G0095")</f>
        <v>REA-G0095</v>
      </c>
    </row>
    <row r="1681" spans="1:5" x14ac:dyDescent="0.2">
      <c r="A1681" s="22">
        <f ca="1">IFERROR(__xludf.DUMMYFUNCTION("""COMPUTED_VALUE"""),45112)</f>
        <v>45112</v>
      </c>
      <c r="B1681" s="23" t="str">
        <f ca="1">IFERROR(__xludf.DUMMYFUNCTION("""COMPUTED_VALUE"""),"ŚCIANKA RAPID CHROM 100")</f>
        <v>ŚCIANKA RAPID CHROM 100</v>
      </c>
      <c r="C1681" s="23"/>
      <c r="D1681" s="24">
        <f ca="1">IFERROR(__xludf.DUMMYFUNCTION("""COMPUTED_VALUE"""),530)</f>
        <v>530</v>
      </c>
      <c r="E1681" s="25" t="str">
        <f ca="1">IFERROR(__xludf.DUMMYFUNCTION("""COMPUTED_VALUE"""),"REA-K5610")</f>
        <v>REA-K5610</v>
      </c>
    </row>
    <row r="1682" spans="1:5" x14ac:dyDescent="0.2">
      <c r="A1682" s="22">
        <f ca="1">IFERROR(__xludf.DUMMYFUNCTION("""COMPUTED_VALUE"""),45112)</f>
        <v>45112</v>
      </c>
      <c r="B1682" s="23" t="str">
        <f ca="1">IFERROR(__xludf.DUMMYFUNCTION("""COMPUTED_VALUE"""),"ŚCIANKA RAPID CHROM 90")</f>
        <v>ŚCIANKA RAPID CHROM 90</v>
      </c>
      <c r="C1682" s="23"/>
      <c r="D1682" s="24">
        <f ca="1">IFERROR(__xludf.DUMMYFUNCTION("""COMPUTED_VALUE"""),520)</f>
        <v>520</v>
      </c>
      <c r="E1682" s="25" t="str">
        <f ca="1">IFERROR(__xludf.DUMMYFUNCTION("""COMPUTED_VALUE"""),"REA-K5609")</f>
        <v>REA-K5609</v>
      </c>
    </row>
    <row r="1683" spans="1:5" x14ac:dyDescent="0.2">
      <c r="A1683" s="22">
        <f ca="1">IFERROR(__xludf.DUMMYFUNCTION("""COMPUTED_VALUE"""),45112)</f>
        <v>45112</v>
      </c>
      <c r="B1683" s="23" t="str">
        <f ca="1">IFERROR(__xludf.DUMMYFUNCTION("""COMPUTED_VALUE"""),"PARAWAN WANNOWY AGAT 80")</f>
        <v>PARAWAN WANNOWY AGAT 80</v>
      </c>
      <c r="C1683" s="23"/>
      <c r="D1683" s="24">
        <f ca="1">IFERROR(__xludf.DUMMYFUNCTION("""COMPUTED_VALUE"""),599)</f>
        <v>599</v>
      </c>
      <c r="E1683" s="25" t="str">
        <f ca="1">IFERROR(__xludf.DUMMYFUNCTION("""COMPUTED_VALUE"""),"REA-W0700")</f>
        <v>REA-W0700</v>
      </c>
    </row>
    <row r="1684" spans="1:5" x14ac:dyDescent="0.2">
      <c r="A1684" s="22">
        <f ca="1">IFERROR(__xludf.DUMMYFUNCTION("""COMPUTED_VALUE"""),45112)</f>
        <v>45112</v>
      </c>
      <c r="B1684" s="23" t="str">
        <f ca="1">IFERROR(__xludf.DUMMYFUNCTION("""COMPUTED_VALUE"""),"PARAWAN WANNOWY AGAT-7203 120")</f>
        <v>PARAWAN WANNOWY AGAT-7203 120</v>
      </c>
      <c r="C1684" s="23"/>
      <c r="D1684" s="24">
        <f ca="1">IFERROR(__xludf.DUMMYFUNCTION("""COMPUTED_VALUE"""),699)</f>
        <v>699</v>
      </c>
      <c r="E1684" s="25" t="str">
        <f ca="1">IFERROR(__xludf.DUMMYFUNCTION("""COMPUTED_VALUE"""),"REA-W0301")</f>
        <v>REA-W0301</v>
      </c>
    </row>
    <row r="1685" spans="1:5" x14ac:dyDescent="0.2">
      <c r="A1685" s="22">
        <f ca="1">IFERROR(__xludf.DUMMYFUNCTION("""COMPUTED_VALUE"""),45112)</f>
        <v>45112</v>
      </c>
      <c r="B1685" s="23" t="str">
        <f ca="1">IFERROR(__xludf.DUMMYFUNCTION("""COMPUTED_VALUE"""),"DRZWI PRYSZNICOWE NIXON-2  140 L")</f>
        <v>DRZWI PRYSZNICOWE NIXON-2  140 L</v>
      </c>
      <c r="C1685" s="23"/>
      <c r="D1685" s="24">
        <f ca="1">IFERROR(__xludf.DUMMYFUNCTION("""COMPUTED_VALUE"""),1259)</f>
        <v>1259</v>
      </c>
      <c r="E1685" s="25" t="str">
        <f ca="1">IFERROR(__xludf.DUMMYFUNCTION("""COMPUTED_VALUE"""),"REA-K5006")</f>
        <v>REA-K5006</v>
      </c>
    </row>
    <row r="1686" spans="1:5" x14ac:dyDescent="0.2">
      <c r="A1686" s="22">
        <f ca="1">IFERROR(__xludf.DUMMYFUNCTION("""COMPUTED_VALUE"""),45112)</f>
        <v>45112</v>
      </c>
      <c r="B1686" s="23" t="str">
        <f ca="1">IFERROR(__xludf.DUMMYFUNCTION("""COMPUTED_VALUE"""),"DRZWI PRYSZNICOWE NIXON-2  140 P")</f>
        <v>DRZWI PRYSZNICOWE NIXON-2  140 P</v>
      </c>
      <c r="C1686" s="23"/>
      <c r="D1686" s="24">
        <f ca="1">IFERROR(__xludf.DUMMYFUNCTION("""COMPUTED_VALUE"""),1259)</f>
        <v>1259</v>
      </c>
      <c r="E1686" s="25" t="str">
        <f ca="1">IFERROR(__xludf.DUMMYFUNCTION("""COMPUTED_VALUE"""),"REA-K5007")</f>
        <v>REA-K5007</v>
      </c>
    </row>
    <row r="1687" spans="1:5" x14ac:dyDescent="0.2">
      <c r="A1687" s="22">
        <f ca="1">IFERROR(__xludf.DUMMYFUNCTION("""COMPUTED_VALUE"""),45112)</f>
        <v>45112</v>
      </c>
      <c r="B1687" s="23" t="str">
        <f ca="1">IFERROR(__xludf.DUMMYFUNCTION("""COMPUTED_VALUE"""),"DRZWI PRYSZNICOWE ALEX-805   90")</f>
        <v>DRZWI PRYSZNICOWE ALEX-805   90</v>
      </c>
      <c r="C1687" s="23"/>
      <c r="D1687" s="24">
        <f ca="1">IFERROR(__xludf.DUMMYFUNCTION("""COMPUTED_VALUE"""),869)</f>
        <v>869</v>
      </c>
      <c r="E1687" s="25" t="str">
        <f ca="1">IFERROR(__xludf.DUMMYFUNCTION("""COMPUTED_VALUE"""),"REA-K0549")</f>
        <v>REA-K0549</v>
      </c>
    </row>
    <row r="1688" spans="1:5" x14ac:dyDescent="0.2">
      <c r="A1688" s="22">
        <f ca="1">IFERROR(__xludf.DUMMYFUNCTION("""COMPUTED_VALUE"""),45112)</f>
        <v>45112</v>
      </c>
      <c r="B1688" s="23" t="str">
        <f ca="1">IFERROR(__xludf.DUMMYFUNCTION("""COMPUTED_VALUE"""),"DRZWI PRYSZNICOWE ALEX-805  100")</f>
        <v>DRZWI PRYSZNICOWE ALEX-805  100</v>
      </c>
      <c r="C1688" s="23"/>
      <c r="D1688" s="24">
        <f ca="1">IFERROR(__xludf.DUMMYFUNCTION("""COMPUTED_VALUE"""),899)</f>
        <v>899</v>
      </c>
      <c r="E1688" s="25" t="str">
        <f ca="1">IFERROR(__xludf.DUMMYFUNCTION("""COMPUTED_VALUE"""),"REA-K0546")</f>
        <v>REA-K0546</v>
      </c>
    </row>
    <row r="1689" spans="1:5" x14ac:dyDescent="0.2">
      <c r="A1689" s="22">
        <f ca="1">IFERROR(__xludf.DUMMYFUNCTION("""COMPUTED_VALUE"""),45112)</f>
        <v>45112</v>
      </c>
      <c r="B1689" s="23" t="str">
        <f ca="1">IFERROR(__xludf.DUMMYFUNCTION("""COMPUTED_VALUE"""),"UMYWALKA MARBEL - NABLATOWA")</f>
        <v>UMYWALKA MARBEL - NABLATOWA</v>
      </c>
      <c r="C1689" s="23"/>
      <c r="D1689" s="24">
        <f ca="1">IFERROR(__xludf.DUMMYFUNCTION("""COMPUTED_VALUE"""),359)</f>
        <v>359</v>
      </c>
      <c r="E1689" s="25" t="str">
        <f ca="1">IFERROR(__xludf.DUMMYFUNCTION("""COMPUTED_VALUE"""),"REA-U8603")</f>
        <v>REA-U8603</v>
      </c>
    </row>
    <row r="1690" spans="1:5" x14ac:dyDescent="0.2">
      <c r="A1690" s="22">
        <f ca="1">IFERROR(__xludf.DUMMYFUNCTION("""COMPUTED_VALUE"""),45112)</f>
        <v>45112</v>
      </c>
      <c r="B1690" s="23" t="str">
        <f ca="1">IFERROR(__xludf.DUMMYFUNCTION("""COMPUTED_VALUE"""),"UMYWALKA GRETA 75 - NABLATOWA")</f>
        <v>UMYWALKA GRETA 75 - NABLATOWA</v>
      </c>
      <c r="C1690" s="23"/>
      <c r="D1690" s="24">
        <f ca="1">IFERROR(__xludf.DUMMYFUNCTION("""COMPUTED_VALUE"""),499)</f>
        <v>499</v>
      </c>
      <c r="E1690" s="25" t="str">
        <f ca="1">IFERROR(__xludf.DUMMYFUNCTION("""COMPUTED_VALUE"""),"REA-U1500")</f>
        <v>REA-U1500</v>
      </c>
    </row>
    <row r="1691" spans="1:5" x14ac:dyDescent="0.2">
      <c r="A1691" s="22">
        <f ca="1">IFERROR(__xludf.DUMMYFUNCTION("""COMPUTED_VALUE"""),45112)</f>
        <v>45112</v>
      </c>
      <c r="B1691" s="23" t="str">
        <f ca="1">IFERROR(__xludf.DUMMYFUNCTION("""COMPUTED_VALUE"""),"UMYWALKA GRETA 55 - NABLATOWA")</f>
        <v>UMYWALKA GRETA 55 - NABLATOWA</v>
      </c>
      <c r="C1691" s="23"/>
      <c r="D1691" s="24">
        <f ca="1">IFERROR(__xludf.DUMMYFUNCTION("""COMPUTED_VALUE"""),319)</f>
        <v>319</v>
      </c>
      <c r="E1691" s="25" t="str">
        <f ca="1">IFERROR(__xludf.DUMMYFUNCTION("""COMPUTED_VALUE"""),"REA-U8536")</f>
        <v>REA-U8536</v>
      </c>
    </row>
    <row r="1692" spans="1:5" x14ac:dyDescent="0.2">
      <c r="A1692" s="22">
        <f ca="1">IFERROR(__xludf.DUMMYFUNCTION("""COMPUTED_VALUE"""),45112)</f>
        <v>45112</v>
      </c>
      <c r="B1692" s="23" t="str">
        <f ca="1">IFERROR(__xludf.DUMMYFUNCTION("""COMPUTED_VALUE"""),"UMYWALKA ROXY A STONE D.GREY - NABLATOWA")</f>
        <v>UMYWALKA ROXY A STONE D.GREY - NABLATOWA</v>
      </c>
      <c r="C1692" s="23"/>
      <c r="D1692" s="24">
        <f ca="1">IFERROR(__xludf.DUMMYFUNCTION("""COMPUTED_VALUE"""),359)</f>
        <v>359</v>
      </c>
      <c r="E1692" s="25" t="str">
        <f ca="1">IFERROR(__xludf.DUMMYFUNCTION("""COMPUTED_VALUE"""),"REA-U6649")</f>
        <v>REA-U6649</v>
      </c>
    </row>
    <row r="1693" spans="1:5" x14ac:dyDescent="0.2">
      <c r="A1693" s="22">
        <f ca="1">IFERROR(__xludf.DUMMYFUNCTION("""COMPUTED_VALUE"""),45112)</f>
        <v>45112</v>
      </c>
      <c r="B1693" s="23" t="str">
        <f ca="1">IFERROR(__xludf.DUMMYFUNCTION("""COMPUTED_VALUE"""),"UMYWALKA ROXY B STONE NATURE - NABLATOWA")</f>
        <v>UMYWALKA ROXY B STONE NATURE - NABLATOWA</v>
      </c>
      <c r="C1693" s="23"/>
      <c r="D1693" s="24">
        <f ca="1">IFERROR(__xludf.DUMMYFUNCTION("""COMPUTED_VALUE"""),359)</f>
        <v>359</v>
      </c>
      <c r="E1693" s="25" t="str">
        <f ca="1">IFERROR(__xludf.DUMMYFUNCTION("""COMPUTED_VALUE"""),"REA-U6650")</f>
        <v>REA-U6650</v>
      </c>
    </row>
    <row r="1694" spans="1:5" x14ac:dyDescent="0.2">
      <c r="A1694" s="22">
        <f ca="1">IFERROR(__xludf.DUMMYFUNCTION("""COMPUTED_VALUE"""),45112)</f>
        <v>45112</v>
      </c>
      <c r="B1694" s="23" t="str">
        <f ca="1">IFERROR(__xludf.DUMMYFUNCTION("""COMPUTED_VALUE"""),"UMYWALKA ROXY C STONE L.GREY - NABLATOWA")</f>
        <v>UMYWALKA ROXY C STONE L.GREY - NABLATOWA</v>
      </c>
      <c r="C1694" s="23"/>
      <c r="D1694" s="24">
        <f ca="1">IFERROR(__xludf.DUMMYFUNCTION("""COMPUTED_VALUE"""),359)</f>
        <v>359</v>
      </c>
      <c r="E1694" s="25" t="str">
        <f ca="1">IFERROR(__xludf.DUMMYFUNCTION("""COMPUTED_VALUE"""),"REA-U6651")</f>
        <v>REA-U6651</v>
      </c>
    </row>
    <row r="1695" spans="1:5" x14ac:dyDescent="0.2">
      <c r="A1695" s="22">
        <f ca="1">IFERROR(__xludf.DUMMYFUNCTION("""COMPUTED_VALUE"""),45112)</f>
        <v>45112</v>
      </c>
      <c r="B1695" s="23" t="str">
        <f ca="1">IFERROR(__xludf.DUMMYFUNCTION("""COMPUTED_VALUE"""),"UMYWALKA ROYAL 60 LAVA - NABLATOWA")</f>
        <v>UMYWALKA ROYAL 60 LAVA - NABLATOWA</v>
      </c>
      <c r="C1695" s="23"/>
      <c r="D1695" s="24">
        <f ca="1">IFERROR(__xludf.DUMMYFUNCTION("""COMPUTED_VALUE"""),419)</f>
        <v>419</v>
      </c>
      <c r="E1695" s="25" t="str">
        <f ca="1">IFERROR(__xludf.DUMMYFUNCTION("""COMPUTED_VALUE"""),"REA-U8597")</f>
        <v>REA-U8597</v>
      </c>
    </row>
    <row r="1696" spans="1:5" x14ac:dyDescent="0.2">
      <c r="A1696" s="22">
        <f ca="1">IFERROR(__xludf.DUMMYFUNCTION("""COMPUTED_VALUE"""),45112)</f>
        <v>45112</v>
      </c>
      <c r="B1696" s="23" t="str">
        <f ca="1">IFERROR(__xludf.DUMMYFUNCTION("""COMPUTED_VALUE"""),"UMYWALKA ROYAL 60 GRANIT SHINY - NABLATOWA")</f>
        <v>UMYWALKA ROYAL 60 GRANIT SHINY - NABLATOWA</v>
      </c>
      <c r="C1696" s="23"/>
      <c r="D1696" s="24">
        <f ca="1">IFERROR(__xludf.DUMMYFUNCTION("""COMPUTED_VALUE"""),419)</f>
        <v>419</v>
      </c>
      <c r="E1696" s="25" t="str">
        <f ca="1">IFERROR(__xludf.DUMMYFUNCTION("""COMPUTED_VALUE"""),"REA-U8596")</f>
        <v>REA-U8596</v>
      </c>
    </row>
    <row r="1697" spans="1:5" x14ac:dyDescent="0.2">
      <c r="A1697" s="22">
        <f ca="1">IFERROR(__xludf.DUMMYFUNCTION("""COMPUTED_VALUE"""),45112)</f>
        <v>45112</v>
      </c>
      <c r="B1697" s="23" t="str">
        <f ca="1">IFERROR(__xludf.DUMMYFUNCTION("""COMPUTED_VALUE"""),"UMYWALKA ROYAL 60 GRANIT MATT - NABLATOWA")</f>
        <v>UMYWALKA ROYAL 60 GRANIT MATT - NABLATOWA</v>
      </c>
      <c r="C1697" s="23"/>
      <c r="D1697" s="24">
        <f ca="1">IFERROR(__xludf.DUMMYFUNCTION("""COMPUTED_VALUE"""),419)</f>
        <v>419</v>
      </c>
      <c r="E1697" s="25" t="str">
        <f ca="1">IFERROR(__xludf.DUMMYFUNCTION("""COMPUTED_VALUE"""),"REA-U8742")</f>
        <v>REA-U8742</v>
      </c>
    </row>
    <row r="1698" spans="1:5" x14ac:dyDescent="0.2">
      <c r="A1698" s="22">
        <f ca="1">IFERROR(__xludf.DUMMYFUNCTION("""COMPUTED_VALUE"""),45112)</f>
        <v>45112</v>
      </c>
      <c r="B1698" s="23" t="str">
        <f ca="1">IFERROR(__xludf.DUMMYFUNCTION("""COMPUTED_VALUE"""),"UMYWALKA ROYAL 60 LAVA MATT - NABLATOWA")</f>
        <v>UMYWALKA ROYAL 60 LAVA MATT - NABLATOWA</v>
      </c>
      <c r="C1698" s="23"/>
      <c r="D1698" s="24">
        <f ca="1">IFERROR(__xludf.DUMMYFUNCTION("""COMPUTED_VALUE"""),459)</f>
        <v>459</v>
      </c>
      <c r="E1698" s="25" t="str">
        <f ca="1">IFERROR(__xludf.DUMMYFUNCTION("""COMPUTED_VALUE"""),"REA-U8598")</f>
        <v>REA-U8598</v>
      </c>
    </row>
    <row r="1699" spans="1:5" x14ac:dyDescent="0.2">
      <c r="A1699" s="22">
        <f ca="1">IFERROR(__xludf.DUMMYFUNCTION("""COMPUTED_VALUE"""),45112)</f>
        <v>45112</v>
      </c>
      <c r="B1699" s="23" t="str">
        <f ca="1">IFERROR(__xludf.DUMMYFUNCTION("""COMPUTED_VALUE"""),"UMYWALKA DALIA - WPUSZCZANA")</f>
        <v>UMYWALKA DALIA - WPUSZCZANA</v>
      </c>
      <c r="C1699" s="23"/>
      <c r="D1699" s="24">
        <f ca="1">IFERROR(__xludf.DUMMYFUNCTION("""COMPUTED_VALUE"""),159)</f>
        <v>159</v>
      </c>
      <c r="E1699" s="25" t="str">
        <f ca="1">IFERROR(__xludf.DUMMYFUNCTION("""COMPUTED_VALUE"""),"REA-U4122")</f>
        <v>REA-U4122</v>
      </c>
    </row>
    <row r="1700" spans="1:5" x14ac:dyDescent="0.2">
      <c r="A1700" s="22">
        <f ca="1">IFERROR(__xludf.DUMMYFUNCTION("""COMPUTED_VALUE"""),45112)</f>
        <v>45112</v>
      </c>
      <c r="B1700" s="23" t="str">
        <f ca="1">IFERROR(__xludf.DUMMYFUNCTION("""COMPUTED_VALUE"""),"UMYWALKA ANGIE - NABLATOWA")</f>
        <v>UMYWALKA ANGIE - NABLATOWA</v>
      </c>
      <c r="C1700" s="23"/>
      <c r="D1700" s="24">
        <f ca="1">IFERROR(__xludf.DUMMYFUNCTION("""COMPUTED_VALUE"""),279)</f>
        <v>279</v>
      </c>
      <c r="E1700" s="25" t="str">
        <f ca="1">IFERROR(__xludf.DUMMYFUNCTION("""COMPUTED_VALUE"""),"REA-U4121")</f>
        <v>REA-U4121</v>
      </c>
    </row>
    <row r="1701" spans="1:5" x14ac:dyDescent="0.2">
      <c r="A1701" s="22">
        <f ca="1">IFERROR(__xludf.DUMMYFUNCTION("""COMPUTED_VALUE"""),45112)</f>
        <v>45112</v>
      </c>
      <c r="B1701" s="23" t="str">
        <f ca="1">IFERROR(__xludf.DUMMYFUNCTION("""COMPUTED_VALUE"""),"UMYWALKA HOPE - WOLNOSTOJĄCA")</f>
        <v>UMYWALKA HOPE - WOLNOSTOJĄCA</v>
      </c>
      <c r="C1701" s="23"/>
      <c r="D1701" s="24">
        <f ca="1">IFERROR(__xludf.DUMMYFUNCTION("""COMPUTED_VALUE"""),1179)</f>
        <v>1179</v>
      </c>
      <c r="E1701" s="25" t="str">
        <f ca="1">IFERROR(__xludf.DUMMYFUNCTION("""COMPUTED_VALUE"""),"REA-U4120")</f>
        <v>REA-U4120</v>
      </c>
    </row>
    <row r="1702" spans="1:5" x14ac:dyDescent="0.2">
      <c r="A1702" s="22">
        <f ca="1">IFERROR(__xludf.DUMMYFUNCTION("""COMPUTED_VALUE"""),45112)</f>
        <v>45112</v>
      </c>
      <c r="B1702" s="23" t="str">
        <f ca="1">IFERROR(__xludf.DUMMYFUNCTION("""COMPUTED_VALUE"""),"UMYWALKA LARA GREY - NABLATOWA")</f>
        <v>UMYWALKA LARA GREY - NABLATOWA</v>
      </c>
      <c r="C1702" s="23"/>
      <c r="D1702" s="24">
        <f ca="1">IFERROR(__xludf.DUMMYFUNCTION("""COMPUTED_VALUE"""),299)</f>
        <v>299</v>
      </c>
      <c r="E1702" s="25" t="str">
        <f ca="1">IFERROR(__xludf.DUMMYFUNCTION("""COMPUTED_VALUE"""),"REA-U9889")</f>
        <v>REA-U9889</v>
      </c>
    </row>
    <row r="1703" spans="1:5" x14ac:dyDescent="0.2">
      <c r="A1703" s="22">
        <f ca="1">IFERROR(__xludf.DUMMYFUNCTION("""COMPUTED_VALUE"""),45112)</f>
        <v>45112</v>
      </c>
      <c r="B1703" s="23" t="str">
        <f ca="1">IFERROR(__xludf.DUMMYFUNCTION("""COMPUTED_VALUE"""),"UMYWALKA CARINA - NABLATOWA")</f>
        <v>UMYWALKA CARINA - NABLATOWA</v>
      </c>
      <c r="C1703" s="23"/>
      <c r="D1703" s="24">
        <f ca="1">IFERROR(__xludf.DUMMYFUNCTION("""COMPUTED_VALUE"""),319)</f>
        <v>319</v>
      </c>
      <c r="E1703" s="25" t="str">
        <f ca="1">IFERROR(__xludf.DUMMYFUNCTION("""COMPUTED_VALUE"""),"REA-U0568")</f>
        <v>REA-U0568</v>
      </c>
    </row>
    <row r="1704" spans="1:5" x14ac:dyDescent="0.2">
      <c r="A1704" s="22">
        <f ca="1">IFERROR(__xludf.DUMMYFUNCTION("""COMPUTED_VALUE"""),45112)</f>
        <v>45112</v>
      </c>
      <c r="B1704" s="23" t="str">
        <f ca="1">IFERROR(__xludf.DUMMYFUNCTION("""COMPUTED_VALUE"""),"UMYWALKA KAMILA - WOLNOSTOJĄCA")</f>
        <v>UMYWALKA KAMILA - WOLNOSTOJĄCA</v>
      </c>
      <c r="C1704" s="23"/>
      <c r="D1704" s="24">
        <f ca="1">IFERROR(__xludf.DUMMYFUNCTION("""COMPUTED_VALUE"""),999)</f>
        <v>999</v>
      </c>
      <c r="E1704" s="25" t="str">
        <f ca="1">IFERROR(__xludf.DUMMYFUNCTION("""COMPUTED_VALUE"""),"REA-U5633")</f>
        <v>REA-U5633</v>
      </c>
    </row>
    <row r="1705" spans="1:5" x14ac:dyDescent="0.2">
      <c r="A1705" s="22">
        <f ca="1">IFERROR(__xludf.DUMMYFUNCTION("""COMPUTED_VALUE"""),45110)</f>
        <v>45110</v>
      </c>
      <c r="B1705" s="23" t="str">
        <f ca="1">IFERROR(__xludf.DUMMYFUNCTION("""COMPUTED_VALUE"""),"DRZWI PRYSZNICOWE RAPID FOLD GOLD 100")</f>
        <v>DRZWI PRYSZNICOWE RAPID FOLD GOLD 100</v>
      </c>
      <c r="C1705" s="23"/>
      <c r="D1705" s="24">
        <f ca="1">IFERROR(__xludf.DUMMYFUNCTION("""COMPUTED_VALUE"""),999)</f>
        <v>999</v>
      </c>
      <c r="E1705" s="25" t="str">
        <f ca="1">IFERROR(__xludf.DUMMYFUNCTION("""COMPUTED_VALUE"""),"REA-K4130")</f>
        <v>REA-K4130</v>
      </c>
    </row>
    <row r="1706" spans="1:5" x14ac:dyDescent="0.2">
      <c r="A1706" s="22">
        <f ca="1">IFERROR(__xludf.DUMMYFUNCTION("""COMPUTED_VALUE"""),45110)</f>
        <v>45110</v>
      </c>
      <c r="B1706" s="23" t="str">
        <f ca="1">IFERROR(__xludf.DUMMYFUNCTION("""COMPUTED_VALUE"""),"DRZWI PRYSZNICOWE RAPID FOLD GOLD 90")</f>
        <v>DRZWI PRYSZNICOWE RAPID FOLD GOLD 90</v>
      </c>
      <c r="C1706" s="23"/>
      <c r="D1706" s="24">
        <f ca="1">IFERROR(__xludf.DUMMYFUNCTION("""COMPUTED_VALUE"""),959)</f>
        <v>959</v>
      </c>
      <c r="E1706" s="25" t="str">
        <f ca="1">IFERROR(__xludf.DUMMYFUNCTION("""COMPUTED_VALUE"""),"REA-K4129")</f>
        <v>REA-K4129</v>
      </c>
    </row>
    <row r="1707" spans="1:5" x14ac:dyDescent="0.2">
      <c r="A1707" s="22">
        <f ca="1">IFERROR(__xludf.DUMMYFUNCTION("""COMPUTED_VALUE"""),45110)</f>
        <v>45110</v>
      </c>
      <c r="B1707" s="23" t="str">
        <f ca="1">IFERROR(__xludf.DUMMYFUNCTION("""COMPUTED_VALUE"""),"DRZWI PRYSZNICOWE RAPID FOLD GOLD 80")</f>
        <v>DRZWI PRYSZNICOWE RAPID FOLD GOLD 80</v>
      </c>
      <c r="C1707" s="23"/>
      <c r="D1707" s="24">
        <f ca="1">IFERROR(__xludf.DUMMYFUNCTION("""COMPUTED_VALUE"""),899)</f>
        <v>899</v>
      </c>
      <c r="E1707" s="25" t="str">
        <f ca="1">IFERROR(__xludf.DUMMYFUNCTION("""COMPUTED_VALUE"""),"REA-K4128")</f>
        <v>REA-K4128</v>
      </c>
    </row>
    <row r="1708" spans="1:5" x14ac:dyDescent="0.2">
      <c r="A1708" s="22">
        <f ca="1">IFERROR(__xludf.DUMMYFUNCTION("""COMPUTED_VALUE"""),45110)</f>
        <v>45110</v>
      </c>
      <c r="B1708" s="23" t="str">
        <f ca="1">IFERROR(__xludf.DUMMYFUNCTION("""COMPUTED_VALUE"""),"DRZWI PRYSZNICOWE RAPID SLIDE GOLD 120")</f>
        <v>DRZWI PRYSZNICOWE RAPID SLIDE GOLD 120</v>
      </c>
      <c r="C1708" s="23"/>
      <c r="D1708" s="24">
        <f ca="1">IFERROR(__xludf.DUMMYFUNCTION("""COMPUTED_VALUE"""),999)</f>
        <v>999</v>
      </c>
      <c r="E1708" s="25" t="str">
        <f ca="1">IFERROR(__xludf.DUMMYFUNCTION("""COMPUTED_VALUE"""),"REA-K5614")</f>
        <v>REA-K5614</v>
      </c>
    </row>
    <row r="1709" spans="1:5" x14ac:dyDescent="0.2">
      <c r="A1709" s="22">
        <f ca="1">IFERROR(__xludf.DUMMYFUNCTION("""COMPUTED_VALUE"""),45110)</f>
        <v>45110</v>
      </c>
      <c r="B1709" s="23" t="str">
        <f ca="1">IFERROR(__xludf.DUMMYFUNCTION("""COMPUTED_VALUE"""),"DRZWI PRYSZNICOWE RAPID SLIDE GOLD 130")</f>
        <v>DRZWI PRYSZNICOWE RAPID SLIDE GOLD 130</v>
      </c>
      <c r="C1709" s="23"/>
      <c r="D1709" s="24">
        <f ca="1">IFERROR(__xludf.DUMMYFUNCTION("""COMPUTED_VALUE"""),1029)</f>
        <v>1029</v>
      </c>
      <c r="E1709" s="25" t="str">
        <f ca="1">IFERROR(__xludf.DUMMYFUNCTION("""COMPUTED_VALUE"""),"REA-K5615")</f>
        <v>REA-K5615</v>
      </c>
    </row>
    <row r="1710" spans="1:5" x14ac:dyDescent="0.2">
      <c r="A1710" s="22">
        <f ca="1">IFERROR(__xludf.DUMMYFUNCTION("""COMPUTED_VALUE"""),45110)</f>
        <v>45110</v>
      </c>
      <c r="B1710" s="23" t="str">
        <f ca="1">IFERROR(__xludf.DUMMYFUNCTION("""COMPUTED_VALUE"""),"DRZWI PRYSZNICOWE RAPID SLIDE GOLD 140")</f>
        <v>DRZWI PRYSZNICOWE RAPID SLIDE GOLD 140</v>
      </c>
      <c r="C1710" s="23"/>
      <c r="D1710" s="24">
        <f ca="1">IFERROR(__xludf.DUMMYFUNCTION("""COMPUTED_VALUE"""),1059)</f>
        <v>1059</v>
      </c>
      <c r="E1710" s="25" t="str">
        <f ca="1">IFERROR(__xludf.DUMMYFUNCTION("""COMPUTED_VALUE"""),"REA-K5616")</f>
        <v>REA-K5616</v>
      </c>
    </row>
    <row r="1711" spans="1:5" x14ac:dyDescent="0.2">
      <c r="A1711" s="22">
        <f ca="1">IFERROR(__xludf.DUMMYFUNCTION("""COMPUTED_VALUE"""),45110)</f>
        <v>45110</v>
      </c>
      <c r="B1711" s="23" t="str">
        <f ca="1">IFERROR(__xludf.DUMMYFUNCTION("""COMPUTED_VALUE"""),"DRZWI PRYSZNICOWE RAPID SLIDE GOLD 150")</f>
        <v>DRZWI PRYSZNICOWE RAPID SLIDE GOLD 150</v>
      </c>
      <c r="C1711" s="23"/>
      <c r="D1711" s="24">
        <f ca="1">IFERROR(__xludf.DUMMYFUNCTION("""COMPUTED_VALUE"""),1279)</f>
        <v>1279</v>
      </c>
      <c r="E1711" s="25" t="str">
        <f ca="1">IFERROR(__xludf.DUMMYFUNCTION("""COMPUTED_VALUE"""),"REA-K5617")</f>
        <v>REA-K5617</v>
      </c>
    </row>
    <row r="1712" spans="1:5" x14ac:dyDescent="0.2">
      <c r="A1712" s="22">
        <f ca="1">IFERROR(__xludf.DUMMYFUNCTION("""COMPUTED_VALUE"""),45110)</f>
        <v>45110</v>
      </c>
      <c r="B1712" s="23" t="str">
        <f ca="1">IFERROR(__xludf.DUMMYFUNCTION("""COMPUTED_VALUE"""),"DRZWI PRYSZNICOWE RAPID SWING GOLD 90")</f>
        <v>DRZWI PRYSZNICOWE RAPID SWING GOLD 90</v>
      </c>
      <c r="C1712" s="23"/>
      <c r="D1712" s="24">
        <f ca="1">IFERROR(__xludf.DUMMYFUNCTION("""COMPUTED_VALUE"""),1169)</f>
        <v>1169</v>
      </c>
      <c r="E1712" s="25" t="str">
        <f ca="1">IFERROR(__xludf.DUMMYFUNCTION("""COMPUTED_VALUE"""),"REA-K5618")</f>
        <v>REA-K5618</v>
      </c>
    </row>
    <row r="1713" spans="1:5" x14ac:dyDescent="0.2">
      <c r="A1713" s="22">
        <f ca="1">IFERROR(__xludf.DUMMYFUNCTION("""COMPUTED_VALUE"""),45110)</f>
        <v>45110</v>
      </c>
      <c r="B1713" s="23" t="str">
        <f ca="1">IFERROR(__xludf.DUMMYFUNCTION("""COMPUTED_VALUE"""),"DRZWI PRYSZNICOWE RAPID SWING GOLD 100")</f>
        <v>DRZWI PRYSZNICOWE RAPID SWING GOLD 100</v>
      </c>
      <c r="C1713" s="23"/>
      <c r="D1713" s="24">
        <f ca="1">IFERROR(__xludf.DUMMYFUNCTION("""COMPUTED_VALUE"""),1199)</f>
        <v>1199</v>
      </c>
      <c r="E1713" s="25" t="str">
        <f ca="1">IFERROR(__xludf.DUMMYFUNCTION("""COMPUTED_VALUE"""),"REA-K5619")</f>
        <v>REA-K5619</v>
      </c>
    </row>
    <row r="1714" spans="1:5" x14ac:dyDescent="0.2">
      <c r="A1714" s="22">
        <f ca="1">IFERROR(__xludf.DUMMYFUNCTION("""COMPUTED_VALUE"""),45110)</f>
        <v>45110</v>
      </c>
      <c r="B1714" s="23" t="str">
        <f ca="1">IFERROR(__xludf.DUMMYFUNCTION("""COMPUTED_VALUE"""),"DRZWI PRYSZNICOWE RAPID SWING CHROM 100")</f>
        <v>DRZWI PRYSZNICOWE RAPID SWING CHROM 100</v>
      </c>
      <c r="C1714" s="23"/>
      <c r="D1714" s="24">
        <f ca="1">IFERROR(__xludf.DUMMYFUNCTION("""COMPUTED_VALUE"""),919)</f>
        <v>919</v>
      </c>
      <c r="E1714" s="25" t="str">
        <f ca="1">IFERROR(__xludf.DUMMYFUNCTION("""COMPUTED_VALUE"""),"REA-K5607")</f>
        <v>REA-K5607</v>
      </c>
    </row>
    <row r="1715" spans="1:5" x14ac:dyDescent="0.2">
      <c r="A1715" s="22">
        <f ca="1">IFERROR(__xludf.DUMMYFUNCTION("""COMPUTED_VALUE"""),45110)</f>
        <v>45110</v>
      </c>
      <c r="B1715" s="23" t="str">
        <f ca="1">IFERROR(__xludf.DUMMYFUNCTION("""COMPUTED_VALUE"""),"DRZWI PRYSZNICOWE RAPID SWING CHROM 90")</f>
        <v>DRZWI PRYSZNICOWE RAPID SWING CHROM 90</v>
      </c>
      <c r="C1715" s="23"/>
      <c r="D1715" s="24">
        <f ca="1">IFERROR(__xludf.DUMMYFUNCTION("""COMPUTED_VALUE"""),859)</f>
        <v>859</v>
      </c>
      <c r="E1715" s="25" t="str">
        <f ca="1">IFERROR(__xludf.DUMMYFUNCTION("""COMPUTED_VALUE"""),"REA-K5606")</f>
        <v>REA-K5606</v>
      </c>
    </row>
    <row r="1716" spans="1:5" x14ac:dyDescent="0.2">
      <c r="A1716" s="22">
        <f ca="1">IFERROR(__xludf.DUMMYFUNCTION("""COMPUTED_VALUE"""),45110)</f>
        <v>45110</v>
      </c>
      <c r="B1716" s="23" t="str">
        <f ca="1">IFERROR(__xludf.DUMMYFUNCTION("""COMPUTED_VALUE"""),"DRZWI PRYSZNICOWE RAPID SLIDE CHROM 130")</f>
        <v>DRZWI PRYSZNICOWE RAPID SLIDE CHROM 130</v>
      </c>
      <c r="C1716" s="23"/>
      <c r="D1716" s="24">
        <f ca="1">IFERROR(__xludf.DUMMYFUNCTION("""COMPUTED_VALUE"""),929)</f>
        <v>929</v>
      </c>
      <c r="E1716" s="25" t="str">
        <f ca="1">IFERROR(__xludf.DUMMYFUNCTION("""COMPUTED_VALUE"""),"REA-K5603")</f>
        <v>REA-K5603</v>
      </c>
    </row>
    <row r="1717" spans="1:5" x14ac:dyDescent="0.2">
      <c r="A1717" s="22">
        <f ca="1">IFERROR(__xludf.DUMMYFUNCTION("""COMPUTED_VALUE"""),45110)</f>
        <v>45110</v>
      </c>
      <c r="B1717" s="23" t="str">
        <f ca="1">IFERROR(__xludf.DUMMYFUNCTION("""COMPUTED_VALUE"""),"DRZWI PRYSZNICOWE RAPID SLIDE CHROM 110")</f>
        <v>DRZWI PRYSZNICOWE RAPID SLIDE CHROM 110</v>
      </c>
      <c r="C1717" s="23"/>
      <c r="D1717" s="24">
        <f ca="1">IFERROR(__xludf.DUMMYFUNCTION("""COMPUTED_VALUE"""),899)</f>
        <v>899</v>
      </c>
      <c r="E1717" s="25" t="str">
        <f ca="1">IFERROR(__xludf.DUMMYFUNCTION("""COMPUTED_VALUE"""),"REA-K5601")</f>
        <v>REA-K5601</v>
      </c>
    </row>
    <row r="1718" spans="1:5" x14ac:dyDescent="0.2">
      <c r="A1718" s="22">
        <f ca="1">IFERROR(__xludf.DUMMYFUNCTION("""COMPUTED_VALUE"""),45110)</f>
        <v>45110</v>
      </c>
      <c r="B1718" s="23" t="str">
        <f ca="1">IFERROR(__xludf.DUMMYFUNCTION("""COMPUTED_VALUE"""),"DRZWI PRYSZNICOWE RAPID SLIDE CHROM 100")</f>
        <v>DRZWI PRYSZNICOWE RAPID SLIDE CHROM 100</v>
      </c>
      <c r="C1718" s="23"/>
      <c r="D1718" s="24">
        <f ca="1">IFERROR(__xludf.DUMMYFUNCTION("""COMPUTED_VALUE"""),839)</f>
        <v>839</v>
      </c>
      <c r="E1718" s="25" t="str">
        <f ca="1">IFERROR(__xludf.DUMMYFUNCTION("""COMPUTED_VALUE"""),"REA-K5600")</f>
        <v>REA-K5600</v>
      </c>
    </row>
    <row r="1719" spans="1:5" x14ac:dyDescent="0.2">
      <c r="A1719" s="22">
        <f ca="1">IFERROR(__xludf.DUMMYFUNCTION("""COMPUTED_VALUE"""),45102)</f>
        <v>45102</v>
      </c>
      <c r="B1719" s="23" t="str">
        <f ca="1">IFERROR(__xludf.DUMMYFUNCTION("""COMPUTED_VALUE"""),"BRODZIK SAVOY BLACK 80*100*6cm + SYFON")</f>
        <v>BRODZIK SAVOY BLACK 80*100*6cm + SYFON</v>
      </c>
      <c r="C1719" s="23"/>
      <c r="D1719" s="24">
        <f ca="1">IFERROR(__xludf.DUMMYFUNCTION("""COMPUTED_VALUE"""),499)</f>
        <v>499</v>
      </c>
      <c r="E1719" s="25" t="str">
        <f ca="1">IFERROR(__xludf.DUMMYFUNCTION("""COMPUTED_VALUE"""),"REA-K4087")</f>
        <v>REA-K4087</v>
      </c>
    </row>
    <row r="1720" spans="1:5" x14ac:dyDescent="0.2">
      <c r="A1720" s="22">
        <f ca="1">IFERROR(__xludf.DUMMYFUNCTION("""COMPUTED_VALUE"""),45102)</f>
        <v>45102</v>
      </c>
      <c r="B1720" s="23" t="str">
        <f ca="1">IFERROR(__xludf.DUMMYFUNCTION("""COMPUTED_VALUE"""),"BRODZIK SAVOY 90*90*6cm + SYFON")</f>
        <v>BRODZIK SAVOY 90*90*6cm + SYFON</v>
      </c>
      <c r="C1720" s="23"/>
      <c r="D1720" s="24">
        <f ca="1">IFERROR(__xludf.DUMMYFUNCTION("""COMPUTED_VALUE"""),429)</f>
        <v>429</v>
      </c>
      <c r="E1720" s="25" t="str">
        <f ca="1">IFERROR(__xludf.DUMMYFUNCTION("""COMPUTED_VALUE"""),"REA-K1907")</f>
        <v>REA-K1907</v>
      </c>
    </row>
    <row r="1721" spans="1:5" x14ac:dyDescent="0.2">
      <c r="A1721" s="22">
        <f ca="1">IFERROR(__xludf.DUMMYFUNCTION("""COMPUTED_VALUE"""),45102)</f>
        <v>45102</v>
      </c>
      <c r="B1721" s="23" t="str">
        <f ca="1">IFERROR(__xludf.DUMMYFUNCTION("""COMPUTED_VALUE"""),"BRODZIK SAVOY 80*80*6cm + SYFON")</f>
        <v>BRODZIK SAVOY 80*80*6cm + SYFON</v>
      </c>
      <c r="C1721" s="23"/>
      <c r="D1721" s="24">
        <f ca="1">IFERROR(__xludf.DUMMYFUNCTION("""COMPUTED_VALUE"""),399)</f>
        <v>399</v>
      </c>
      <c r="E1721" s="25" t="str">
        <f ca="1">IFERROR(__xludf.DUMMYFUNCTION("""COMPUTED_VALUE"""),"REA-K1906")</f>
        <v>REA-K1906</v>
      </c>
    </row>
    <row r="1722" spans="1:5" x14ac:dyDescent="0.2">
      <c r="A1722" s="22">
        <f ca="1">IFERROR(__xludf.DUMMYFUNCTION("""COMPUTED_VALUE"""),45099)</f>
        <v>45099</v>
      </c>
      <c r="B1722" s="23" t="str">
        <f ca="1">IFERROR(__xludf.DUMMYFUNCTION("""COMPUTED_VALUE"""),"UMYWALKA FIESTA MINI - NABLATOWA")</f>
        <v>UMYWALKA FIESTA MINI - NABLATOWA</v>
      </c>
      <c r="C1722" s="23"/>
      <c r="D1722" s="24">
        <f ca="1">IFERROR(__xludf.DUMMYFUNCTION("""COMPUTED_VALUE"""),99)</f>
        <v>99</v>
      </c>
      <c r="E1722" s="25" t="str">
        <f ca="1">IFERROR(__xludf.DUMMYFUNCTION("""COMPUTED_VALUE"""),"CAL-00002")</f>
        <v>CAL-00002</v>
      </c>
    </row>
    <row r="1723" spans="1:5" x14ac:dyDescent="0.2">
      <c r="A1723" s="22">
        <f ca="1">IFERROR(__xludf.DUMMYFUNCTION("""COMPUTED_VALUE"""),45099)</f>
        <v>45099</v>
      </c>
      <c r="B1723" s="23" t="str">
        <f ca="1">IFERROR(__xludf.DUMMYFUNCTION("""COMPUTED_VALUE"""),"UMYWALKA FIESTA WHITE - NABLATOWA")</f>
        <v>UMYWALKA FIESTA WHITE - NABLATOWA</v>
      </c>
      <c r="C1723" s="23"/>
      <c r="D1723" s="24">
        <f ca="1">IFERROR(__xludf.DUMMYFUNCTION("""COMPUTED_VALUE"""),129)</f>
        <v>129</v>
      </c>
      <c r="E1723" s="25" t="str">
        <f ca="1">IFERROR(__xludf.DUMMYFUNCTION("""COMPUTED_VALUE"""),"CAL-00001")</f>
        <v>CAL-00001</v>
      </c>
    </row>
    <row r="1724" spans="1:5" x14ac:dyDescent="0.2">
      <c r="A1724" s="22">
        <f ca="1">IFERROR(__xludf.DUMMYFUNCTION("""COMPUTED_VALUE"""),45099)</f>
        <v>45099</v>
      </c>
      <c r="B1724" s="23" t="str">
        <f ca="1">IFERROR(__xludf.DUMMYFUNCTION("""COMPUTED_VALUE"""),"UMYWALKA TRACY - NABLATOWA")</f>
        <v>UMYWALKA TRACY - NABLATOWA</v>
      </c>
      <c r="C1724" s="23"/>
      <c r="D1724" s="24">
        <f ca="1">IFERROR(__xludf.DUMMYFUNCTION("""COMPUTED_VALUE"""),199)</f>
        <v>199</v>
      </c>
      <c r="E1724" s="25" t="str">
        <f ca="1">IFERROR(__xludf.DUMMYFUNCTION("""COMPUTED_VALUE"""),"CAL-00003")</f>
        <v>CAL-00003</v>
      </c>
    </row>
    <row r="1725" spans="1:5" x14ac:dyDescent="0.2">
      <c r="A1725" s="22">
        <f ca="1">IFERROR(__xludf.DUMMYFUNCTION("""COMPUTED_VALUE"""),45099)</f>
        <v>45099</v>
      </c>
      <c r="B1725" s="23" t="str">
        <f ca="1">IFERROR(__xludf.DUMMYFUNCTION("""COMPUTED_VALUE"""),"UMYWALKA PAULA - NABLATOWA")</f>
        <v>UMYWALKA PAULA - NABLATOWA</v>
      </c>
      <c r="C1725" s="23"/>
      <c r="D1725" s="24">
        <f ca="1">IFERROR(__xludf.DUMMYFUNCTION("""COMPUTED_VALUE"""),139)</f>
        <v>139</v>
      </c>
      <c r="E1725" s="25" t="str">
        <f ca="1">IFERROR(__xludf.DUMMYFUNCTION("""COMPUTED_VALUE"""),"CAL-00008")</f>
        <v>CAL-00008</v>
      </c>
    </row>
    <row r="1726" spans="1:5" x14ac:dyDescent="0.2">
      <c r="A1726" s="22">
        <f ca="1">IFERROR(__xludf.DUMMYFUNCTION("""COMPUTED_VALUE"""),45099)</f>
        <v>45099</v>
      </c>
      <c r="B1726" s="23" t="str">
        <f ca="1">IFERROR(__xludf.DUMMYFUNCTION("""COMPUTED_VALUE"""),"UMYWALKA FIESTA BLACK WHITE - NABLATOWA")</f>
        <v>UMYWALKA FIESTA BLACK WHITE - NABLATOWA</v>
      </c>
      <c r="C1726" s="23"/>
      <c r="D1726" s="24">
        <f ca="1">IFERROR(__xludf.DUMMYFUNCTION("""COMPUTED_VALUE"""),229)</f>
        <v>229</v>
      </c>
      <c r="E1726" s="25" t="str">
        <f ca="1">IFERROR(__xludf.DUMMYFUNCTION("""COMPUTED_VALUE"""),"CAL-00023")</f>
        <v>CAL-00023</v>
      </c>
    </row>
    <row r="1727" spans="1:5" x14ac:dyDescent="0.2">
      <c r="A1727" s="22">
        <f ca="1">IFERROR(__xludf.DUMMYFUNCTION("""COMPUTED_VALUE"""),45099)</f>
        <v>45099</v>
      </c>
      <c r="B1727" s="23" t="str">
        <f ca="1">IFERROR(__xludf.DUMMYFUNCTION("""COMPUTED_VALUE"""),"UMYWALKA GLORIA - NABLATOWA")</f>
        <v>UMYWALKA GLORIA - NABLATOWA</v>
      </c>
      <c r="C1727" s="23"/>
      <c r="D1727" s="24">
        <f ca="1">IFERROR(__xludf.DUMMYFUNCTION("""COMPUTED_VALUE"""),129)</f>
        <v>129</v>
      </c>
      <c r="E1727" s="25" t="str">
        <f ca="1">IFERROR(__xludf.DUMMYFUNCTION("""COMPUTED_VALUE"""),"CAL-00010")</f>
        <v>CAL-00010</v>
      </c>
    </row>
    <row r="1728" spans="1:5" x14ac:dyDescent="0.2">
      <c r="A1728" s="22">
        <f ca="1">IFERROR(__xludf.DUMMYFUNCTION("""COMPUTED_VALUE"""),45099)</f>
        <v>45099</v>
      </c>
      <c r="B1728" s="23" t="str">
        <f ca="1">IFERROR(__xludf.DUMMYFUNCTION("""COMPUTED_VALUE"""),"UMYWALKA JANET - NABLATOWA")</f>
        <v>UMYWALKA JANET - NABLATOWA</v>
      </c>
      <c r="C1728" s="23"/>
      <c r="D1728" s="24">
        <f ca="1">IFERROR(__xludf.DUMMYFUNCTION("""COMPUTED_VALUE"""),199)</f>
        <v>199</v>
      </c>
      <c r="E1728" s="25" t="str">
        <f ca="1">IFERROR(__xludf.DUMMYFUNCTION("""COMPUTED_VALUE"""),"CAL-00013")</f>
        <v>CAL-00013</v>
      </c>
    </row>
    <row r="1729" spans="1:5" x14ac:dyDescent="0.2">
      <c r="A1729" s="22">
        <f ca="1">IFERROR(__xludf.DUMMYFUNCTION("""COMPUTED_VALUE"""),45099)</f>
        <v>45099</v>
      </c>
      <c r="B1729" s="23" t="str">
        <f ca="1">IFERROR(__xludf.DUMMYFUNCTION("""COMPUTED_VALUE"""),"UMYWALKA AIDA - WOLNOSTOJĄCA")</f>
        <v>UMYWALKA AIDA - WOLNOSTOJĄCA</v>
      </c>
      <c r="C1729" s="23"/>
      <c r="D1729" s="24">
        <f ca="1">IFERROR(__xludf.DUMMYFUNCTION("""COMPUTED_VALUE"""),999)</f>
        <v>999</v>
      </c>
      <c r="E1729" s="25" t="str">
        <f ca="1">IFERROR(__xludf.DUMMYFUNCTION("""COMPUTED_VALUE"""),"CAL-00500")</f>
        <v>CAL-00500</v>
      </c>
    </row>
    <row r="1730" spans="1:5" x14ac:dyDescent="0.2">
      <c r="A1730" s="22">
        <f ca="1">IFERROR(__xludf.DUMMYFUNCTION("""COMPUTED_VALUE"""),45099)</f>
        <v>45099</v>
      </c>
      <c r="B1730" s="23" t="str">
        <f ca="1">IFERROR(__xludf.DUMMYFUNCTION("""COMPUTED_VALUE"""),"UMYWALKA ESTERA - WOLNOSTOJĄCA")</f>
        <v>UMYWALKA ESTERA - WOLNOSTOJĄCA</v>
      </c>
      <c r="C1730" s="23"/>
      <c r="D1730" s="24">
        <f ca="1">IFERROR(__xludf.DUMMYFUNCTION("""COMPUTED_VALUE"""),1349)</f>
        <v>1349</v>
      </c>
      <c r="E1730" s="25" t="str">
        <f ca="1">IFERROR(__xludf.DUMMYFUNCTION("""COMPUTED_VALUE"""),"REA-U0756")</f>
        <v>REA-U0756</v>
      </c>
    </row>
    <row r="1731" spans="1:5" x14ac:dyDescent="0.2">
      <c r="A1731" s="22">
        <f ca="1">IFERROR(__xludf.DUMMYFUNCTION("""COMPUTED_VALUE"""),45099)</f>
        <v>45099</v>
      </c>
      <c r="B1731" s="23" t="str">
        <f ca="1">IFERROR(__xludf.DUMMYFUNCTION("""COMPUTED_VALUE"""),"UMYWALKA SHILA - NABLATOWA")</f>
        <v>UMYWALKA SHILA - NABLATOWA</v>
      </c>
      <c r="C1731" s="23"/>
      <c r="D1731" s="24">
        <f ca="1">IFERROR(__xludf.DUMMYFUNCTION("""COMPUTED_VALUE"""),329)</f>
        <v>329</v>
      </c>
      <c r="E1731" s="25" t="str">
        <f ca="1">IFERROR(__xludf.DUMMYFUNCTION("""COMPUTED_VALUE"""),"REA-U6655")</f>
        <v>REA-U6655</v>
      </c>
    </row>
    <row r="1732" spans="1:5" x14ac:dyDescent="0.2">
      <c r="A1732" s="22">
        <f ca="1">IFERROR(__xludf.DUMMYFUNCTION("""COMPUTED_VALUE"""),45099)</f>
        <v>45099</v>
      </c>
      <c r="B1732" s="23" t="str">
        <f ca="1">IFERROR(__xludf.DUMMYFUNCTION("""COMPUTED_VALUE"""),"UMYWALKA ASHLEY - NABLATOWA")</f>
        <v>UMYWALKA ASHLEY - NABLATOWA</v>
      </c>
      <c r="C1732" s="23"/>
      <c r="D1732" s="24">
        <f ca="1">IFERROR(__xludf.DUMMYFUNCTION("""COMPUTED_VALUE"""),469)</f>
        <v>469</v>
      </c>
      <c r="E1732" s="25" t="str">
        <f ca="1">IFERROR(__xludf.DUMMYFUNCTION("""COMPUTED_VALUE"""),"REA-U4663")</f>
        <v>REA-U4663</v>
      </c>
    </row>
    <row r="1733" spans="1:5" x14ac:dyDescent="0.2">
      <c r="A1733" s="22">
        <f ca="1">IFERROR(__xludf.DUMMYFUNCTION("""COMPUTED_VALUE"""),45099)</f>
        <v>45099</v>
      </c>
      <c r="B1733" s="23" t="str">
        <f ca="1">IFERROR(__xludf.DUMMYFUNCTION("""COMPUTED_VALUE"""),"UMYWALKA ROMA MARBLE BLACK MAT - NABLATOWA")</f>
        <v>UMYWALKA ROMA MARBLE BLACK MAT - NABLATOWA</v>
      </c>
      <c r="C1733" s="23"/>
      <c r="D1733" s="24">
        <f ca="1">IFERROR(__xludf.DUMMYFUNCTION("""COMPUTED_VALUE"""),415)</f>
        <v>415</v>
      </c>
      <c r="E1733" s="25" t="str">
        <f ca="1">IFERROR(__xludf.DUMMYFUNCTION("""COMPUTED_VALUE"""),"REA-U5609")</f>
        <v>REA-U5609</v>
      </c>
    </row>
    <row r="1734" spans="1:5" x14ac:dyDescent="0.2">
      <c r="A1734" s="22">
        <f ca="1">IFERROR(__xludf.DUMMYFUNCTION("""COMPUTED_VALUE"""),45099)</f>
        <v>45099</v>
      </c>
      <c r="B1734" s="23" t="str">
        <f ca="1">IFERROR(__xludf.DUMMYFUNCTION("""COMPUTED_VALUE"""),"UMYWALKA SAMI MARBLE - NABLATOWA")</f>
        <v>UMYWALKA SAMI MARBLE - NABLATOWA</v>
      </c>
      <c r="C1734" s="23"/>
      <c r="D1734" s="24">
        <f ca="1">IFERROR(__xludf.DUMMYFUNCTION("""COMPUTED_VALUE"""),319)</f>
        <v>319</v>
      </c>
      <c r="E1734" s="25" t="str">
        <f ca="1">IFERROR(__xludf.DUMMYFUNCTION("""COMPUTED_VALUE"""),"REA-U5685")</f>
        <v>REA-U5685</v>
      </c>
    </row>
    <row r="1735" spans="1:5" x14ac:dyDescent="0.2">
      <c r="A1735" s="22">
        <f ca="1">IFERROR(__xludf.DUMMYFUNCTION("""COMPUTED_VALUE"""),45099)</f>
        <v>45099</v>
      </c>
      <c r="B1735" s="23" t="str">
        <f ca="1">IFERROR(__xludf.DUMMYFUNCTION("""COMPUTED_VALUE"""),"UMYWALKA SAMI MARBLE MATT - NABLATOWA")</f>
        <v>UMYWALKA SAMI MARBLE MATT - NABLATOWA</v>
      </c>
      <c r="C1735" s="23"/>
      <c r="D1735" s="24">
        <f ca="1">IFERROR(__xludf.DUMMYFUNCTION("""COMPUTED_VALUE"""),369)</f>
        <v>369</v>
      </c>
      <c r="E1735" s="25" t="str">
        <f ca="1">IFERROR(__xludf.DUMMYFUNCTION("""COMPUTED_VALUE"""),"REA-U8703")</f>
        <v>REA-U8703</v>
      </c>
    </row>
    <row r="1736" spans="1:5" x14ac:dyDescent="0.2">
      <c r="A1736" s="22">
        <f ca="1">IFERROR(__xludf.DUMMYFUNCTION("""COMPUTED_VALUE"""),45099)</f>
        <v>45099</v>
      </c>
      <c r="B1736" s="23" t="str">
        <f ca="1">IFERROR(__xludf.DUMMYFUNCTION("""COMPUTED_VALUE"""),"ŚCIANKA PRYSZNICOWA AERO INTIMO GOLD BRUSH 90")</f>
        <v>ŚCIANKA PRYSZNICOWA AERO INTIMO GOLD BRUSH 90</v>
      </c>
      <c r="C1736" s="23"/>
      <c r="D1736" s="24">
        <f ca="1">IFERROR(__xludf.DUMMYFUNCTION("""COMPUTED_VALUE"""),899)</f>
        <v>899</v>
      </c>
      <c r="E1736" s="25" t="str">
        <f ca="1">IFERROR(__xludf.DUMMYFUNCTION("""COMPUTED_VALUE"""),"REA-K4124")</f>
        <v>REA-K4124</v>
      </c>
    </row>
    <row r="1737" spans="1:5" x14ac:dyDescent="0.2">
      <c r="A1737" s="22">
        <f ca="1">IFERROR(__xludf.DUMMYFUNCTION("""COMPUTED_VALUE"""),45099)</f>
        <v>45099</v>
      </c>
      <c r="B1737" s="23" t="str">
        <f ca="1">IFERROR(__xludf.DUMMYFUNCTION("""COMPUTED_VALUE"""),"ŚCIANKA PRYSZNICOWA AERO INTIMO BLACK 100")</f>
        <v>ŚCIANKA PRYSZNICOWA AERO INTIMO BLACK 100</v>
      </c>
      <c r="C1737" s="23"/>
      <c r="D1737" s="24">
        <f ca="1">IFERROR(__xludf.DUMMYFUNCTION("""COMPUTED_VALUE"""),869)</f>
        <v>869</v>
      </c>
      <c r="E1737" s="25" t="str">
        <f ca="1">IFERROR(__xludf.DUMMYFUNCTION("""COMPUTED_VALUE"""),"REA-K4121")</f>
        <v>REA-K4121</v>
      </c>
    </row>
    <row r="1738" spans="1:5" x14ac:dyDescent="0.2">
      <c r="A1738" s="22">
        <f ca="1">IFERROR(__xludf.DUMMYFUNCTION("""COMPUTED_VALUE"""),45099)</f>
        <v>45099</v>
      </c>
      <c r="B1738" s="23" t="str">
        <f ca="1">IFERROR(__xludf.DUMMYFUNCTION("""COMPUTED_VALUE"""),"ŚCIANKA PRYSZNICOWA AERO INTIMO GOLD BRUSH 100")</f>
        <v>ŚCIANKA PRYSZNICOWA AERO INTIMO GOLD BRUSH 100</v>
      </c>
      <c r="C1738" s="23"/>
      <c r="D1738" s="24">
        <f ca="1">IFERROR(__xludf.DUMMYFUNCTION("""COMPUTED_VALUE"""),969)</f>
        <v>969</v>
      </c>
      <c r="E1738" s="25" t="str">
        <f ca="1">IFERROR(__xludf.DUMMYFUNCTION("""COMPUTED_VALUE"""),"REA-K4126")</f>
        <v>REA-K4126</v>
      </c>
    </row>
    <row r="1739" spans="1:5" x14ac:dyDescent="0.2">
      <c r="A1739" s="22">
        <f ca="1">IFERROR(__xludf.DUMMYFUNCTION("""COMPUTED_VALUE"""),45099)</f>
        <v>45099</v>
      </c>
      <c r="B1739" s="23" t="str">
        <f ca="1">IFERROR(__xludf.DUMMYFUNCTION("""COMPUTED_VALUE"""),"ŚCIANKA PRYSZNICOWA AERO INTIMO BLACK 120")</f>
        <v>ŚCIANKA PRYSZNICOWA AERO INTIMO BLACK 120</v>
      </c>
      <c r="C1739" s="23"/>
      <c r="D1739" s="24">
        <f ca="1">IFERROR(__xludf.DUMMYFUNCTION("""COMPUTED_VALUE"""),969)</f>
        <v>969</v>
      </c>
      <c r="E1739" s="25" t="str">
        <f ca="1">IFERROR(__xludf.DUMMYFUNCTION("""COMPUTED_VALUE"""),"REA-K4122")</f>
        <v>REA-K4122</v>
      </c>
    </row>
    <row r="1740" spans="1:5" x14ac:dyDescent="0.2">
      <c r="A1740" s="22">
        <f ca="1">IFERROR(__xludf.DUMMYFUNCTION("""COMPUTED_VALUE"""),45099)</f>
        <v>45099</v>
      </c>
      <c r="B1740" s="23" t="str">
        <f ca="1">IFERROR(__xludf.DUMMYFUNCTION("""COMPUTED_VALUE"""),"ŚCIANKA PRYSZNICOWA AERO INTIMO BLACK 90")</f>
        <v>ŚCIANKA PRYSZNICOWA AERO INTIMO BLACK 90</v>
      </c>
      <c r="C1740" s="23"/>
      <c r="D1740" s="24">
        <f ca="1">IFERROR(__xludf.DUMMYFUNCTION("""COMPUTED_VALUE"""),799)</f>
        <v>799</v>
      </c>
      <c r="E1740" s="25" t="str">
        <f ca="1">IFERROR(__xludf.DUMMYFUNCTION("""COMPUTED_VALUE"""),"REA-K4123")</f>
        <v>REA-K4123</v>
      </c>
    </row>
    <row r="1741" spans="1:5" x14ac:dyDescent="0.2">
      <c r="A1741" s="22">
        <f ca="1">IFERROR(__xludf.DUMMYFUNCTION("""COMPUTED_VALUE"""),45099)</f>
        <v>45099</v>
      </c>
      <c r="B1741" s="23" t="str">
        <f ca="1">IFERROR(__xludf.DUMMYFUNCTION("""COMPUTED_VALUE"""),"ŚCIANKA PRYSZNICOWA AERO INTIMO GOLD BRUSH 120")</f>
        <v>ŚCIANKA PRYSZNICOWA AERO INTIMO GOLD BRUSH 120</v>
      </c>
      <c r="C1741" s="23"/>
      <c r="D1741" s="24">
        <f ca="1">IFERROR(__xludf.DUMMYFUNCTION("""COMPUTED_VALUE"""),1199)</f>
        <v>1199</v>
      </c>
      <c r="E1741" s="25" t="str">
        <f ca="1">IFERROR(__xludf.DUMMYFUNCTION("""COMPUTED_VALUE"""),"REA-K4127")</f>
        <v>REA-K4127</v>
      </c>
    </row>
    <row r="1742" spans="1:5" x14ac:dyDescent="0.2">
      <c r="A1742" s="22">
        <f ca="1">IFERROR(__xludf.DUMMYFUNCTION("""COMPUTED_VALUE"""),45099)</f>
        <v>45099</v>
      </c>
      <c r="B1742" s="23" t="str">
        <f ca="1">IFERROR(__xludf.DUMMYFUNCTION("""COMPUTED_VALUE"""),"ŚCIANKA PRYSZNICOWA BLER 110")</f>
        <v>ŚCIANKA PRYSZNICOWA BLER 110</v>
      </c>
      <c r="C1742" s="23"/>
      <c r="D1742" s="24">
        <f ca="1">IFERROR(__xludf.DUMMYFUNCTION("""COMPUTED_VALUE"""),949)</f>
        <v>949</v>
      </c>
      <c r="E1742" s="25" t="str">
        <f ca="1">IFERROR(__xludf.DUMMYFUNCTION("""COMPUTED_VALUE"""),"REA-K7630")</f>
        <v>REA-K7630</v>
      </c>
    </row>
    <row r="1743" spans="1:5" x14ac:dyDescent="0.2">
      <c r="A1743" s="22">
        <f ca="1">IFERROR(__xludf.DUMMYFUNCTION("""COMPUTED_VALUE"""),45099)</f>
        <v>45099</v>
      </c>
      <c r="B1743" s="23" t="str">
        <f ca="1">IFERROR(__xludf.DUMMYFUNCTION("""COMPUTED_VALUE"""),"ŚCIANKA PRYSZNICOWA BLER 100")</f>
        <v>ŚCIANKA PRYSZNICOWA BLER 100</v>
      </c>
      <c r="C1743" s="23"/>
      <c r="D1743" s="24">
        <f ca="1">IFERROR(__xludf.DUMMYFUNCTION("""COMPUTED_VALUE"""),899)</f>
        <v>899</v>
      </c>
      <c r="E1743" s="25" t="str">
        <f ca="1">IFERROR(__xludf.DUMMYFUNCTION("""COMPUTED_VALUE"""),"REA-K7634")</f>
        <v>REA-K7634</v>
      </c>
    </row>
    <row r="1744" spans="1:5" x14ac:dyDescent="0.2">
      <c r="A1744" s="22">
        <f ca="1">IFERROR(__xludf.DUMMYFUNCTION("""COMPUTED_VALUE"""),45099)</f>
        <v>45099</v>
      </c>
      <c r="B1744" s="23" t="str">
        <f ca="1">IFERROR(__xludf.DUMMYFUNCTION("""COMPUTED_VALUE"""),"KABINA DIAMOND BLACK 80X80")</f>
        <v>KABINA DIAMOND BLACK 80X80</v>
      </c>
      <c r="C1744" s="23"/>
      <c r="D1744" s="24">
        <f ca="1">IFERROR(__xludf.DUMMYFUNCTION("""COMPUTED_VALUE"""),1459)</f>
        <v>1459</v>
      </c>
      <c r="E1744" s="25" t="str">
        <f ca="1">IFERROR(__xludf.DUMMYFUNCTION("""COMPUTED_VALUE"""),"REA-K6900")</f>
        <v>REA-K6900</v>
      </c>
    </row>
    <row r="1745" spans="1:5" x14ac:dyDescent="0.2">
      <c r="A1745" s="22">
        <f ca="1">IFERROR(__xludf.DUMMYFUNCTION("""COMPUTED_VALUE"""),45099)</f>
        <v>45099</v>
      </c>
      <c r="B1745" s="23" t="str">
        <f ca="1">IFERROR(__xludf.DUMMYFUNCTION("""COMPUTED_VALUE"""),"DRZWI PRYSZNICOWE RAPID SLIDE 130")</f>
        <v>DRZWI PRYSZNICOWE RAPID SLIDE 130</v>
      </c>
      <c r="C1745" s="23"/>
      <c r="D1745" s="24">
        <f ca="1">IFERROR(__xludf.DUMMYFUNCTION("""COMPUTED_VALUE"""),999)</f>
        <v>999</v>
      </c>
      <c r="E1745" s="25" t="str">
        <f ca="1">IFERROR(__xludf.DUMMYFUNCTION("""COMPUTED_VALUE"""),"REA-K6403")</f>
        <v>REA-K6403</v>
      </c>
    </row>
    <row r="1746" spans="1:5" x14ac:dyDescent="0.2">
      <c r="A1746" s="22">
        <f ca="1">IFERROR(__xludf.DUMMYFUNCTION("""COMPUTED_VALUE"""),45099)</f>
        <v>45099</v>
      </c>
      <c r="B1746" s="23" t="str">
        <f ca="1">IFERROR(__xludf.DUMMYFUNCTION("""COMPUTED_VALUE"""),"DRZWI PRYSZNICOWE RAPID SLIDE 110")</f>
        <v>DRZWI PRYSZNICOWE RAPID SLIDE 110</v>
      </c>
      <c r="C1746" s="23"/>
      <c r="D1746" s="24">
        <f ca="1">IFERROR(__xludf.DUMMYFUNCTION("""COMPUTED_VALUE"""),939)</f>
        <v>939</v>
      </c>
      <c r="E1746" s="25" t="str">
        <f ca="1">IFERROR(__xludf.DUMMYFUNCTION("""COMPUTED_VALUE"""),"REA-K6401")</f>
        <v>REA-K6401</v>
      </c>
    </row>
    <row r="1747" spans="1:5" x14ac:dyDescent="0.2">
      <c r="A1747" s="22">
        <f ca="1">IFERROR(__xludf.DUMMYFUNCTION("""COMPUTED_VALUE"""),45099)</f>
        <v>45099</v>
      </c>
      <c r="B1747" s="23" t="str">
        <f ca="1">IFERROR(__xludf.DUMMYFUNCTION("""COMPUTED_VALUE"""),"DRZWI PRYSZNICOWE RAPID SLIDE 120")</f>
        <v>DRZWI PRYSZNICOWE RAPID SLIDE 120</v>
      </c>
      <c r="C1747" s="23"/>
      <c r="D1747" s="24">
        <f ca="1">IFERROR(__xludf.DUMMYFUNCTION("""COMPUTED_VALUE"""),969)</f>
        <v>969</v>
      </c>
      <c r="E1747" s="25" t="str">
        <f ca="1">IFERROR(__xludf.DUMMYFUNCTION("""COMPUTED_VALUE"""),"REA-K6402")</f>
        <v>REA-K6402</v>
      </c>
    </row>
    <row r="1748" spans="1:5" x14ac:dyDescent="0.2">
      <c r="A1748" s="22">
        <f ca="1">IFERROR(__xludf.DUMMYFUNCTION("""COMPUTED_VALUE"""),45099)</f>
        <v>45099</v>
      </c>
      <c r="B1748" s="23" t="str">
        <f ca="1">IFERROR(__xludf.DUMMYFUNCTION("""COMPUTED_VALUE"""),"DRZWI PRYSZNICOWE RAPID SLIDE 100")</f>
        <v>DRZWI PRYSZNICOWE RAPID SLIDE 100</v>
      </c>
      <c r="C1748" s="23"/>
      <c r="D1748" s="24">
        <f ca="1">IFERROR(__xludf.DUMMYFUNCTION("""COMPUTED_VALUE"""),899)</f>
        <v>899</v>
      </c>
      <c r="E1748" s="25" t="str">
        <f ca="1">IFERROR(__xludf.DUMMYFUNCTION("""COMPUTED_VALUE"""),"REA-K6400")</f>
        <v>REA-K6400</v>
      </c>
    </row>
    <row r="1749" spans="1:5" x14ac:dyDescent="0.2">
      <c r="A1749" s="22">
        <f ca="1">IFERROR(__xludf.DUMMYFUNCTION("""COMPUTED_VALUE"""),45099)</f>
        <v>45099</v>
      </c>
      <c r="B1749" s="23" t="str">
        <f ca="1">IFERROR(__xludf.DUMMYFUNCTION("""COMPUTED_VALUE"""),"UMYWALKA ROYAL 60 MAT BLACK - NABLATOWA")</f>
        <v>UMYWALKA ROYAL 60 MAT BLACK - NABLATOWA</v>
      </c>
      <c r="C1749" s="23"/>
      <c r="D1749" s="24">
        <f ca="1">IFERROR(__xludf.DUMMYFUNCTION("""COMPUTED_VALUE"""),549)</f>
        <v>549</v>
      </c>
      <c r="E1749" s="25" t="str">
        <f ca="1">IFERROR(__xludf.DUMMYFUNCTION("""COMPUTED_VALUE"""),"REA-U0442")</f>
        <v>REA-U0442</v>
      </c>
    </row>
    <row r="1750" spans="1:5" x14ac:dyDescent="0.2">
      <c r="A1750" s="22">
        <f ca="1">IFERROR(__xludf.DUMMYFUNCTION("""COMPUTED_VALUE"""),45099)</f>
        <v>45099</v>
      </c>
      <c r="B1750" s="23" t="str">
        <f ca="1">IFERROR(__xludf.DUMMYFUNCTION("""COMPUTED_VALUE"""),"KOREK DO WANNY ZŁOTY SZCZOTKOWANY 6cm")</f>
        <v>KOREK DO WANNY ZŁOTY SZCZOTKOWANY 6cm</v>
      </c>
      <c r="C1750" s="23"/>
      <c r="D1750" s="24">
        <f ca="1">IFERROR(__xludf.DUMMYFUNCTION("""COMPUTED_VALUE"""),149)</f>
        <v>149</v>
      </c>
      <c r="E1750" s="25" t="str">
        <f ca="1">IFERROR(__xludf.DUMMYFUNCTION("""COMPUTED_VALUE"""),"REA-W2005")</f>
        <v>REA-W2005</v>
      </c>
    </row>
    <row r="1751" spans="1:5" x14ac:dyDescent="0.2">
      <c r="A1751" s="22">
        <f ca="1">IFERROR(__xludf.DUMMYFUNCTION("""COMPUTED_VALUE"""),45099)</f>
        <v>45099</v>
      </c>
      <c r="B1751" s="23" t="str">
        <f ca="1">IFERROR(__xludf.DUMMYFUNCTION("""COMPUTED_VALUE"""),"KOREK DO WANNY CZARNY 6cm")</f>
        <v>KOREK DO WANNY CZARNY 6cm</v>
      </c>
      <c r="C1751" s="23"/>
      <c r="D1751" s="24">
        <f ca="1">IFERROR(__xludf.DUMMYFUNCTION("""COMPUTED_VALUE"""),129)</f>
        <v>129</v>
      </c>
      <c r="E1751" s="25" t="str">
        <f ca="1">IFERROR(__xludf.DUMMYFUNCTION("""COMPUTED_VALUE"""),"REA-W2006")</f>
        <v>REA-W2006</v>
      </c>
    </row>
    <row r="1752" spans="1:5" x14ac:dyDescent="0.2">
      <c r="A1752" s="22">
        <f ca="1">IFERROR(__xludf.DUMMYFUNCTION("""COMPUTED_VALUE"""),45099)</f>
        <v>45099</v>
      </c>
      <c r="B1752" s="23" t="str">
        <f ca="1">IFERROR(__xludf.DUMMYFUNCTION("""COMPUTED_VALUE"""),"KOREK DO WANNY ZŁOTY 6cm")</f>
        <v>KOREK DO WANNY ZŁOTY 6cm</v>
      </c>
      <c r="C1752" s="23"/>
      <c r="D1752" s="24">
        <f ca="1">IFERROR(__xludf.DUMMYFUNCTION("""COMPUTED_VALUE"""),149)</f>
        <v>149</v>
      </c>
      <c r="E1752" s="25" t="str">
        <f ca="1">IFERROR(__xludf.DUMMYFUNCTION("""COMPUTED_VALUE"""),"REA-W2008")</f>
        <v>REA-W2008</v>
      </c>
    </row>
    <row r="1753" spans="1:5" x14ac:dyDescent="0.2">
      <c r="A1753" s="22">
        <f ca="1">IFERROR(__xludf.DUMMYFUNCTION("""COMPUTED_VALUE"""),45099)</f>
        <v>45099</v>
      </c>
      <c r="B1753" s="23" t="str">
        <f ca="1">IFERROR(__xludf.DUMMYFUNCTION("""COMPUTED_VALUE"""),"KOREK DO WANNY CHROM 6cm")</f>
        <v>KOREK DO WANNY CHROM 6cm</v>
      </c>
      <c r="C1753" s="23"/>
      <c r="D1753" s="24">
        <f ca="1">IFERROR(__xludf.DUMMYFUNCTION("""COMPUTED_VALUE"""),99)</f>
        <v>99</v>
      </c>
      <c r="E1753" s="25" t="str">
        <f ca="1">IFERROR(__xludf.DUMMYFUNCTION("""COMPUTED_VALUE"""),"REA-W2007")</f>
        <v>REA-W2007</v>
      </c>
    </row>
    <row r="1754" spans="1:5" x14ac:dyDescent="0.2">
      <c r="A1754" s="22">
        <f ca="1">IFERROR(__xludf.DUMMYFUNCTION("""COMPUTED_VALUE"""),45099)</f>
        <v>45099</v>
      </c>
      <c r="B1754" s="23" t="str">
        <f ca="1">IFERROR(__xludf.DUMMYFUNCTION("""COMPUTED_VALUE"""),"BATERIA KUCHENNA COLIN NIKIEL SZCZOTKOWANY")</f>
        <v>BATERIA KUCHENNA COLIN NIKIEL SZCZOTKOWANY</v>
      </c>
      <c r="C1754" s="23"/>
      <c r="D1754" s="24">
        <f ca="1">IFERROR(__xludf.DUMMYFUNCTION("""COMPUTED_VALUE"""),289)</f>
        <v>289</v>
      </c>
      <c r="E1754" s="25" t="str">
        <f ca="1">IFERROR(__xludf.DUMMYFUNCTION("""COMPUTED_VALUE"""),"REA-B0417")</f>
        <v>REA-B0417</v>
      </c>
    </row>
    <row r="1755" spans="1:5" x14ac:dyDescent="0.2">
      <c r="A1755" s="22">
        <f ca="1">IFERROR(__xludf.DUMMYFUNCTION("""COMPUTED_VALUE"""),45099)</f>
        <v>45099</v>
      </c>
      <c r="B1755" s="23" t="str">
        <f ca="1">IFERROR(__xludf.DUMMYFUNCTION("""COMPUTED_VALUE"""),"RAMA DO UMYWALKI GOYA 70")</f>
        <v>RAMA DO UMYWALKI GOYA 70</v>
      </c>
      <c r="C1755" s="23"/>
      <c r="D1755" s="24">
        <f ca="1">IFERROR(__xludf.DUMMYFUNCTION("""COMPUTED_VALUE"""),380)</f>
        <v>380</v>
      </c>
      <c r="E1755" s="25" t="str">
        <f ca="1">IFERROR(__xludf.DUMMYFUNCTION("""COMPUTED_VALUE"""),"REA-U8668")</f>
        <v>REA-U8668</v>
      </c>
    </row>
    <row r="1756" spans="1:5" x14ac:dyDescent="0.2">
      <c r="A1756" s="22">
        <f ca="1">IFERROR(__xludf.DUMMYFUNCTION("""COMPUTED_VALUE"""),45099)</f>
        <v>45099</v>
      </c>
      <c r="B1756" s="23" t="str">
        <f ca="1">IFERROR(__xludf.DUMMYFUNCTION("""COMPUTED_VALUE"""),"RAMA DO UMYWALKI GOYA 60")</f>
        <v>RAMA DO UMYWALKI GOYA 60</v>
      </c>
      <c r="C1756" s="23"/>
      <c r="D1756" s="24">
        <f ca="1">IFERROR(__xludf.DUMMYFUNCTION("""COMPUTED_VALUE"""),350)</f>
        <v>350</v>
      </c>
      <c r="E1756" s="25" t="str">
        <f ca="1">IFERROR(__xludf.DUMMYFUNCTION("""COMPUTED_VALUE"""),"REA-U6534")</f>
        <v>REA-U6534</v>
      </c>
    </row>
    <row r="1757" spans="1:5" x14ac:dyDescent="0.2">
      <c r="A1757" s="22">
        <f ca="1">IFERROR(__xludf.DUMMYFUNCTION("""COMPUTED_VALUE"""),45099)</f>
        <v>45099</v>
      </c>
      <c r="B1757" s="23" t="str">
        <f ca="1">IFERROR(__xludf.DUMMYFUNCTION("""COMPUTED_VALUE"""),"UMYWALKA KONGLOMERATOWA GOYA 50")</f>
        <v>UMYWALKA KONGLOMERATOWA GOYA 50</v>
      </c>
      <c r="C1757" s="23"/>
      <c r="D1757" s="24">
        <f ca="1">IFERROR(__xludf.DUMMYFUNCTION("""COMPUTED_VALUE"""),739)</f>
        <v>739</v>
      </c>
      <c r="E1757" s="25" t="str">
        <f ca="1">IFERROR(__xludf.DUMMYFUNCTION("""COMPUTED_VALUE"""),"REA-U8900")</f>
        <v>REA-U8900</v>
      </c>
    </row>
    <row r="1758" spans="1:5" x14ac:dyDescent="0.2">
      <c r="A1758" s="22">
        <f ca="1">IFERROR(__xludf.DUMMYFUNCTION("""COMPUTED_VALUE"""),45099)</f>
        <v>45099</v>
      </c>
      <c r="B1758" s="23" t="str">
        <f ca="1">IFERROR(__xludf.DUMMYFUNCTION("""COMPUTED_VALUE"""),"ZESTAW NATRYSKOWY PODTYNK VERSO GOLD SZCZOTKOWANY")</f>
        <v>ZESTAW NATRYSKOWY PODTYNK VERSO GOLD SZCZOTKOWANY</v>
      </c>
      <c r="C1758" s="23"/>
      <c r="D1758" s="24">
        <f ca="1">IFERROR(__xludf.DUMMYFUNCTION("""COMPUTED_VALUE"""),1099)</f>
        <v>1099</v>
      </c>
      <c r="E1758" s="25" t="str">
        <f ca="1">IFERROR(__xludf.DUMMYFUNCTION("""COMPUTED_VALUE"""),"REA-P9150")</f>
        <v>REA-P9150</v>
      </c>
    </row>
    <row r="1759" spans="1:5" x14ac:dyDescent="0.2">
      <c r="A1759" s="22">
        <f ca="1">IFERROR(__xludf.DUMMYFUNCTION("""COMPUTED_VALUE"""),45099)</f>
        <v>45099</v>
      </c>
      <c r="B1759" s="23" t="str">
        <f ca="1">IFERROR(__xludf.DUMMYFUNCTION("""COMPUTED_VALUE"""),"UMYWALKA INGRID TRANSPARENT - NABLATOWA")</f>
        <v>UMYWALKA INGRID TRANSPARENT - NABLATOWA</v>
      </c>
      <c r="C1759" s="23"/>
      <c r="D1759" s="24">
        <f ca="1">IFERROR(__xludf.DUMMYFUNCTION("""COMPUTED_VALUE"""),599)</f>
        <v>599</v>
      </c>
      <c r="E1759" s="25" t="str">
        <f ca="1">IFERROR(__xludf.DUMMYFUNCTION("""COMPUTED_VALUE"""),"REA-U0278")</f>
        <v>REA-U0278</v>
      </c>
    </row>
    <row r="1760" spans="1:5" x14ac:dyDescent="0.2">
      <c r="A1760" s="22">
        <f ca="1">IFERROR(__xludf.DUMMYFUNCTION("""COMPUTED_VALUE"""),45099)</f>
        <v>45099</v>
      </c>
      <c r="B1760" s="23" t="str">
        <f ca="1">IFERROR(__xludf.DUMMYFUNCTION("""COMPUTED_VALUE"""),"UMYWALKA INGRID GREY - NABLATOWA")</f>
        <v>UMYWALKA INGRID GREY - NABLATOWA</v>
      </c>
      <c r="C1760" s="23"/>
      <c r="D1760" s="24">
        <f ca="1">IFERROR(__xludf.DUMMYFUNCTION("""COMPUTED_VALUE"""),599)</f>
        <v>599</v>
      </c>
      <c r="E1760" s="25" t="str">
        <f ca="1">IFERROR(__xludf.DUMMYFUNCTION("""COMPUTED_VALUE"""),"REA-U0279")</f>
        <v>REA-U0279</v>
      </c>
    </row>
    <row r="1761" spans="1:5" x14ac:dyDescent="0.2">
      <c r="A1761" s="22">
        <f ca="1">IFERROR(__xludf.DUMMYFUNCTION("""COMPUTED_VALUE"""),45099)</f>
        <v>45099</v>
      </c>
      <c r="B1761" s="23" t="str">
        <f ca="1">IFERROR(__xludf.DUMMYFUNCTION("""COMPUTED_VALUE"""),"BATERIA KUCHENNA COLIN CZARNA")</f>
        <v>BATERIA KUCHENNA COLIN CZARNA</v>
      </c>
      <c r="C1761" s="23"/>
      <c r="D1761" s="24">
        <f ca="1">IFERROR(__xludf.DUMMYFUNCTION("""COMPUTED_VALUE"""),299)</f>
        <v>299</v>
      </c>
      <c r="E1761" s="25" t="str">
        <f ca="1">IFERROR(__xludf.DUMMYFUNCTION("""COMPUTED_VALUE"""),"REA-B4820")</f>
        <v>REA-B4820</v>
      </c>
    </row>
    <row r="1762" spans="1:5" x14ac:dyDescent="0.2">
      <c r="A1762" s="22">
        <f ca="1">IFERROR(__xludf.DUMMYFUNCTION("""COMPUTED_VALUE"""),45099)</f>
        <v>45099</v>
      </c>
      <c r="B1762" s="23" t="str">
        <f ca="1">IFERROR(__xludf.DUMMYFUNCTION("""COMPUTED_VALUE"""),"BATERIA KUCHENNA COLIN CZARNA")</f>
        <v>BATERIA KUCHENNA COLIN CZARNA</v>
      </c>
      <c r="C1762" s="23"/>
      <c r="D1762" s="24">
        <f ca="1">IFERROR(__xludf.DUMMYFUNCTION("""COMPUTED_VALUE"""),299)</f>
        <v>299</v>
      </c>
      <c r="E1762" s="25" t="str">
        <f ca="1">IFERROR(__xludf.DUMMYFUNCTION("""COMPUTED_VALUE"""),"REA-B4820")</f>
        <v>REA-B4820</v>
      </c>
    </row>
    <row r="1763" spans="1:5" x14ac:dyDescent="0.2">
      <c r="A1763" s="22">
        <f ca="1">IFERROR(__xludf.DUMMYFUNCTION("""COMPUTED_VALUE"""),45099)</f>
        <v>45099</v>
      </c>
      <c r="B1763" s="23" t="str">
        <f ca="1">IFERROR(__xludf.DUMMYFUNCTION("""COMPUTED_VALUE"""),"BATERIA KUCHENNA SPRING CZARNA")</f>
        <v>BATERIA KUCHENNA SPRING CZARNA</v>
      </c>
      <c r="C1763" s="23"/>
      <c r="D1763" s="24">
        <f ca="1">IFERROR(__xludf.DUMMYFUNCTION("""COMPUTED_VALUE"""),379)</f>
        <v>379</v>
      </c>
      <c r="E1763" s="25" t="str">
        <f ca="1">IFERROR(__xludf.DUMMYFUNCTION("""COMPUTED_VALUE"""),"REA-B4804")</f>
        <v>REA-B4804</v>
      </c>
    </row>
    <row r="1764" spans="1:5" x14ac:dyDescent="0.2">
      <c r="A1764" s="22">
        <f ca="1">IFERROR(__xludf.DUMMYFUNCTION("""COMPUTED_VALUE"""),45089)</f>
        <v>45089</v>
      </c>
      <c r="B1764" s="23" t="str">
        <f ca="1">IFERROR(__xludf.DUMMYFUNCTION("""COMPUTED_VALUE"""),"ZESTAW NATRYSKOWY VINCENT ZŁOTY SZCZOTKOWANY TERMO")</f>
        <v>ZESTAW NATRYSKOWY VINCENT ZŁOTY SZCZOTKOWANY TERMO</v>
      </c>
      <c r="C1764" s="23"/>
      <c r="D1764" s="24">
        <f ca="1">IFERROR(__xludf.DUMMYFUNCTION("""COMPUTED_VALUE"""),1059)</f>
        <v>1059</v>
      </c>
      <c r="E1764" s="25" t="str">
        <f ca="1">IFERROR(__xludf.DUMMYFUNCTION("""COMPUTED_VALUE"""),"REA-P6602")</f>
        <v>REA-P6602</v>
      </c>
    </row>
    <row r="1765" spans="1:5" x14ac:dyDescent="0.2">
      <c r="A1765" s="22">
        <f ca="1">IFERROR(__xludf.DUMMYFUNCTION("""COMPUTED_VALUE"""),45089)</f>
        <v>45089</v>
      </c>
      <c r="B1765" s="23" t="str">
        <f ca="1">IFERROR(__xludf.DUMMYFUNCTION("""COMPUTED_VALUE"""),"BATERIA PODŁOGOWA WANNOWA ORTIS L.GOLD")</f>
        <v>BATERIA PODŁOGOWA WANNOWA ORTIS L.GOLD</v>
      </c>
      <c r="C1765" s="23"/>
      <c r="D1765" s="24">
        <f ca="1">IFERROR(__xludf.DUMMYFUNCTION("""COMPUTED_VALUE"""),1099)</f>
        <v>1099</v>
      </c>
      <c r="E1765" s="25" t="str">
        <f ca="1">IFERROR(__xludf.DUMMYFUNCTION("""COMPUTED_VALUE"""),"REA-B7430")</f>
        <v>REA-B7430</v>
      </c>
    </row>
    <row r="1766" spans="1:5" x14ac:dyDescent="0.2">
      <c r="A1766" s="22">
        <f ca="1">IFERROR(__xludf.DUMMYFUNCTION("""COMPUTED_VALUE"""),45089)</f>
        <v>45089</v>
      </c>
      <c r="B1766" s="23" t="str">
        <f ca="1">IFERROR(__xludf.DUMMYFUNCTION("""COMPUTED_VALUE"""),"BATERIA KUCHENNA TROY ZŁOTY SZCZOTKOWANY")</f>
        <v>BATERIA KUCHENNA TROY ZŁOTY SZCZOTKOWANY</v>
      </c>
      <c r="C1766" s="23"/>
      <c r="D1766" s="24">
        <f ca="1">IFERROR(__xludf.DUMMYFUNCTION("""COMPUTED_VALUE"""),219)</f>
        <v>219</v>
      </c>
      <c r="E1766" s="25" t="str">
        <f ca="1">IFERROR(__xludf.DUMMYFUNCTION("""COMPUTED_VALUE"""),"REA-B6302")</f>
        <v>REA-B6302</v>
      </c>
    </row>
    <row r="1767" spans="1:5" x14ac:dyDescent="0.2">
      <c r="A1767" s="22">
        <f ca="1">IFERROR(__xludf.DUMMYFUNCTION("""COMPUTED_VALUE"""),45089)</f>
        <v>45089</v>
      </c>
      <c r="B1767" s="23" t="str">
        <f ca="1">IFERROR(__xludf.DUMMYFUNCTION("""COMPUTED_VALUE"""),"BATERIA WYSOKA DECO OLD BLACK")</f>
        <v>BATERIA WYSOKA DECO OLD BLACK</v>
      </c>
      <c r="C1767" s="23"/>
      <c r="D1767" s="24">
        <f ca="1">IFERROR(__xludf.DUMMYFUNCTION("""COMPUTED_VALUE"""),499)</f>
        <v>499</v>
      </c>
      <c r="E1767" s="25" t="str">
        <f ca="1">IFERROR(__xludf.DUMMYFUNCTION("""COMPUTED_VALUE"""),"REA-B0182")</f>
        <v>REA-B0182</v>
      </c>
    </row>
    <row r="1768" spans="1:5" x14ac:dyDescent="0.2">
      <c r="A1768" s="22">
        <f ca="1">IFERROR(__xludf.DUMMYFUNCTION("""COMPUTED_VALUE"""),45089)</f>
        <v>45089</v>
      </c>
      <c r="B1768" s="23" t="str">
        <f ca="1">IFERROR(__xludf.DUMMYFUNCTION("""COMPUTED_VALUE"""),"UMYWALKA CRISTAL 39 Transparent - NABLATOWA")</f>
        <v>UMYWALKA CRISTAL 39 Transparent - NABLATOWA</v>
      </c>
      <c r="C1768" s="23"/>
      <c r="D1768" s="24">
        <f ca="1">IFERROR(__xludf.DUMMYFUNCTION("""COMPUTED_VALUE"""),529)</f>
        <v>529</v>
      </c>
      <c r="E1768" s="25" t="str">
        <f ca="1">IFERROR(__xludf.DUMMYFUNCTION("""COMPUTED_VALUE"""),"REA-U0284")</f>
        <v>REA-U0284</v>
      </c>
    </row>
    <row r="1769" spans="1:5" x14ac:dyDescent="0.2">
      <c r="A1769" s="22">
        <f ca="1">IFERROR(__xludf.DUMMYFUNCTION("""COMPUTED_VALUE"""),45089)</f>
        <v>45089</v>
      </c>
      <c r="B1769" s="23" t="str">
        <f ca="1">IFERROR(__xludf.DUMMYFUNCTION("""COMPUTED_VALUE"""),"#N/A")</f>
        <v>#N/A</v>
      </c>
      <c r="C1769" s="23"/>
      <c r="D1769" s="24" t="str">
        <f ca="1">IFERROR(__xludf.DUMMYFUNCTION("""COMPUTED_VALUE"""),"#N/A")</f>
        <v>#N/A</v>
      </c>
      <c r="E1769" s="25" t="str">
        <f ca="1">IFERROR(__xludf.DUMMYFUNCTION("""COMPUTED_VALUE"""),"REA-U0277")</f>
        <v>REA-U0277</v>
      </c>
    </row>
    <row r="1770" spans="1:5" x14ac:dyDescent="0.2">
      <c r="A1770" s="22">
        <f ca="1">IFERROR(__xludf.DUMMYFUNCTION("""COMPUTED_VALUE"""),45089)</f>
        <v>45089</v>
      </c>
      <c r="B1770" s="23" t="str">
        <f ca="1">IFERROR(__xludf.DUMMYFUNCTION("""COMPUTED_VALUE"""),"UMYWALKA DELLA BLACK MATT - NABLATOWA")</f>
        <v>UMYWALKA DELLA BLACK MATT - NABLATOWA</v>
      </c>
      <c r="C1770" s="23"/>
      <c r="D1770" s="24">
        <f ca="1">IFERROR(__xludf.DUMMYFUNCTION("""COMPUTED_VALUE"""),759)</f>
        <v>759</v>
      </c>
      <c r="E1770" s="25" t="str">
        <f ca="1">IFERROR(__xludf.DUMMYFUNCTION("""COMPUTED_VALUE"""),"REA-U0274")</f>
        <v>REA-U0274</v>
      </c>
    </row>
    <row r="1771" spans="1:5" x14ac:dyDescent="0.2">
      <c r="A1771" s="22">
        <f ca="1">IFERROR(__xludf.DUMMYFUNCTION("""COMPUTED_VALUE"""),45089)</f>
        <v>45089</v>
      </c>
      <c r="B1771" s="23" t="str">
        <f ca="1">IFERROR(__xludf.DUMMYFUNCTION("""COMPUTED_VALUE"""),"UMYWALKA JODI - NABLATOWA")</f>
        <v>UMYWALKA JODI - NABLATOWA</v>
      </c>
      <c r="C1771" s="23"/>
      <c r="D1771" s="24">
        <f ca="1">IFERROR(__xludf.DUMMYFUNCTION("""COMPUTED_VALUE"""),749)</f>
        <v>749</v>
      </c>
      <c r="E1771" s="25" t="str">
        <f ca="1">IFERROR(__xludf.DUMMYFUNCTION("""COMPUTED_VALUE"""),"REA-U0273")</f>
        <v>REA-U0273</v>
      </c>
    </row>
    <row r="1772" spans="1:5" x14ac:dyDescent="0.2">
      <c r="A1772" s="22">
        <f ca="1">IFERROR(__xludf.DUMMYFUNCTION("""COMPUTED_VALUE"""),45089)</f>
        <v>45089</v>
      </c>
      <c r="B1772" s="23" t="str">
        <f ca="1">IFERROR(__xludf.DUMMYFUNCTION("""COMPUTED_VALUE"""),"BATERIA BIDETOWA LOOP L.GOLD")</f>
        <v>BATERIA BIDETOWA LOOP L.GOLD</v>
      </c>
      <c r="C1772" s="23"/>
      <c r="D1772" s="24">
        <f ca="1">IFERROR(__xludf.DUMMYFUNCTION("""COMPUTED_VALUE"""),399)</f>
        <v>399</v>
      </c>
      <c r="E1772" s="25" t="str">
        <f ca="1">IFERROR(__xludf.DUMMYFUNCTION("""COMPUTED_VALUE"""),"REA-B8979")</f>
        <v>REA-B8979</v>
      </c>
    </row>
    <row r="1773" spans="1:5" x14ac:dyDescent="0.2">
      <c r="A1773" s="22">
        <f ca="1">IFERROR(__xludf.DUMMYFUNCTION("""COMPUTED_VALUE"""),45089)</f>
        <v>45089</v>
      </c>
      <c r="B1773" s="23" t="str">
        <f ca="1">IFERROR(__xludf.DUMMYFUNCTION("""COMPUTED_VALUE"""),"DRZWI PRYSZNICOWE MOLIER BLACK 110")</f>
        <v>DRZWI PRYSZNICOWE MOLIER BLACK 110</v>
      </c>
      <c r="C1773" s="23"/>
      <c r="D1773" s="24">
        <f ca="1">IFERROR(__xludf.DUMMYFUNCTION("""COMPUTED_VALUE"""),1000)</f>
        <v>1000</v>
      </c>
      <c r="E1773" s="25" t="str">
        <f ca="1">IFERROR(__xludf.DUMMYFUNCTION("""COMPUTED_VALUE"""),"REA-K5660")</f>
        <v>REA-K5660</v>
      </c>
    </row>
    <row r="1774" spans="1:5" x14ac:dyDescent="0.2">
      <c r="A1774" s="22">
        <f ca="1">IFERROR(__xludf.DUMMYFUNCTION("""COMPUTED_VALUE"""),45089)</f>
        <v>45089</v>
      </c>
      <c r="B1774" s="23" t="str">
        <f ca="1">IFERROR(__xludf.DUMMYFUNCTION("""COMPUTED_VALUE"""),"Drzwi Molier Black 110 + adapter")</f>
        <v>Drzwi Molier Black 110 + adapter</v>
      </c>
      <c r="C1774" s="23"/>
      <c r="D1774" s="24">
        <f ca="1">IFERROR(__xludf.DUMMYFUNCTION("""COMPUTED_VALUE"""),1170)</f>
        <v>1170</v>
      </c>
      <c r="E1774" s="26"/>
    </row>
    <row r="1775" spans="1:5" x14ac:dyDescent="0.2">
      <c r="A1775" s="22">
        <f ca="1">IFERROR(__xludf.DUMMYFUNCTION("""COMPUTED_VALUE"""),45089)</f>
        <v>45089</v>
      </c>
      <c r="B1775" s="23" t="str">
        <f ca="1">IFERROR(__xludf.DUMMYFUNCTION("""COMPUTED_VALUE"""),"LISTWA MAGNETYCZNA MOLIER BLACK")</f>
        <v>LISTWA MAGNETYCZNA MOLIER BLACK</v>
      </c>
      <c r="C1775" s="23"/>
      <c r="D1775" s="24">
        <f ca="1">IFERROR(__xludf.DUMMYFUNCTION("""COMPUTED_VALUE"""),170)</f>
        <v>170</v>
      </c>
      <c r="E1775" s="25" t="str">
        <f ca="1">IFERROR(__xludf.DUMMYFUNCTION("""COMPUTED_VALUE"""),"REA-K6395")</f>
        <v>REA-K6395</v>
      </c>
    </row>
    <row r="1776" spans="1:5" x14ac:dyDescent="0.2">
      <c r="A1776" s="22">
        <f ca="1">IFERROR(__xludf.DUMMYFUNCTION("""COMPUTED_VALUE"""),45089)</f>
        <v>45089</v>
      </c>
      <c r="B1776" s="23" t="str">
        <f ca="1">IFERROR(__xludf.DUMMYFUNCTION("""COMPUTED_VALUE"""),"KABINA SOLAR L.GOLD 90X90")</f>
        <v>KABINA SOLAR L.GOLD 90X90</v>
      </c>
      <c r="C1776" s="23"/>
      <c r="D1776" s="24">
        <f ca="1">IFERROR(__xludf.DUMMYFUNCTION("""COMPUTED_VALUE"""),1299)</f>
        <v>1299</v>
      </c>
      <c r="E1776" s="25" t="str">
        <f ca="1">IFERROR(__xludf.DUMMYFUNCTION("""COMPUTED_VALUE"""),"REA-K4900")</f>
        <v>REA-K4900</v>
      </c>
    </row>
    <row r="1777" spans="1:5" x14ac:dyDescent="0.2">
      <c r="A1777" s="22">
        <f ca="1">IFERROR(__xludf.DUMMYFUNCTION("""COMPUTED_VALUE"""),45089)</f>
        <v>45089</v>
      </c>
      <c r="B1777" s="23" t="str">
        <f ca="1">IFERROR(__xludf.DUMMYFUNCTION("""COMPUTED_VALUE"""),"UMYWALKA GLORIA - NABLATOWA")</f>
        <v>UMYWALKA GLORIA - NABLATOWA</v>
      </c>
      <c r="C1777" s="23"/>
      <c r="D1777" s="24">
        <f ca="1">IFERROR(__xludf.DUMMYFUNCTION("""COMPUTED_VALUE"""),129)</f>
        <v>129</v>
      </c>
      <c r="E1777" s="25" t="str">
        <f ca="1">IFERROR(__xludf.DUMMYFUNCTION("""COMPUTED_VALUE"""),"CAL-00010")</f>
        <v>CAL-00010</v>
      </c>
    </row>
    <row r="1778" spans="1:5" x14ac:dyDescent="0.2">
      <c r="A1778" s="22">
        <f ca="1">IFERROR(__xludf.DUMMYFUNCTION("""COMPUTED_VALUE"""),45089)</f>
        <v>45089</v>
      </c>
      <c r="B1778" s="23" t="str">
        <f ca="1">IFERROR(__xludf.DUMMYFUNCTION("""COMPUTED_VALUE"""),"UMYWALKA BELINDA BLACK MARBLE SHINY - NABLATOWA")</f>
        <v>UMYWALKA BELINDA BLACK MARBLE SHINY - NABLATOWA</v>
      </c>
      <c r="C1778" s="23"/>
      <c r="D1778" s="24">
        <f ca="1">IFERROR(__xludf.DUMMYFUNCTION("""COMPUTED_VALUE"""),359)</f>
        <v>359</v>
      </c>
      <c r="E1778" s="25" t="str">
        <f ca="1">IFERROR(__xludf.DUMMYFUNCTION("""COMPUTED_VALUE"""),"REA-U8907")</f>
        <v>REA-U8907</v>
      </c>
    </row>
    <row r="1779" spans="1:5" x14ac:dyDescent="0.2">
      <c r="A1779" s="22">
        <f ca="1">IFERROR(__xludf.DUMMYFUNCTION("""COMPUTED_VALUE"""),45089)</f>
        <v>45089</v>
      </c>
      <c r="B1779" s="23" t="str">
        <f ca="1">IFERROR(__xludf.DUMMYFUNCTION("""COMPUTED_VALUE"""),"UMYWALKA LINDA SILVER/WHITE - NABLATOWA")</f>
        <v>UMYWALKA LINDA SILVER/WHITE - NABLATOWA</v>
      </c>
      <c r="C1779" s="23"/>
      <c r="D1779" s="24">
        <f ca="1">IFERROR(__xludf.DUMMYFUNCTION("""COMPUTED_VALUE"""),349)</f>
        <v>349</v>
      </c>
      <c r="E1779" s="25" t="str">
        <f ca="1">IFERROR(__xludf.DUMMYFUNCTION("""COMPUTED_VALUE"""),"REA-U1135")</f>
        <v>REA-U1135</v>
      </c>
    </row>
    <row r="1780" spans="1:5" x14ac:dyDescent="0.2">
      <c r="A1780" s="22">
        <f ca="1">IFERROR(__xludf.DUMMYFUNCTION("""COMPUTED_VALUE"""),45089)</f>
        <v>45089</v>
      </c>
      <c r="B1780" s="23" t="str">
        <f ca="1">IFERROR(__xludf.DUMMYFUNCTION("""COMPUTED_VALUE"""),"UMYWALKA LINDA - NABLATOWA")</f>
        <v>UMYWALKA LINDA - NABLATOWA</v>
      </c>
      <c r="C1780" s="23"/>
      <c r="D1780" s="24">
        <f ca="1">IFERROR(__xludf.DUMMYFUNCTION("""COMPUTED_VALUE"""),229)</f>
        <v>229</v>
      </c>
      <c r="E1780" s="25" t="str">
        <f ca="1">IFERROR(__xludf.DUMMYFUNCTION("""COMPUTED_VALUE"""),"REA-U0462")</f>
        <v>REA-U0462</v>
      </c>
    </row>
    <row r="1781" spans="1:5" x14ac:dyDescent="0.2">
      <c r="A1781" s="22">
        <f ca="1">IFERROR(__xludf.DUMMYFUNCTION("""COMPUTED_VALUE"""),45089)</f>
        <v>45089</v>
      </c>
      <c r="B1781" s="23" t="str">
        <f ca="1">IFERROR(__xludf.DUMMYFUNCTION("""COMPUTED_VALUE"""),"UMYWALKA LIVIA BEIGE - NABLATOWA")</f>
        <v>UMYWALKA LIVIA BEIGE - NABLATOWA</v>
      </c>
      <c r="C1781" s="23"/>
      <c r="D1781" s="24">
        <f ca="1">IFERROR(__xludf.DUMMYFUNCTION("""COMPUTED_VALUE"""),349)</f>
        <v>349</v>
      </c>
      <c r="E1781" s="25" t="str">
        <f ca="1">IFERROR(__xludf.DUMMYFUNCTION("""COMPUTED_VALUE"""),"REA-U3802")</f>
        <v>REA-U3802</v>
      </c>
    </row>
    <row r="1782" spans="1:5" x14ac:dyDescent="0.2">
      <c r="A1782" s="22">
        <f ca="1">IFERROR(__xludf.DUMMYFUNCTION("""COMPUTED_VALUE"""),45089)</f>
        <v>45089</v>
      </c>
      <c r="B1782" s="23" t="str">
        <f ca="1">IFERROR(__xludf.DUMMYFUNCTION("""COMPUTED_VALUE"""),"UMYWALKA LIVIA GREY - NABLATOWA")</f>
        <v>UMYWALKA LIVIA GREY - NABLATOWA</v>
      </c>
      <c r="C1782" s="23"/>
      <c r="D1782" s="24">
        <f ca="1">IFERROR(__xludf.DUMMYFUNCTION("""COMPUTED_VALUE"""),349)</f>
        <v>349</v>
      </c>
      <c r="E1782" s="25" t="str">
        <f ca="1">IFERROR(__xludf.DUMMYFUNCTION("""COMPUTED_VALUE"""),"REA-U3801")</f>
        <v>REA-U3801</v>
      </c>
    </row>
    <row r="1783" spans="1:5" x14ac:dyDescent="0.2">
      <c r="A1783" s="22">
        <f ca="1">IFERROR(__xludf.DUMMYFUNCTION("""COMPUTED_VALUE"""),45089)</f>
        <v>45089</v>
      </c>
      <c r="B1783" s="23" t="str">
        <f ca="1">IFERROR(__xludf.DUMMYFUNCTION("""COMPUTED_VALUE"""),"UMYWALKA BLANKA BLACK - WOLNOSTOJĄCA")</f>
        <v>UMYWALKA BLANKA BLACK - WOLNOSTOJĄCA</v>
      </c>
      <c r="C1783" s="23"/>
      <c r="D1783" s="24">
        <f ca="1">IFERROR(__xludf.DUMMYFUNCTION("""COMPUTED_VALUE"""),1389)</f>
        <v>1389</v>
      </c>
      <c r="E1783" s="25" t="str">
        <f ca="1">IFERROR(__xludf.DUMMYFUNCTION("""COMPUTED_VALUE"""),"REA-U6635")</f>
        <v>REA-U6635</v>
      </c>
    </row>
    <row r="1784" spans="1:5" x14ac:dyDescent="0.2">
      <c r="A1784" s="22">
        <f ca="1">IFERROR(__xludf.DUMMYFUNCTION("""COMPUTED_VALUE"""),45089)</f>
        <v>45089</v>
      </c>
      <c r="B1784" s="23" t="str">
        <f ca="1">IFERROR(__xludf.DUMMYFUNCTION("""COMPUTED_VALUE"""),"UMYWALKA ELMA - NABLATOWA")</f>
        <v>UMYWALKA ELMA - NABLATOWA</v>
      </c>
      <c r="C1784" s="23"/>
      <c r="D1784" s="24">
        <f ca="1">IFERROR(__xludf.DUMMYFUNCTION("""COMPUTED_VALUE"""),299)</f>
        <v>299</v>
      </c>
      <c r="E1784" s="25" t="str">
        <f ca="1">IFERROR(__xludf.DUMMYFUNCTION("""COMPUTED_VALUE"""),"REA-U8493")</f>
        <v>REA-U8493</v>
      </c>
    </row>
    <row r="1785" spans="1:5" x14ac:dyDescent="0.2">
      <c r="A1785" s="22">
        <f ca="1">IFERROR(__xludf.DUMMYFUNCTION("""COMPUTED_VALUE"""),45089)</f>
        <v>45089</v>
      </c>
      <c r="B1785" s="23" t="str">
        <f ca="1">IFERROR(__xludf.DUMMYFUNCTION("""COMPUTED_VALUE"""),"UMYWALKA AVIA - NABLATOWA")</f>
        <v>UMYWALKA AVIA - NABLATOWA</v>
      </c>
      <c r="C1785" s="23"/>
      <c r="D1785" s="24">
        <f ca="1">IFERROR(__xludf.DUMMYFUNCTION("""COMPUTED_VALUE"""),329)</f>
        <v>329</v>
      </c>
      <c r="E1785" s="25" t="str">
        <f ca="1">IFERROR(__xludf.DUMMYFUNCTION("""COMPUTED_VALUE"""),"REA-U0840")</f>
        <v>REA-U0840</v>
      </c>
    </row>
    <row r="1786" spans="1:5" x14ac:dyDescent="0.2">
      <c r="A1786" s="22">
        <f ca="1">IFERROR(__xludf.DUMMYFUNCTION("""COMPUTED_VALUE"""),45089)</f>
        <v>45089</v>
      </c>
      <c r="B1786" s="23" t="str">
        <f ca="1">IFERROR(__xludf.DUMMYFUNCTION("""COMPUTED_VALUE"""),"UMYWALKA NADIA 70 - NABLATOWA")</f>
        <v>UMYWALKA NADIA 70 - NABLATOWA</v>
      </c>
      <c r="C1786" s="23"/>
      <c r="D1786" s="24">
        <f ca="1">IFERROR(__xludf.DUMMYFUNCTION("""COMPUTED_VALUE"""),469)</f>
        <v>469</v>
      </c>
      <c r="E1786" s="25" t="str">
        <f ca="1">IFERROR(__xludf.DUMMYFUNCTION("""COMPUTED_VALUE"""),"REA-U5801")</f>
        <v>REA-U5801</v>
      </c>
    </row>
    <row r="1787" spans="1:5" x14ac:dyDescent="0.2">
      <c r="A1787" s="22">
        <f ca="1">IFERROR(__xludf.DUMMYFUNCTION("""COMPUTED_VALUE"""),45089)</f>
        <v>45089</v>
      </c>
      <c r="B1787" s="23" t="str">
        <f ca="1">IFERROR(__xludf.DUMMYFUNCTION("""COMPUTED_VALUE"""),"UMYWALKA ANYA LAVA MATT - WOLNOSTOJĄCA")</f>
        <v>UMYWALKA ANYA LAVA MATT - WOLNOSTOJĄCA</v>
      </c>
      <c r="C1787" s="23"/>
      <c r="D1787" s="24">
        <f ca="1">IFERROR(__xludf.DUMMYFUNCTION("""COMPUTED_VALUE"""),1499)</f>
        <v>1499</v>
      </c>
      <c r="E1787" s="25" t="str">
        <f ca="1">IFERROR(__xludf.DUMMYFUNCTION("""COMPUTED_VALUE"""),"REA-U5803")</f>
        <v>REA-U5803</v>
      </c>
    </row>
    <row r="1788" spans="1:5" x14ac:dyDescent="0.2">
      <c r="A1788" s="22">
        <f ca="1">IFERROR(__xludf.DUMMYFUNCTION("""COMPUTED_VALUE"""),45089)</f>
        <v>45089</v>
      </c>
      <c r="B1788" s="23" t="str">
        <f ca="1">IFERROR(__xludf.DUMMYFUNCTION("""COMPUTED_VALUE"""),"UMYWALKA ANYA GRANIT MATT - WOLNOSTOJĄCA")</f>
        <v>UMYWALKA ANYA GRANIT MATT - WOLNOSTOJĄCA</v>
      </c>
      <c r="C1788" s="23"/>
      <c r="D1788" s="24">
        <f ca="1">IFERROR(__xludf.DUMMYFUNCTION("""COMPUTED_VALUE"""),1549)</f>
        <v>1549</v>
      </c>
      <c r="E1788" s="25" t="str">
        <f ca="1">IFERROR(__xludf.DUMMYFUNCTION("""COMPUTED_VALUE"""),"REA-U5802")</f>
        <v>REA-U5802</v>
      </c>
    </row>
    <row r="1789" spans="1:5" x14ac:dyDescent="0.2">
      <c r="A1789" s="22">
        <f ca="1">IFERROR(__xludf.DUMMYFUNCTION("""COMPUTED_VALUE"""),45075)</f>
        <v>45075</v>
      </c>
      <c r="B1789" s="23" t="str">
        <f ca="1">IFERROR(__xludf.DUMMYFUNCTION("""COMPUTED_VALUE"""),"UMYWALKA NADIA AIAX SHINY - NABLATOWA")</f>
        <v>UMYWALKA NADIA AIAX SHINY - NABLATOWA</v>
      </c>
      <c r="C1789" s="23"/>
      <c r="D1789" s="24">
        <f ca="1">IFERROR(__xludf.DUMMYFUNCTION("""COMPUTED_VALUE"""),399)</f>
        <v>399</v>
      </c>
      <c r="E1789" s="25" t="str">
        <f ca="1">IFERROR(__xludf.DUMMYFUNCTION("""COMPUTED_VALUE"""),"REA-U6506")</f>
        <v>REA-U6506</v>
      </c>
    </row>
    <row r="1790" spans="1:5" x14ac:dyDescent="0.2">
      <c r="A1790" s="22">
        <f ca="1">IFERROR(__xludf.DUMMYFUNCTION("""COMPUTED_VALUE"""),45075)</f>
        <v>45075</v>
      </c>
      <c r="B1790" s="23" t="str">
        <f ca="1">IFERROR(__xludf.DUMMYFUNCTION("""COMPUTED_VALUE"""),"UMYWALKA NADIA 60 BLACK STONE MATT - NABLATOWA")</f>
        <v>UMYWALKA NADIA 60 BLACK STONE MATT - NABLATOWA</v>
      </c>
      <c r="C1790" s="23"/>
      <c r="D1790" s="24">
        <f ca="1">IFERROR(__xludf.DUMMYFUNCTION("""COMPUTED_VALUE"""),429)</f>
        <v>429</v>
      </c>
      <c r="E1790" s="25" t="str">
        <f ca="1">IFERROR(__xludf.DUMMYFUNCTION("""COMPUTED_VALUE"""),"REA-U8565")</f>
        <v>REA-U8565</v>
      </c>
    </row>
    <row r="1791" spans="1:5" x14ac:dyDescent="0.2">
      <c r="A1791" s="22">
        <f ca="1">IFERROR(__xludf.DUMMYFUNCTION("""COMPUTED_VALUE"""),45075)</f>
        <v>45075</v>
      </c>
      <c r="B1791" s="23" t="str">
        <f ca="1">IFERROR(__xludf.DUMMYFUNCTION("""COMPUTED_VALUE"""),"WC - RAUL RIMLESS DUROPLAST/SLIM/ZM")</f>
        <v>WC - RAUL RIMLESS DUROPLAST/SLIM/ZM</v>
      </c>
      <c r="C1791" s="23"/>
      <c r="D1791" s="24">
        <f ca="1">IFERROR(__xludf.DUMMYFUNCTION("""COMPUTED_VALUE"""),699)</f>
        <v>699</v>
      </c>
      <c r="E1791" s="25" t="str">
        <f ca="1">IFERROR(__xludf.DUMMYFUNCTION("""COMPUTED_VALUE"""),"REA-C9660")</f>
        <v>REA-C9660</v>
      </c>
    </row>
    <row r="1792" spans="1:5" x14ac:dyDescent="0.2">
      <c r="A1792" s="22">
        <f ca="1">IFERROR(__xludf.DUMMYFUNCTION("""COMPUTED_VALUE"""),45075)</f>
        <v>45075</v>
      </c>
      <c r="B1792" s="23" t="str">
        <f ca="1">IFERROR(__xludf.DUMMYFUNCTION("""COMPUTED_VALUE"""),"WC - CARLO MINI RIMLESS BASIC/ABS/ZM")</f>
        <v>WC - CARLO MINI RIMLESS BASIC/ABS/ZM</v>
      </c>
      <c r="C1792" s="23"/>
      <c r="D1792" s="24">
        <f ca="1">IFERROR(__xludf.DUMMYFUNCTION("""COMPUTED_VALUE"""),619)</f>
        <v>619</v>
      </c>
      <c r="E1792" s="25" t="str">
        <f ca="1">IFERROR(__xludf.DUMMYFUNCTION("""COMPUTED_VALUE"""),"REA-C6200")</f>
        <v>REA-C6200</v>
      </c>
    </row>
    <row r="1793" spans="1:5" x14ac:dyDescent="0.2">
      <c r="A1793" s="22">
        <f ca="1">IFERROR(__xludf.DUMMYFUNCTION("""COMPUTED_VALUE"""),45075)</f>
        <v>45075</v>
      </c>
      <c r="B1793" s="23" t="str">
        <f ca="1">IFERROR(__xludf.DUMMYFUNCTION("""COMPUTED_VALUE"""),"WC - CARLO MINI RIMLES DUROPLAST/FLAT/ZM BLACK MAT")</f>
        <v>WC - CARLO MINI RIMLES DUROPLAST/FLAT/ZM BLACK MAT</v>
      </c>
      <c r="C1793" s="23"/>
      <c r="D1793" s="24">
        <f ca="1">IFERROR(__xludf.DUMMYFUNCTION("""COMPUTED_VALUE"""),1099)</f>
        <v>1099</v>
      </c>
      <c r="E1793" s="25" t="str">
        <f ca="1">IFERROR(__xludf.DUMMYFUNCTION("""COMPUTED_VALUE"""),"REA-C8489")</f>
        <v>REA-C8489</v>
      </c>
    </row>
    <row r="1794" spans="1:5" x14ac:dyDescent="0.2">
      <c r="A1794" s="22">
        <f ca="1">IFERROR(__xludf.DUMMYFUNCTION("""COMPUTED_VALUE"""),45075)</f>
        <v>45075</v>
      </c>
      <c r="B1794" s="23" t="str">
        <f ca="1">IFERROR(__xludf.DUMMYFUNCTION("""COMPUTED_VALUE"""),"WC -CARLO MINI RIMLESS DUROPLAST/FLAT/ZM GOLD EDGE")</f>
        <v>WC -CARLO MINI RIMLESS DUROPLAST/FLAT/ZM GOLD EDGE</v>
      </c>
      <c r="C1794" s="23"/>
      <c r="D1794" s="24">
        <f ca="1">IFERROR(__xludf.DUMMYFUNCTION("""COMPUTED_VALUE"""),899)</f>
        <v>899</v>
      </c>
      <c r="E1794" s="25" t="str">
        <f ca="1">IFERROR(__xludf.DUMMYFUNCTION("""COMPUTED_VALUE"""),"REA-C1222")</f>
        <v>REA-C1222</v>
      </c>
    </row>
    <row r="1795" spans="1:5" x14ac:dyDescent="0.2">
      <c r="A1795" s="22">
        <f ca="1">IFERROR(__xludf.DUMMYFUNCTION("""COMPUTED_VALUE"""),45075)</f>
        <v>45075</v>
      </c>
      <c r="B1795" s="23" t="str">
        <f ca="1">IFERROR(__xludf.DUMMYFUNCTION("""COMPUTED_VALUE"""),"WC - CARLO MINI RIMLESS DUROPLAST/FLAT/ZM")</f>
        <v>WC - CARLO MINI RIMLESS DUROPLAST/FLAT/ZM</v>
      </c>
      <c r="C1795" s="23"/>
      <c r="D1795" s="24">
        <f ca="1">IFERROR(__xludf.DUMMYFUNCTION("""COMPUTED_VALUE"""),679)</f>
        <v>679</v>
      </c>
      <c r="E1795" s="25" t="str">
        <f ca="1">IFERROR(__xludf.DUMMYFUNCTION("""COMPUTED_VALUE"""),"REA-C2760")</f>
        <v>REA-C2760</v>
      </c>
    </row>
    <row r="1796" spans="1:5" x14ac:dyDescent="0.2">
      <c r="A1796" s="22">
        <f ca="1">IFERROR(__xludf.DUMMYFUNCTION("""COMPUTED_VALUE"""),45075)</f>
        <v>45075</v>
      </c>
      <c r="B1796" s="23" t="str">
        <f ca="1">IFERROR(__xludf.DUMMYFUNCTION("""COMPUTED_VALUE"""),"WANNA OLIMPIA 170")</f>
        <v>WANNA OLIMPIA 170</v>
      </c>
      <c r="C1796" s="23"/>
      <c r="D1796" s="24">
        <f ca="1">IFERROR(__xludf.DUMMYFUNCTION("""COMPUTED_VALUE"""),3699)</f>
        <v>3699</v>
      </c>
      <c r="E1796" s="25" t="str">
        <f ca="1">IFERROR(__xludf.DUMMYFUNCTION("""COMPUTED_VALUE"""),"REA-W0633")</f>
        <v>REA-W0633</v>
      </c>
    </row>
    <row r="1797" spans="1:5" x14ac:dyDescent="0.2">
      <c r="A1797" s="22">
        <f ca="1">IFERROR(__xludf.DUMMYFUNCTION("""COMPUTED_VALUE"""),45075)</f>
        <v>45075</v>
      </c>
      <c r="B1797" s="23" t="str">
        <f ca="1">IFERROR(__xludf.DUMMYFUNCTION("""COMPUTED_VALUE"""),"WANNA MILANO 170")</f>
        <v>WANNA MILANO 170</v>
      </c>
      <c r="C1797" s="23"/>
      <c r="D1797" s="24">
        <f ca="1">IFERROR(__xludf.DUMMYFUNCTION("""COMPUTED_VALUE"""),3349)</f>
        <v>3349</v>
      </c>
      <c r="E1797" s="25" t="str">
        <f ca="1">IFERROR(__xludf.DUMMYFUNCTION("""COMPUTED_VALUE"""),"REA-W2001")</f>
        <v>REA-W2001</v>
      </c>
    </row>
    <row r="1798" spans="1:5" x14ac:dyDescent="0.2">
      <c r="A1798" s="22">
        <f ca="1">IFERROR(__xludf.DUMMYFUNCTION("""COMPUTED_VALUE"""),45071)</f>
        <v>45071</v>
      </c>
      <c r="B1798" s="23" t="str">
        <f ca="1">IFERROR(__xludf.DUMMYFUNCTION("""COMPUTED_VALUE"""),"DRZWI PRYSZNICOWE HUGO GOLD SZCZOTKOWANY 80")</f>
        <v>DRZWI PRYSZNICOWE HUGO GOLD SZCZOTKOWANY 80</v>
      </c>
      <c r="C1798" s="23"/>
      <c r="D1798" s="24">
        <f ca="1">IFERROR(__xludf.DUMMYFUNCTION("""COMPUTED_VALUE"""),1199)</f>
        <v>1199</v>
      </c>
      <c r="E1798" s="25" t="str">
        <f ca="1">IFERROR(__xludf.DUMMYFUNCTION("""COMPUTED_VALUE"""),"REA-K8410")</f>
        <v>REA-K8410</v>
      </c>
    </row>
    <row r="1799" spans="1:5" x14ac:dyDescent="0.2">
      <c r="A1799" s="22">
        <f ca="1">IFERROR(__xludf.DUMMYFUNCTION("""COMPUTED_VALUE"""),45071)</f>
        <v>45071</v>
      </c>
      <c r="B1799" s="23" t="str">
        <f ca="1">IFERROR(__xludf.DUMMYFUNCTION("""COMPUTED_VALUE"""),"DRZWI PRYSZNICOWE HUGO GOLD SZCZOTKOWANY 90")</f>
        <v>DRZWI PRYSZNICOWE HUGO GOLD SZCZOTKOWANY 90</v>
      </c>
      <c r="C1799" s="23"/>
      <c r="D1799" s="24">
        <f ca="1">IFERROR(__xludf.DUMMYFUNCTION("""COMPUTED_VALUE"""),1239)</f>
        <v>1239</v>
      </c>
      <c r="E1799" s="25" t="str">
        <f ca="1">IFERROR(__xludf.DUMMYFUNCTION("""COMPUTED_VALUE"""),"REA-K8411")</f>
        <v>REA-K8411</v>
      </c>
    </row>
    <row r="1800" spans="1:5" x14ac:dyDescent="0.2">
      <c r="A1800" s="22">
        <f ca="1">IFERROR(__xludf.DUMMYFUNCTION("""COMPUTED_VALUE"""),45071)</f>
        <v>45071</v>
      </c>
      <c r="B1800" s="23" t="str">
        <f ca="1">IFERROR(__xludf.DUMMYFUNCTION("""COMPUTED_VALUE"""),"DRZWI PRYSZNICOWE HUGO GOLD SZCZOTKOWANY 100")</f>
        <v>DRZWI PRYSZNICOWE HUGO GOLD SZCZOTKOWANY 100</v>
      </c>
      <c r="C1800" s="23"/>
      <c r="D1800" s="24">
        <f ca="1">IFERROR(__xludf.DUMMYFUNCTION("""COMPUTED_VALUE"""),1259)</f>
        <v>1259</v>
      </c>
      <c r="E1800" s="25" t="str">
        <f ca="1">IFERROR(__xludf.DUMMYFUNCTION("""COMPUTED_VALUE"""),"REA-K8413")</f>
        <v>REA-K8413</v>
      </c>
    </row>
    <row r="1801" spans="1:5" x14ac:dyDescent="0.2">
      <c r="A1801" s="22">
        <f ca="1">IFERROR(__xludf.DUMMYFUNCTION("""COMPUTED_VALUE"""),45071)</f>
        <v>45071</v>
      </c>
      <c r="B1801" s="23" t="str">
        <f ca="1">IFERROR(__xludf.DUMMYFUNCTION("""COMPUTED_VALUE"""),"ŚCIANKA PRYSZNICOWA HUGO GOLD SZCZOTKOWANY 80")</f>
        <v>ŚCIANKA PRYSZNICOWA HUGO GOLD SZCZOTKOWANY 80</v>
      </c>
      <c r="C1801" s="23"/>
      <c r="D1801" s="24">
        <f ca="1">IFERROR(__xludf.DUMMYFUNCTION("""COMPUTED_VALUE"""),550)</f>
        <v>550</v>
      </c>
      <c r="E1801" s="25" t="str">
        <f ca="1">IFERROR(__xludf.DUMMYFUNCTION("""COMPUTED_VALUE"""),"REA-K6612")</f>
        <v>REA-K6612</v>
      </c>
    </row>
    <row r="1802" spans="1:5" x14ac:dyDescent="0.2">
      <c r="A1802" s="22">
        <f ca="1">IFERROR(__xludf.DUMMYFUNCTION("""COMPUTED_VALUE"""),45071)</f>
        <v>45071</v>
      </c>
      <c r="B1802" s="23" t="str">
        <f ca="1">IFERROR(__xludf.DUMMYFUNCTION("""COMPUTED_VALUE"""),"ŚCIANKA PRYSZNICOWA HUGO GOLD SZCZOTKOWANY 90")</f>
        <v>ŚCIANKA PRYSZNICOWA HUGO GOLD SZCZOTKOWANY 90</v>
      </c>
      <c r="C1802" s="23"/>
      <c r="D1802" s="24">
        <f ca="1">IFERROR(__xludf.DUMMYFUNCTION("""COMPUTED_VALUE"""),560)</f>
        <v>560</v>
      </c>
      <c r="E1802" s="25" t="str">
        <f ca="1">IFERROR(__xludf.DUMMYFUNCTION("""COMPUTED_VALUE"""),"REA-K6613")</f>
        <v>REA-K6613</v>
      </c>
    </row>
    <row r="1803" spans="1:5" x14ac:dyDescent="0.2">
      <c r="A1803" s="22">
        <f ca="1">IFERROR(__xludf.DUMMYFUNCTION("""COMPUTED_VALUE"""),45071)</f>
        <v>45071</v>
      </c>
      <c r="B1803" s="23" t="str">
        <f ca="1">IFERROR(__xludf.DUMMYFUNCTION("""COMPUTED_VALUE"""),"ŚCIANKA POSZERZAJĄCA HUGO GOLD SZCZOTKOWANY 30")</f>
        <v>ŚCIANKA POSZERZAJĄCA HUGO GOLD SZCZOTKOWANY 30</v>
      </c>
      <c r="C1803" s="23"/>
      <c r="D1803" s="24">
        <f ca="1">IFERROR(__xludf.DUMMYFUNCTION("""COMPUTED_VALUE"""),370)</f>
        <v>370</v>
      </c>
      <c r="E1803" s="25" t="str">
        <f ca="1">IFERROR(__xludf.DUMMYFUNCTION("""COMPUTED_VALUE"""),"REA-K6610")</f>
        <v>REA-K6610</v>
      </c>
    </row>
    <row r="1804" spans="1:5" x14ac:dyDescent="0.2">
      <c r="A1804" s="22">
        <f ca="1">IFERROR(__xludf.DUMMYFUNCTION("""COMPUTED_VALUE"""),45071)</f>
        <v>45071</v>
      </c>
      <c r="B1804" s="23" t="str">
        <f ca="1">IFERROR(__xludf.DUMMYFUNCTION("""COMPUTED_VALUE"""),"ADAPTER MAGNETYCZNY HUGO GOLD SZCZOTKOWANY")</f>
        <v>ADAPTER MAGNETYCZNY HUGO GOLD SZCZOTKOWANY</v>
      </c>
      <c r="C1804" s="23"/>
      <c r="D1804" s="24">
        <f ca="1">IFERROR(__xludf.DUMMYFUNCTION("""COMPUTED_VALUE"""),180)</f>
        <v>180</v>
      </c>
      <c r="E1804" s="25" t="str">
        <f ca="1">IFERROR(__xludf.DUMMYFUNCTION("""COMPUTED_VALUE"""),"REA-K7771")</f>
        <v>REA-K7771</v>
      </c>
    </row>
    <row r="1805" spans="1:5" x14ac:dyDescent="0.2">
      <c r="A1805" s="22">
        <f ca="1">IFERROR(__xludf.DUMMYFUNCTION("""COMPUTED_VALUE"""),45071)</f>
        <v>45071</v>
      </c>
      <c r="B1805" s="23" t="str">
        <f ca="1">IFERROR(__xludf.DUMMYFUNCTION("""COMPUTED_VALUE"""),"DRZWI PRYSZNICOWE RAPID SLIDE 100")</f>
        <v>DRZWI PRYSZNICOWE RAPID SLIDE 100</v>
      </c>
      <c r="C1805" s="23"/>
      <c r="D1805" s="24">
        <f ca="1">IFERROR(__xludf.DUMMYFUNCTION("""COMPUTED_VALUE"""),899)</f>
        <v>899</v>
      </c>
      <c r="E1805" s="25" t="str">
        <f ca="1">IFERROR(__xludf.DUMMYFUNCTION("""COMPUTED_VALUE"""),"REA-K6400")</f>
        <v>REA-K6400</v>
      </c>
    </row>
    <row r="1806" spans="1:5" x14ac:dyDescent="0.2">
      <c r="A1806" s="22">
        <f ca="1">IFERROR(__xludf.DUMMYFUNCTION("""COMPUTED_VALUE"""),45071)</f>
        <v>45071</v>
      </c>
      <c r="B1806" s="23" t="str">
        <f ca="1">IFERROR(__xludf.DUMMYFUNCTION("""COMPUTED_VALUE"""),"DRZWI PRYSZNICOWE RAPID SLIDE 110")</f>
        <v>DRZWI PRYSZNICOWE RAPID SLIDE 110</v>
      </c>
      <c r="C1806" s="23"/>
      <c r="D1806" s="24">
        <f ca="1">IFERROR(__xludf.DUMMYFUNCTION("""COMPUTED_VALUE"""),939)</f>
        <v>939</v>
      </c>
      <c r="E1806" s="25" t="str">
        <f ca="1">IFERROR(__xludf.DUMMYFUNCTION("""COMPUTED_VALUE"""),"REA-K6401")</f>
        <v>REA-K6401</v>
      </c>
    </row>
    <row r="1807" spans="1:5" x14ac:dyDescent="0.2">
      <c r="A1807" s="22">
        <f ca="1">IFERROR(__xludf.DUMMYFUNCTION("""COMPUTED_VALUE"""),45071)</f>
        <v>45071</v>
      </c>
      <c r="B1807" s="23" t="str">
        <f ca="1">IFERROR(__xludf.DUMMYFUNCTION("""COMPUTED_VALUE"""),"DRZWI PRYSZNICOWE RAPID SLIDE 120")</f>
        <v>DRZWI PRYSZNICOWE RAPID SLIDE 120</v>
      </c>
      <c r="C1807" s="23"/>
      <c r="D1807" s="24">
        <f ca="1">IFERROR(__xludf.DUMMYFUNCTION("""COMPUTED_VALUE"""),969)</f>
        <v>969</v>
      </c>
      <c r="E1807" s="25" t="str">
        <f ca="1">IFERROR(__xludf.DUMMYFUNCTION("""COMPUTED_VALUE"""),"REA-K6402")</f>
        <v>REA-K6402</v>
      </c>
    </row>
    <row r="1808" spans="1:5" x14ac:dyDescent="0.2">
      <c r="A1808" s="22">
        <f ca="1">IFERROR(__xludf.DUMMYFUNCTION("""COMPUTED_VALUE"""),45071)</f>
        <v>45071</v>
      </c>
      <c r="B1808" s="23" t="str">
        <f ca="1">IFERROR(__xludf.DUMMYFUNCTION("""COMPUTED_VALUE"""),"DRZWI PRYSZNICOWE RAPID SLIDE 130")</f>
        <v>DRZWI PRYSZNICOWE RAPID SLIDE 130</v>
      </c>
      <c r="C1808" s="23"/>
      <c r="D1808" s="24">
        <f ca="1">IFERROR(__xludf.DUMMYFUNCTION("""COMPUTED_VALUE"""),999)</f>
        <v>999</v>
      </c>
      <c r="E1808" s="25" t="str">
        <f ca="1">IFERROR(__xludf.DUMMYFUNCTION("""COMPUTED_VALUE"""),"REA-K6403")</f>
        <v>REA-K6403</v>
      </c>
    </row>
    <row r="1809" spans="1:5" x14ac:dyDescent="0.2">
      <c r="A1809" s="22">
        <f ca="1">IFERROR(__xludf.DUMMYFUNCTION("""COMPUTED_VALUE"""),45071)</f>
        <v>45071</v>
      </c>
      <c r="B1809" s="23" t="str">
        <f ca="1">IFERROR(__xludf.DUMMYFUNCTION("""COMPUTED_VALUE"""),"DRZWI PRYSZNICOWE RAPID SLIDE 140")</f>
        <v>DRZWI PRYSZNICOWE RAPID SLIDE 140</v>
      </c>
      <c r="C1809" s="23"/>
      <c r="D1809" s="24">
        <f ca="1">IFERROR(__xludf.DUMMYFUNCTION("""COMPUTED_VALUE"""),1049)</f>
        <v>1049</v>
      </c>
      <c r="E1809" s="25" t="str">
        <f ca="1">IFERROR(__xludf.DUMMYFUNCTION("""COMPUTED_VALUE"""),"REA-K6404")</f>
        <v>REA-K6404</v>
      </c>
    </row>
    <row r="1810" spans="1:5" x14ac:dyDescent="0.2">
      <c r="A1810" s="22">
        <f ca="1">IFERROR(__xludf.DUMMYFUNCTION("""COMPUTED_VALUE"""),45071)</f>
        <v>45071</v>
      </c>
      <c r="B1810" s="23" t="str">
        <f ca="1">IFERROR(__xludf.DUMMYFUNCTION("""COMPUTED_VALUE"""),"DRZWI PRYSZNICOWE RAPID SLIDE 160")</f>
        <v>DRZWI PRYSZNICOWE RAPID SLIDE 160</v>
      </c>
      <c r="C1810" s="23"/>
      <c r="D1810" s="24">
        <f ca="1">IFERROR(__xludf.DUMMYFUNCTION("""COMPUTED_VALUE"""),1099)</f>
        <v>1099</v>
      </c>
      <c r="E1810" s="25" t="str">
        <f ca="1">IFERROR(__xludf.DUMMYFUNCTION("""COMPUTED_VALUE"""),"REA-K6406")</f>
        <v>REA-K6406</v>
      </c>
    </row>
    <row r="1811" spans="1:5" x14ac:dyDescent="0.2">
      <c r="A1811" s="22">
        <f ca="1">IFERROR(__xludf.DUMMYFUNCTION("""COMPUTED_VALUE"""),45071)</f>
        <v>45071</v>
      </c>
      <c r="B1811" s="23" t="str">
        <f ca="1">IFERROR(__xludf.DUMMYFUNCTION("""COMPUTED_VALUE"""),"DRZWI PRYSZNICOWE RAPID SWING 120")</f>
        <v>DRZWI PRYSZNICOWE RAPID SWING 120</v>
      </c>
      <c r="C1811" s="23"/>
      <c r="D1811" s="24">
        <f ca="1">IFERROR(__xludf.DUMMYFUNCTION("""COMPUTED_VALUE"""),999)</f>
        <v>999</v>
      </c>
      <c r="E1811" s="25" t="str">
        <f ca="1">IFERROR(__xludf.DUMMYFUNCTION("""COMPUTED_VALUE"""),"REA-K6413")</f>
        <v>REA-K6413</v>
      </c>
    </row>
    <row r="1812" spans="1:5" x14ac:dyDescent="0.2">
      <c r="A1812" s="22">
        <f ca="1">IFERROR(__xludf.DUMMYFUNCTION("""COMPUTED_VALUE"""),45071)</f>
        <v>45071</v>
      </c>
      <c r="B1812" s="23" t="str">
        <f ca="1">IFERROR(__xludf.DUMMYFUNCTION("""COMPUTED_VALUE"""),"DRZWI PRYSZNICOWE RAPID SWING 100")</f>
        <v>DRZWI PRYSZNICOWE RAPID SWING 100</v>
      </c>
      <c r="C1812" s="23"/>
      <c r="D1812" s="24">
        <f ca="1">IFERROR(__xludf.DUMMYFUNCTION("""COMPUTED_VALUE"""),919)</f>
        <v>919</v>
      </c>
      <c r="E1812" s="25" t="str">
        <f ca="1">IFERROR(__xludf.DUMMYFUNCTION("""COMPUTED_VALUE"""),"REA-K6410")</f>
        <v>REA-K6410</v>
      </c>
    </row>
    <row r="1813" spans="1:5" x14ac:dyDescent="0.2">
      <c r="A1813" s="22">
        <f ca="1">IFERROR(__xludf.DUMMYFUNCTION("""COMPUTED_VALUE"""),45071)</f>
        <v>45071</v>
      </c>
      <c r="B1813" s="23" t="str">
        <f ca="1">IFERROR(__xludf.DUMMYFUNCTION("""COMPUTED_VALUE"""),"DRZWI PRYSZNICOWE RAPID SWING 70")</f>
        <v>DRZWI PRYSZNICOWE RAPID SWING 70</v>
      </c>
      <c r="C1813" s="23"/>
      <c r="D1813" s="24">
        <f ca="1">IFERROR(__xludf.DUMMYFUNCTION("""COMPUTED_VALUE"""),829)</f>
        <v>829</v>
      </c>
      <c r="E1813" s="25" t="str">
        <f ca="1">IFERROR(__xludf.DUMMYFUNCTION("""COMPUTED_VALUE"""),"REA-K6407")</f>
        <v>REA-K6407</v>
      </c>
    </row>
    <row r="1814" spans="1:5" x14ac:dyDescent="0.2">
      <c r="A1814" s="22">
        <f ca="1">IFERROR(__xludf.DUMMYFUNCTION("""COMPUTED_VALUE"""),45071)</f>
        <v>45071</v>
      </c>
      <c r="B1814" s="23" t="str">
        <f ca="1">IFERROR(__xludf.DUMMYFUNCTION("""COMPUTED_VALUE"""),"DRZWI PRYSZNICOWE RAPID SWING 80")</f>
        <v>DRZWI PRYSZNICOWE RAPID SWING 80</v>
      </c>
      <c r="C1814" s="23"/>
      <c r="D1814" s="24">
        <f ca="1">IFERROR(__xludf.DUMMYFUNCTION("""COMPUTED_VALUE"""),859)</f>
        <v>859</v>
      </c>
      <c r="E1814" s="25" t="str">
        <f ca="1">IFERROR(__xludf.DUMMYFUNCTION("""COMPUTED_VALUE"""),"REA-K6408")</f>
        <v>REA-K6408</v>
      </c>
    </row>
    <row r="1815" spans="1:5" x14ac:dyDescent="0.2">
      <c r="A1815" s="22">
        <f ca="1">IFERROR(__xludf.DUMMYFUNCTION("""COMPUTED_VALUE"""),45071)</f>
        <v>45071</v>
      </c>
      <c r="B1815" s="23" t="str">
        <f ca="1">IFERROR(__xludf.DUMMYFUNCTION("""COMPUTED_VALUE"""),"DRZWI PRYSZNICOWE RAPID FOLD 80")</f>
        <v>DRZWI PRYSZNICOWE RAPID FOLD 80</v>
      </c>
      <c r="C1815" s="23"/>
      <c r="D1815" s="24">
        <f ca="1">IFERROR(__xludf.DUMMYFUNCTION("""COMPUTED_VALUE"""),869)</f>
        <v>869</v>
      </c>
      <c r="E1815" s="25" t="str">
        <f ca="1">IFERROR(__xludf.DUMMYFUNCTION("""COMPUTED_VALUE"""),"REA-K6418")</f>
        <v>REA-K6418</v>
      </c>
    </row>
    <row r="1816" spans="1:5" x14ac:dyDescent="0.2">
      <c r="A1816" s="22">
        <f ca="1">IFERROR(__xludf.DUMMYFUNCTION("""COMPUTED_VALUE"""),45071)</f>
        <v>45071</v>
      </c>
      <c r="B1816" s="23" t="str">
        <f ca="1">IFERROR(__xludf.DUMMYFUNCTION("""COMPUTED_VALUE"""),"ŚCIANKA DO RAPID 100")</f>
        <v>ŚCIANKA DO RAPID 100</v>
      </c>
      <c r="C1816" s="23"/>
      <c r="D1816" s="24">
        <f ca="1">IFERROR(__xludf.DUMMYFUNCTION("""COMPUTED_VALUE"""),550)</f>
        <v>550</v>
      </c>
      <c r="E1816" s="25" t="str">
        <f ca="1">IFERROR(__xludf.DUMMYFUNCTION("""COMPUTED_VALUE"""),"REA-K6423")</f>
        <v>REA-K6423</v>
      </c>
    </row>
    <row r="1817" spans="1:5" x14ac:dyDescent="0.2">
      <c r="A1817" s="22">
        <f ca="1">IFERROR(__xludf.DUMMYFUNCTION("""COMPUTED_VALUE"""),45071)</f>
        <v>45071</v>
      </c>
      <c r="B1817" s="23" t="str">
        <f ca="1">IFERROR(__xludf.DUMMYFUNCTION("""COMPUTED_VALUE"""),"ŚCIANKA DO RAPID 90")</f>
        <v>ŚCIANKA DO RAPID 90</v>
      </c>
      <c r="C1817" s="23"/>
      <c r="D1817" s="24">
        <f ca="1">IFERROR(__xludf.DUMMYFUNCTION("""COMPUTED_VALUE"""),520)</f>
        <v>520</v>
      </c>
      <c r="E1817" s="25" t="str">
        <f ca="1">IFERROR(__xludf.DUMMYFUNCTION("""COMPUTED_VALUE"""),"REA-K6422")</f>
        <v>REA-K6422</v>
      </c>
    </row>
    <row r="1818" spans="1:5" x14ac:dyDescent="0.2">
      <c r="A1818" s="22">
        <f ca="1">IFERROR(__xludf.DUMMYFUNCTION("""COMPUTED_VALUE"""),45071)</f>
        <v>45071</v>
      </c>
      <c r="B1818" s="23" t="str">
        <f ca="1">IFERROR(__xludf.DUMMYFUNCTION("""COMPUTED_VALUE"""),"ŚCIANKA DO RAPID 80")</f>
        <v>ŚCIANKA DO RAPID 80</v>
      </c>
      <c r="C1818" s="23"/>
      <c r="D1818" s="24">
        <f ca="1">IFERROR(__xludf.DUMMYFUNCTION("""COMPUTED_VALUE"""),490)</f>
        <v>490</v>
      </c>
      <c r="E1818" s="25" t="str">
        <f ca="1">IFERROR(__xludf.DUMMYFUNCTION("""COMPUTED_VALUE"""),"REA-K6421")</f>
        <v>REA-K6421</v>
      </c>
    </row>
    <row r="1819" spans="1:5" x14ac:dyDescent="0.2">
      <c r="A1819" s="22">
        <f ca="1">IFERROR(__xludf.DUMMYFUNCTION("""COMPUTED_VALUE"""),45071)</f>
        <v>45071</v>
      </c>
      <c r="B1819" s="23" t="str">
        <f ca="1">IFERROR(__xludf.DUMMYFUNCTION("""COMPUTED_VALUE"""),"KABINA ABRA 90X90")</f>
        <v>KABINA ABRA 90X90</v>
      </c>
      <c r="C1819" s="23"/>
      <c r="D1819" s="24">
        <f ca="1">IFERROR(__xludf.DUMMYFUNCTION("""COMPUTED_VALUE"""),1479)</f>
        <v>1479</v>
      </c>
      <c r="E1819" s="25" t="str">
        <f ca="1">IFERROR(__xludf.DUMMYFUNCTION("""COMPUTED_VALUE"""),"REA-K5502")</f>
        <v>REA-K5502</v>
      </c>
    </row>
    <row r="1820" spans="1:5" x14ac:dyDescent="0.2">
      <c r="A1820" s="22">
        <f ca="1">IFERROR(__xludf.DUMMYFUNCTION("""COMPUTED_VALUE"""),45071)</f>
        <v>45071</v>
      </c>
      <c r="B1820" s="23" t="str">
        <f ca="1">IFERROR(__xludf.DUMMYFUNCTION("""COMPUTED_VALUE"""),"KABINA FARGO GOLD 90x120 U")</f>
        <v>KABINA FARGO GOLD 90x120 U</v>
      </c>
      <c r="C1820" s="23"/>
      <c r="D1820" s="24">
        <f ca="1">IFERROR(__xludf.DUMMYFUNCTION("""COMPUTED_VALUE"""),2069)</f>
        <v>2069</v>
      </c>
      <c r="E1820" s="25" t="str">
        <f ca="1">IFERROR(__xludf.DUMMYFUNCTION("""COMPUTED_VALUE"""),"REA-K6614")</f>
        <v>REA-K6614</v>
      </c>
    </row>
    <row r="1821" spans="1:5" x14ac:dyDescent="0.2">
      <c r="A1821" s="22">
        <f ca="1">IFERROR(__xludf.DUMMYFUNCTION("""COMPUTED_VALUE"""),45071)</f>
        <v>45071</v>
      </c>
      <c r="B1821" s="23" t="str">
        <f ca="1">IFERROR(__xludf.DUMMYFUNCTION("""COMPUTED_VALUE"""),"ŚCIANKA DO KABINY NIXON-2  100")</f>
        <v>ŚCIANKA DO KABINY NIXON-2  100</v>
      </c>
      <c r="C1821" s="23"/>
      <c r="D1821" s="24">
        <f ca="1">IFERROR(__xludf.DUMMYFUNCTION("""COMPUTED_VALUE"""),800)</f>
        <v>800</v>
      </c>
      <c r="E1821" s="25" t="str">
        <f ca="1">IFERROR(__xludf.DUMMYFUNCTION("""COMPUTED_VALUE"""),"REA-K5014")</f>
        <v>REA-K5014</v>
      </c>
    </row>
    <row r="1822" spans="1:5" x14ac:dyDescent="0.2">
      <c r="A1822" s="22">
        <f ca="1">IFERROR(__xludf.DUMMYFUNCTION("""COMPUTED_VALUE"""),45071)</f>
        <v>45071</v>
      </c>
      <c r="B1822" s="23" t="str">
        <f ca="1">IFERROR(__xludf.DUMMYFUNCTION("""COMPUTED_VALUE"""),"ŚCIANKA DO KABINY NIXON-2  90")</f>
        <v>ŚCIANKA DO KABINY NIXON-2  90</v>
      </c>
      <c r="C1822" s="23"/>
      <c r="D1822" s="24">
        <f ca="1">IFERROR(__xludf.DUMMYFUNCTION("""COMPUTED_VALUE"""),650)</f>
        <v>650</v>
      </c>
      <c r="E1822" s="25" t="str">
        <f ca="1">IFERROR(__xludf.DUMMYFUNCTION("""COMPUTED_VALUE"""),"REA-K5011")</f>
        <v>REA-K5011</v>
      </c>
    </row>
    <row r="1823" spans="1:5" x14ac:dyDescent="0.2">
      <c r="A1823" s="22">
        <f ca="1">IFERROR(__xludf.DUMMYFUNCTION("""COMPUTED_VALUE"""),45071)</f>
        <v>45071</v>
      </c>
      <c r="B1823" s="23" t="str">
        <f ca="1">IFERROR(__xludf.DUMMYFUNCTION("""COMPUTED_VALUE"""),"DRZWI PRYSZNICOWE NIXON-2  120 P")</f>
        <v>DRZWI PRYSZNICOWE NIXON-2  120 P</v>
      </c>
      <c r="C1823" s="23"/>
      <c r="D1823" s="24">
        <f ca="1">IFERROR(__xludf.DUMMYFUNCTION("""COMPUTED_VALUE"""),1219)</f>
        <v>1219</v>
      </c>
      <c r="E1823" s="25" t="str">
        <f ca="1">IFERROR(__xludf.DUMMYFUNCTION("""COMPUTED_VALUE"""),"REA-K5003")</f>
        <v>REA-K5003</v>
      </c>
    </row>
    <row r="1824" spans="1:5" x14ac:dyDescent="0.2">
      <c r="A1824" s="22">
        <f ca="1">IFERROR(__xludf.DUMMYFUNCTION("""COMPUTED_VALUE"""),45071)</f>
        <v>45071</v>
      </c>
      <c r="B1824" s="23" t="str">
        <f ca="1">IFERROR(__xludf.DUMMYFUNCTION("""COMPUTED_VALUE"""),"DRZWI PRYSZNICOWE NIXON-2  120 L")</f>
        <v>DRZWI PRYSZNICOWE NIXON-2  120 L</v>
      </c>
      <c r="C1824" s="23"/>
      <c r="D1824" s="24">
        <f ca="1">IFERROR(__xludf.DUMMYFUNCTION("""COMPUTED_VALUE"""),1219)</f>
        <v>1219</v>
      </c>
      <c r="E1824" s="25" t="str">
        <f ca="1">IFERROR(__xludf.DUMMYFUNCTION("""COMPUTED_VALUE"""),"REA-K5002")</f>
        <v>REA-K5002</v>
      </c>
    </row>
    <row r="1825" spans="1:5" x14ac:dyDescent="0.2">
      <c r="A1825" s="22">
        <f ca="1">IFERROR(__xludf.DUMMYFUNCTION("""COMPUTED_VALUE"""),45071)</f>
        <v>45071</v>
      </c>
      <c r="B1825" s="23" t="str">
        <f ca="1">IFERROR(__xludf.DUMMYFUNCTION("""COMPUTED_VALUE"""),"DRZWI PRYSZNICOWE NIXON-2  150 L")</f>
        <v>DRZWI PRYSZNICOWE NIXON-2  150 L</v>
      </c>
      <c r="C1825" s="23"/>
      <c r="D1825" s="24">
        <f ca="1">IFERROR(__xludf.DUMMYFUNCTION("""COMPUTED_VALUE"""),1359)</f>
        <v>1359</v>
      </c>
      <c r="E1825" s="25" t="str">
        <f ca="1">IFERROR(__xludf.DUMMYFUNCTION("""COMPUTED_VALUE"""),"REA-K5008")</f>
        <v>REA-K5008</v>
      </c>
    </row>
    <row r="1826" spans="1:5" x14ac:dyDescent="0.2">
      <c r="A1826" s="22">
        <f ca="1">IFERROR(__xludf.DUMMYFUNCTION("""COMPUTED_VALUE"""),45071)</f>
        <v>45071</v>
      </c>
      <c r="B1826" s="23" t="str">
        <f ca="1">IFERROR(__xludf.DUMMYFUNCTION("""COMPUTED_VALUE"""),"DRZWI PRYSZNICOWE NIXON-2  150 P")</f>
        <v>DRZWI PRYSZNICOWE NIXON-2  150 P</v>
      </c>
      <c r="C1826" s="23"/>
      <c r="D1826" s="24">
        <f ca="1">IFERROR(__xludf.DUMMYFUNCTION("""COMPUTED_VALUE"""),1359)</f>
        <v>1359</v>
      </c>
      <c r="E1826" s="25" t="str">
        <f ca="1">IFERROR(__xludf.DUMMYFUNCTION("""COMPUTED_VALUE"""),"REA-K5009")</f>
        <v>REA-K5009</v>
      </c>
    </row>
    <row r="1827" spans="1:5" x14ac:dyDescent="0.2">
      <c r="A1827" s="22">
        <f ca="1">IFERROR(__xludf.DUMMYFUNCTION("""COMPUTED_VALUE"""),45071)</f>
        <v>45071</v>
      </c>
      <c r="B1827" s="23" t="str">
        <f ca="1">IFERROR(__xludf.DUMMYFUNCTION("""COMPUTED_VALUE"""),"KABINA SOLAR L.GOLD 90X120")</f>
        <v>KABINA SOLAR L.GOLD 90X120</v>
      </c>
      <c r="C1827" s="23"/>
      <c r="D1827" s="24">
        <f ca="1">IFERROR(__xludf.DUMMYFUNCTION("""COMPUTED_VALUE"""),1449)</f>
        <v>1449</v>
      </c>
      <c r="E1827" s="25" t="str">
        <f ca="1">IFERROR(__xludf.DUMMYFUNCTION("""COMPUTED_VALUE"""),"REA-K4902")</f>
        <v>REA-K4902</v>
      </c>
    </row>
    <row r="1828" spans="1:5" x14ac:dyDescent="0.2">
      <c r="A1828" s="22">
        <f ca="1">IFERROR(__xludf.DUMMYFUNCTION("""COMPUTED_VALUE"""),45071)</f>
        <v>45071</v>
      </c>
      <c r="B1828" s="23" t="str">
        <f ca="1">IFERROR(__xludf.DUMMYFUNCTION("""COMPUTED_VALUE"""),"KABINA SOLAR L.GOLD 80X100")</f>
        <v>KABINA SOLAR L.GOLD 80X100</v>
      </c>
      <c r="C1828" s="23"/>
      <c r="D1828" s="24">
        <f ca="1">IFERROR(__xludf.DUMMYFUNCTION("""COMPUTED_VALUE"""),1299)</f>
        <v>1299</v>
      </c>
      <c r="E1828" s="25" t="str">
        <f ca="1">IFERROR(__xludf.DUMMYFUNCTION("""COMPUTED_VALUE"""),"REA-K4901")</f>
        <v>REA-K4901</v>
      </c>
    </row>
    <row r="1829" spans="1:5" x14ac:dyDescent="0.2">
      <c r="A1829" s="22">
        <f ca="1">IFERROR(__xludf.DUMMYFUNCTION("""COMPUTED_VALUE"""),45071)</f>
        <v>45071</v>
      </c>
      <c r="B1829" s="23" t="str">
        <f ca="1">IFERROR(__xludf.DUMMYFUNCTION("""COMPUTED_VALUE"""),"KABINA SOLAR L.GOLD 90X90")</f>
        <v>KABINA SOLAR L.GOLD 90X90</v>
      </c>
      <c r="C1829" s="23"/>
      <c r="D1829" s="24">
        <f ca="1">IFERROR(__xludf.DUMMYFUNCTION("""COMPUTED_VALUE"""),1299)</f>
        <v>1299</v>
      </c>
      <c r="E1829" s="25" t="str">
        <f ca="1">IFERROR(__xludf.DUMMYFUNCTION("""COMPUTED_VALUE"""),"REA-K4900")</f>
        <v>REA-K4900</v>
      </c>
    </row>
    <row r="1830" spans="1:5" x14ac:dyDescent="0.2">
      <c r="A1830" s="22">
        <f ca="1">IFERROR(__xludf.DUMMYFUNCTION("""COMPUTED_VALUE"""),45071)</f>
        <v>45071</v>
      </c>
      <c r="B1830" s="23" t="str">
        <f ca="1">IFERROR(__xludf.DUMMYFUNCTION("""COMPUTED_VALUE"""),"KABINA DIAMOND L.GOLD 90X90")</f>
        <v>KABINA DIAMOND L.GOLD 90X90</v>
      </c>
      <c r="C1830" s="23"/>
      <c r="D1830" s="24">
        <f ca="1">IFERROR(__xludf.DUMMYFUNCTION("""COMPUTED_VALUE"""),1899)</f>
        <v>1899</v>
      </c>
      <c r="E1830" s="25" t="str">
        <f ca="1">IFERROR(__xludf.DUMMYFUNCTION("""COMPUTED_VALUE"""),"REA-K4904")</f>
        <v>REA-K4904</v>
      </c>
    </row>
    <row r="1831" spans="1:5" x14ac:dyDescent="0.2">
      <c r="A1831" s="22">
        <f ca="1">IFERROR(__xludf.DUMMYFUNCTION("""COMPUTED_VALUE"""),45071)</f>
        <v>45071</v>
      </c>
      <c r="B1831" s="23" t="str">
        <f ca="1">IFERROR(__xludf.DUMMYFUNCTION("""COMPUTED_VALUE"""),"WIESZAK NA RĘCZNIK/PÓŁKA EVO GOLD")</f>
        <v>WIESZAK NA RĘCZNIK/PÓŁKA EVO GOLD</v>
      </c>
      <c r="C1831" s="23"/>
      <c r="D1831" s="24">
        <f ca="1">IFERROR(__xludf.DUMMYFUNCTION("""COMPUTED_VALUE"""),399)</f>
        <v>399</v>
      </c>
      <c r="E1831" s="25" t="str">
        <f ca="1">IFERROR(__xludf.DUMMYFUNCTION("""COMPUTED_VALUE"""),"HOM-00653")</f>
        <v>HOM-00653</v>
      </c>
    </row>
    <row r="1832" spans="1:5" x14ac:dyDescent="0.2">
      <c r="A1832" s="22">
        <f ca="1">IFERROR(__xludf.DUMMYFUNCTION("""COMPUTED_VALUE"""),45071)</f>
        <v>45071</v>
      </c>
      <c r="B1832" s="23" t="str">
        <f ca="1">IFERROR(__xludf.DUMMYFUNCTION("""COMPUTED_VALUE"""),"WIESZAK NA RĘCZNIK/PÓŁKA EVO CHROME")</f>
        <v>WIESZAK NA RĘCZNIK/PÓŁKA EVO CHROME</v>
      </c>
      <c r="C1832" s="23"/>
      <c r="D1832" s="24">
        <f ca="1">IFERROR(__xludf.DUMMYFUNCTION("""COMPUTED_VALUE"""),330)</f>
        <v>330</v>
      </c>
      <c r="E1832" s="25" t="str">
        <f ca="1">IFERROR(__xludf.DUMMYFUNCTION("""COMPUTED_VALUE"""),"HOM-08945")</f>
        <v>HOM-08945</v>
      </c>
    </row>
    <row r="1833" spans="1:5" x14ac:dyDescent="0.2">
      <c r="A1833" s="22">
        <f ca="1">IFERROR(__xludf.DUMMYFUNCTION("""COMPUTED_VALUE"""),45071)</f>
        <v>45071</v>
      </c>
      <c r="B1833" s="23" t="str">
        <f ca="1">IFERROR(__xludf.DUMMYFUNCTION("""COMPUTED_VALUE"""),"ŚCIANKA PRYSZNICOWA CORTIS 120 BLACK")</f>
        <v>ŚCIANKA PRYSZNICOWA CORTIS 120 BLACK</v>
      </c>
      <c r="C1833" s="23"/>
      <c r="D1833" s="24">
        <f ca="1">IFERROR(__xludf.DUMMYFUNCTION("""COMPUTED_VALUE"""),1119)</f>
        <v>1119</v>
      </c>
      <c r="E1833" s="25" t="str">
        <f ca="1">IFERROR(__xludf.DUMMYFUNCTION("""COMPUTED_VALUE"""),"REA-K8880")</f>
        <v>REA-K8880</v>
      </c>
    </row>
    <row r="1834" spans="1:5" x14ac:dyDescent="0.2">
      <c r="A1834" s="22">
        <f ca="1">IFERROR(__xludf.DUMMYFUNCTION("""COMPUTED_VALUE"""),45071)</f>
        <v>45071</v>
      </c>
      <c r="B1834" s="23" t="str">
        <f ca="1">IFERROR(__xludf.DUMMYFUNCTION("""COMPUTED_VALUE"""),"ŚCIANKA PRYSZNICOWA CORTIS 100 BLACK")</f>
        <v>ŚCIANKA PRYSZNICOWA CORTIS 100 BLACK</v>
      </c>
      <c r="C1834" s="23"/>
      <c r="D1834" s="24">
        <f ca="1">IFERROR(__xludf.DUMMYFUNCTION("""COMPUTED_VALUE"""),1099)</f>
        <v>1099</v>
      </c>
      <c r="E1834" s="25" t="str">
        <f ca="1">IFERROR(__xludf.DUMMYFUNCTION("""COMPUTED_VALUE"""),"REA-K7740")</f>
        <v>REA-K7740</v>
      </c>
    </row>
    <row r="1835" spans="1:5" x14ac:dyDescent="0.2">
      <c r="A1835" s="22">
        <f ca="1">IFERROR(__xludf.DUMMYFUNCTION("""COMPUTED_VALUE"""),45071)</f>
        <v>45071</v>
      </c>
      <c r="B1835" s="23" t="str">
        <f ca="1">IFERROR(__xludf.DUMMYFUNCTION("""COMPUTED_VALUE"""),"ŚCIANKA PRYSZNICOWA CORTIS 120")</f>
        <v>ŚCIANKA PRYSZNICOWA CORTIS 120</v>
      </c>
      <c r="C1835" s="23"/>
      <c r="D1835" s="24">
        <f ca="1">IFERROR(__xludf.DUMMYFUNCTION("""COMPUTED_VALUE"""),1099)</f>
        <v>1099</v>
      </c>
      <c r="E1835" s="25" t="str">
        <f ca="1">IFERROR(__xludf.DUMMYFUNCTION("""COMPUTED_VALUE"""),"REA-K7211")</f>
        <v>REA-K7211</v>
      </c>
    </row>
    <row r="1836" spans="1:5" x14ac:dyDescent="0.2">
      <c r="A1836" s="22">
        <f ca="1">IFERROR(__xludf.DUMMYFUNCTION("""COMPUTED_VALUE"""),45071)</f>
        <v>45071</v>
      </c>
      <c r="B1836" s="23" t="str">
        <f ca="1">IFERROR(__xludf.DUMMYFUNCTION("""COMPUTED_VALUE"""),"ŚCIANKA PRYSZNICOWA CORTIS 100")</f>
        <v>ŚCIANKA PRYSZNICOWA CORTIS 100</v>
      </c>
      <c r="C1836" s="23"/>
      <c r="D1836" s="24">
        <f ca="1">IFERROR(__xludf.DUMMYFUNCTION("""COMPUTED_VALUE"""),1029)</f>
        <v>1029</v>
      </c>
      <c r="E1836" s="25" t="str">
        <f ca="1">IFERROR(__xludf.DUMMYFUNCTION("""COMPUTED_VALUE"""),"REA-K7210")</f>
        <v>REA-K7210</v>
      </c>
    </row>
    <row r="1837" spans="1:5" x14ac:dyDescent="0.2">
      <c r="A1837" s="22">
        <f ca="1">IFERROR(__xludf.DUMMYFUNCTION("""COMPUTED_VALUE"""),45071)</f>
        <v>45071</v>
      </c>
      <c r="B1837" s="23" t="str">
        <f ca="1">IFERROR(__xludf.DUMMYFUNCTION("""COMPUTED_VALUE"""),"ŚCIANKA PRYSZNICOWA BLER 120")</f>
        <v>ŚCIANKA PRYSZNICOWA BLER 120</v>
      </c>
      <c r="C1837" s="23"/>
      <c r="D1837" s="24">
        <f ca="1">IFERROR(__xludf.DUMMYFUNCTION("""COMPUTED_VALUE"""),999)</f>
        <v>999</v>
      </c>
      <c r="E1837" s="25" t="str">
        <f ca="1">IFERROR(__xludf.DUMMYFUNCTION("""COMPUTED_VALUE"""),"REA-K7631")</f>
        <v>REA-K7631</v>
      </c>
    </row>
    <row r="1838" spans="1:5" x14ac:dyDescent="0.2">
      <c r="A1838" s="22">
        <f ca="1">IFERROR(__xludf.DUMMYFUNCTION("""COMPUTED_VALUE"""),45071)</f>
        <v>45071</v>
      </c>
      <c r="B1838" s="23" t="str">
        <f ca="1">IFERROR(__xludf.DUMMYFUNCTION("""COMPUTED_VALUE"""),"ŚCIANKA PRYSZNICOWA BLER 70")</f>
        <v>ŚCIANKA PRYSZNICOWA BLER 70</v>
      </c>
      <c r="C1838" s="23"/>
      <c r="D1838" s="24">
        <f ca="1">IFERROR(__xludf.DUMMYFUNCTION("""COMPUTED_VALUE"""),699)</f>
        <v>699</v>
      </c>
      <c r="E1838" s="25" t="str">
        <f ca="1">IFERROR(__xludf.DUMMYFUNCTION("""COMPUTED_VALUE"""),"REA-K7636")</f>
        <v>REA-K7636</v>
      </c>
    </row>
    <row r="1839" spans="1:5" x14ac:dyDescent="0.2">
      <c r="A1839" s="22">
        <f ca="1">IFERROR(__xludf.DUMMYFUNCTION("""COMPUTED_VALUE"""),45071)</f>
        <v>45071</v>
      </c>
      <c r="B1839" s="23" t="str">
        <f ca="1">IFERROR(__xludf.DUMMYFUNCTION("""COMPUTED_VALUE"""),"KABINA HEX 90X90 BLACK")</f>
        <v>KABINA HEX 90X90 BLACK</v>
      </c>
      <c r="C1839" s="23"/>
      <c r="D1839" s="24">
        <f ca="1">IFERROR(__xludf.DUMMYFUNCTION("""COMPUTED_VALUE"""),1299)</f>
        <v>1299</v>
      </c>
      <c r="E1839" s="25" t="str">
        <f ca="1">IFERROR(__xludf.DUMMYFUNCTION("""COMPUTED_VALUE"""),"REA-K8979")</f>
        <v>REA-K8979</v>
      </c>
    </row>
    <row r="1840" spans="1:5" x14ac:dyDescent="0.2">
      <c r="A1840" s="22">
        <f ca="1">IFERROR(__xludf.DUMMYFUNCTION("""COMPUTED_VALUE"""),45071)</f>
        <v>45071</v>
      </c>
      <c r="B1840" s="23" t="str">
        <f ca="1">IFERROR(__xludf.DUMMYFUNCTION("""COMPUTED_VALUE"""),"BRODZIK DIAMOND 90*90*5cm WHITE")</f>
        <v>BRODZIK DIAMOND 90*90*5cm WHITE</v>
      </c>
      <c r="C1840" s="23"/>
      <c r="D1840" s="24">
        <f ca="1">IFERROR(__xludf.DUMMYFUNCTION("""COMPUTED_VALUE"""),629)</f>
        <v>629</v>
      </c>
      <c r="E1840" s="25" t="str">
        <f ca="1">IFERROR(__xludf.DUMMYFUNCTION("""COMPUTED_VALUE"""),"REA-K6522")</f>
        <v>REA-K6522</v>
      </c>
    </row>
    <row r="1841" spans="1:5" x14ac:dyDescent="0.2">
      <c r="A1841" s="22">
        <f ca="1">IFERROR(__xludf.DUMMYFUNCTION("""COMPUTED_VALUE"""),45071)</f>
        <v>45071</v>
      </c>
      <c r="B1841" s="23" t="str">
        <f ca="1">IFERROR(__xludf.DUMMYFUNCTION("""COMPUTED_VALUE"""),"BRODZIK DIAMOND 80*80*5cm WHITE")</f>
        <v>BRODZIK DIAMOND 80*80*5cm WHITE</v>
      </c>
      <c r="C1841" s="23"/>
      <c r="D1841" s="24">
        <f ca="1">IFERROR(__xludf.DUMMYFUNCTION("""COMPUTED_VALUE"""),599)</f>
        <v>599</v>
      </c>
      <c r="E1841" s="25" t="str">
        <f ca="1">IFERROR(__xludf.DUMMYFUNCTION("""COMPUTED_VALUE"""),"REA-K8544")</f>
        <v>REA-K8544</v>
      </c>
    </row>
    <row r="1842" spans="1:5" x14ac:dyDescent="0.2">
      <c r="A1842" s="22">
        <f ca="1">IFERROR(__xludf.DUMMYFUNCTION("""COMPUTED_VALUE"""),45071)</f>
        <v>45071</v>
      </c>
      <c r="B1842" s="23" t="str">
        <f ca="1">IFERROR(__xludf.DUMMYFUNCTION("""COMPUTED_VALUE"""),"KABINA DIAMOND BLACK 100X100")</f>
        <v>KABINA DIAMOND BLACK 100X100</v>
      </c>
      <c r="C1842" s="23"/>
      <c r="D1842" s="24">
        <f ca="1">IFERROR(__xludf.DUMMYFUNCTION("""COMPUTED_VALUE"""),1849)</f>
        <v>1849</v>
      </c>
      <c r="E1842" s="25" t="str">
        <f ca="1">IFERROR(__xludf.DUMMYFUNCTION("""COMPUTED_VALUE"""),"REA-K5623")</f>
        <v>REA-K5623</v>
      </c>
    </row>
    <row r="1843" spans="1:5" x14ac:dyDescent="0.2">
      <c r="A1843" s="22">
        <f ca="1">IFERROR(__xludf.DUMMYFUNCTION("""COMPUTED_VALUE"""),45071)</f>
        <v>45071</v>
      </c>
      <c r="B1843" s="23" t="str">
        <f ca="1">IFERROR(__xludf.DUMMYFUNCTION("""COMPUTED_VALUE"""),"KABINA DIAMOND BLACK 90X90")</f>
        <v>KABINA DIAMOND BLACK 90X90</v>
      </c>
      <c r="C1843" s="23"/>
      <c r="D1843" s="24">
        <f ca="1">IFERROR(__xludf.DUMMYFUNCTION("""COMPUTED_VALUE"""),1499)</f>
        <v>1499</v>
      </c>
      <c r="E1843" s="25" t="str">
        <f ca="1">IFERROR(__xludf.DUMMYFUNCTION("""COMPUTED_VALUE"""),"REA-K5622")</f>
        <v>REA-K5622</v>
      </c>
    </row>
    <row r="1844" spans="1:5" x14ac:dyDescent="0.2">
      <c r="A1844" s="22">
        <f ca="1">IFERROR(__xludf.DUMMYFUNCTION("""COMPUTED_VALUE"""),45071)</f>
        <v>45071</v>
      </c>
      <c r="B1844" s="23" t="str">
        <f ca="1">IFERROR(__xludf.DUMMYFUNCTION("""COMPUTED_VALUE"""),"KABINA FARGO BLACK 90X120 U")</f>
        <v>KABINA FARGO BLACK 90X120 U</v>
      </c>
      <c r="C1844" s="23"/>
      <c r="D1844" s="24">
        <f ca="1">IFERROR(__xludf.DUMMYFUNCTION("""COMPUTED_VALUE"""),1749)</f>
        <v>1749</v>
      </c>
      <c r="E1844" s="25" t="str">
        <f ca="1">IFERROR(__xludf.DUMMYFUNCTION("""COMPUTED_VALUE"""),"REA-K3214")</f>
        <v>REA-K3214</v>
      </c>
    </row>
    <row r="1845" spans="1:5" x14ac:dyDescent="0.2">
      <c r="A1845" s="22">
        <f ca="1">IFERROR(__xludf.DUMMYFUNCTION("""COMPUTED_VALUE"""),45071)</f>
        <v>45071</v>
      </c>
      <c r="B1845" s="23" t="str">
        <f ca="1">IFERROR(__xludf.DUMMYFUNCTION("""COMPUTED_VALUE"""),"KABINA FARGO BLACK 90X90 U")</f>
        <v>KABINA FARGO BLACK 90X90 U</v>
      </c>
      <c r="C1845" s="23"/>
      <c r="D1845" s="24">
        <f ca="1">IFERROR(__xludf.DUMMYFUNCTION("""COMPUTED_VALUE"""),1599)</f>
        <v>1599</v>
      </c>
      <c r="E1845" s="25" t="str">
        <f ca="1">IFERROR(__xludf.DUMMYFUNCTION("""COMPUTED_VALUE"""),"REA-K6318")</f>
        <v>REA-K6318</v>
      </c>
    </row>
    <row r="1846" spans="1:5" x14ac:dyDescent="0.2">
      <c r="A1846" s="22">
        <f ca="1">IFERROR(__xludf.DUMMYFUNCTION("""COMPUTED_VALUE"""),45071)</f>
        <v>45071</v>
      </c>
      <c r="B1846" s="23" t="str">
        <f ca="1">IFERROR(__xludf.DUMMYFUNCTION("""COMPUTED_VALUE"""),"DRZWI PRYSZNICOWE ALEX-805   90")</f>
        <v>DRZWI PRYSZNICOWE ALEX-805   90</v>
      </c>
      <c r="C1846" s="23"/>
      <c r="D1846" s="24">
        <f ca="1">IFERROR(__xludf.DUMMYFUNCTION("""COMPUTED_VALUE"""),869)</f>
        <v>869</v>
      </c>
      <c r="E1846" s="25" t="str">
        <f ca="1">IFERROR(__xludf.DUMMYFUNCTION("""COMPUTED_VALUE"""),"REA-K0549")</f>
        <v>REA-K0549</v>
      </c>
    </row>
    <row r="1847" spans="1:5" x14ac:dyDescent="0.2">
      <c r="A1847" s="22">
        <f ca="1">IFERROR(__xludf.DUMMYFUNCTION("""COMPUTED_VALUE"""),45071)</f>
        <v>45071</v>
      </c>
      <c r="B1847" s="23" t="str">
        <f ca="1">IFERROR(__xludf.DUMMYFUNCTION("""COMPUTED_VALUE"""),"DRZWI PRYSZNICOWE ALEX-805  100")</f>
        <v>DRZWI PRYSZNICOWE ALEX-805  100</v>
      </c>
      <c r="C1847" s="23"/>
      <c r="D1847" s="24">
        <f ca="1">IFERROR(__xludf.DUMMYFUNCTION("""COMPUTED_VALUE"""),899)</f>
        <v>899</v>
      </c>
      <c r="E1847" s="25" t="str">
        <f ca="1">IFERROR(__xludf.DUMMYFUNCTION("""COMPUTED_VALUE"""),"REA-K0546")</f>
        <v>REA-K0546</v>
      </c>
    </row>
    <row r="1848" spans="1:5" x14ac:dyDescent="0.2">
      <c r="A1848" s="22">
        <f ca="1">IFERROR(__xludf.DUMMYFUNCTION("""COMPUTED_VALUE"""),45071)</f>
        <v>45071</v>
      </c>
      <c r="B1848" s="23" t="str">
        <f ca="1">IFERROR(__xludf.DUMMYFUNCTION("""COMPUTED_VALUE"""),"DRZWI PRYSZNICOWE ALEX-805   80")</f>
        <v>DRZWI PRYSZNICOWE ALEX-805   80</v>
      </c>
      <c r="C1848" s="23"/>
      <c r="D1848" s="24">
        <f ca="1">IFERROR(__xludf.DUMMYFUNCTION("""COMPUTED_VALUE"""),839)</f>
        <v>839</v>
      </c>
      <c r="E1848" s="25" t="str">
        <f ca="1">IFERROR(__xludf.DUMMYFUNCTION("""COMPUTED_VALUE"""),"REA-K0287")</f>
        <v>REA-K0287</v>
      </c>
    </row>
    <row r="1849" spans="1:5" x14ac:dyDescent="0.2">
      <c r="A1849" s="22">
        <f ca="1">IFERROR(__xludf.DUMMYFUNCTION("""COMPUTED_VALUE"""),45071)</f>
        <v>45071</v>
      </c>
      <c r="B1849" s="23" t="str">
        <f ca="1">IFERROR(__xludf.DUMMYFUNCTION("""COMPUTED_VALUE"""),"PARAWAN RUCHOMY LAGOS-1 80")</f>
        <v>PARAWAN RUCHOMY LAGOS-1 80</v>
      </c>
      <c r="C1849" s="23"/>
      <c r="D1849" s="24">
        <f ca="1">IFERROR(__xludf.DUMMYFUNCTION("""COMPUTED_VALUE"""),459)</f>
        <v>459</v>
      </c>
      <c r="E1849" s="25" t="str">
        <f ca="1">IFERROR(__xludf.DUMMYFUNCTION("""COMPUTED_VALUE"""),"REA-K4570")</f>
        <v>REA-K4570</v>
      </c>
    </row>
    <row r="1850" spans="1:5" x14ac:dyDescent="0.2">
      <c r="A1850" s="22">
        <f ca="1">IFERROR(__xludf.DUMMYFUNCTION("""COMPUTED_VALUE"""),45071)</f>
        <v>45071</v>
      </c>
      <c r="B1850" s="23" t="str">
        <f ca="1">IFERROR(__xludf.DUMMYFUNCTION("""COMPUTED_VALUE"""),"PARAWAN RUCHOMY LAGOS-1 70")</f>
        <v>PARAWAN RUCHOMY LAGOS-1 70</v>
      </c>
      <c r="C1850" s="23"/>
      <c r="D1850" s="24">
        <f ca="1">IFERROR(__xludf.DUMMYFUNCTION("""COMPUTED_VALUE"""),399)</f>
        <v>399</v>
      </c>
      <c r="E1850" s="25" t="str">
        <f ca="1">IFERROR(__xludf.DUMMYFUNCTION("""COMPUTED_VALUE"""),"REA-K4569")</f>
        <v>REA-K4569</v>
      </c>
    </row>
    <row r="1851" spans="1:5" x14ac:dyDescent="0.2">
      <c r="A1851" s="22">
        <f ca="1">IFERROR(__xludf.DUMMYFUNCTION("""COMPUTED_VALUE"""),45071)</f>
        <v>45071</v>
      </c>
      <c r="B1851" s="23" t="str">
        <f ca="1">IFERROR(__xludf.DUMMYFUNCTION("""COMPUTED_VALUE"""),"PARAWAN RUCHOMY LAGOS 70")</f>
        <v>PARAWAN RUCHOMY LAGOS 70</v>
      </c>
      <c r="C1851" s="23"/>
      <c r="D1851" s="24">
        <f ca="1">IFERROR(__xludf.DUMMYFUNCTION("""COMPUTED_VALUE"""),459)</f>
        <v>459</v>
      </c>
      <c r="E1851" s="25" t="str">
        <f ca="1">IFERROR(__xludf.DUMMYFUNCTION("""COMPUTED_VALUE"""),"REA-K7632")</f>
        <v>REA-K7632</v>
      </c>
    </row>
    <row r="1852" spans="1:5" x14ac:dyDescent="0.2">
      <c r="A1852" s="22">
        <f ca="1">IFERROR(__xludf.DUMMYFUNCTION("""COMPUTED_VALUE"""),45071)</f>
        <v>45071</v>
      </c>
      <c r="B1852" s="23" t="str">
        <f ca="1">IFERROR(__xludf.DUMMYFUNCTION("""COMPUTED_VALUE"""),"PARAWAN RUCHOMY LAGOS 80")</f>
        <v>PARAWAN RUCHOMY LAGOS 80</v>
      </c>
      <c r="C1852" s="23"/>
      <c r="D1852" s="24">
        <f ca="1">IFERROR(__xludf.DUMMYFUNCTION("""COMPUTED_VALUE"""),499)</f>
        <v>499</v>
      </c>
      <c r="E1852" s="25" t="str">
        <f ca="1">IFERROR(__xludf.DUMMYFUNCTION("""COMPUTED_VALUE"""),"REA-K7633")</f>
        <v>REA-K7633</v>
      </c>
    </row>
    <row r="1853" spans="1:5" x14ac:dyDescent="0.2">
      <c r="A1853" s="22">
        <f ca="1">IFERROR(__xludf.DUMMYFUNCTION("""COMPUTED_VALUE"""),45071)</f>
        <v>45071</v>
      </c>
      <c r="B1853" s="23" t="str">
        <f ca="1">IFERROR(__xludf.DUMMYFUNCTION("""COMPUTED_VALUE"""),"PARAWAN STAŁY LAGOS FIX 70")</f>
        <v>PARAWAN STAŁY LAGOS FIX 70</v>
      </c>
      <c r="C1853" s="23"/>
      <c r="D1853" s="24">
        <f ca="1">IFERROR(__xludf.DUMMYFUNCTION("""COMPUTED_VALUE"""),339)</f>
        <v>339</v>
      </c>
      <c r="E1853" s="25" t="str">
        <f ca="1">IFERROR(__xludf.DUMMYFUNCTION("""COMPUTED_VALUE"""),"REA-K7689")</f>
        <v>REA-K7689</v>
      </c>
    </row>
    <row r="1854" spans="1:5" x14ac:dyDescent="0.2">
      <c r="A1854" s="22">
        <f ca="1">IFERROR(__xludf.DUMMYFUNCTION("""COMPUTED_VALUE"""),45071)</f>
        <v>45071</v>
      </c>
      <c r="B1854" s="23" t="str">
        <f ca="1">IFERROR(__xludf.DUMMYFUNCTION("""COMPUTED_VALUE"""),"PARAWAN STAŁY LAGOS FIX 80")</f>
        <v>PARAWAN STAŁY LAGOS FIX 80</v>
      </c>
      <c r="C1854" s="23"/>
      <c r="D1854" s="24">
        <f ca="1">IFERROR(__xludf.DUMMYFUNCTION("""COMPUTED_VALUE"""),389)</f>
        <v>389</v>
      </c>
      <c r="E1854" s="25" t="str">
        <f ca="1">IFERROR(__xludf.DUMMYFUNCTION("""COMPUTED_VALUE"""),"REA-K7390")</f>
        <v>REA-K7390</v>
      </c>
    </row>
    <row r="1855" spans="1:5" x14ac:dyDescent="0.2">
      <c r="A1855" s="22">
        <f ca="1">IFERROR(__xludf.DUMMYFUNCTION("""COMPUTED_VALUE"""),45071)</f>
        <v>45071</v>
      </c>
      <c r="B1855" s="23" t="str">
        <f ca="1">IFERROR(__xludf.DUMMYFUNCTION("""COMPUTED_VALUE"""),"PARAWAN STAŁY LAGOS-1 FIX 80")</f>
        <v>PARAWAN STAŁY LAGOS-1 FIX 80</v>
      </c>
      <c r="C1855" s="23"/>
      <c r="D1855" s="24">
        <f ca="1">IFERROR(__xludf.DUMMYFUNCTION("""COMPUTED_VALUE"""),389)</f>
        <v>389</v>
      </c>
      <c r="E1855" s="25" t="str">
        <f ca="1">IFERROR(__xludf.DUMMYFUNCTION("""COMPUTED_VALUE"""),"REA-K4561")</f>
        <v>REA-K4561</v>
      </c>
    </row>
    <row r="1856" spans="1:5" x14ac:dyDescent="0.2">
      <c r="A1856" s="22">
        <f ca="1">IFERROR(__xludf.DUMMYFUNCTION("""COMPUTED_VALUE"""),45071)</f>
        <v>45071</v>
      </c>
      <c r="B1856" s="23" t="str">
        <f ca="1">IFERROR(__xludf.DUMMYFUNCTION("""COMPUTED_VALUE"""),"PARAWAN STAŁY LAGOS-1 FIX 70")</f>
        <v>PARAWAN STAŁY LAGOS-1 FIX 70</v>
      </c>
      <c r="C1856" s="23"/>
      <c r="D1856" s="24">
        <f ca="1">IFERROR(__xludf.DUMMYFUNCTION("""COMPUTED_VALUE"""),379)</f>
        <v>379</v>
      </c>
      <c r="E1856" s="25" t="str">
        <f ca="1">IFERROR(__xludf.DUMMYFUNCTION("""COMPUTED_VALUE"""),"REA-K4560")</f>
        <v>REA-K4560</v>
      </c>
    </row>
    <row r="1857" spans="1:5" x14ac:dyDescent="0.2">
      <c r="A1857" s="22">
        <f ca="1">IFERROR(__xludf.DUMMYFUNCTION("""COMPUTED_VALUE"""),45071)</f>
        <v>45071</v>
      </c>
      <c r="B1857" s="23" t="str">
        <f ca="1">IFERROR(__xludf.DUMMYFUNCTION("""COMPUTED_VALUE"""),"	PARAWAN WANNOWY IDEA 120")</f>
        <v xml:space="preserve">	PARAWAN WANNOWY IDEA 120</v>
      </c>
      <c r="C1857" s="23"/>
      <c r="D1857" s="24">
        <f ca="1">IFERROR(__xludf.DUMMYFUNCTION("""COMPUTED_VALUE"""),799)</f>
        <v>799</v>
      </c>
      <c r="E1857" s="25" t="str">
        <f ca="1">IFERROR(__xludf.DUMMYFUNCTION("""COMPUTED_VALUE"""),"REA-W0850")</f>
        <v>REA-W0850</v>
      </c>
    </row>
    <row r="1858" spans="1:5" x14ac:dyDescent="0.2">
      <c r="A1858" s="22">
        <f ca="1">IFERROR(__xludf.DUMMYFUNCTION("""COMPUTED_VALUE"""),45071)</f>
        <v>45071</v>
      </c>
      <c r="B1858" s="23" t="str">
        <f ca="1">IFERROR(__xludf.DUMMYFUNCTION("""COMPUTED_VALUE"""),"ŚCIANKA PRYSZNICOWA AERO 80 BLACK")</f>
        <v>ŚCIANKA PRYSZNICOWA AERO 80 BLACK</v>
      </c>
      <c r="C1858" s="23"/>
      <c r="D1858" s="24">
        <f ca="1">IFERROR(__xludf.DUMMYFUNCTION("""COMPUTED_VALUE"""),799)</f>
        <v>799</v>
      </c>
      <c r="E1858" s="25" t="str">
        <f ca="1">IFERROR(__xludf.DUMMYFUNCTION("""COMPUTED_VALUE"""),"REA-K7580")</f>
        <v>REA-K7580</v>
      </c>
    </row>
    <row r="1859" spans="1:5" x14ac:dyDescent="0.2">
      <c r="A1859" s="22">
        <f ca="1">IFERROR(__xludf.DUMMYFUNCTION("""COMPUTED_VALUE"""),45068)</f>
        <v>45068</v>
      </c>
      <c r="B1859" s="23" t="str">
        <f ca="1">IFERROR(__xludf.DUMMYFUNCTION("""COMPUTED_VALUE"""),"DRZWI PRYSZNICOWE RAPID SLIDE GOLD BRUSH 120")</f>
        <v>DRZWI PRYSZNICOWE RAPID SLIDE GOLD BRUSH 120</v>
      </c>
      <c r="C1859" s="23"/>
      <c r="D1859" s="24">
        <f ca="1">IFERROR(__xludf.DUMMYFUNCTION("""COMPUTED_VALUE"""),1229)</f>
        <v>1229</v>
      </c>
      <c r="E1859" s="25" t="str">
        <f ca="1">IFERROR(__xludf.DUMMYFUNCTION("""COMPUTED_VALUE"""),"REA-K4709")</f>
        <v>REA-K4709</v>
      </c>
    </row>
    <row r="1860" spans="1:5" x14ac:dyDescent="0.2">
      <c r="A1860" s="22">
        <f ca="1">IFERROR(__xludf.DUMMYFUNCTION("""COMPUTED_VALUE"""),45068)</f>
        <v>45068</v>
      </c>
      <c r="B1860" s="23" t="str">
        <f ca="1">IFERROR(__xludf.DUMMYFUNCTION("""COMPUTED_VALUE"""),"DRZWI PRYSZNICOWE RAPID SLIDE GOLD BRUSH 110")</f>
        <v>DRZWI PRYSZNICOWE RAPID SLIDE GOLD BRUSH 110</v>
      </c>
      <c r="C1860" s="23"/>
      <c r="D1860" s="24">
        <f ca="1">IFERROR(__xludf.DUMMYFUNCTION("""COMPUTED_VALUE"""),1189)</f>
        <v>1189</v>
      </c>
      <c r="E1860" s="25" t="str">
        <f ca="1">IFERROR(__xludf.DUMMYFUNCTION("""COMPUTED_VALUE"""),"REA-K4708")</f>
        <v>REA-K4708</v>
      </c>
    </row>
    <row r="1861" spans="1:5" x14ac:dyDescent="0.2">
      <c r="A1861" s="22">
        <f ca="1">IFERROR(__xludf.DUMMYFUNCTION("""COMPUTED_VALUE"""),45068)</f>
        <v>45068</v>
      </c>
      <c r="B1861" s="23" t="str">
        <f ca="1">IFERROR(__xludf.DUMMYFUNCTION("""COMPUTED_VALUE"""),"ŚCIANKA PRYSZNICOWA AERO GOLD BRUSH 90")</f>
        <v>ŚCIANKA PRYSZNICOWA AERO GOLD BRUSH 90</v>
      </c>
      <c r="C1861" s="23"/>
      <c r="D1861" s="24">
        <f ca="1">IFERROR(__xludf.DUMMYFUNCTION("""COMPUTED_VALUE"""),959)</f>
        <v>959</v>
      </c>
      <c r="E1861" s="25" t="str">
        <f ca="1">IFERROR(__xludf.DUMMYFUNCTION("""COMPUTED_VALUE"""),"REA-K4700")</f>
        <v>REA-K4700</v>
      </c>
    </row>
    <row r="1862" spans="1:5" x14ac:dyDescent="0.2">
      <c r="A1862" s="22">
        <f ca="1">IFERROR(__xludf.DUMMYFUNCTION("""COMPUTED_VALUE"""),45068)</f>
        <v>45068</v>
      </c>
      <c r="B1862" s="23" t="str">
        <f ca="1">IFERROR(__xludf.DUMMYFUNCTION("""COMPUTED_VALUE"""),"PARAWAN WANNOWY ELEGANT GOLD BRUSH 80")</f>
        <v>PARAWAN WANNOWY ELEGANT GOLD BRUSH 80</v>
      </c>
      <c r="C1862" s="23"/>
      <c r="D1862" s="24">
        <f ca="1">IFERROR(__xludf.DUMMYFUNCTION("""COMPUTED_VALUE"""),519)</f>
        <v>519</v>
      </c>
      <c r="E1862" s="25" t="str">
        <f ca="1">IFERROR(__xludf.DUMMYFUNCTION("""COMPUTED_VALUE"""),"REA-W6601")</f>
        <v>REA-W6601</v>
      </c>
    </row>
    <row r="1863" spans="1:5" x14ac:dyDescent="0.2">
      <c r="A1863" s="22">
        <f ca="1">IFERROR(__xludf.DUMMYFUNCTION("""COMPUTED_VALUE"""),45068)</f>
        <v>45068</v>
      </c>
      <c r="B1863" s="23" t="str">
        <f ca="1">IFERROR(__xludf.DUMMYFUNCTION("""COMPUTED_VALUE"""),"PARAWAN WANNOWY ELEGANT GOLD BRUSH 70")</f>
        <v>PARAWAN WANNOWY ELEGANT GOLD BRUSH 70</v>
      </c>
      <c r="C1863" s="23"/>
      <c r="D1863" s="24">
        <f ca="1">IFERROR(__xludf.DUMMYFUNCTION("""COMPUTED_VALUE"""),499)</f>
        <v>499</v>
      </c>
      <c r="E1863" s="25" t="str">
        <f ca="1">IFERROR(__xludf.DUMMYFUNCTION("""COMPUTED_VALUE"""),"REA-W6600")</f>
        <v>REA-W6600</v>
      </c>
    </row>
    <row r="1864" spans="1:5" x14ac:dyDescent="0.2">
      <c r="A1864" s="22">
        <f ca="1">IFERROR(__xludf.DUMMYFUNCTION("""COMPUTED_VALUE"""),45068)</f>
        <v>45068</v>
      </c>
      <c r="B1864" s="23" t="str">
        <f ca="1">IFERROR(__xludf.DUMMYFUNCTION("""COMPUTED_VALUE"""),"ODPŁYW NEO PRO MIRROR L.GOLD 800")</f>
        <v>ODPŁYW NEO PRO MIRROR L.GOLD 800</v>
      </c>
      <c r="C1864" s="23"/>
      <c r="D1864" s="24">
        <f ca="1">IFERROR(__xludf.DUMMYFUNCTION("""COMPUTED_VALUE"""),399)</f>
        <v>399</v>
      </c>
      <c r="E1864" s="25" t="str">
        <f ca="1">IFERROR(__xludf.DUMMYFUNCTION("""COMPUTED_VALUE"""),"REA-G5601")</f>
        <v>REA-G5601</v>
      </c>
    </row>
    <row r="1865" spans="1:5" x14ac:dyDescent="0.2">
      <c r="A1865" s="22">
        <f ca="1">IFERROR(__xludf.DUMMYFUNCTION("""COMPUTED_VALUE"""),45068)</f>
        <v>45068</v>
      </c>
      <c r="B1865" s="23" t="str">
        <f ca="1">IFERROR(__xludf.DUMMYFUNCTION("""COMPUTED_VALUE"""),"ODPŁYW NEO PRO MIRROR L.GOLD 900")</f>
        <v>ODPŁYW NEO PRO MIRROR L.GOLD 900</v>
      </c>
      <c r="C1865" s="23"/>
      <c r="D1865" s="24">
        <f ca="1">IFERROR(__xludf.DUMMYFUNCTION("""COMPUTED_VALUE"""),419)</f>
        <v>419</v>
      </c>
      <c r="E1865" s="25" t="str">
        <f ca="1">IFERROR(__xludf.DUMMYFUNCTION("""COMPUTED_VALUE"""),"REA-G5602")</f>
        <v>REA-G5602</v>
      </c>
    </row>
    <row r="1866" spans="1:5" x14ac:dyDescent="0.2">
      <c r="A1866" s="22">
        <f ca="1">IFERROR(__xludf.DUMMYFUNCTION("""COMPUTED_VALUE"""),45068)</f>
        <v>45068</v>
      </c>
      <c r="B1866" s="23" t="str">
        <f ca="1">IFERROR(__xludf.DUMMYFUNCTION("""COMPUTED_VALUE"""),"ODPŁYW NEO &amp; PURE-500 N BLACK PRO")</f>
        <v>ODPŁYW NEO &amp; PURE-500 N BLACK PRO</v>
      </c>
      <c r="C1866" s="23"/>
      <c r="D1866" s="24">
        <f ca="1">IFERROR(__xludf.DUMMYFUNCTION("""COMPUTED_VALUE"""),259)</f>
        <v>259</v>
      </c>
      <c r="E1866" s="25" t="str">
        <f ca="1">IFERROR(__xludf.DUMMYFUNCTION("""COMPUTED_VALUE"""),"REA-G0999")</f>
        <v>REA-G0999</v>
      </c>
    </row>
    <row r="1867" spans="1:5" x14ac:dyDescent="0.2">
      <c r="A1867" s="22">
        <f ca="1">IFERROR(__xludf.DUMMYFUNCTION("""COMPUTED_VALUE"""),45068)</f>
        <v>45068</v>
      </c>
      <c r="B1867" s="23" t="str">
        <f ca="1">IFERROR(__xludf.DUMMYFUNCTION("""COMPUTED_VALUE"""),"ODPŁYW NEO &amp; PURE-600 N BLACK PRO")</f>
        <v>ODPŁYW NEO &amp; PURE-600 N BLACK PRO</v>
      </c>
      <c r="C1867" s="23"/>
      <c r="D1867" s="24">
        <f ca="1">IFERROR(__xludf.DUMMYFUNCTION("""COMPUTED_VALUE"""),279)</f>
        <v>279</v>
      </c>
      <c r="E1867" s="25" t="str">
        <f ca="1">IFERROR(__xludf.DUMMYFUNCTION("""COMPUTED_VALUE"""),"REA-G8905")</f>
        <v>REA-G8905</v>
      </c>
    </row>
    <row r="1868" spans="1:5" x14ac:dyDescent="0.2">
      <c r="A1868" s="22">
        <f ca="1">IFERROR(__xludf.DUMMYFUNCTION("""COMPUTED_VALUE"""),45068)</f>
        <v>45068</v>
      </c>
      <c r="B1868" s="23" t="str">
        <f ca="1">IFERROR(__xludf.DUMMYFUNCTION("""COMPUTED_VALUE"""),"ODPŁYW NEO &amp; PURE-700 N BLACK PRO")</f>
        <v>ODPŁYW NEO &amp; PURE-700 N BLACK PRO</v>
      </c>
      <c r="C1868" s="23"/>
      <c r="D1868" s="24">
        <f ca="1">IFERROR(__xludf.DUMMYFUNCTION("""COMPUTED_VALUE"""),299)</f>
        <v>299</v>
      </c>
      <c r="E1868" s="25" t="str">
        <f ca="1">IFERROR(__xludf.DUMMYFUNCTION("""COMPUTED_VALUE"""),"REA-G8906")</f>
        <v>REA-G8906</v>
      </c>
    </row>
    <row r="1869" spans="1:5" x14ac:dyDescent="0.2">
      <c r="A1869" s="22">
        <f ca="1">IFERROR(__xludf.DUMMYFUNCTION("""COMPUTED_VALUE"""),45068)</f>
        <v>45068</v>
      </c>
      <c r="B1869" s="23" t="str">
        <f ca="1">IFERROR(__xludf.DUMMYFUNCTION("""COMPUTED_VALUE"""),"ODPŁYW NEO &amp; PURE-800 N BLACK PRO")</f>
        <v>ODPŁYW NEO &amp; PURE-800 N BLACK PRO</v>
      </c>
      <c r="C1869" s="23"/>
      <c r="D1869" s="24">
        <f ca="1">IFERROR(__xludf.DUMMYFUNCTION("""COMPUTED_VALUE"""),319)</f>
        <v>319</v>
      </c>
      <c r="E1869" s="25" t="str">
        <f ca="1">IFERROR(__xludf.DUMMYFUNCTION("""COMPUTED_VALUE"""),"REA-G8907")</f>
        <v>REA-G8907</v>
      </c>
    </row>
    <row r="1870" spans="1:5" x14ac:dyDescent="0.2">
      <c r="A1870" s="22">
        <f ca="1">IFERROR(__xludf.DUMMYFUNCTION("""COMPUTED_VALUE"""),45068)</f>
        <v>45068</v>
      </c>
      <c r="B1870" s="23" t="str">
        <f ca="1">IFERROR(__xludf.DUMMYFUNCTION("""COMPUTED_VALUE"""),"ODPŁYW NEO &amp; PURE-900 N BLACK PRO")</f>
        <v>ODPŁYW NEO &amp; PURE-900 N BLACK PRO</v>
      </c>
      <c r="C1870" s="23"/>
      <c r="D1870" s="24">
        <f ca="1">IFERROR(__xludf.DUMMYFUNCTION("""COMPUTED_VALUE"""),339)</f>
        <v>339</v>
      </c>
      <c r="E1870" s="25" t="str">
        <f ca="1">IFERROR(__xludf.DUMMYFUNCTION("""COMPUTED_VALUE"""),"REA-G8908")</f>
        <v>REA-G8908</v>
      </c>
    </row>
    <row r="1871" spans="1:5" x14ac:dyDescent="0.2">
      <c r="A1871" s="22">
        <f ca="1">IFERROR(__xludf.DUMMYFUNCTION("""COMPUTED_VALUE"""),45068)</f>
        <v>45068</v>
      </c>
      <c r="B1871" s="23" t="str">
        <f ca="1">IFERROR(__xludf.DUMMYFUNCTION("""COMPUTED_VALUE"""),"ODPŁYW NEO &amp; PURE-1000 N BLACK PRO")</f>
        <v>ODPŁYW NEO &amp; PURE-1000 N BLACK PRO</v>
      </c>
      <c r="C1871" s="23"/>
      <c r="D1871" s="24">
        <f ca="1">IFERROR(__xludf.DUMMYFUNCTION("""COMPUTED_VALUE"""),359)</f>
        <v>359</v>
      </c>
      <c r="E1871" s="25" t="str">
        <f ca="1">IFERROR(__xludf.DUMMYFUNCTION("""COMPUTED_VALUE"""),"REA-G8909")</f>
        <v>REA-G8909</v>
      </c>
    </row>
    <row r="1872" spans="1:5" x14ac:dyDescent="0.2">
      <c r="A1872" s="22">
        <f ca="1">IFERROR(__xludf.DUMMYFUNCTION("""COMPUTED_VALUE"""),45068)</f>
        <v>45068</v>
      </c>
      <c r="B1872" s="23" t="str">
        <f ca="1">IFERROR(__xludf.DUMMYFUNCTION("""COMPUTED_VALUE"""),"ODPŁYW NEO SLIM BLACK PRO-500")</f>
        <v>ODPŁYW NEO SLIM BLACK PRO-500</v>
      </c>
      <c r="C1872" s="23"/>
      <c r="D1872" s="24">
        <f ca="1">IFERROR(__xludf.DUMMYFUNCTION("""COMPUTED_VALUE"""),249)</f>
        <v>249</v>
      </c>
      <c r="E1872" s="25" t="str">
        <f ca="1">IFERROR(__xludf.DUMMYFUNCTION("""COMPUTED_VALUE"""),"REA-G6992")</f>
        <v>REA-G6992</v>
      </c>
    </row>
    <row r="1873" spans="1:5" x14ac:dyDescent="0.2">
      <c r="A1873" s="22">
        <f ca="1">IFERROR(__xludf.DUMMYFUNCTION("""COMPUTED_VALUE"""),45068)</f>
        <v>45068</v>
      </c>
      <c r="B1873" s="23" t="str">
        <f ca="1">IFERROR(__xludf.DUMMYFUNCTION("""COMPUTED_VALUE"""),"ODPŁYW NEO SLIM PRO-1000 BRUSH")</f>
        <v>ODPŁYW NEO SLIM PRO-1000 BRUSH</v>
      </c>
      <c r="C1873" s="23"/>
      <c r="D1873" s="24">
        <f ca="1">IFERROR(__xludf.DUMMYFUNCTION("""COMPUTED_VALUE"""),289)</f>
        <v>289</v>
      </c>
      <c r="E1873" s="25" t="str">
        <f ca="1">IFERROR(__xludf.DUMMYFUNCTION("""COMPUTED_VALUE"""),"REA-G8404")</f>
        <v>REA-G8404</v>
      </c>
    </row>
    <row r="1874" spans="1:5" x14ac:dyDescent="0.2">
      <c r="A1874" s="22">
        <f ca="1">IFERROR(__xludf.DUMMYFUNCTION("""COMPUTED_VALUE"""),45068)</f>
        <v>45068</v>
      </c>
      <c r="B1874" s="23" t="str">
        <f ca="1">IFERROR(__xludf.DUMMYFUNCTION("""COMPUTED_VALUE"""),"ODPŁYW NEO SLIM PRO-700 BRUSH")</f>
        <v>ODPŁYW NEO SLIM PRO-700 BRUSH</v>
      </c>
      <c r="C1874" s="23"/>
      <c r="D1874" s="24">
        <f ca="1">IFERROR(__xludf.DUMMYFUNCTION("""COMPUTED_VALUE"""),239)</f>
        <v>239</v>
      </c>
      <c r="E1874" s="25" t="str">
        <f ca="1">IFERROR(__xludf.DUMMYFUNCTION("""COMPUTED_VALUE"""),"REA-G8401")</f>
        <v>REA-G8401</v>
      </c>
    </row>
    <row r="1875" spans="1:5" x14ac:dyDescent="0.2">
      <c r="A1875" s="22">
        <f ca="1">IFERROR(__xludf.DUMMYFUNCTION("""COMPUTED_VALUE"""),45068)</f>
        <v>45068</v>
      </c>
      <c r="B1875" s="23" t="str">
        <f ca="1">IFERROR(__xludf.DUMMYFUNCTION("""COMPUTED_VALUE"""),"ODPŁYW NEO SLIM PRO-800 BRUSH")</f>
        <v>ODPŁYW NEO SLIM PRO-800 BRUSH</v>
      </c>
      <c r="C1875" s="23"/>
      <c r="D1875" s="24">
        <f ca="1">IFERROR(__xludf.DUMMYFUNCTION("""COMPUTED_VALUE"""),249)</f>
        <v>249</v>
      </c>
      <c r="E1875" s="25" t="str">
        <f ca="1">IFERROR(__xludf.DUMMYFUNCTION("""COMPUTED_VALUE"""),"REA-G8402")</f>
        <v>REA-G8402</v>
      </c>
    </row>
    <row r="1876" spans="1:5" x14ac:dyDescent="0.2">
      <c r="A1876" s="22">
        <f ca="1">IFERROR(__xludf.DUMMYFUNCTION("""COMPUTED_VALUE"""),45068)</f>
        <v>45068</v>
      </c>
      <c r="B1876" s="23" t="str">
        <f ca="1">IFERROR(__xludf.DUMMYFUNCTION("""COMPUTED_VALUE"""),"ODPŁYW NEO &amp; PURE-500 N  PRO BRUSH")</f>
        <v>ODPŁYW NEO &amp; PURE-500 N  PRO BRUSH</v>
      </c>
      <c r="C1876" s="23"/>
      <c r="D1876" s="24">
        <f ca="1">IFERROR(__xludf.DUMMYFUNCTION("""COMPUTED_VALUE"""),219)</f>
        <v>219</v>
      </c>
      <c r="E1876" s="25" t="str">
        <f ca="1">IFERROR(__xludf.DUMMYFUNCTION("""COMPUTED_VALUE"""),"REA-G0988")</f>
        <v>REA-G0988</v>
      </c>
    </row>
    <row r="1877" spans="1:5" x14ac:dyDescent="0.2">
      <c r="A1877" s="22">
        <f ca="1">IFERROR(__xludf.DUMMYFUNCTION("""COMPUTED_VALUE"""),45068)</f>
        <v>45068</v>
      </c>
      <c r="B1877" s="23" t="str">
        <f ca="1">IFERROR(__xludf.DUMMYFUNCTION("""COMPUTED_VALUE"""),"ODPŁYW NEO &amp; PURE-600 N PRO BRUSH")</f>
        <v>ODPŁYW NEO &amp; PURE-600 N PRO BRUSH</v>
      </c>
      <c r="C1877" s="23"/>
      <c r="D1877" s="24">
        <f ca="1">IFERROR(__xludf.DUMMYFUNCTION("""COMPUTED_VALUE"""),235)</f>
        <v>235</v>
      </c>
      <c r="E1877" s="25" t="str">
        <f ca="1">IFERROR(__xludf.DUMMYFUNCTION("""COMPUTED_VALUE"""),"REA-G0900")</f>
        <v>REA-G0900</v>
      </c>
    </row>
    <row r="1878" spans="1:5" x14ac:dyDescent="0.2">
      <c r="A1878" s="22">
        <f ca="1">IFERROR(__xludf.DUMMYFUNCTION("""COMPUTED_VALUE"""),45068)</f>
        <v>45068</v>
      </c>
      <c r="B1878" s="23" t="str">
        <f ca="1">IFERROR(__xludf.DUMMYFUNCTION("""COMPUTED_VALUE"""),"ODPŁYW NEO &amp; PURE-700 N PRO BRUSH")</f>
        <v>ODPŁYW NEO &amp; PURE-700 N PRO BRUSH</v>
      </c>
      <c r="C1878" s="23"/>
      <c r="D1878" s="24">
        <f ca="1">IFERROR(__xludf.DUMMYFUNCTION("""COMPUTED_VALUE"""),249)</f>
        <v>249</v>
      </c>
      <c r="E1878" s="25" t="str">
        <f ca="1">IFERROR(__xludf.DUMMYFUNCTION("""COMPUTED_VALUE"""),"REA-G0901")</f>
        <v>REA-G0901</v>
      </c>
    </row>
    <row r="1879" spans="1:5" x14ac:dyDescent="0.2">
      <c r="A1879" s="22">
        <f ca="1">IFERROR(__xludf.DUMMYFUNCTION("""COMPUTED_VALUE"""),45068)</f>
        <v>45068</v>
      </c>
      <c r="B1879" s="23" t="str">
        <f ca="1">IFERROR(__xludf.DUMMYFUNCTION("""COMPUTED_VALUE"""),"ODPŁYW NEO &amp; PURE-800 N PRO BRUSH")</f>
        <v>ODPŁYW NEO &amp; PURE-800 N PRO BRUSH</v>
      </c>
      <c r="C1879" s="23"/>
      <c r="D1879" s="24">
        <f ca="1">IFERROR(__xludf.DUMMYFUNCTION("""COMPUTED_VALUE"""),269)</f>
        <v>269</v>
      </c>
      <c r="E1879" s="25" t="str">
        <f ca="1">IFERROR(__xludf.DUMMYFUNCTION("""COMPUTED_VALUE"""),"REA-G0902")</f>
        <v>REA-G0902</v>
      </c>
    </row>
    <row r="1880" spans="1:5" x14ac:dyDescent="0.2">
      <c r="A1880" s="22">
        <f ca="1">IFERROR(__xludf.DUMMYFUNCTION("""COMPUTED_VALUE"""),45068)</f>
        <v>45068</v>
      </c>
      <c r="B1880" s="23" t="str">
        <f ca="1">IFERROR(__xludf.DUMMYFUNCTION("""COMPUTED_VALUE"""),"ODPŁYW NEO &amp; PURE-900 N PRO BRUSH")</f>
        <v>ODPŁYW NEO &amp; PURE-900 N PRO BRUSH</v>
      </c>
      <c r="C1880" s="23"/>
      <c r="D1880" s="24">
        <f ca="1">IFERROR(__xludf.DUMMYFUNCTION("""COMPUTED_VALUE"""),289)</f>
        <v>289</v>
      </c>
      <c r="E1880" s="25" t="str">
        <f ca="1">IFERROR(__xludf.DUMMYFUNCTION("""COMPUTED_VALUE"""),"REA-G0903")</f>
        <v>REA-G0903</v>
      </c>
    </row>
    <row r="1881" spans="1:5" x14ac:dyDescent="0.2">
      <c r="A1881" s="22">
        <f ca="1">IFERROR(__xludf.DUMMYFUNCTION("""COMPUTED_VALUE"""),45068)</f>
        <v>45068</v>
      </c>
      <c r="B1881" s="23" t="str">
        <f ca="1">IFERROR(__xludf.DUMMYFUNCTION("""COMPUTED_VALUE"""),"ODPŁYW NEO &amp; PURE-1000 N PRO BRUSH")</f>
        <v>ODPŁYW NEO &amp; PURE-1000 N PRO BRUSH</v>
      </c>
      <c r="C1881" s="23"/>
      <c r="D1881" s="24">
        <f ca="1">IFERROR(__xludf.DUMMYFUNCTION("""COMPUTED_VALUE"""),299)</f>
        <v>299</v>
      </c>
      <c r="E1881" s="25" t="str">
        <f ca="1">IFERROR(__xludf.DUMMYFUNCTION("""COMPUTED_VALUE"""),"REA-G0989")</f>
        <v>REA-G0989</v>
      </c>
    </row>
    <row r="1882" spans="1:5" x14ac:dyDescent="0.2">
      <c r="A1882" s="22">
        <f ca="1">IFERROR(__xludf.DUMMYFUNCTION("""COMPUTED_VALUE"""),45068)</f>
        <v>45068</v>
      </c>
      <c r="B1882" s="23" t="str">
        <f ca="1">IFERROR(__xludf.DUMMYFUNCTION("""COMPUTED_VALUE"""),"ODPŁYW NEO &amp; PURE-600 N BRUSH")</f>
        <v>ODPŁYW NEO &amp; PURE-600 N BRUSH</v>
      </c>
      <c r="C1882" s="23"/>
      <c r="D1882" s="24">
        <f ca="1">IFERROR(__xludf.DUMMYFUNCTION("""COMPUTED_VALUE"""),219)</f>
        <v>219</v>
      </c>
      <c r="E1882" s="25" t="str">
        <f ca="1">IFERROR(__xludf.DUMMYFUNCTION("""COMPUTED_VALUE"""),"REA-G0091")</f>
        <v>REA-G0091</v>
      </c>
    </row>
    <row r="1883" spans="1:5" x14ac:dyDescent="0.2">
      <c r="A1883" s="22">
        <f ca="1">IFERROR(__xludf.DUMMYFUNCTION("""COMPUTED_VALUE"""),45064)</f>
        <v>45064</v>
      </c>
      <c r="B1883" s="23" t="str">
        <f ca="1">IFERROR(__xludf.DUMMYFUNCTION("""COMPUTED_VALUE"""),"UMYWALKA CRISTAL 35 BLACK - NABLATOWA")</f>
        <v>UMYWALKA CRISTAL 35 BLACK - NABLATOWA</v>
      </c>
      <c r="C1883" s="23"/>
      <c r="D1883" s="24">
        <f ca="1">IFERROR(__xludf.DUMMYFUNCTION("""COMPUTED_VALUE"""),629)</f>
        <v>629</v>
      </c>
      <c r="E1883" s="25" t="str">
        <f ca="1">IFERROR(__xludf.DUMMYFUNCTION("""COMPUTED_VALUE"""),"REA-U9671")</f>
        <v>REA-U9671</v>
      </c>
    </row>
    <row r="1884" spans="1:5" x14ac:dyDescent="0.2">
      <c r="A1884" s="22">
        <f ca="1">IFERROR(__xludf.DUMMYFUNCTION("""COMPUTED_VALUE"""),45064)</f>
        <v>45064</v>
      </c>
      <c r="B1884" s="23" t="str">
        <f ca="1">IFERROR(__xludf.DUMMYFUNCTION("""COMPUTED_VALUE"""),"UMYWALKA CRISTAL TRANSPARENT - NABLATOWA")</f>
        <v>UMYWALKA CRISTAL TRANSPARENT - NABLATOWA</v>
      </c>
      <c r="C1884" s="23"/>
      <c r="D1884" s="24">
        <f ca="1">IFERROR(__xludf.DUMMYFUNCTION("""COMPUTED_VALUE"""),599)</f>
        <v>599</v>
      </c>
      <c r="E1884" s="25" t="str">
        <f ca="1">IFERROR(__xludf.DUMMYFUNCTION("""COMPUTED_VALUE"""),"REA-U9670")</f>
        <v>REA-U9670</v>
      </c>
    </row>
    <row r="1885" spans="1:5" x14ac:dyDescent="0.2">
      <c r="A1885" s="22">
        <f ca="1">IFERROR(__xludf.DUMMYFUNCTION("""COMPUTED_VALUE"""),45064)</f>
        <v>45064</v>
      </c>
      <c r="B1885" s="23" t="str">
        <f ca="1">IFERROR(__xludf.DUMMYFUNCTION("""COMPUTED_VALUE"""),"UMYWALKA ARCTIC BLACK - NABLATOWA")</f>
        <v>UMYWALKA ARCTIC BLACK - NABLATOWA</v>
      </c>
      <c r="C1885" s="23"/>
      <c r="D1885" s="24">
        <f ca="1">IFERROR(__xludf.DUMMYFUNCTION("""COMPUTED_VALUE"""),749)</f>
        <v>749</v>
      </c>
      <c r="E1885" s="25" t="str">
        <f ca="1">IFERROR(__xludf.DUMMYFUNCTION("""COMPUTED_VALUE"""),"REA-U5068")</f>
        <v>REA-U5068</v>
      </c>
    </row>
    <row r="1886" spans="1:5" x14ac:dyDescent="0.2">
      <c r="A1886" s="22">
        <f ca="1">IFERROR(__xludf.DUMMYFUNCTION("""COMPUTED_VALUE"""),45064)</f>
        <v>45064</v>
      </c>
      <c r="B1886" s="23" t="str">
        <f ca="1">IFERROR(__xludf.DUMMYFUNCTION("""COMPUTED_VALUE"""),"UMYWALKA ICE TRANSPARENT - NABLATOWA")</f>
        <v>UMYWALKA ICE TRANSPARENT - NABLATOWA</v>
      </c>
      <c r="C1886" s="23"/>
      <c r="D1886" s="24">
        <f ca="1">IFERROR(__xludf.DUMMYFUNCTION("""COMPUTED_VALUE"""),679)</f>
        <v>679</v>
      </c>
      <c r="E1886" s="25" t="str">
        <f ca="1">IFERROR(__xludf.DUMMYFUNCTION("""COMPUTED_VALUE"""),"REA-U5070")</f>
        <v>REA-U5070</v>
      </c>
    </row>
    <row r="1887" spans="1:5" x14ac:dyDescent="0.2">
      <c r="A1887" s="22">
        <f ca="1">IFERROR(__xludf.DUMMYFUNCTION("""COMPUTED_VALUE"""),45064)</f>
        <v>45064</v>
      </c>
      <c r="B1887" s="23" t="str">
        <f ca="1">IFERROR(__xludf.DUMMYFUNCTION("""COMPUTED_VALUE"""),"UMYWALKA ICE BLACK - NABLATOWA")</f>
        <v>UMYWALKA ICE BLACK - NABLATOWA</v>
      </c>
      <c r="C1887" s="23"/>
      <c r="D1887" s="24">
        <f ca="1">IFERROR(__xludf.DUMMYFUNCTION("""COMPUTED_VALUE"""),699)</f>
        <v>699</v>
      </c>
      <c r="E1887" s="25" t="str">
        <f ca="1">IFERROR(__xludf.DUMMYFUNCTION("""COMPUTED_VALUE"""),"REA-U6660")</f>
        <v>REA-U6660</v>
      </c>
    </row>
    <row r="1888" spans="1:5" x14ac:dyDescent="0.2">
      <c r="A1888" s="22">
        <f ca="1">IFERROR(__xludf.DUMMYFUNCTION("""COMPUTED_VALUE"""),45064)</f>
        <v>45064</v>
      </c>
      <c r="B1888" s="23" t="str">
        <f ca="1">IFERROR(__xludf.DUMMYFUNCTION("""COMPUTED_VALUE"""),"UMYWALKA FROST BLACK - NABLATOWA")</f>
        <v>UMYWALKA FROST BLACK - NABLATOWA</v>
      </c>
      <c r="C1888" s="23"/>
      <c r="D1888" s="24">
        <f ca="1">IFERROR(__xludf.DUMMYFUNCTION("""COMPUTED_VALUE"""),749)</f>
        <v>749</v>
      </c>
      <c r="E1888" s="25" t="str">
        <f ca="1">IFERROR(__xludf.DUMMYFUNCTION("""COMPUTED_VALUE"""),"REA-U5071")</f>
        <v>REA-U5071</v>
      </c>
    </row>
    <row r="1889" spans="1:5" x14ac:dyDescent="0.2">
      <c r="A1889" s="22">
        <f ca="1">IFERROR(__xludf.DUMMYFUNCTION("""COMPUTED_VALUE"""),45064)</f>
        <v>45064</v>
      </c>
      <c r="B1889" s="23" t="str">
        <f ca="1">IFERROR(__xludf.DUMMYFUNCTION("""COMPUTED_VALUE"""),"UMYWALKA NADIA 60 SAND - NABLATOWA")</f>
        <v>UMYWALKA NADIA 60 SAND - NABLATOWA</v>
      </c>
      <c r="C1889" s="23"/>
      <c r="D1889" s="24">
        <f ca="1">IFERROR(__xludf.DUMMYFUNCTION("""COMPUTED_VALUE"""),359)</f>
        <v>359</v>
      </c>
      <c r="E1889" s="25" t="str">
        <f ca="1">IFERROR(__xludf.DUMMYFUNCTION("""COMPUTED_VALUE"""),"REA-U5800")</f>
        <v>REA-U5800</v>
      </c>
    </row>
    <row r="1890" spans="1:5" x14ac:dyDescent="0.2">
      <c r="A1890" s="22">
        <f ca="1">IFERROR(__xludf.DUMMYFUNCTION("""COMPUTED_VALUE"""),45064)</f>
        <v>45064</v>
      </c>
      <c r="B1890" s="23" t="str">
        <f ca="1">IFERROR(__xludf.DUMMYFUNCTION("""COMPUTED_VALUE"""),"UMYWALKA PAMELA MINI - NABLATOWA")</f>
        <v>UMYWALKA PAMELA MINI - NABLATOWA</v>
      </c>
      <c r="C1890" s="23"/>
      <c r="D1890" s="24">
        <f ca="1">IFERROR(__xludf.DUMMYFUNCTION("""COMPUTED_VALUE"""),199)</f>
        <v>199</v>
      </c>
      <c r="E1890" s="25" t="str">
        <f ca="1">IFERROR(__xludf.DUMMYFUNCTION("""COMPUTED_VALUE"""),"REA-U5804")</f>
        <v>REA-U5804</v>
      </c>
    </row>
    <row r="1891" spans="1:5" x14ac:dyDescent="0.2">
      <c r="A1891" s="22">
        <f ca="1">IFERROR(__xludf.DUMMYFUNCTION("""COMPUTED_VALUE"""),45064)</f>
        <v>45064</v>
      </c>
      <c r="B1891" s="23" t="str">
        <f ca="1">IFERROR(__xludf.DUMMYFUNCTION("""COMPUTED_VALUE"""),"UMYWALKA PAMELA SHINY AIAX - NABLATOWA")</f>
        <v>UMYWALKA PAMELA SHINY AIAX - NABLATOWA</v>
      </c>
      <c r="C1891" s="23"/>
      <c r="D1891" s="24">
        <f ca="1">IFERROR(__xludf.DUMMYFUNCTION("""COMPUTED_VALUE"""),349)</f>
        <v>349</v>
      </c>
      <c r="E1891" s="25" t="str">
        <f ca="1">IFERROR(__xludf.DUMMYFUNCTION("""COMPUTED_VALUE"""),"REA-U9685")</f>
        <v>REA-U9685</v>
      </c>
    </row>
    <row r="1892" spans="1:5" x14ac:dyDescent="0.2">
      <c r="A1892" s="22">
        <f ca="1">IFERROR(__xludf.DUMMYFUNCTION("""COMPUTED_VALUE"""),45064)</f>
        <v>45064</v>
      </c>
      <c r="B1892" s="23" t="str">
        <f ca="1">IFERROR(__xludf.DUMMYFUNCTION("""COMPUTED_VALUE"""),"UMYWALKA MELANIA GOLD/WHITE - NABLATOWA")</f>
        <v>UMYWALKA MELANIA GOLD/WHITE - NABLATOWA</v>
      </c>
      <c r="C1892" s="23"/>
      <c r="D1892" s="24">
        <f ca="1">IFERROR(__xludf.DUMMYFUNCTION("""COMPUTED_VALUE"""),329)</f>
        <v>329</v>
      </c>
      <c r="E1892" s="25" t="str">
        <f ca="1">IFERROR(__xludf.DUMMYFUNCTION("""COMPUTED_VALUE"""),"REA-U1050")</f>
        <v>REA-U1050</v>
      </c>
    </row>
    <row r="1893" spans="1:5" x14ac:dyDescent="0.2">
      <c r="A1893" s="22">
        <f ca="1">IFERROR(__xludf.DUMMYFUNCTION("""COMPUTED_VALUE"""),45064)</f>
        <v>45064</v>
      </c>
      <c r="B1893" s="23" t="str">
        <f ca="1">IFERROR(__xludf.DUMMYFUNCTION("""COMPUTED_VALUE"""),"UMYWALKA SOFIA BRUSH GOLD - NABLATOWA")</f>
        <v>UMYWALKA SOFIA BRUSH GOLD - NABLATOWA</v>
      </c>
      <c r="C1893" s="23"/>
      <c r="D1893" s="24">
        <f ca="1">IFERROR(__xludf.DUMMYFUNCTION("""COMPUTED_VALUE"""),399)</f>
        <v>399</v>
      </c>
      <c r="E1893" s="25" t="str">
        <f ca="1">IFERROR(__xludf.DUMMYFUNCTION("""COMPUTED_VALUE"""),"REA-U3697")</f>
        <v>REA-U3697</v>
      </c>
    </row>
    <row r="1894" spans="1:5" x14ac:dyDescent="0.2">
      <c r="A1894" s="22">
        <f ca="1">IFERROR(__xludf.DUMMYFUNCTION("""COMPUTED_VALUE"""),45064)</f>
        <v>45064</v>
      </c>
      <c r="B1894" s="23" t="str">
        <f ca="1">IFERROR(__xludf.DUMMYFUNCTION("""COMPUTED_VALUE"""),"WC - CARLO MINI RIMLES DUROPLA/FLAT/ZM BLACK GOLD ")</f>
        <v xml:space="preserve">WC - CARLO MINI RIMLES DUROPLA/FLAT/ZM BLACK GOLD </v>
      </c>
      <c r="C1894" s="23"/>
      <c r="D1894" s="24">
        <f ca="1">IFERROR(__xludf.DUMMYFUNCTION("""COMPUTED_VALUE"""),1299)</f>
        <v>1299</v>
      </c>
      <c r="E1894" s="25" t="str">
        <f ca="1">IFERROR(__xludf.DUMMYFUNCTION("""COMPUTED_VALUE"""),"REA-C8990")</f>
        <v>REA-C8990</v>
      </c>
    </row>
    <row r="1895" spans="1:5" x14ac:dyDescent="0.2">
      <c r="A1895" s="22">
        <f ca="1">IFERROR(__xludf.DUMMYFUNCTION("""COMPUTED_VALUE"""),45058)</f>
        <v>45058</v>
      </c>
      <c r="B1895" s="23" t="str">
        <f ca="1">IFERROR(__xludf.DUMMYFUNCTION("""COMPUTED_VALUE"""),"WANNA SYDNEY 150 PRAWA")</f>
        <v>WANNA SYDNEY 150 PRAWA</v>
      </c>
      <c r="C1895" s="23"/>
      <c r="D1895" s="24">
        <f ca="1">IFERROR(__xludf.DUMMYFUNCTION("""COMPUTED_VALUE"""),3899)</f>
        <v>3899</v>
      </c>
      <c r="E1895" s="25" t="str">
        <f ca="1">IFERROR(__xludf.DUMMYFUNCTION("""COMPUTED_VALUE"""),"REA-W8804")</f>
        <v>REA-W8804</v>
      </c>
    </row>
    <row r="1896" spans="1:5" x14ac:dyDescent="0.2">
      <c r="A1896" s="22">
        <f ca="1">IFERROR(__xludf.DUMMYFUNCTION("""COMPUTED_VALUE"""),45058)</f>
        <v>45058</v>
      </c>
      <c r="B1896" s="23" t="str">
        <f ca="1">IFERROR(__xludf.DUMMYFUNCTION("""COMPUTED_VALUE"""),"WANNA SYDNEY 150 LEWA")</f>
        <v>WANNA SYDNEY 150 LEWA</v>
      </c>
      <c r="C1896" s="23"/>
      <c r="D1896" s="24">
        <f ca="1">IFERROR(__xludf.DUMMYFUNCTION("""COMPUTED_VALUE"""),3899)</f>
        <v>3899</v>
      </c>
      <c r="E1896" s="25" t="str">
        <f ca="1">IFERROR(__xludf.DUMMYFUNCTION("""COMPUTED_VALUE"""),"REA-W8805")</f>
        <v>REA-W8805</v>
      </c>
    </row>
    <row r="1897" spans="1:5" x14ac:dyDescent="0.2">
      <c r="A1897" s="22">
        <f ca="1">IFERROR(__xludf.DUMMYFUNCTION("""COMPUTED_VALUE"""),45058)</f>
        <v>45058</v>
      </c>
      <c r="B1897" s="23" t="str">
        <f ca="1">IFERROR(__xludf.DUMMYFUNCTION("""COMPUTED_VALUE"""),"ZESTAW NATRYSKOWY VERSO CZARNY+ BOX")</f>
        <v>ZESTAW NATRYSKOWY VERSO CZARNY+ BOX</v>
      </c>
      <c r="C1897" s="23"/>
      <c r="D1897" s="24">
        <f ca="1">IFERROR(__xludf.DUMMYFUNCTION("""COMPUTED_VALUE"""),569)</f>
        <v>569</v>
      </c>
      <c r="E1897" s="25" t="str">
        <f ca="1">IFERROR(__xludf.DUMMYFUNCTION("""COMPUTED_VALUE"""),"REA-P9145")</f>
        <v>REA-P9145</v>
      </c>
    </row>
    <row r="1898" spans="1:5" x14ac:dyDescent="0.2">
      <c r="A1898" s="22">
        <f ca="1">IFERROR(__xludf.DUMMYFUNCTION("""COMPUTED_VALUE"""),45058)</f>
        <v>45058</v>
      </c>
      <c r="B1898" s="23" t="str">
        <f ca="1">IFERROR(__xludf.DUMMYFUNCTION("""COMPUTED_VALUE"""),"ZESTAW NATRYSKOWY PODTYNK VERSO NIKIEL SZCZOTKOWAN")</f>
        <v>ZESTAW NATRYSKOWY PODTYNK VERSO NIKIEL SZCZOTKOWAN</v>
      </c>
      <c r="C1898" s="23"/>
      <c r="D1898" s="24">
        <f ca="1">IFERROR(__xludf.DUMMYFUNCTION("""COMPUTED_VALUE"""),1259)</f>
        <v>1259</v>
      </c>
      <c r="E1898" s="25" t="str">
        <f ca="1">IFERROR(__xludf.DUMMYFUNCTION("""COMPUTED_VALUE"""),"REA-P4800")</f>
        <v>REA-P4800</v>
      </c>
    </row>
    <row r="1899" spans="1:5" x14ac:dyDescent="0.2">
      <c r="A1899" s="22">
        <f ca="1">IFERROR(__xludf.DUMMYFUNCTION("""COMPUTED_VALUE"""),45058)</f>
        <v>45058</v>
      </c>
      <c r="B1899" s="23" t="str">
        <f ca="1">IFERROR(__xludf.DUMMYFUNCTION("""COMPUTED_VALUE"""),"ZESTAW NATRYSKOWY VERSO ZŁOTY SZCZOTKOWANY")</f>
        <v>ZESTAW NATRYSKOWY VERSO ZŁOTY SZCZOTKOWANY</v>
      </c>
      <c r="C1899" s="23"/>
      <c r="D1899" s="24">
        <f ca="1">IFERROR(__xludf.DUMMYFUNCTION("""COMPUTED_VALUE"""),779)</f>
        <v>779</v>
      </c>
      <c r="E1899" s="25" t="str">
        <f ca="1">IFERROR(__xludf.DUMMYFUNCTION("""COMPUTED_VALUE"""),"REA-P9146")</f>
        <v>REA-P9146</v>
      </c>
    </row>
    <row r="1900" spans="1:5" x14ac:dyDescent="0.2">
      <c r="A1900" s="22">
        <f ca="1">IFERROR(__xludf.DUMMYFUNCTION("""COMPUTED_VALUE"""),45058)</f>
        <v>45058</v>
      </c>
      <c r="B1900" s="23" t="str">
        <f ca="1">IFERROR(__xludf.DUMMYFUNCTION("""COMPUTED_VALUE"""),"ZESTAW NATRYSKOWY PODTYNK VERSO GOLD SZCZOTKOWANY")</f>
        <v>ZESTAW NATRYSKOWY PODTYNK VERSO GOLD SZCZOTKOWANY</v>
      </c>
      <c r="C1900" s="23"/>
      <c r="D1900" s="24">
        <f ca="1">IFERROR(__xludf.DUMMYFUNCTION("""COMPUTED_VALUE"""),1099)</f>
        <v>1099</v>
      </c>
      <c r="E1900" s="25" t="str">
        <f ca="1">IFERROR(__xludf.DUMMYFUNCTION("""COMPUTED_VALUE"""),"REA-P9150")</f>
        <v>REA-P9150</v>
      </c>
    </row>
    <row r="1901" spans="1:5" x14ac:dyDescent="0.2">
      <c r="A1901" s="22">
        <f ca="1">IFERROR(__xludf.DUMMYFUNCTION("""COMPUTED_VALUE"""),45058)</f>
        <v>45058</v>
      </c>
      <c r="B1901" s="23" t="str">
        <f ca="1">IFERROR(__xludf.DUMMYFUNCTION("""COMPUTED_VALUE"""),"Drzwi Molier Black 100 + adapter")</f>
        <v>Drzwi Molier Black 100 + adapter</v>
      </c>
      <c r="C1901" s="23"/>
      <c r="D1901" s="24">
        <f ca="1">IFERROR(__xludf.DUMMYFUNCTION("""COMPUTED_VALUE"""),1160)</f>
        <v>1160</v>
      </c>
      <c r="E1901" s="26"/>
    </row>
    <row r="1902" spans="1:5" x14ac:dyDescent="0.2">
      <c r="A1902" s="22">
        <f ca="1">IFERROR(__xludf.DUMMYFUNCTION("""COMPUTED_VALUE"""),45058)</f>
        <v>45058</v>
      </c>
      <c r="B1902" s="23" t="str">
        <f ca="1">IFERROR(__xludf.DUMMYFUNCTION("""COMPUTED_VALUE"""),"DRZWI PRYSZNICOWE MOLIER 100 BLACK")</f>
        <v>DRZWI PRYSZNICOWE MOLIER 100 BLACK</v>
      </c>
      <c r="C1902" s="23"/>
      <c r="D1902" s="24">
        <f ca="1">IFERROR(__xludf.DUMMYFUNCTION("""COMPUTED_VALUE"""),959)</f>
        <v>959</v>
      </c>
      <c r="E1902" s="25" t="str">
        <f ca="1">IFERROR(__xludf.DUMMYFUNCTION("""COMPUTED_VALUE"""),"REA-K6963")</f>
        <v>REA-K6963</v>
      </c>
    </row>
    <row r="1903" spans="1:5" x14ac:dyDescent="0.2">
      <c r="A1903" s="22">
        <f ca="1">IFERROR(__xludf.DUMMYFUNCTION("""COMPUTED_VALUE"""),45058)</f>
        <v>45058</v>
      </c>
      <c r="B1903" s="23" t="str">
        <f ca="1">IFERROR(__xludf.DUMMYFUNCTION("""COMPUTED_VALUE"""),"Drzwi Molier Black 90 + adapter")</f>
        <v>Drzwi Molier Black 90 + adapter</v>
      </c>
      <c r="C1903" s="23"/>
      <c r="D1903" s="24">
        <f ca="1">IFERROR(__xludf.DUMMYFUNCTION("""COMPUTED_VALUE"""),1140)</f>
        <v>1140</v>
      </c>
      <c r="E1903" s="26"/>
    </row>
    <row r="1904" spans="1:5" x14ac:dyDescent="0.2">
      <c r="A1904" s="22">
        <f ca="1">IFERROR(__xludf.DUMMYFUNCTION("""COMPUTED_VALUE"""),45058)</f>
        <v>45058</v>
      </c>
      <c r="B1904" s="23" t="str">
        <f ca="1">IFERROR(__xludf.DUMMYFUNCTION("""COMPUTED_VALUE"""),"DRZWI PRYSZNICOWE MOLIER 90 BLACK")</f>
        <v>DRZWI PRYSZNICOWE MOLIER 90 BLACK</v>
      </c>
      <c r="C1904" s="23"/>
      <c r="D1904" s="24">
        <f ca="1">IFERROR(__xludf.DUMMYFUNCTION("""COMPUTED_VALUE"""),929)</f>
        <v>929</v>
      </c>
      <c r="E1904" s="25" t="str">
        <f ca="1">IFERROR(__xludf.DUMMYFUNCTION("""COMPUTED_VALUE"""),"REA-K8538")</f>
        <v>REA-K8538</v>
      </c>
    </row>
    <row r="1905" spans="1:5" x14ac:dyDescent="0.2">
      <c r="A1905" s="22">
        <f ca="1">IFERROR(__xludf.DUMMYFUNCTION("""COMPUTED_VALUE"""),45058)</f>
        <v>45058</v>
      </c>
      <c r="B1905" s="23" t="str">
        <f ca="1">IFERROR(__xludf.DUMMYFUNCTION("""COMPUTED_VALUE"""),"Drzwi Molier Black 80 + adapter")</f>
        <v>Drzwi Molier Black 80 + adapter</v>
      </c>
      <c r="C1905" s="23"/>
      <c r="D1905" s="24">
        <f ca="1">IFERROR(__xludf.DUMMYFUNCTION("""COMPUTED_VALUE"""),1110)</f>
        <v>1110</v>
      </c>
      <c r="E1905" s="26"/>
    </row>
    <row r="1906" spans="1:5" x14ac:dyDescent="0.2">
      <c r="A1906" s="22">
        <f ca="1">IFERROR(__xludf.DUMMYFUNCTION("""COMPUTED_VALUE"""),45058)</f>
        <v>45058</v>
      </c>
      <c r="B1906" s="23" t="str">
        <f ca="1">IFERROR(__xludf.DUMMYFUNCTION("""COMPUTED_VALUE"""),"DRZWI PRYSZNICOWE MOLIER 80 BLACK")</f>
        <v>DRZWI PRYSZNICOWE MOLIER 80 BLACK</v>
      </c>
      <c r="C1906" s="23"/>
      <c r="D1906" s="24">
        <f ca="1">IFERROR(__xludf.DUMMYFUNCTION("""COMPUTED_VALUE"""),899)</f>
        <v>899</v>
      </c>
      <c r="E1906" s="25" t="str">
        <f ca="1">IFERROR(__xludf.DUMMYFUNCTION("""COMPUTED_VALUE"""),"REA-K8537")</f>
        <v>REA-K8537</v>
      </c>
    </row>
    <row r="1907" spans="1:5" x14ac:dyDescent="0.2">
      <c r="A1907" s="22">
        <f ca="1">IFERROR(__xludf.DUMMYFUNCTION("""COMPUTED_VALUE"""),45058)</f>
        <v>45058</v>
      </c>
      <c r="B1907" s="23" t="str">
        <f ca="1">IFERROR(__xludf.DUMMYFUNCTION("""COMPUTED_VALUE"""),"Drzwi Molier Chrom 100 + adapter")</f>
        <v>Drzwi Molier Chrom 100 + adapter</v>
      </c>
      <c r="C1907" s="23"/>
      <c r="D1907" s="24">
        <f ca="1">IFERROR(__xludf.DUMMYFUNCTION("""COMPUTED_VALUE"""),999)</f>
        <v>999</v>
      </c>
      <c r="E1907" s="26"/>
    </row>
    <row r="1908" spans="1:5" x14ac:dyDescent="0.2">
      <c r="A1908" s="22">
        <f ca="1">IFERROR(__xludf.DUMMYFUNCTION("""COMPUTED_VALUE"""),45058)</f>
        <v>45058</v>
      </c>
      <c r="B1908" s="23" t="str">
        <f ca="1">IFERROR(__xludf.DUMMYFUNCTION("""COMPUTED_VALUE"""),"DRZWI PRYSZNICOWE MOLIER 100 CHROM")</f>
        <v>DRZWI PRYSZNICOWE MOLIER 100 CHROM</v>
      </c>
      <c r="C1908" s="23"/>
      <c r="D1908" s="24">
        <f ca="1">IFERROR(__xludf.DUMMYFUNCTION("""COMPUTED_VALUE"""),929)</f>
        <v>929</v>
      </c>
      <c r="E1908" s="25" t="str">
        <f ca="1">IFERROR(__xludf.DUMMYFUNCTION("""COMPUTED_VALUE"""),"REA-K6371")</f>
        <v>REA-K6371</v>
      </c>
    </row>
    <row r="1909" spans="1:5" x14ac:dyDescent="0.2">
      <c r="A1909" s="22">
        <f ca="1">IFERROR(__xludf.DUMMYFUNCTION("""COMPUTED_VALUE"""),45058)</f>
        <v>45058</v>
      </c>
      <c r="B1909" s="23" t="str">
        <f ca="1">IFERROR(__xludf.DUMMYFUNCTION("""COMPUTED_VALUE"""),"Drzwi Molier Chrom 90 + adapter")</f>
        <v>Drzwi Molier Chrom 90 + adapter</v>
      </c>
      <c r="C1909" s="23"/>
      <c r="D1909" s="24">
        <f ca="1">IFERROR(__xludf.DUMMYFUNCTION("""COMPUTED_VALUE"""),999)</f>
        <v>999</v>
      </c>
      <c r="E1909" s="26"/>
    </row>
    <row r="1910" spans="1:5" x14ac:dyDescent="0.2">
      <c r="A1910" s="22">
        <f ca="1">IFERROR(__xludf.DUMMYFUNCTION("""COMPUTED_VALUE"""),45058)</f>
        <v>45058</v>
      </c>
      <c r="B1910" s="23" t="str">
        <f ca="1">IFERROR(__xludf.DUMMYFUNCTION("""COMPUTED_VALUE"""),"DRZWI PRYSZNICOWE MOLIER 90 CHROM")</f>
        <v>DRZWI PRYSZNICOWE MOLIER 90 CHROM</v>
      </c>
      <c r="C1910" s="23"/>
      <c r="D1910" s="24">
        <f ca="1">IFERROR(__xludf.DUMMYFUNCTION("""COMPUTED_VALUE"""),859)</f>
        <v>859</v>
      </c>
      <c r="E1910" s="25" t="str">
        <f ca="1">IFERROR(__xludf.DUMMYFUNCTION("""COMPUTED_VALUE"""),"REA-K8539")</f>
        <v>REA-K8539</v>
      </c>
    </row>
    <row r="1911" spans="1:5" x14ac:dyDescent="0.2">
      <c r="A1911" s="22">
        <f ca="1">IFERROR(__xludf.DUMMYFUNCTION("""COMPUTED_VALUE"""),45058)</f>
        <v>45058</v>
      </c>
      <c r="B1911" s="23" t="str">
        <f ca="1">IFERROR(__xludf.DUMMYFUNCTION("""COMPUTED_VALUE"""),"Drzwi Molier Chrom 80 + adapter")</f>
        <v>Drzwi Molier Chrom 80 + adapter</v>
      </c>
      <c r="C1911" s="23"/>
      <c r="D1911" s="24">
        <f ca="1">IFERROR(__xludf.DUMMYFUNCTION("""COMPUTED_VALUE"""),899)</f>
        <v>899</v>
      </c>
      <c r="E1911" s="26"/>
    </row>
    <row r="1912" spans="1:5" x14ac:dyDescent="0.2">
      <c r="A1912" s="22">
        <f ca="1">IFERROR(__xludf.DUMMYFUNCTION("""COMPUTED_VALUE"""),45058)</f>
        <v>45058</v>
      </c>
      <c r="B1912" s="23" t="str">
        <f ca="1">IFERROR(__xludf.DUMMYFUNCTION("""COMPUTED_VALUE"""),"DRZWI PRYSZNICOWE MOLIER 80 CHROM")</f>
        <v>DRZWI PRYSZNICOWE MOLIER 80 CHROM</v>
      </c>
      <c r="C1912" s="23"/>
      <c r="D1912" s="24">
        <f ca="1">IFERROR(__xludf.DUMMYFUNCTION("""COMPUTED_VALUE"""),819)</f>
        <v>819</v>
      </c>
      <c r="E1912" s="25" t="str">
        <f ca="1">IFERROR(__xludf.DUMMYFUNCTION("""COMPUTED_VALUE"""),"REA-K6367")</f>
        <v>REA-K6367</v>
      </c>
    </row>
    <row r="1913" spans="1:5" x14ac:dyDescent="0.2">
      <c r="A1913" s="22">
        <f ca="1">IFERROR(__xludf.DUMMYFUNCTION("""COMPUTED_VALUE"""),45058)</f>
        <v>45058</v>
      </c>
      <c r="B1913" s="23" t="str">
        <f ca="1">IFERROR(__xludf.DUMMYFUNCTION("""COMPUTED_VALUE"""),"ŚCIANKA PRYSZNICOWA MOLIER 80 CHROM")</f>
        <v>ŚCIANKA PRYSZNICOWA MOLIER 80 CHROM</v>
      </c>
      <c r="C1913" s="23"/>
      <c r="D1913" s="24">
        <f ca="1">IFERROR(__xludf.DUMMYFUNCTION("""COMPUTED_VALUE"""),460)</f>
        <v>460</v>
      </c>
      <c r="E1913" s="25" t="str">
        <f ca="1">IFERROR(__xludf.DUMMYFUNCTION("""COMPUTED_VALUE"""),"REA-K8534")</f>
        <v>REA-K8534</v>
      </c>
    </row>
    <row r="1914" spans="1:5" x14ac:dyDescent="0.2">
      <c r="A1914" s="22">
        <f ca="1">IFERROR(__xludf.DUMMYFUNCTION("""COMPUTED_VALUE"""),45058)</f>
        <v>45058</v>
      </c>
      <c r="B1914" s="23" t="str">
        <f ca="1">IFERROR(__xludf.DUMMYFUNCTION("""COMPUTED_VALUE"""),"adapter MAGNETYCZNY MOLIER CHROM")</f>
        <v>adapter MAGNETYCZNY MOLIER CHROM</v>
      </c>
      <c r="C1914" s="23"/>
      <c r="D1914" s="24">
        <f ca="1">IFERROR(__xludf.DUMMYFUNCTION("""COMPUTED_VALUE"""),160)</f>
        <v>160</v>
      </c>
      <c r="E1914" s="25" t="str">
        <f ca="1">IFERROR(__xludf.DUMMYFUNCTION("""COMPUTED_VALUE"""),"REA-K3261")</f>
        <v>REA-K3261</v>
      </c>
    </row>
    <row r="1915" spans="1:5" x14ac:dyDescent="0.2">
      <c r="A1915" s="22">
        <f ca="1">IFERROR(__xludf.DUMMYFUNCTION("""COMPUTED_VALUE"""),45058)</f>
        <v>45058</v>
      </c>
      <c r="B1915" s="23" t="str">
        <f ca="1">IFERROR(__xludf.DUMMYFUNCTION("""COMPUTED_VALUE"""),"KABINA SOLAR BLACK 90X120")</f>
        <v>KABINA SOLAR BLACK 90X120</v>
      </c>
      <c r="C1915" s="23"/>
      <c r="D1915" s="24">
        <f ca="1">IFERROR(__xludf.DUMMYFUNCTION("""COMPUTED_VALUE"""),1279)</f>
        <v>1279</v>
      </c>
      <c r="E1915" s="25" t="str">
        <f ca="1">IFERROR(__xludf.DUMMYFUNCTION("""COMPUTED_VALUE"""),"REA-K6311")</f>
        <v>REA-K6311</v>
      </c>
    </row>
    <row r="1916" spans="1:5" x14ac:dyDescent="0.2">
      <c r="A1916" s="22">
        <f ca="1">IFERROR(__xludf.DUMMYFUNCTION("""COMPUTED_VALUE"""),45058)</f>
        <v>45058</v>
      </c>
      <c r="B1916" s="23" t="str">
        <f ca="1">IFERROR(__xludf.DUMMYFUNCTION("""COMPUTED_VALUE"""),"MODUŁ KABINY FOLD N2 120")</f>
        <v>MODUŁ KABINY FOLD N2 120</v>
      </c>
      <c r="C1916" s="23"/>
      <c r="D1916" s="24">
        <f ca="1">IFERROR(__xludf.DUMMYFUNCTION("""COMPUTED_VALUE"""),920)</f>
        <v>920</v>
      </c>
      <c r="E1916" s="25" t="str">
        <f ca="1">IFERROR(__xludf.DUMMYFUNCTION("""COMPUTED_VALUE"""),"REA-K7437")</f>
        <v>REA-K7437</v>
      </c>
    </row>
    <row r="1917" spans="1:5" x14ac:dyDescent="0.2">
      <c r="A1917" s="22">
        <f ca="1">IFERROR(__xludf.DUMMYFUNCTION("""COMPUTED_VALUE"""),45058)</f>
        <v>45058</v>
      </c>
      <c r="B1917" s="23" t="str">
        <f ca="1">IFERROR(__xludf.DUMMYFUNCTION("""COMPUTED_VALUE"""),"MODUŁ KABINY FOLD N2 110")</f>
        <v>MODUŁ KABINY FOLD N2 110</v>
      </c>
      <c r="C1917" s="23"/>
      <c r="D1917" s="24">
        <f ca="1">IFERROR(__xludf.DUMMYFUNCTION("""COMPUTED_VALUE"""),899)</f>
        <v>899</v>
      </c>
      <c r="E1917" s="25" t="str">
        <f ca="1">IFERROR(__xludf.DUMMYFUNCTION("""COMPUTED_VALUE"""),"REA-K7438")</f>
        <v>REA-K7438</v>
      </c>
    </row>
    <row r="1918" spans="1:5" x14ac:dyDescent="0.2">
      <c r="A1918" s="22">
        <f ca="1">IFERROR(__xludf.DUMMYFUNCTION("""COMPUTED_VALUE"""),45058)</f>
        <v>45058</v>
      </c>
      <c r="B1918" s="23" t="str">
        <f ca="1">IFERROR(__xludf.DUMMYFUNCTION("""COMPUTED_VALUE"""),"MODUŁ KABINY FOLD N2 100")</f>
        <v>MODUŁ KABINY FOLD N2 100</v>
      </c>
      <c r="C1918" s="23"/>
      <c r="D1918" s="24">
        <f ca="1">IFERROR(__xludf.DUMMYFUNCTION("""COMPUTED_VALUE"""),869)</f>
        <v>869</v>
      </c>
      <c r="E1918" s="25" t="str">
        <f ca="1">IFERROR(__xludf.DUMMYFUNCTION("""COMPUTED_VALUE"""),"REA-K7439")</f>
        <v>REA-K7439</v>
      </c>
    </row>
    <row r="1919" spans="1:5" x14ac:dyDescent="0.2">
      <c r="A1919" s="22">
        <f ca="1">IFERROR(__xludf.DUMMYFUNCTION("""COMPUTED_VALUE"""),45058)</f>
        <v>45058</v>
      </c>
      <c r="B1919" s="23" t="str">
        <f ca="1">IFERROR(__xludf.DUMMYFUNCTION("""COMPUTED_VALUE"""),"UMYWALKA QUEEN WHITE - NABLATOWA")</f>
        <v>UMYWALKA QUEEN WHITE - NABLATOWA</v>
      </c>
      <c r="C1919" s="23"/>
      <c r="D1919" s="24">
        <f ca="1">IFERROR(__xludf.DUMMYFUNCTION("""COMPUTED_VALUE"""),339)</f>
        <v>339</v>
      </c>
      <c r="E1919" s="25" t="str">
        <f ca="1">IFERROR(__xludf.DUMMYFUNCTION("""COMPUTED_VALUE"""),"REA-U1223")</f>
        <v>REA-U1223</v>
      </c>
    </row>
    <row r="1920" spans="1:5" x14ac:dyDescent="0.2">
      <c r="A1920" s="22">
        <f ca="1">IFERROR(__xludf.DUMMYFUNCTION("""COMPUTED_VALUE"""),45058)</f>
        <v>45058</v>
      </c>
      <c r="B1920" s="23" t="str">
        <f ca="1">IFERROR(__xludf.DUMMYFUNCTION("""COMPUTED_VALUE"""),"UMYWALKA ROYAL 60 MARBLE BLACK MATT - NABLATOWA")</f>
        <v>UMYWALKA ROYAL 60 MARBLE BLACK MATT - NABLATOWA</v>
      </c>
      <c r="C1920" s="23"/>
      <c r="D1920" s="24">
        <f ca="1">IFERROR(__xludf.DUMMYFUNCTION("""COMPUTED_VALUE"""),499)</f>
        <v>499</v>
      </c>
      <c r="E1920" s="25" t="str">
        <f ca="1">IFERROR(__xludf.DUMMYFUNCTION("""COMPUTED_VALUE"""),"REA-U7478")</f>
        <v>REA-U7478</v>
      </c>
    </row>
    <row r="1921" spans="1:5" x14ac:dyDescent="0.2">
      <c r="A1921" s="22">
        <f ca="1">IFERROR(__xludf.DUMMYFUNCTION("""COMPUTED_VALUE"""),45058)</f>
        <v>45058</v>
      </c>
      <c r="B1921" s="23" t="str">
        <f ca="1">IFERROR(__xludf.DUMMYFUNCTION("""COMPUTED_VALUE"""),"UMYWALKA FIORI - NABLATOWA")</f>
        <v>UMYWALKA FIORI - NABLATOWA</v>
      </c>
      <c r="C1921" s="23"/>
      <c r="D1921" s="24">
        <f ca="1">IFERROR(__xludf.DUMMYFUNCTION("""COMPUTED_VALUE"""),499)</f>
        <v>499</v>
      </c>
      <c r="E1921" s="25" t="str">
        <f ca="1">IFERROR(__xludf.DUMMYFUNCTION("""COMPUTED_VALUE"""),"REA-U6520")</f>
        <v>REA-U6520</v>
      </c>
    </row>
    <row r="1922" spans="1:5" x14ac:dyDescent="0.2">
      <c r="A1922" s="22">
        <f ca="1">IFERROR(__xludf.DUMMYFUNCTION("""COMPUTED_VALUE"""),45058)</f>
        <v>45058</v>
      </c>
      <c r="B1922" s="23" t="str">
        <f ca="1">IFERROR(__xludf.DUMMYFUNCTION("""COMPUTED_VALUE"""),"UMYWALKA CINDY - NABLATOWA")</f>
        <v>UMYWALKA CINDY - NABLATOWA</v>
      </c>
      <c r="C1922" s="23"/>
      <c r="D1922" s="24">
        <f ca="1">IFERROR(__xludf.DUMMYFUNCTION("""COMPUTED_VALUE"""),279)</f>
        <v>279</v>
      </c>
      <c r="E1922" s="25" t="str">
        <f ca="1">IFERROR(__xludf.DUMMYFUNCTION("""COMPUTED_VALUE"""),"REA-U0155")</f>
        <v>REA-U0155</v>
      </c>
    </row>
    <row r="1923" spans="1:5" x14ac:dyDescent="0.2">
      <c r="A1923" s="22">
        <f ca="1">IFERROR(__xludf.DUMMYFUNCTION("""COMPUTED_VALUE"""),45058)</f>
        <v>45058</v>
      </c>
      <c r="B1923" s="23" t="str">
        <f ca="1">IFERROR(__xludf.DUMMYFUNCTION("""COMPUTED_VALUE"""),"UMYWALKA LINDA GOLD/WHITE - NABLATOWA")</f>
        <v>UMYWALKA LINDA GOLD/WHITE - NABLATOWA</v>
      </c>
      <c r="C1923" s="23"/>
      <c r="D1923" s="24">
        <f ca="1">IFERROR(__xludf.DUMMYFUNCTION("""COMPUTED_VALUE"""),349)</f>
        <v>349</v>
      </c>
      <c r="E1923" s="25" t="str">
        <f ca="1">IFERROR(__xludf.DUMMYFUNCTION("""COMPUTED_VALUE"""),"REA-U1021")</f>
        <v>REA-U1021</v>
      </c>
    </row>
    <row r="1924" spans="1:5" x14ac:dyDescent="0.2">
      <c r="A1924" s="22">
        <f ca="1">IFERROR(__xludf.DUMMYFUNCTION("""COMPUTED_VALUE"""),45058)</f>
        <v>45058</v>
      </c>
      <c r="B1924" s="23" t="str">
        <f ca="1">IFERROR(__xludf.DUMMYFUNCTION("""COMPUTED_VALUE"""),"UMYWALKA ARLETA - WPUSZCZANA")</f>
        <v>UMYWALKA ARLETA - WPUSZCZANA</v>
      </c>
      <c r="C1924" s="23"/>
      <c r="D1924" s="24">
        <f ca="1">IFERROR(__xludf.DUMMYFUNCTION("""COMPUTED_VALUE"""),279)</f>
        <v>279</v>
      </c>
      <c r="E1924" s="25" t="str">
        <f ca="1">IFERROR(__xludf.DUMMYFUNCTION("""COMPUTED_VALUE"""),"REA-U8700")</f>
        <v>REA-U8700</v>
      </c>
    </row>
    <row r="1925" spans="1:5" x14ac:dyDescent="0.2">
      <c r="A1925" s="22">
        <f ca="1">IFERROR(__xludf.DUMMYFUNCTION("""COMPUTED_VALUE"""),45058)</f>
        <v>45058</v>
      </c>
      <c r="B1925" s="23" t="str">
        <f ca="1">IFERROR(__xludf.DUMMYFUNCTION("""COMPUTED_VALUE"""),"KABINA FARGO BLACK 90X90 U")</f>
        <v>KABINA FARGO BLACK 90X90 U</v>
      </c>
      <c r="C1925" s="23"/>
      <c r="D1925" s="24">
        <f ca="1">IFERROR(__xludf.DUMMYFUNCTION("""COMPUTED_VALUE"""),1599)</f>
        <v>1599</v>
      </c>
      <c r="E1925" s="25" t="str">
        <f ca="1">IFERROR(__xludf.DUMMYFUNCTION("""COMPUTED_VALUE"""),"REA-K6318")</f>
        <v>REA-K6318</v>
      </c>
    </row>
    <row r="1926" spans="1:5" x14ac:dyDescent="0.2">
      <c r="A1926" s="22">
        <f ca="1">IFERROR(__xludf.DUMMYFUNCTION("""COMPUTED_VALUE"""),45058)</f>
        <v>45058</v>
      </c>
      <c r="B1926" s="23" t="str">
        <f ca="1">IFERROR(__xludf.DUMMYFUNCTION("""COMPUTED_VALUE"""),"KABINA HEX 90X90 BLACK")</f>
        <v>KABINA HEX 90X90 BLACK</v>
      </c>
      <c r="C1926" s="23"/>
      <c r="D1926" s="24">
        <f ca="1">IFERROR(__xludf.DUMMYFUNCTION("""COMPUTED_VALUE"""),1299)</f>
        <v>1299</v>
      </c>
      <c r="E1926" s="25" t="str">
        <f ca="1">IFERROR(__xludf.DUMMYFUNCTION("""COMPUTED_VALUE"""),"REA-K8979")</f>
        <v>REA-K8979</v>
      </c>
    </row>
    <row r="1927" spans="1:5" x14ac:dyDescent="0.2">
      <c r="A1927" s="22">
        <f ca="1">IFERROR(__xludf.DUMMYFUNCTION("""COMPUTED_VALUE"""),45058)</f>
        <v>45058</v>
      </c>
      <c r="B1927" s="23" t="str">
        <f ca="1">IFERROR(__xludf.DUMMYFUNCTION("""COMPUTED_VALUE"""),"PARAWAN WANNOWY ELEGANT GOLD 70")</f>
        <v>PARAWAN WANNOWY ELEGANT GOLD 70</v>
      </c>
      <c r="C1927" s="23"/>
      <c r="D1927" s="24">
        <f ca="1">IFERROR(__xludf.DUMMYFUNCTION("""COMPUTED_VALUE"""),479)</f>
        <v>479</v>
      </c>
      <c r="E1927" s="25" t="str">
        <f ca="1">IFERROR(__xludf.DUMMYFUNCTION("""COMPUTED_VALUE"""),"REA-W5600")</f>
        <v>REA-W5600</v>
      </c>
    </row>
    <row r="1928" spans="1:5" x14ac:dyDescent="0.2">
      <c r="A1928" s="22">
        <f ca="1">IFERROR(__xludf.DUMMYFUNCTION("""COMPUTED_VALUE"""),45058)</f>
        <v>45058</v>
      </c>
      <c r="B1928" s="23" t="str">
        <f ca="1">IFERROR(__xludf.DUMMYFUNCTION("""COMPUTED_VALUE"""),"WANNA FERRANO 160")</f>
        <v>WANNA FERRANO 160</v>
      </c>
      <c r="C1928" s="23"/>
      <c r="D1928" s="24">
        <f ca="1">IFERROR(__xludf.DUMMYFUNCTION("""COMPUTED_VALUE"""),3899)</f>
        <v>3899</v>
      </c>
      <c r="E1928" s="25" t="str">
        <f ca="1">IFERROR(__xludf.DUMMYFUNCTION("""COMPUTED_VALUE"""),"REA-W0150")</f>
        <v>REA-W0150</v>
      </c>
    </row>
    <row r="1929" spans="1:5" x14ac:dyDescent="0.2">
      <c r="A1929" s="22">
        <f ca="1">IFERROR(__xludf.DUMMYFUNCTION("""COMPUTED_VALUE"""),45058)</f>
        <v>45058</v>
      </c>
      <c r="B1929" s="23" t="str">
        <f ca="1">IFERROR(__xludf.DUMMYFUNCTION("""COMPUTED_VALUE"""),"WANNA FERRANO 170")</f>
        <v>WANNA FERRANO 170</v>
      </c>
      <c r="C1929" s="23"/>
      <c r="D1929" s="24">
        <f ca="1">IFERROR(__xludf.DUMMYFUNCTION("""COMPUTED_VALUE"""),2869)</f>
        <v>2869</v>
      </c>
      <c r="E1929" s="25" t="str">
        <f ca="1">IFERROR(__xludf.DUMMYFUNCTION("""COMPUTED_VALUE"""),"REA-W0106")</f>
        <v>REA-W0106</v>
      </c>
    </row>
    <row r="1930" spans="1:5" x14ac:dyDescent="0.2">
      <c r="A1930" s="22">
        <f ca="1">IFERROR(__xludf.DUMMYFUNCTION("""COMPUTED_VALUE"""),45055)</f>
        <v>45055</v>
      </c>
      <c r="B1930" s="23" t="str">
        <f ca="1">IFERROR(__xludf.DUMMYFUNCTION("""COMPUTED_VALUE"""),"WC - MARTIN RIMLESS DUROPLAST/SLIM/ZM")</f>
        <v>WC - MARTIN RIMLESS DUROPLAST/SLIM/ZM</v>
      </c>
      <c r="C1930" s="23"/>
      <c r="D1930" s="24">
        <f ca="1">IFERROR(__xludf.DUMMYFUNCTION("""COMPUTED_VALUE"""),669)</f>
        <v>669</v>
      </c>
      <c r="E1930" s="25" t="str">
        <f ca="1">IFERROR(__xludf.DUMMYFUNCTION("""COMPUTED_VALUE"""),"REA-C8006")</f>
        <v>REA-C8006</v>
      </c>
    </row>
    <row r="1931" spans="1:5" x14ac:dyDescent="0.2">
      <c r="A1931" s="22">
        <f ca="1">IFERROR(__xludf.DUMMYFUNCTION("""COMPUTED_VALUE"""),45055)</f>
        <v>45055</v>
      </c>
      <c r="B1931" s="23" t="str">
        <f ca="1">IFERROR(__xludf.DUMMYFUNCTION("""COMPUTED_VALUE"""),"WC - LARS RIMLESS DUROPLAST/FLAT/ZM")</f>
        <v>WC - LARS RIMLESS DUROPLAST/FLAT/ZM</v>
      </c>
      <c r="C1931" s="23"/>
      <c r="D1931" s="24">
        <f ca="1">IFERROR(__xludf.DUMMYFUNCTION("""COMPUTED_VALUE"""),659)</f>
        <v>659</v>
      </c>
      <c r="E1931" s="25" t="str">
        <f ca="1">IFERROR(__xludf.DUMMYFUNCTION("""COMPUTED_VALUE"""),"REA-C9500")</f>
        <v>REA-C9500</v>
      </c>
    </row>
    <row r="1932" spans="1:5" x14ac:dyDescent="0.2">
      <c r="A1932" s="22">
        <f ca="1">IFERROR(__xludf.DUMMYFUNCTION("""COMPUTED_VALUE"""),45055)</f>
        <v>45055</v>
      </c>
      <c r="B1932" s="23" t="str">
        <f ca="1">IFERROR(__xludf.DUMMYFUNCTION("""COMPUTED_VALUE"""),"UMYWALKA ROSA-2 - NABLATOWA")</f>
        <v>UMYWALKA ROSA-2 - NABLATOWA</v>
      </c>
      <c r="C1932" s="23"/>
      <c r="D1932" s="24">
        <f ca="1">IFERROR(__xludf.DUMMYFUNCTION("""COMPUTED_VALUE"""),239)</f>
        <v>239</v>
      </c>
      <c r="E1932" s="25" t="str">
        <f ca="1">IFERROR(__xludf.DUMMYFUNCTION("""COMPUTED_VALUE"""),"REA-U0160")</f>
        <v>REA-U0160</v>
      </c>
    </row>
    <row r="1933" spans="1:5" x14ac:dyDescent="0.2">
      <c r="A1933" s="22">
        <f ca="1">IFERROR(__xludf.DUMMYFUNCTION("""COMPUTED_VALUE"""),45055)</f>
        <v>45055</v>
      </c>
      <c r="B1933" s="23" t="str">
        <f ca="1">IFERROR(__xludf.DUMMYFUNCTION("""COMPUTED_VALUE"""),"BATERIA KUCHENNA TROY NIKIEL SZCZOTKOWANY")</f>
        <v>BATERIA KUCHENNA TROY NIKIEL SZCZOTKOWANY</v>
      </c>
      <c r="C1933" s="23"/>
      <c r="D1933" s="24">
        <f ca="1">IFERROR(__xludf.DUMMYFUNCTION("""COMPUTED_VALUE"""),169)</f>
        <v>169</v>
      </c>
      <c r="E1933" s="25" t="str">
        <f ca="1">IFERROR(__xludf.DUMMYFUNCTION("""COMPUTED_VALUE"""),"REA-B6301")</f>
        <v>REA-B6301</v>
      </c>
    </row>
    <row r="1934" spans="1:5" x14ac:dyDescent="0.2">
      <c r="A1934" s="22">
        <f ca="1">IFERROR(__xludf.DUMMYFUNCTION("""COMPUTED_VALUE"""),45055)</f>
        <v>45055</v>
      </c>
      <c r="B1934" s="23" t="str">
        <f ca="1">IFERROR(__xludf.DUMMYFUNCTION("""COMPUTED_VALUE"""),"BATERIA KUCHENNA TROY CZARNA")</f>
        <v>BATERIA KUCHENNA TROY CZARNA</v>
      </c>
      <c r="C1934" s="23"/>
      <c r="D1934" s="24">
        <f ca="1">IFERROR(__xludf.DUMMYFUNCTION("""COMPUTED_VALUE"""),179)</f>
        <v>179</v>
      </c>
      <c r="E1934" s="25" t="str">
        <f ca="1">IFERROR(__xludf.DUMMYFUNCTION("""COMPUTED_VALUE"""),"REA-B6300")</f>
        <v>REA-B6300</v>
      </c>
    </row>
    <row r="1935" spans="1:5" x14ac:dyDescent="0.2">
      <c r="A1935" s="22">
        <f ca="1">IFERROR(__xludf.DUMMYFUNCTION("""COMPUTED_VALUE"""),45055)</f>
        <v>45055</v>
      </c>
      <c r="B1935" s="23" t="str">
        <f ca="1">IFERROR(__xludf.DUMMYFUNCTION("""COMPUTED_VALUE"""),"UMYWALKA ROSA - NABLATOWA")</f>
        <v>UMYWALKA ROSA - NABLATOWA</v>
      </c>
      <c r="C1935" s="23"/>
      <c r="D1935" s="24">
        <f ca="1">IFERROR(__xludf.DUMMYFUNCTION("""COMPUTED_VALUE"""),249)</f>
        <v>249</v>
      </c>
      <c r="E1935" s="25" t="str">
        <f ca="1">IFERROR(__xludf.DUMMYFUNCTION("""COMPUTED_VALUE"""),"REA-00692")</f>
        <v>REA-00692</v>
      </c>
    </row>
    <row r="1936" spans="1:5" x14ac:dyDescent="0.2">
      <c r="A1936" s="22">
        <f ca="1">IFERROR(__xludf.DUMMYFUNCTION("""COMPUTED_VALUE"""),45055)</f>
        <v>45055</v>
      </c>
      <c r="B1936" s="23" t="str">
        <f ca="1">IFERROR(__xludf.DUMMYFUNCTION("""COMPUTED_VALUE"""),"UMYWALKA INFINITY BLACK/GOLD - NABLATOWA")</f>
        <v>UMYWALKA INFINITY BLACK/GOLD - NABLATOWA</v>
      </c>
      <c r="C1936" s="23"/>
      <c r="D1936" s="24">
        <f ca="1">IFERROR(__xludf.DUMMYFUNCTION("""COMPUTED_VALUE"""),799)</f>
        <v>799</v>
      </c>
      <c r="E1936" s="25" t="str">
        <f ca="1">IFERROR(__xludf.DUMMYFUNCTION("""COMPUTED_VALUE"""),"REA-U3402")</f>
        <v>REA-U3402</v>
      </c>
    </row>
    <row r="1937" spans="1:5" x14ac:dyDescent="0.2">
      <c r="A1937" s="22">
        <f ca="1">IFERROR(__xludf.DUMMYFUNCTION("""COMPUTED_VALUE"""),45055)</f>
        <v>45055</v>
      </c>
      <c r="B1937" s="23" t="str">
        <f ca="1">IFERROR(__xludf.DUMMYFUNCTION("""COMPUTED_VALUE"""),"UMYWALKA INFINITY WHITE/GOLD - NABLATOWA")</f>
        <v>UMYWALKA INFINITY WHITE/GOLD - NABLATOWA</v>
      </c>
      <c r="C1937" s="23"/>
      <c r="D1937" s="24">
        <f ca="1">IFERROR(__xludf.DUMMYFUNCTION("""COMPUTED_VALUE"""),699)</f>
        <v>699</v>
      </c>
      <c r="E1937" s="25" t="str">
        <f ca="1">IFERROR(__xludf.DUMMYFUNCTION("""COMPUTED_VALUE"""),"REA-U3400")</f>
        <v>REA-U3400</v>
      </c>
    </row>
    <row r="1938" spans="1:5" x14ac:dyDescent="0.2">
      <c r="A1938" s="22">
        <f ca="1">IFERROR(__xludf.DUMMYFUNCTION("""COMPUTED_VALUE"""),45055)</f>
        <v>45055</v>
      </c>
      <c r="B1938" s="23" t="str">
        <f ca="1">IFERROR(__xludf.DUMMYFUNCTION("""COMPUTED_VALUE"""),"UMYWALKA HELEN - NABLATOWA")</f>
        <v>UMYWALKA HELEN - NABLATOWA</v>
      </c>
      <c r="C1938" s="23"/>
      <c r="D1938" s="24">
        <f ca="1">IFERROR(__xludf.DUMMYFUNCTION("""COMPUTED_VALUE"""),499)</f>
        <v>499</v>
      </c>
      <c r="E1938" s="25" t="str">
        <f ca="1">IFERROR(__xludf.DUMMYFUNCTION("""COMPUTED_VALUE"""),"REA-U6978")</f>
        <v>REA-U6978</v>
      </c>
    </row>
    <row r="1939" spans="1:5" x14ac:dyDescent="0.2">
      <c r="A1939" s="22">
        <f ca="1">IFERROR(__xludf.DUMMYFUNCTION("""COMPUTED_VALUE"""),45055)</f>
        <v>45055</v>
      </c>
      <c r="B1939" s="23" t="str">
        <f ca="1">IFERROR(__xludf.DUMMYFUNCTION("""COMPUTED_VALUE"""),"UMYWALKA PEARL GOLD EDGE - NABLATOWA")</f>
        <v>UMYWALKA PEARL GOLD EDGE - NABLATOWA</v>
      </c>
      <c r="C1939" s="23"/>
      <c r="D1939" s="24">
        <f ca="1">IFERROR(__xludf.DUMMYFUNCTION("""COMPUTED_VALUE"""),499)</f>
        <v>499</v>
      </c>
      <c r="E1939" s="25" t="str">
        <f ca="1">IFERROR(__xludf.DUMMYFUNCTION("""COMPUTED_VALUE"""),"REA-U0696")</f>
        <v>REA-U0696</v>
      </c>
    </row>
    <row r="1940" spans="1:5" x14ac:dyDescent="0.2">
      <c r="A1940" s="22">
        <f ca="1">IFERROR(__xludf.DUMMYFUNCTION("""COMPUTED_VALUE"""),45055)</f>
        <v>45055</v>
      </c>
      <c r="B1940" s="23" t="str">
        <f ca="1">IFERROR(__xludf.DUMMYFUNCTION("""COMPUTED_VALUE"""),"UMYWALKA PEARL - NABLATOWA")</f>
        <v>UMYWALKA PEARL - NABLATOWA</v>
      </c>
      <c r="C1940" s="23"/>
      <c r="D1940" s="24">
        <f ca="1">IFERROR(__xludf.DUMMYFUNCTION("""COMPUTED_VALUE"""),399)</f>
        <v>399</v>
      </c>
      <c r="E1940" s="25" t="str">
        <f ca="1">IFERROR(__xludf.DUMMYFUNCTION("""COMPUTED_VALUE"""),"REA-U0265")</f>
        <v>REA-U0265</v>
      </c>
    </row>
    <row r="1941" spans="1:5" x14ac:dyDescent="0.2">
      <c r="A1941" s="22">
        <f ca="1">IFERROR(__xludf.DUMMYFUNCTION("""COMPUTED_VALUE"""),45055)</f>
        <v>45055</v>
      </c>
      <c r="B1941" s="23" t="str">
        <f ca="1">IFERROR(__xludf.DUMMYFUNCTION("""COMPUTED_VALUE"""),"UMYWALKA VIVIEN - NABLATOWA")</f>
        <v>UMYWALKA VIVIEN - NABLATOWA</v>
      </c>
      <c r="C1941" s="23"/>
      <c r="D1941" s="24">
        <f ca="1">IFERROR(__xludf.DUMMYFUNCTION("""COMPUTED_VALUE"""),549)</f>
        <v>549</v>
      </c>
      <c r="E1941" s="25" t="str">
        <f ca="1">IFERROR(__xludf.DUMMYFUNCTION("""COMPUTED_VALUE"""),"REA-U5666")</f>
        <v>REA-U5666</v>
      </c>
    </row>
    <row r="1942" spans="1:5" x14ac:dyDescent="0.2">
      <c r="A1942" s="22">
        <f ca="1">IFERROR(__xludf.DUMMYFUNCTION("""COMPUTED_VALUE"""),45055)</f>
        <v>45055</v>
      </c>
      <c r="B1942" s="23" t="str">
        <f ca="1">IFERROR(__xludf.DUMMYFUNCTION("""COMPUTED_VALUE"""),"ZESTAW NATRYSKOWY LUIS ZŁOTY SZCZOTKOWANY")</f>
        <v>ZESTAW NATRYSKOWY LUIS ZŁOTY SZCZOTKOWANY</v>
      </c>
      <c r="C1942" s="23"/>
      <c r="D1942" s="24">
        <f ca="1">IFERROR(__xludf.DUMMYFUNCTION("""COMPUTED_VALUE"""),549)</f>
        <v>549</v>
      </c>
      <c r="E1942" s="25" t="str">
        <f ca="1">IFERROR(__xludf.DUMMYFUNCTION("""COMPUTED_VALUE"""),"REA-P7051")</f>
        <v>REA-P7051</v>
      </c>
    </row>
    <row r="1943" spans="1:5" x14ac:dyDescent="0.2">
      <c r="A1943" s="22">
        <f ca="1">IFERROR(__xludf.DUMMYFUNCTION("""COMPUTED_VALUE"""),45055)</f>
        <v>45055</v>
      </c>
      <c r="B1943" s="23" t="str">
        <f ca="1">IFERROR(__xludf.DUMMYFUNCTION("""COMPUTED_VALUE"""),"ZESTAW NATRYSKOWY JACK ZŁOTY SZCZOTKOWANY")</f>
        <v>ZESTAW NATRYSKOWY JACK ZŁOTY SZCZOTKOWANY</v>
      </c>
      <c r="C1943" s="23"/>
      <c r="D1943" s="24">
        <f ca="1">IFERROR(__xludf.DUMMYFUNCTION("""COMPUTED_VALUE"""),919)</f>
        <v>919</v>
      </c>
      <c r="E1943" s="25" t="str">
        <f ca="1">IFERROR(__xludf.DUMMYFUNCTION("""COMPUTED_VALUE"""),"REA-P7050")</f>
        <v>REA-P7050</v>
      </c>
    </row>
    <row r="1944" spans="1:5" x14ac:dyDescent="0.2">
      <c r="A1944" s="22">
        <f ca="1">IFERROR(__xludf.DUMMYFUNCTION("""COMPUTED_VALUE"""),45055)</f>
        <v>45055</v>
      </c>
      <c r="B1944" s="23" t="str">
        <f ca="1">IFERROR(__xludf.DUMMYFUNCTION("""COMPUTED_VALUE"""),"ZESTAW NATRYSKOWY ALDI GOLD")</f>
        <v>ZESTAW NATRYSKOWY ALDI GOLD</v>
      </c>
      <c r="C1944" s="23"/>
      <c r="D1944" s="24">
        <f ca="1">IFERROR(__xludf.DUMMYFUNCTION("""COMPUTED_VALUE"""),799)</f>
        <v>799</v>
      </c>
      <c r="E1944" s="25" t="str">
        <f ca="1">IFERROR(__xludf.DUMMYFUNCTION("""COMPUTED_VALUE"""),"REA-P8802")</f>
        <v>REA-P8802</v>
      </c>
    </row>
    <row r="1945" spans="1:5" x14ac:dyDescent="0.2">
      <c r="A1945" s="22">
        <f ca="1">IFERROR(__xludf.DUMMYFUNCTION("""COMPUTED_VALUE"""),45055)</f>
        <v>45055</v>
      </c>
      <c r="B1945" s="23" t="str">
        <f ca="1">IFERROR(__xludf.DUMMYFUNCTION("""COMPUTED_VALUE"""),"ZESTAW NATRYSKOWY ALDI BLACK")</f>
        <v>ZESTAW NATRYSKOWY ALDI BLACK</v>
      </c>
      <c r="C1945" s="23"/>
      <c r="D1945" s="24">
        <f ca="1">IFERROR(__xludf.DUMMYFUNCTION("""COMPUTED_VALUE"""),649)</f>
        <v>649</v>
      </c>
      <c r="E1945" s="25" t="str">
        <f ca="1">IFERROR(__xludf.DUMMYFUNCTION("""COMPUTED_VALUE"""),"REA-P8800")</f>
        <v>REA-P8800</v>
      </c>
    </row>
    <row r="1946" spans="1:5" x14ac:dyDescent="0.2">
      <c r="A1946" s="22">
        <f ca="1">IFERROR(__xludf.DUMMYFUNCTION("""COMPUTED_VALUE"""),45051)</f>
        <v>45051</v>
      </c>
      <c r="B1946" s="23" t="str">
        <f ca="1">IFERROR(__xludf.DUMMYFUNCTION("""COMPUTED_VALUE"""),"UMYWALKA DORA STONE - NABLATOWA")</f>
        <v>UMYWALKA DORA STONE - NABLATOWA</v>
      </c>
      <c r="C1946" s="23"/>
      <c r="D1946" s="24">
        <f ca="1">IFERROR(__xludf.DUMMYFUNCTION("""COMPUTED_VALUE"""),429)</f>
        <v>429</v>
      </c>
      <c r="E1946" s="25" t="str">
        <f ca="1">IFERROR(__xludf.DUMMYFUNCTION("""COMPUTED_VALUE"""),"REA-U5066")</f>
        <v>REA-U5066</v>
      </c>
    </row>
    <row r="1947" spans="1:5" x14ac:dyDescent="0.2">
      <c r="A1947" s="22">
        <f ca="1">IFERROR(__xludf.DUMMYFUNCTION("""COMPUTED_VALUE"""),45051)</f>
        <v>45051</v>
      </c>
      <c r="B1947" s="23" t="str">
        <f ca="1">IFERROR(__xludf.DUMMYFUNCTION("""COMPUTED_VALUE"""),"UMYWALKA MARTINA - NABLATOWA")</f>
        <v>UMYWALKA MARTINA - NABLATOWA</v>
      </c>
      <c r="C1947" s="23"/>
      <c r="D1947" s="24">
        <f ca="1">IFERROR(__xludf.DUMMYFUNCTION("""COMPUTED_VALUE"""),349)</f>
        <v>349</v>
      </c>
      <c r="E1947" s="25" t="str">
        <f ca="1">IFERROR(__xludf.DUMMYFUNCTION("""COMPUTED_VALUE"""),"REA-U6646")</f>
        <v>REA-U6646</v>
      </c>
    </row>
    <row r="1948" spans="1:5" x14ac:dyDescent="0.2">
      <c r="A1948" s="22">
        <f ca="1">IFERROR(__xludf.DUMMYFUNCTION("""COMPUTED_VALUE"""),45051)</f>
        <v>45051</v>
      </c>
      <c r="B1948" s="23" t="str">
        <f ca="1">IFERROR(__xludf.DUMMYFUNCTION("""COMPUTED_VALUE"""),"UMYWALKA CLAUDIA- NABLATOWA")</f>
        <v>UMYWALKA CLAUDIA- NABLATOWA</v>
      </c>
      <c r="C1948" s="23"/>
      <c r="D1948" s="24">
        <f ca="1">IFERROR(__xludf.DUMMYFUNCTION("""COMPUTED_VALUE"""),279)</f>
        <v>279</v>
      </c>
      <c r="E1948" s="25" t="str">
        <f ca="1">IFERROR(__xludf.DUMMYFUNCTION("""COMPUTED_VALUE"""),"REA-U6644")</f>
        <v>REA-U6644</v>
      </c>
    </row>
    <row r="1949" spans="1:5" x14ac:dyDescent="0.2">
      <c r="A1949" s="22">
        <f ca="1">IFERROR(__xludf.DUMMYFUNCTION("""COMPUTED_VALUE"""),45051)</f>
        <v>45051</v>
      </c>
      <c r="B1949" s="23" t="str">
        <f ca="1">IFERROR(__xludf.DUMMYFUNCTION("""COMPUTED_VALUE"""),"ŚCIANKA RAPID GOLD BRUSH 100")</f>
        <v>ŚCIANKA RAPID GOLD BRUSH 100</v>
      </c>
      <c r="C1949" s="23"/>
      <c r="D1949" s="24">
        <f ca="1">IFERROR(__xludf.DUMMYFUNCTION("""COMPUTED_VALUE"""),790)</f>
        <v>790</v>
      </c>
      <c r="E1949" s="25" t="str">
        <f ca="1">IFERROR(__xludf.DUMMYFUNCTION("""COMPUTED_VALUE"""),"REA-K4706")</f>
        <v>REA-K4706</v>
      </c>
    </row>
    <row r="1950" spans="1:5" x14ac:dyDescent="0.2">
      <c r="A1950" s="22">
        <f ca="1">IFERROR(__xludf.DUMMYFUNCTION("""COMPUTED_VALUE"""),45051)</f>
        <v>45051</v>
      </c>
      <c r="B1950" s="23" t="str">
        <f ca="1">IFERROR(__xludf.DUMMYFUNCTION("""COMPUTED_VALUE"""),"ŚCIANKA RAPID GOLD BRUSH 90")</f>
        <v>ŚCIANKA RAPID GOLD BRUSH 90</v>
      </c>
      <c r="C1950" s="23"/>
      <c r="D1950" s="24">
        <f ca="1">IFERROR(__xludf.DUMMYFUNCTION("""COMPUTED_VALUE"""),770)</f>
        <v>770</v>
      </c>
      <c r="E1950" s="25" t="str">
        <f ca="1">IFERROR(__xludf.DUMMYFUNCTION("""COMPUTED_VALUE"""),"REA-K4705")</f>
        <v>REA-K4705</v>
      </c>
    </row>
    <row r="1951" spans="1:5" x14ac:dyDescent="0.2">
      <c r="A1951" s="22">
        <f ca="1">IFERROR(__xludf.DUMMYFUNCTION("""COMPUTED_VALUE"""),45051)</f>
        <v>45051</v>
      </c>
      <c r="B1951" s="23" t="str">
        <f ca="1">IFERROR(__xludf.DUMMYFUNCTION("""COMPUTED_VALUE"""),"ŚCIANKA RAPID GOLD BRUSH 80")</f>
        <v>ŚCIANKA RAPID GOLD BRUSH 80</v>
      </c>
      <c r="C1951" s="23"/>
      <c r="D1951" s="24">
        <f ca="1">IFERROR(__xludf.DUMMYFUNCTION("""COMPUTED_VALUE"""),740)</f>
        <v>740</v>
      </c>
      <c r="E1951" s="25" t="str">
        <f ca="1">IFERROR(__xludf.DUMMYFUNCTION("""COMPUTED_VALUE"""),"REA-K4704")</f>
        <v>REA-K4704</v>
      </c>
    </row>
    <row r="1952" spans="1:5" x14ac:dyDescent="0.2">
      <c r="A1952" s="22">
        <f ca="1">IFERROR(__xludf.DUMMYFUNCTION("""COMPUTED_VALUE"""),45051)</f>
        <v>45051</v>
      </c>
      <c r="B1952" s="23" t="str">
        <f ca="1">IFERROR(__xludf.DUMMYFUNCTION("""COMPUTED_VALUE"""),"DRZWI PRYSZNICOWE RAPID SLIDE GOLD BRUSH 100")</f>
        <v>DRZWI PRYSZNICOWE RAPID SLIDE GOLD BRUSH 100</v>
      </c>
      <c r="C1952" s="23"/>
      <c r="D1952" s="24">
        <f ca="1">IFERROR(__xludf.DUMMYFUNCTION("""COMPUTED_VALUE"""),1149)</f>
        <v>1149</v>
      </c>
      <c r="E1952" s="25" t="str">
        <f ca="1">IFERROR(__xludf.DUMMYFUNCTION("""COMPUTED_VALUE"""),"REA-K4707")</f>
        <v>REA-K4707</v>
      </c>
    </row>
    <row r="1953" spans="1:5" x14ac:dyDescent="0.2">
      <c r="A1953" s="22">
        <f ca="1">IFERROR(__xludf.DUMMYFUNCTION("""COMPUTED_VALUE"""),45051)</f>
        <v>45051</v>
      </c>
      <c r="B1953" s="23" t="str">
        <f ca="1">IFERROR(__xludf.DUMMYFUNCTION("""COMPUTED_VALUE"""),"ŚCIANKA PRYSZNICOWA AERO GOLD BRUSH 100")</f>
        <v>ŚCIANKA PRYSZNICOWA AERO GOLD BRUSH 100</v>
      </c>
      <c r="C1953" s="23"/>
      <c r="D1953" s="24">
        <f ca="1">IFERROR(__xludf.DUMMYFUNCTION("""COMPUTED_VALUE"""),979)</f>
        <v>979</v>
      </c>
      <c r="E1953" s="25" t="str">
        <f ca="1">IFERROR(__xludf.DUMMYFUNCTION("""COMPUTED_VALUE"""),"REA-K4701")</f>
        <v>REA-K4701</v>
      </c>
    </row>
    <row r="1954" spans="1:5" x14ac:dyDescent="0.2">
      <c r="A1954" s="22">
        <f ca="1">IFERROR(__xludf.DUMMYFUNCTION("""COMPUTED_VALUE"""),45051)</f>
        <v>45051</v>
      </c>
      <c r="B1954" s="23" t="str">
        <f ca="1">IFERROR(__xludf.DUMMYFUNCTION("""COMPUTED_VALUE"""),"ŚCIANKA PRYSZNICOWA AERO GOLD BRUSH 120")</f>
        <v>ŚCIANKA PRYSZNICOWA AERO GOLD BRUSH 120</v>
      </c>
      <c r="C1954" s="23"/>
      <c r="D1954" s="24">
        <f ca="1">IFERROR(__xludf.DUMMYFUNCTION("""COMPUTED_VALUE"""),1059)</f>
        <v>1059</v>
      </c>
      <c r="E1954" s="25" t="str">
        <f ca="1">IFERROR(__xludf.DUMMYFUNCTION("""COMPUTED_VALUE"""),"REA-K4702")</f>
        <v>REA-K4702</v>
      </c>
    </row>
    <row r="1955" spans="1:5" x14ac:dyDescent="0.2">
      <c r="A1955" s="22">
        <f ca="1">IFERROR(__xludf.DUMMYFUNCTION("""COMPUTED_VALUE"""),45051)</f>
        <v>45051</v>
      </c>
      <c r="B1955" s="23" t="str">
        <f ca="1">IFERROR(__xludf.DUMMYFUNCTION("""COMPUTED_VALUE"""),"BATERIA PODŁOGOWA WANNOWA ORTIS BLACK")</f>
        <v>BATERIA PODŁOGOWA WANNOWA ORTIS BLACK</v>
      </c>
      <c r="C1955" s="23"/>
      <c r="D1955" s="24">
        <f ca="1">IFERROR(__xludf.DUMMYFUNCTION("""COMPUTED_VALUE"""),1099)</f>
        <v>1099</v>
      </c>
      <c r="E1955" s="25" t="str">
        <f ca="1">IFERROR(__xludf.DUMMYFUNCTION("""COMPUTED_VALUE"""),"REA-B0232")</f>
        <v>REA-B0232</v>
      </c>
    </row>
    <row r="1956" spans="1:5" x14ac:dyDescent="0.2">
      <c r="A1956" s="22">
        <f ca="1">IFERROR(__xludf.DUMMYFUNCTION("""COMPUTED_VALUE"""),45051)</f>
        <v>45051</v>
      </c>
      <c r="B1956" s="23" t="str">
        <f ca="1">IFERROR(__xludf.DUMMYFUNCTION("""COMPUTED_VALUE"""),"BATERIA BIDETOWA LOOP CHROM")</f>
        <v>BATERIA BIDETOWA LOOP CHROM</v>
      </c>
      <c r="C1956" s="23"/>
      <c r="D1956" s="24">
        <f ca="1">IFERROR(__xludf.DUMMYFUNCTION("""COMPUTED_VALUE"""),319)</f>
        <v>319</v>
      </c>
      <c r="E1956" s="25" t="str">
        <f ca="1">IFERROR(__xludf.DUMMYFUNCTION("""COMPUTED_VALUE"""),"REA-B4106")</f>
        <v>REA-B4106</v>
      </c>
    </row>
    <row r="1957" spans="1:5" x14ac:dyDescent="0.2">
      <c r="A1957" s="22">
        <f ca="1">IFERROR(__xludf.DUMMYFUNCTION("""COMPUTED_VALUE"""),45051)</f>
        <v>45051</v>
      </c>
      <c r="B1957" s="23" t="str">
        <f ca="1">IFERROR(__xludf.DUMMYFUNCTION("""COMPUTED_VALUE"""),"BATERIA BIDETOWA FENIX CHROME")</f>
        <v>BATERIA BIDETOWA FENIX CHROME</v>
      </c>
      <c r="C1957" s="23"/>
      <c r="D1957" s="24">
        <f ca="1">IFERROR(__xludf.DUMMYFUNCTION("""COMPUTED_VALUE"""),399)</f>
        <v>399</v>
      </c>
      <c r="E1957" s="25" t="str">
        <f ca="1">IFERROR(__xludf.DUMMYFUNCTION("""COMPUTED_VALUE"""),"REA-B5126")</f>
        <v>REA-B5126</v>
      </c>
    </row>
    <row r="1958" spans="1:5" x14ac:dyDescent="0.2">
      <c r="A1958" s="22">
        <f ca="1">IFERROR(__xludf.DUMMYFUNCTION("""COMPUTED_VALUE"""),45051)</f>
        <v>45051</v>
      </c>
      <c r="B1958" s="23" t="str">
        <f ca="1">IFERROR(__xludf.DUMMYFUNCTION("""COMPUTED_VALUE"""),"UMYWALKA ARTE BLUE - NABLATOWA")</f>
        <v>UMYWALKA ARTE BLUE - NABLATOWA</v>
      </c>
      <c r="C1958" s="23"/>
      <c r="D1958" s="24">
        <f ca="1">IFERROR(__xludf.DUMMYFUNCTION("""COMPUTED_VALUE"""),429)</f>
        <v>429</v>
      </c>
      <c r="E1958" s="25" t="str">
        <f ca="1">IFERROR(__xludf.DUMMYFUNCTION("""COMPUTED_VALUE"""),"REA-U0267")</f>
        <v>REA-U0267</v>
      </c>
    </row>
    <row r="1959" spans="1:5" x14ac:dyDescent="0.2">
      <c r="A1959" s="22">
        <f ca="1">IFERROR(__xludf.DUMMYFUNCTION("""COMPUTED_VALUE"""),45051)</f>
        <v>45051</v>
      </c>
      <c r="B1959" s="23" t="str">
        <f ca="1">IFERROR(__xludf.DUMMYFUNCTION("""COMPUTED_VALUE"""),"UMYWALKA ARTE D.GREY - NABLATOWA")</f>
        <v>UMYWALKA ARTE D.GREY - NABLATOWA</v>
      </c>
      <c r="C1959" s="23"/>
      <c r="D1959" s="24">
        <f ca="1">IFERROR(__xludf.DUMMYFUNCTION("""COMPUTED_VALUE"""),399)</f>
        <v>399</v>
      </c>
      <c r="E1959" s="25" t="str">
        <f ca="1">IFERROR(__xludf.DUMMYFUNCTION("""COMPUTED_VALUE"""),"REA-U8002")</f>
        <v>REA-U8002</v>
      </c>
    </row>
    <row r="1960" spans="1:5" x14ac:dyDescent="0.2">
      <c r="A1960" s="22">
        <f ca="1">IFERROR(__xludf.DUMMYFUNCTION("""COMPUTED_VALUE"""),45051)</f>
        <v>45051</v>
      </c>
      <c r="B1960" s="23" t="str">
        <f ca="1">IFERROR(__xludf.DUMMYFUNCTION("""COMPUTED_VALUE"""),"WC - MARTIN RIMLESS DUROPLAST/SLIM/ZM")</f>
        <v>WC - MARTIN RIMLESS DUROPLAST/SLIM/ZM</v>
      </c>
      <c r="C1960" s="23"/>
      <c r="D1960" s="24">
        <f ca="1">IFERROR(__xludf.DUMMYFUNCTION("""COMPUTED_VALUE"""),669)</f>
        <v>669</v>
      </c>
      <c r="E1960" s="25" t="str">
        <f ca="1">IFERROR(__xludf.DUMMYFUNCTION("""COMPUTED_VALUE"""),"REA-C8006")</f>
        <v>REA-C8006</v>
      </c>
    </row>
    <row r="1961" spans="1:5" x14ac:dyDescent="0.2">
      <c r="A1961" s="22">
        <f ca="1">IFERROR(__xludf.DUMMYFUNCTION("""COMPUTED_VALUE"""),45051)</f>
        <v>45051</v>
      </c>
      <c r="B1961" s="23" t="str">
        <f ca="1">IFERROR(__xludf.DUMMYFUNCTION("""COMPUTED_VALUE"""),"WC - LARS RIMLESS DUROPLAST/FLAT/ZM")</f>
        <v>WC - LARS RIMLESS DUROPLAST/FLAT/ZM</v>
      </c>
      <c r="C1961" s="23"/>
      <c r="D1961" s="24">
        <f ca="1">IFERROR(__xludf.DUMMYFUNCTION("""COMPUTED_VALUE"""),659)</f>
        <v>659</v>
      </c>
      <c r="E1961" s="25" t="str">
        <f ca="1">IFERROR(__xludf.DUMMYFUNCTION("""COMPUTED_VALUE"""),"REA-C9500")</f>
        <v>REA-C9500</v>
      </c>
    </row>
    <row r="1962" spans="1:5" x14ac:dyDescent="0.2">
      <c r="A1962" s="22">
        <f ca="1">IFERROR(__xludf.DUMMYFUNCTION("""COMPUTED_VALUE"""),45051)</f>
        <v>45051</v>
      </c>
      <c r="B1962" s="23" t="str">
        <f ca="1">IFERROR(__xludf.DUMMYFUNCTION("""COMPUTED_VALUE"""),"KABINA SOLAR BLACK 80X100")</f>
        <v>KABINA SOLAR BLACK 80X100</v>
      </c>
      <c r="C1962" s="23"/>
      <c r="D1962" s="24">
        <f ca="1">IFERROR(__xludf.DUMMYFUNCTION("""COMPUTED_VALUE"""),1189)</f>
        <v>1189</v>
      </c>
      <c r="E1962" s="25" t="str">
        <f ca="1">IFERROR(__xludf.DUMMYFUNCTION("""COMPUTED_VALUE"""),"REA-K6310")</f>
        <v>REA-K6310</v>
      </c>
    </row>
    <row r="1963" spans="1:5" x14ac:dyDescent="0.2">
      <c r="A1963" s="22">
        <f ca="1">IFERROR(__xludf.DUMMYFUNCTION("""COMPUTED_VALUE"""),45051)</f>
        <v>45051</v>
      </c>
      <c r="B1963" s="23" t="str">
        <f ca="1">IFERROR(__xludf.DUMMYFUNCTION("""COMPUTED_VALUE"""),"PARAWAN WANNOWY ELEGANT GOLD 80")</f>
        <v>PARAWAN WANNOWY ELEGANT GOLD 80</v>
      </c>
      <c r="C1963" s="23"/>
      <c r="D1963" s="24">
        <f ca="1">IFERROR(__xludf.DUMMYFUNCTION("""COMPUTED_VALUE"""),499)</f>
        <v>499</v>
      </c>
      <c r="E1963" s="25" t="str">
        <f ca="1">IFERROR(__xludf.DUMMYFUNCTION("""COMPUTED_VALUE"""),"REA-W5601")</f>
        <v>REA-W5601</v>
      </c>
    </row>
    <row r="1964" spans="1:5" x14ac:dyDescent="0.2">
      <c r="A1964" s="22">
        <f ca="1">IFERROR(__xludf.DUMMYFUNCTION("""COMPUTED_VALUE"""),45051)</f>
        <v>45051</v>
      </c>
      <c r="B1964" s="23" t="str">
        <f ca="1">IFERROR(__xludf.DUMMYFUNCTION("""COMPUTED_VALUE"""),"KABINA AXIN 90X90 CHROM")</f>
        <v>KABINA AXIN 90X90 CHROM</v>
      </c>
      <c r="C1964" s="23"/>
      <c r="D1964" s="24">
        <f ca="1">IFERROR(__xludf.DUMMYFUNCTION("""COMPUTED_VALUE"""),999)</f>
        <v>999</v>
      </c>
      <c r="E1964" s="25" t="str">
        <f ca="1">IFERROR(__xludf.DUMMYFUNCTION("""COMPUTED_VALUE"""),"REA-K8779")</f>
        <v>REA-K8779</v>
      </c>
    </row>
    <row r="1965" spans="1:5" x14ac:dyDescent="0.2">
      <c r="A1965" s="22">
        <f ca="1">IFERROR(__xludf.DUMMYFUNCTION("""COMPUTED_VALUE"""),45042)</f>
        <v>45042</v>
      </c>
      <c r="B1965" s="23" t="str">
        <f ca="1">IFERROR(__xludf.DUMMYFUNCTION("""COMPUTED_VALUE"""),"UMYWALKA FIESTA MINI BLACK - NABLATOWA")</f>
        <v>UMYWALKA FIESTA MINI BLACK - NABLATOWA</v>
      </c>
      <c r="C1965" s="23"/>
      <c r="D1965" s="24">
        <f ca="1">IFERROR(__xludf.DUMMYFUNCTION("""COMPUTED_VALUE"""),199)</f>
        <v>199</v>
      </c>
      <c r="E1965" s="25" t="str">
        <f ca="1">IFERROR(__xludf.DUMMYFUNCTION("""COMPUTED_VALUE"""),"CAL-00014")</f>
        <v>CAL-00014</v>
      </c>
    </row>
    <row r="1966" spans="1:5" x14ac:dyDescent="0.2">
      <c r="A1966" s="22">
        <f ca="1">IFERROR(__xludf.DUMMYFUNCTION("""COMPUTED_VALUE"""),45042)</f>
        <v>45042</v>
      </c>
      <c r="B1966" s="23" t="str">
        <f ca="1">IFERROR(__xludf.DUMMYFUNCTION("""COMPUTED_VALUE"""),"UMYWALKA AURA 81 - NABLATOWA")</f>
        <v>UMYWALKA AURA 81 - NABLATOWA</v>
      </c>
      <c r="C1966" s="23"/>
      <c r="D1966" s="24">
        <f ca="1">IFERROR(__xludf.DUMMYFUNCTION("""COMPUTED_VALUE"""),439)</f>
        <v>439</v>
      </c>
      <c r="E1966" s="25" t="str">
        <f ca="1">IFERROR(__xludf.DUMMYFUNCTION("""COMPUTED_VALUE"""),"REA-U2541")</f>
        <v>REA-U2541</v>
      </c>
    </row>
    <row r="1967" spans="1:5" x14ac:dyDescent="0.2">
      <c r="A1967" s="22">
        <f ca="1">IFERROR(__xludf.DUMMYFUNCTION("""COMPUTED_VALUE"""),45042)</f>
        <v>45042</v>
      </c>
      <c r="B1967" s="23" t="str">
        <f ca="1">IFERROR(__xludf.DUMMYFUNCTION("""COMPUTED_VALUE"""),"UMYWALKA AURA - NABLATOWA")</f>
        <v>UMYWALKA AURA - NABLATOWA</v>
      </c>
      <c r="C1967" s="23"/>
      <c r="D1967" s="24">
        <f ca="1">IFERROR(__xludf.DUMMYFUNCTION("""COMPUTED_VALUE"""),299)</f>
        <v>299</v>
      </c>
      <c r="E1967" s="25" t="str">
        <f ca="1">IFERROR(__xludf.DUMMYFUNCTION("""COMPUTED_VALUE"""),"REA-U7900")</f>
        <v>REA-U7900</v>
      </c>
    </row>
    <row r="1968" spans="1:5" x14ac:dyDescent="0.2">
      <c r="A1968" s="22">
        <f ca="1">IFERROR(__xludf.DUMMYFUNCTION("""COMPUTED_VALUE"""),45042)</f>
        <v>45042</v>
      </c>
      <c r="B1968" s="23" t="str">
        <f ca="1">IFERROR(__xludf.DUMMYFUNCTION("""COMPUTED_VALUE"""),"UMYWALKA PAMELA BLACK MARBLE SHINY - NABLATOWA")</f>
        <v>UMYWALKA PAMELA BLACK MARBLE SHINY - NABLATOWA</v>
      </c>
      <c r="C1968" s="23"/>
      <c r="D1968" s="24">
        <f ca="1">IFERROR(__xludf.DUMMYFUNCTION("""COMPUTED_VALUE"""),349)</f>
        <v>349</v>
      </c>
      <c r="E1968" s="25" t="str">
        <f ca="1">IFERROR(__xludf.DUMMYFUNCTION("""COMPUTED_VALUE"""),"REA-U5067")</f>
        <v>REA-U5067</v>
      </c>
    </row>
    <row r="1969" spans="1:5" x14ac:dyDescent="0.2">
      <c r="A1969" s="22">
        <f ca="1">IFERROR(__xludf.DUMMYFUNCTION("""COMPUTED_VALUE"""),45037)</f>
        <v>45037</v>
      </c>
      <c r="B1969" s="23" t="str">
        <f ca="1">IFERROR(__xludf.DUMMYFUNCTION("""COMPUTED_VALUE"""),"UMYWALKA DEMI MINI AIAX SHINY - NABLATOWA")</f>
        <v>UMYWALKA DEMI MINI AIAX SHINY - NABLATOWA</v>
      </c>
      <c r="C1969" s="23"/>
      <c r="D1969" s="24">
        <f ca="1">IFERROR(__xludf.DUMMYFUNCTION("""COMPUTED_VALUE"""),289)</f>
        <v>289</v>
      </c>
      <c r="E1969" s="25" t="str">
        <f ca="1">IFERROR(__xludf.DUMMYFUNCTION("""COMPUTED_VALUE"""),"REA-U5065")</f>
        <v>REA-U5065</v>
      </c>
    </row>
    <row r="1970" spans="1:5" x14ac:dyDescent="0.2">
      <c r="A1970" s="22">
        <f ca="1">IFERROR(__xludf.DUMMYFUNCTION("""COMPUTED_VALUE"""),45037)</f>
        <v>45037</v>
      </c>
      <c r="B1970" s="23" t="str">
        <f ca="1">IFERROR(__xludf.DUMMYFUNCTION("""COMPUTED_VALUE"""),"UMYWALKA DEMI MINI - NABLATOWA")</f>
        <v>UMYWALKA DEMI MINI - NABLATOWA</v>
      </c>
      <c r="C1970" s="23"/>
      <c r="D1970" s="24">
        <f ca="1">IFERROR(__xludf.DUMMYFUNCTION("""COMPUTED_VALUE"""),199)</f>
        <v>199</v>
      </c>
      <c r="E1970" s="25" t="str">
        <f ca="1">IFERROR(__xludf.DUMMYFUNCTION("""COMPUTED_VALUE"""),"REA-U5064")</f>
        <v>REA-U5064</v>
      </c>
    </row>
    <row r="1971" spans="1:5" x14ac:dyDescent="0.2">
      <c r="A1971" s="22">
        <f ca="1">IFERROR(__xludf.DUMMYFUNCTION("""COMPUTED_VALUE"""),45037)</f>
        <v>45037</v>
      </c>
      <c r="B1971" s="23" t="str">
        <f ca="1">IFERROR(__xludf.DUMMYFUNCTION("""COMPUTED_VALUE"""),"UMYWALKA ROYAL IN BLACK MARBLE/GOLD - NABLATOWA")</f>
        <v>UMYWALKA ROYAL IN BLACK MARBLE/GOLD - NABLATOWA</v>
      </c>
      <c r="C1971" s="23"/>
      <c r="D1971" s="24">
        <f ca="1">IFERROR(__xludf.DUMMYFUNCTION("""COMPUTED_VALUE"""),559)</f>
        <v>559</v>
      </c>
      <c r="E1971" s="25" t="str">
        <f ca="1">IFERROR(__xludf.DUMMYFUNCTION("""COMPUTED_VALUE"""),"REA-U8008")</f>
        <v>REA-U8008</v>
      </c>
    </row>
    <row r="1972" spans="1:5" x14ac:dyDescent="0.2">
      <c r="A1972" s="22">
        <f ca="1">IFERROR(__xludf.DUMMYFUNCTION("""COMPUTED_VALUE"""),45037)</f>
        <v>45037</v>
      </c>
      <c r="B1972" s="23" t="str">
        <f ca="1">IFERROR(__xludf.DUMMYFUNCTION("""COMPUTED_VALUE"""),"UMYWALKA ROYAL IN GOLD/BLACK MARBLE - NABLATOWA")</f>
        <v>UMYWALKA ROYAL IN GOLD/BLACK MARBLE - NABLATOWA</v>
      </c>
      <c r="C1972" s="23"/>
      <c r="D1972" s="24">
        <f ca="1">IFERROR(__xludf.DUMMYFUNCTION("""COMPUTED_VALUE"""),559)</f>
        <v>559</v>
      </c>
      <c r="E1972" s="25" t="str">
        <f ca="1">IFERROR(__xludf.DUMMYFUNCTION("""COMPUTED_VALUE"""),"REA-U8007")</f>
        <v>REA-U8007</v>
      </c>
    </row>
    <row r="1973" spans="1:5" x14ac:dyDescent="0.2">
      <c r="A1973" s="22">
        <f ca="1">IFERROR(__xludf.DUMMYFUNCTION("""COMPUTED_VALUE"""),45037)</f>
        <v>45037</v>
      </c>
      <c r="B1973" s="23" t="str">
        <f ca="1">IFERROR(__xludf.DUMMYFUNCTION("""COMPUTED_VALUE"""),"UMYWALKA ROYAL MINI AIAX SHINY- NABLATOWA")</f>
        <v>UMYWALKA ROYAL MINI AIAX SHINY- NABLATOWA</v>
      </c>
      <c r="C1973" s="23"/>
      <c r="D1973" s="24">
        <f ca="1">IFERROR(__xludf.DUMMYFUNCTION("""COMPUTED_VALUE"""),349)</f>
        <v>349</v>
      </c>
      <c r="E1973" s="25" t="str">
        <f ca="1">IFERROR(__xludf.DUMMYFUNCTION("""COMPUTED_VALUE"""),"REA-U5063")</f>
        <v>REA-U5063</v>
      </c>
    </row>
    <row r="1974" spans="1:5" x14ac:dyDescent="0.2">
      <c r="A1974" s="22">
        <f ca="1">IFERROR(__xludf.DUMMYFUNCTION("""COMPUTED_VALUE"""),45037)</f>
        <v>45037</v>
      </c>
      <c r="B1974" s="23" t="str">
        <f ca="1">IFERROR(__xludf.DUMMYFUNCTION("""COMPUTED_VALUE"""),"BATERIA KUCHENNA NEST NIKIEL SZCZOTKOWANY")</f>
        <v>BATERIA KUCHENNA NEST NIKIEL SZCZOTKOWANY</v>
      </c>
      <c r="C1974" s="23"/>
      <c r="D1974" s="24">
        <f ca="1">IFERROR(__xludf.DUMMYFUNCTION("""COMPUTED_VALUE"""),239)</f>
        <v>239</v>
      </c>
      <c r="E1974" s="25" t="str">
        <f ca="1">IFERROR(__xludf.DUMMYFUNCTION("""COMPUTED_VALUE"""),"REA-B6601")</f>
        <v>REA-B6601</v>
      </c>
    </row>
    <row r="1975" spans="1:5" x14ac:dyDescent="0.2">
      <c r="A1975" s="22">
        <f ca="1">IFERROR(__xludf.DUMMYFUNCTION("""COMPUTED_VALUE"""),45037)</f>
        <v>45037</v>
      </c>
      <c r="B1975" s="23" t="str">
        <f ca="1">IFERROR(__xludf.DUMMYFUNCTION("""COMPUTED_VALUE"""),"BATERIA KUCHENNA NEST ZŁOTA SZCZOTKOWANA")</f>
        <v>BATERIA KUCHENNA NEST ZŁOTA SZCZOTKOWANA</v>
      </c>
      <c r="C1975" s="23"/>
      <c r="D1975" s="24">
        <f ca="1">IFERROR(__xludf.DUMMYFUNCTION("""COMPUTED_VALUE"""),299)</f>
        <v>299</v>
      </c>
      <c r="E1975" s="25" t="str">
        <f ca="1">IFERROR(__xludf.DUMMYFUNCTION("""COMPUTED_VALUE"""),"REA-B6600")</f>
        <v>REA-B6600</v>
      </c>
    </row>
    <row r="1976" spans="1:5" x14ac:dyDescent="0.2">
      <c r="A1976" s="22">
        <f ca="1">IFERROR(__xludf.DUMMYFUNCTION("""COMPUTED_VALUE"""),44984)</f>
        <v>44984</v>
      </c>
      <c r="B1976" s="23" t="str">
        <f ca="1">IFERROR(__xludf.DUMMYFUNCTION("""COMPUTED_VALUE"""),"BATERIA UMYWALKOWA LEVI Gold")</f>
        <v>BATERIA UMYWALKOWA LEVI Gold</v>
      </c>
      <c r="C1976" s="23"/>
      <c r="D1976" s="24">
        <f ca="1">IFERROR(__xludf.DUMMYFUNCTION("""COMPUTED_VALUE"""),429)</f>
        <v>429</v>
      </c>
      <c r="E1976" s="25" t="str">
        <f ca="1">IFERROR(__xludf.DUMMYFUNCTION("""COMPUTED_VALUE"""),"REA-B5137")</f>
        <v>REA-B5137</v>
      </c>
    </row>
    <row r="1977" spans="1:5" x14ac:dyDescent="0.2">
      <c r="A1977" s="22">
        <f ca="1">IFERROR(__xludf.DUMMYFUNCTION("""COMPUTED_VALUE"""),44984)</f>
        <v>44984</v>
      </c>
      <c r="B1977" s="23" t="str">
        <f ca="1">IFERROR(__xludf.DUMMYFUNCTION("""COMPUTED_VALUE"""),"KABINA HEX 80X80 BLACK")</f>
        <v>KABINA HEX 80X80 BLACK</v>
      </c>
      <c r="C1977" s="23"/>
      <c r="D1977" s="24">
        <f ca="1">IFERROR(__xludf.DUMMYFUNCTION("""COMPUTED_VALUE"""),1199)</f>
        <v>1199</v>
      </c>
      <c r="E1977" s="25" t="str">
        <f ca="1">IFERROR(__xludf.DUMMYFUNCTION("""COMPUTED_VALUE"""),"REA-K8969")</f>
        <v>REA-K8969</v>
      </c>
    </row>
    <row r="1978" spans="1:5" x14ac:dyDescent="0.2">
      <c r="A1978" s="22">
        <f ca="1">IFERROR(__xludf.DUMMYFUNCTION("""COMPUTED_VALUE"""),44984)</f>
        <v>44984</v>
      </c>
      <c r="B1978" s="23" t="str">
        <f ca="1">IFERROR(__xludf.DUMMYFUNCTION("""COMPUTED_VALUE"""),"KABINA SPACE IN BLACK 90X90")</f>
        <v>KABINA SPACE IN BLACK 90X90</v>
      </c>
      <c r="C1978" s="23"/>
      <c r="D1978" s="24">
        <f ca="1">IFERROR(__xludf.DUMMYFUNCTION("""COMPUTED_VALUE"""),1499)</f>
        <v>1499</v>
      </c>
      <c r="E1978" s="25" t="str">
        <f ca="1">IFERROR(__xludf.DUMMYFUNCTION("""COMPUTED_VALUE"""),"REA-K8881")</f>
        <v>REA-K8881</v>
      </c>
    </row>
    <row r="1979" spans="1:5" x14ac:dyDescent="0.2">
      <c r="A1979" s="22">
        <f ca="1">IFERROR(__xludf.DUMMYFUNCTION("""COMPUTED_VALUE"""),44984)</f>
        <v>44984</v>
      </c>
      <c r="B1979" s="23" t="str">
        <f ca="1">IFERROR(__xludf.DUMMYFUNCTION("""COMPUTED_VALUE"""),"UMYWALKA NADIA 50 - NABLATOWA")</f>
        <v>UMYWALKA NADIA 50 - NABLATOWA</v>
      </c>
      <c r="C1979" s="23"/>
      <c r="D1979" s="24">
        <f ca="1">IFERROR(__xludf.DUMMYFUNCTION("""COMPUTED_VALUE"""),299)</f>
        <v>299</v>
      </c>
      <c r="E1979" s="25" t="str">
        <f ca="1">IFERROR(__xludf.DUMMYFUNCTION("""COMPUTED_VALUE"""),"REA-U6563")</f>
        <v>REA-U6563</v>
      </c>
    </row>
    <row r="1980" spans="1:5" x14ac:dyDescent="0.2">
      <c r="A1980" s="22">
        <f ca="1">IFERROR(__xludf.DUMMYFUNCTION("""COMPUTED_VALUE"""),44984)</f>
        <v>44984</v>
      </c>
      <c r="B1980" s="23" t="str">
        <f ca="1">IFERROR(__xludf.DUMMYFUNCTION("""COMPUTED_VALUE"""),"UMYWALKA ANYA - WOLNOSTOJĄCA")</f>
        <v>UMYWALKA ANYA - WOLNOSTOJĄCA</v>
      </c>
      <c r="C1980" s="23"/>
      <c r="D1980" s="24">
        <f ca="1">IFERROR(__xludf.DUMMYFUNCTION("""COMPUTED_VALUE"""),1299)</f>
        <v>1299</v>
      </c>
      <c r="E1980" s="25" t="str">
        <f ca="1">IFERROR(__xludf.DUMMYFUNCTION("""COMPUTED_VALUE"""),"REA-U6503")</f>
        <v>REA-U6503</v>
      </c>
    </row>
    <row r="1981" spans="1:5" x14ac:dyDescent="0.2">
      <c r="A1981" s="22">
        <f ca="1">IFERROR(__xludf.DUMMYFUNCTION("""COMPUTED_VALUE"""),44979)</f>
        <v>44979</v>
      </c>
      <c r="B1981" s="23" t="str">
        <f ca="1">IFERROR(__xludf.DUMMYFUNCTION("""COMPUTED_VALUE"""),"ZESTAW NATRYSKOWY HELIX NIKIEL SZCZOTKOWANY")</f>
        <v>ZESTAW NATRYSKOWY HELIX NIKIEL SZCZOTKOWANY</v>
      </c>
      <c r="C1981" s="23"/>
      <c r="D1981" s="24">
        <f ca="1">IFERROR(__xludf.DUMMYFUNCTION("""COMPUTED_VALUE"""),829)</f>
        <v>829</v>
      </c>
      <c r="E1981" s="25" t="str">
        <f ca="1">IFERROR(__xludf.DUMMYFUNCTION("""COMPUTED_VALUE"""),"REA-P6622")</f>
        <v>REA-P6622</v>
      </c>
    </row>
    <row r="1982" spans="1:5" x14ac:dyDescent="0.2">
      <c r="A1982" s="22">
        <f ca="1">IFERROR(__xludf.DUMMYFUNCTION("""COMPUTED_VALUE"""),44979)</f>
        <v>44979</v>
      </c>
      <c r="B1982" s="23" t="str">
        <f ca="1">IFERROR(__xludf.DUMMYFUNCTION("""COMPUTED_VALUE"""),"BRODZIK BLACK ROCK 90 X 90")</f>
        <v>BRODZIK BLACK ROCK 90 X 90</v>
      </c>
      <c r="C1982" s="23"/>
      <c r="D1982" s="24">
        <f ca="1">IFERROR(__xludf.DUMMYFUNCTION("""COMPUTED_VALUE"""),779)</f>
        <v>779</v>
      </c>
      <c r="E1982" s="25" t="str">
        <f ca="1">IFERROR(__xludf.DUMMYFUNCTION("""COMPUTED_VALUE"""),"REA-K4581")</f>
        <v>REA-K4581</v>
      </c>
    </row>
    <row r="1983" spans="1:5" x14ac:dyDescent="0.2">
      <c r="A1983" s="22">
        <f ca="1">IFERROR(__xludf.DUMMYFUNCTION("""COMPUTED_VALUE"""),44979)</f>
        <v>44979</v>
      </c>
      <c r="B1983" s="23" t="str">
        <f ca="1">IFERROR(__xludf.DUMMYFUNCTION("""COMPUTED_VALUE"""),"BRODZIK GREY ROCK 90 X 90")</f>
        <v>BRODZIK GREY ROCK 90 X 90</v>
      </c>
      <c r="C1983" s="23"/>
      <c r="D1983" s="24">
        <f ca="1">IFERROR(__xludf.DUMMYFUNCTION("""COMPUTED_VALUE"""),679)</f>
        <v>679</v>
      </c>
      <c r="E1983" s="25" t="str">
        <f ca="1">IFERROR(__xludf.DUMMYFUNCTION("""COMPUTED_VALUE"""),"REA-K4585")</f>
        <v>REA-K4585</v>
      </c>
    </row>
    <row r="1984" spans="1:5" x14ac:dyDescent="0.2">
      <c r="A1984" s="22">
        <f ca="1">IFERROR(__xludf.DUMMYFUNCTION("""COMPUTED_VALUE"""),44979)</f>
        <v>44979</v>
      </c>
      <c r="B1984" s="23" t="str">
        <f ca="1">IFERROR(__xludf.DUMMYFUNCTION("""COMPUTED_VALUE"""),"BIDET OLIVIER")</f>
        <v>BIDET OLIVIER</v>
      </c>
      <c r="C1984" s="23"/>
      <c r="D1984" s="24">
        <f ca="1">IFERROR(__xludf.DUMMYFUNCTION("""COMPUTED_VALUE"""),540)</f>
        <v>540</v>
      </c>
      <c r="E1984" s="25" t="str">
        <f ca="1">IFERROR(__xludf.DUMMYFUNCTION("""COMPUTED_VALUE"""),"REA-C6501")</f>
        <v>REA-C6501</v>
      </c>
    </row>
    <row r="1985" spans="1:5" x14ac:dyDescent="0.2">
      <c r="A1985" s="22">
        <f ca="1">IFERROR(__xludf.DUMMYFUNCTION("""COMPUTED_VALUE"""),44979)</f>
        <v>44979</v>
      </c>
      <c r="B1985" s="23" t="str">
        <f ca="1">IFERROR(__xludf.DUMMYFUNCTION("""COMPUTED_VALUE"""),"WC - OLIVIER DUROPLAST/FLAT/ZM")</f>
        <v>WC - OLIVIER DUROPLAST/FLAT/ZM</v>
      </c>
      <c r="C1985" s="23"/>
      <c r="D1985" s="24">
        <f ca="1">IFERROR(__xludf.DUMMYFUNCTION("""COMPUTED_VALUE"""),659)</f>
        <v>659</v>
      </c>
      <c r="E1985" s="25" t="str">
        <f ca="1">IFERROR(__xludf.DUMMYFUNCTION("""COMPUTED_VALUE"""),"REA-C6509")</f>
        <v>REA-C6509</v>
      </c>
    </row>
    <row r="1986" spans="1:5" x14ac:dyDescent="0.2">
      <c r="A1986" s="22">
        <f ca="1">IFERROR(__xludf.DUMMYFUNCTION("""COMPUTED_VALUE"""),44979)</f>
        <v>44979</v>
      </c>
      <c r="B1986" s="23" t="str">
        <f ca="1">IFERROR(__xludf.DUMMYFUNCTION("""COMPUTED_VALUE"""),"UMYWALKA WENDY MARMO - NABLATOWA")</f>
        <v>UMYWALKA WENDY MARMO - NABLATOWA</v>
      </c>
      <c r="C1986" s="23"/>
      <c r="D1986" s="24">
        <f ca="1">IFERROR(__xludf.DUMMYFUNCTION("""COMPUTED_VALUE"""),309)</f>
        <v>309</v>
      </c>
      <c r="E1986" s="25" t="str">
        <f ca="1">IFERROR(__xludf.DUMMYFUNCTION("""COMPUTED_VALUE"""),"REA-U5053")</f>
        <v>REA-U5053</v>
      </c>
    </row>
    <row r="1987" spans="1:5" x14ac:dyDescent="0.2">
      <c r="A1987" s="22">
        <f ca="1">IFERROR(__xludf.DUMMYFUNCTION("""COMPUTED_VALUE"""),44979)</f>
        <v>44979</v>
      </c>
      <c r="B1987" s="23" t="str">
        <f ca="1">IFERROR(__xludf.DUMMYFUNCTION("""COMPUTED_VALUE"""),"UMYWALKA ROYAL SAND - NABLATOWA ")</f>
        <v xml:space="preserve">UMYWALKA ROYAL SAND - NABLATOWA </v>
      </c>
      <c r="C1987" s="23"/>
      <c r="D1987" s="24">
        <f ca="1">IFERROR(__xludf.DUMMYFUNCTION("""COMPUTED_VALUE"""),499)</f>
        <v>499</v>
      </c>
      <c r="E1987" s="25" t="str">
        <f ca="1">IFERROR(__xludf.DUMMYFUNCTION("""COMPUTED_VALUE"""),"REA-U6502")</f>
        <v>REA-U6502</v>
      </c>
    </row>
    <row r="1988" spans="1:5" x14ac:dyDescent="0.2">
      <c r="A1988" s="22">
        <f ca="1">IFERROR(__xludf.DUMMYFUNCTION("""COMPUTED_VALUE"""),44979)</f>
        <v>44979</v>
      </c>
      <c r="B1988" s="23" t="str">
        <f ca="1">IFERROR(__xludf.DUMMYFUNCTION("""COMPUTED_VALUE"""),"UMYWALKA GRETA 65 BIANCO SHINY - NABLATOWA")</f>
        <v>UMYWALKA GRETA 65 BIANCO SHINY - NABLATOWA</v>
      </c>
      <c r="C1988" s="23"/>
      <c r="D1988" s="24">
        <f ca="1">IFERROR(__xludf.DUMMYFUNCTION("""COMPUTED_VALUE"""),469)</f>
        <v>469</v>
      </c>
      <c r="E1988" s="25" t="str">
        <f ca="1">IFERROR(__xludf.DUMMYFUNCTION("""COMPUTED_VALUE"""),"REA-U6501")</f>
        <v>REA-U6501</v>
      </c>
    </row>
    <row r="1989" spans="1:5" x14ac:dyDescent="0.2">
      <c r="A1989" s="22">
        <f ca="1">IFERROR(__xludf.DUMMYFUNCTION("""COMPUTED_VALUE"""),44979)</f>
        <v>44979</v>
      </c>
      <c r="B1989" s="23" t="str">
        <f ca="1">IFERROR(__xludf.DUMMYFUNCTION("""COMPUTED_VALUE"""),"UMYWALKA GRETA 65 THUNDER SHINY - NABLATOWA")</f>
        <v>UMYWALKA GRETA 65 THUNDER SHINY - NABLATOWA</v>
      </c>
      <c r="C1989" s="23"/>
      <c r="D1989" s="24">
        <f ca="1">IFERROR(__xludf.DUMMYFUNCTION("""COMPUTED_VALUE"""),469)</f>
        <v>469</v>
      </c>
      <c r="E1989" s="25" t="str">
        <f ca="1">IFERROR(__xludf.DUMMYFUNCTION("""COMPUTED_VALUE"""),"REA-U6500")</f>
        <v>REA-U6500</v>
      </c>
    </row>
    <row r="1990" spans="1:5" x14ac:dyDescent="0.2">
      <c r="A1990" s="22">
        <f ca="1">IFERROR(__xludf.DUMMYFUNCTION("""COMPUTED_VALUE"""),44979)</f>
        <v>44979</v>
      </c>
      <c r="B1990" s="23" t="str">
        <f ca="1">IFERROR(__xludf.DUMMYFUNCTION("""COMPUTED_VALUE"""),"BATERIA UMYWAL PODTYN LUNGO LONG ZŁOTA SZCZO + BOX")</f>
        <v>BATERIA UMYWAL PODTYN LUNGO LONG ZŁOTA SZCZO + BOX</v>
      </c>
      <c r="C1990" s="23"/>
      <c r="D1990" s="24">
        <f ca="1">IFERROR(__xludf.DUMMYFUNCTION("""COMPUTED_VALUE"""),499)</f>
        <v>499</v>
      </c>
      <c r="E1990" s="25" t="str">
        <f ca="1">IFERROR(__xludf.DUMMYFUNCTION("""COMPUTED_VALUE"""),"REA-B4109")</f>
        <v>REA-B4109</v>
      </c>
    </row>
    <row r="1991" spans="1:5" x14ac:dyDescent="0.2">
      <c r="A1991" s="22">
        <f ca="1">IFERROR(__xludf.DUMMYFUNCTION("""COMPUTED_VALUE"""),44974)</f>
        <v>44974</v>
      </c>
      <c r="B1991" s="23" t="str">
        <f ca="1">IFERROR(__xludf.DUMMYFUNCTION("""COMPUTED_VALUE"""),"KABINA LOOK BLACK 80x100")</f>
        <v>KABINA LOOK BLACK 80x100</v>
      </c>
      <c r="C1991" s="23"/>
      <c r="D1991" s="24">
        <f ca="1">IFERROR(__xludf.DUMMYFUNCTION("""COMPUTED_VALUE"""),900)</f>
        <v>900</v>
      </c>
      <c r="E1991" s="25" t="str">
        <f ca="1">IFERROR(__xludf.DUMMYFUNCTION("""COMPUTED_VALUE"""),"REA-K7900")</f>
        <v>REA-K7900</v>
      </c>
    </row>
    <row r="1992" spans="1:5" x14ac:dyDescent="0.2">
      <c r="A1992" s="22">
        <f ca="1">IFERROR(__xludf.DUMMYFUNCTION("""COMPUTED_VALUE"""),44974)</f>
        <v>44974</v>
      </c>
      <c r="B1992" s="23" t="str">
        <f ca="1">IFERROR(__xludf.DUMMYFUNCTION("""COMPUTED_VALUE"""),"KABINA LOOK CHROME 80x100")</f>
        <v>KABINA LOOK CHROME 80x100</v>
      </c>
      <c r="C1992" s="23"/>
      <c r="D1992" s="24">
        <f ca="1">IFERROR(__xludf.DUMMYFUNCTION("""COMPUTED_VALUE"""),879)</f>
        <v>879</v>
      </c>
      <c r="E1992" s="25" t="str">
        <f ca="1">IFERROR(__xludf.DUMMYFUNCTION("""COMPUTED_VALUE"""),"REA-K7901")</f>
        <v>REA-K7901</v>
      </c>
    </row>
    <row r="1993" spans="1:5" x14ac:dyDescent="0.2">
      <c r="A1993" s="22">
        <f ca="1">IFERROR(__xludf.DUMMYFUNCTION("""COMPUTED_VALUE"""),44974)</f>
        <v>44974</v>
      </c>
      <c r="B1993" s="23" t="str">
        <f ca="1">IFERROR(__xludf.DUMMYFUNCTION("""COMPUTED_VALUE"""),"BRODZIK LOOK WHITE 90x90")</f>
        <v>BRODZIK LOOK WHITE 90x90</v>
      </c>
      <c r="C1993" s="23"/>
      <c r="D1993" s="24">
        <f ca="1">IFERROR(__xludf.DUMMYFUNCTION("""COMPUTED_VALUE"""),389)</f>
        <v>389</v>
      </c>
      <c r="E1993" s="25" t="str">
        <f ca="1">IFERROR(__xludf.DUMMYFUNCTION("""COMPUTED_VALUE"""),"REA-K7907")</f>
        <v>REA-K7907</v>
      </c>
    </row>
    <row r="1994" spans="1:5" x14ac:dyDescent="0.2">
      <c r="A1994" s="22">
        <f ca="1">IFERROR(__xludf.DUMMYFUNCTION("""COMPUTED_VALUE"""),44974)</f>
        <v>44974</v>
      </c>
      <c r="B1994" s="23" t="str">
        <f ca="1">IFERROR(__xludf.DUMMYFUNCTION("""COMPUTED_VALUE"""),"KABINA LOOK BLACK 80x80")</f>
        <v>KABINA LOOK BLACK 80x80</v>
      </c>
      <c r="C1994" s="23"/>
      <c r="D1994" s="24">
        <f ca="1">IFERROR(__xludf.DUMMYFUNCTION("""COMPUTED_VALUE"""),799)</f>
        <v>799</v>
      </c>
      <c r="E1994" s="25" t="str">
        <f ca="1">IFERROR(__xludf.DUMMYFUNCTION("""COMPUTED_VALUE"""),"REA-K7902")</f>
        <v>REA-K7902</v>
      </c>
    </row>
    <row r="1995" spans="1:5" x14ac:dyDescent="0.2">
      <c r="A1995" s="22">
        <f ca="1">IFERROR(__xludf.DUMMYFUNCTION("""COMPUTED_VALUE"""),44974)</f>
        <v>44974</v>
      </c>
      <c r="B1995" s="23" t="str">
        <f ca="1">IFERROR(__xludf.DUMMYFUNCTION("""COMPUTED_VALUE"""),"KABINA LOOK CHROME 80x80")</f>
        <v>KABINA LOOK CHROME 80x80</v>
      </c>
      <c r="C1995" s="23"/>
      <c r="D1995" s="24">
        <f ca="1">IFERROR(__xludf.DUMMYFUNCTION("""COMPUTED_VALUE"""),839)</f>
        <v>839</v>
      </c>
      <c r="E1995" s="25" t="str">
        <f ca="1">IFERROR(__xludf.DUMMYFUNCTION("""COMPUTED_VALUE"""),"REA-K7904")</f>
        <v>REA-K7904</v>
      </c>
    </row>
    <row r="1996" spans="1:5" x14ac:dyDescent="0.2">
      <c r="A1996" s="22">
        <f ca="1">IFERROR(__xludf.DUMMYFUNCTION("""COMPUTED_VALUE"""),44974)</f>
        <v>44974</v>
      </c>
      <c r="B1996" s="23" t="str">
        <f ca="1">IFERROR(__xludf.DUMMYFUNCTION("""COMPUTED_VALUE"""),"KABINA LOOK CHROME 90x90")</f>
        <v>KABINA LOOK CHROME 90x90</v>
      </c>
      <c r="C1996" s="23"/>
      <c r="D1996" s="24">
        <f ca="1">IFERROR(__xludf.DUMMYFUNCTION("""COMPUTED_VALUE"""),870)</f>
        <v>870</v>
      </c>
      <c r="E1996" s="25" t="str">
        <f ca="1">IFERROR(__xludf.DUMMYFUNCTION("""COMPUTED_VALUE"""),"REA-K7905")</f>
        <v>REA-K7905</v>
      </c>
    </row>
    <row r="1997" spans="1:5" x14ac:dyDescent="0.2">
      <c r="A1997" s="22">
        <f ca="1">IFERROR(__xludf.DUMMYFUNCTION("""COMPUTED_VALUE"""),44974)</f>
        <v>44974</v>
      </c>
      <c r="B1997" s="23" t="str">
        <f ca="1">IFERROR(__xludf.DUMMYFUNCTION("""COMPUTED_VALUE"""),"BRODZIK LOOK WHITE 80x80")</f>
        <v>BRODZIK LOOK WHITE 80x80</v>
      </c>
      <c r="C1997" s="23"/>
      <c r="D1997" s="24">
        <f ca="1">IFERROR(__xludf.DUMMYFUNCTION("""COMPUTED_VALUE"""),370)</f>
        <v>370</v>
      </c>
      <c r="E1997" s="25" t="str">
        <f ca="1">IFERROR(__xludf.DUMMYFUNCTION("""COMPUTED_VALUE"""),"REA-K7908")</f>
        <v>REA-K7908</v>
      </c>
    </row>
    <row r="1998" spans="1:5" x14ac:dyDescent="0.2">
      <c r="A1998" s="22">
        <f ca="1">IFERROR(__xludf.DUMMYFUNCTION("""COMPUTED_VALUE"""),44974)</f>
        <v>44974</v>
      </c>
      <c r="B1998" s="23" t="str">
        <f ca="1">IFERROR(__xludf.DUMMYFUNCTION("""COMPUTED_VALUE"""),"KABINA LOOK BLACK 90x90")</f>
        <v>KABINA LOOK BLACK 90x90</v>
      </c>
      <c r="C1998" s="23"/>
      <c r="D1998" s="24">
        <f ca="1">IFERROR(__xludf.DUMMYFUNCTION("""COMPUTED_VALUE"""),879)</f>
        <v>879</v>
      </c>
      <c r="E1998" s="25" t="str">
        <f ca="1">IFERROR(__xludf.DUMMYFUNCTION("""COMPUTED_VALUE"""),"REA-K7903")</f>
        <v>REA-K7903</v>
      </c>
    </row>
    <row r="1999" spans="1:5" x14ac:dyDescent="0.2">
      <c r="A1999" s="22">
        <f ca="1">IFERROR(__xludf.DUMMYFUNCTION("""COMPUTED_VALUE"""),44974)</f>
        <v>44974</v>
      </c>
      <c r="B1999" s="23" t="str">
        <f ca="1">IFERROR(__xludf.DUMMYFUNCTION("""COMPUTED_VALUE"""),"BRODZIK LOOK WHITE 80x100 LEWY")</f>
        <v>BRODZIK LOOK WHITE 80x100 LEWY</v>
      </c>
      <c r="C1999" s="23"/>
      <c r="D1999" s="24">
        <f ca="1">IFERROR(__xludf.DUMMYFUNCTION("""COMPUTED_VALUE"""),399)</f>
        <v>399</v>
      </c>
      <c r="E1999" s="25" t="str">
        <f ca="1">IFERROR(__xludf.DUMMYFUNCTION("""COMPUTED_VALUE"""),"REA-K7909")</f>
        <v>REA-K7909</v>
      </c>
    </row>
    <row r="2000" spans="1:5" x14ac:dyDescent="0.2">
      <c r="A2000" s="22">
        <f ca="1">IFERROR(__xludf.DUMMYFUNCTION("""COMPUTED_VALUE"""),44974)</f>
        <v>44974</v>
      </c>
      <c r="B2000" s="23" t="str">
        <f ca="1">IFERROR(__xludf.DUMMYFUNCTION("""COMPUTED_VALUE"""),"BRODZIK LOOK WHITE 80x100 PRAWY")</f>
        <v>BRODZIK LOOK WHITE 80x100 PRAWY</v>
      </c>
      <c r="C2000" s="23"/>
      <c r="D2000" s="24">
        <f ca="1">IFERROR(__xludf.DUMMYFUNCTION("""COMPUTED_VALUE"""),399)</f>
        <v>399</v>
      </c>
      <c r="E2000" s="25" t="str">
        <f ca="1">IFERROR(__xludf.DUMMYFUNCTION("""COMPUTED_VALUE"""),"REA-K7906")</f>
        <v>REA-K7906</v>
      </c>
    </row>
    <row r="2001" spans="1:5" x14ac:dyDescent="0.2">
      <c r="A2001" s="22">
        <f ca="1">IFERROR(__xludf.DUMMYFUNCTION("""COMPUTED_VALUE"""),44974)</f>
        <v>44974</v>
      </c>
      <c r="B2001" s="23" t="str">
        <f ca="1">IFERROR(__xludf.DUMMYFUNCTION("""COMPUTED_VALUE"""),"UMYWALKA NADIA AIAX SHINY - NABLATOWA")</f>
        <v>UMYWALKA NADIA AIAX SHINY - NABLATOWA</v>
      </c>
      <c r="C2001" s="23"/>
      <c r="D2001" s="24">
        <f ca="1">IFERROR(__xludf.DUMMYFUNCTION("""COMPUTED_VALUE"""),399)</f>
        <v>399</v>
      </c>
      <c r="E2001" s="25" t="str">
        <f ca="1">IFERROR(__xludf.DUMMYFUNCTION("""COMPUTED_VALUE"""),"REA-U6506")</f>
        <v>REA-U6506</v>
      </c>
    </row>
    <row r="2002" spans="1:5" x14ac:dyDescent="0.2">
      <c r="A2002" s="22">
        <f ca="1">IFERROR(__xludf.DUMMYFUNCTION("""COMPUTED_VALUE"""),44974)</f>
        <v>44974</v>
      </c>
      <c r="B2002" s="23" t="str">
        <f ca="1">IFERROR(__xludf.DUMMYFUNCTION("""COMPUTED_VALUE"""),"UMYWALKA ROYAL MINI - NABLATOWA")</f>
        <v>UMYWALKA ROYAL MINI - NABLATOWA</v>
      </c>
      <c r="C2002" s="23"/>
      <c r="D2002" s="24">
        <f ca="1">IFERROR(__xludf.DUMMYFUNCTION("""COMPUTED_VALUE"""),279)</f>
        <v>279</v>
      </c>
      <c r="E2002" s="25" t="str">
        <f ca="1">IFERROR(__xludf.DUMMYFUNCTION("""COMPUTED_VALUE"""),"REA-U6507")</f>
        <v>REA-U6507</v>
      </c>
    </row>
    <row r="2003" spans="1:5" x14ac:dyDescent="0.2">
      <c r="A2003" s="22">
        <f ca="1">IFERROR(__xludf.DUMMYFUNCTION("""COMPUTED_VALUE"""),44974)</f>
        <v>44974</v>
      </c>
      <c r="B2003" s="23" t="str">
        <f ca="1">IFERROR(__xludf.DUMMYFUNCTION("""COMPUTED_VALUE"""),"UMYWALKA KELLY MINI AIAX SHINY - NABLATOWA")</f>
        <v>UMYWALKA KELLY MINI AIAX SHINY - NABLATOWA</v>
      </c>
      <c r="C2003" s="23"/>
      <c r="D2003" s="24">
        <f ca="1">IFERROR(__xludf.DUMMYFUNCTION("""COMPUTED_VALUE"""),279)</f>
        <v>279</v>
      </c>
      <c r="E2003" s="25" t="str">
        <f ca="1">IFERROR(__xludf.DUMMYFUNCTION("""COMPUTED_VALUE"""),"REA-U6504")</f>
        <v>REA-U6504</v>
      </c>
    </row>
    <row r="2004" spans="1:5" x14ac:dyDescent="0.2">
      <c r="A2004" s="22">
        <f ca="1">IFERROR(__xludf.DUMMYFUNCTION("""COMPUTED_VALUE"""),44974)</f>
        <v>44974</v>
      </c>
      <c r="B2004" s="23" t="str">
        <f ca="1">IFERROR(__xludf.DUMMYFUNCTION("""COMPUTED_VALUE"""),"UMYWALKA LINDA BLACK - NABLATOWA")</f>
        <v>UMYWALKA LINDA BLACK - NABLATOWA</v>
      </c>
      <c r="C2004" s="23"/>
      <c r="D2004" s="24">
        <f ca="1">IFERROR(__xludf.DUMMYFUNCTION("""COMPUTED_VALUE"""),269)</f>
        <v>269</v>
      </c>
      <c r="E2004" s="25" t="str">
        <f ca="1">IFERROR(__xludf.DUMMYFUNCTION("""COMPUTED_VALUE"""),"REA-U8523")</f>
        <v>REA-U8523</v>
      </c>
    </row>
    <row r="2005" spans="1:5" x14ac:dyDescent="0.2">
      <c r="A2005" s="22">
        <f ca="1">IFERROR(__xludf.DUMMYFUNCTION("""COMPUTED_VALUE"""),44974)</f>
        <v>44974</v>
      </c>
      <c r="B2005" s="23" t="str">
        <f ca="1">IFERROR(__xludf.DUMMYFUNCTION("""COMPUTED_VALUE"""),"UMYWALKA BELINDA SHINY AIAX - NABLATOWA")</f>
        <v>UMYWALKA BELINDA SHINY AIAX - NABLATOWA</v>
      </c>
      <c r="C2005" s="23"/>
      <c r="D2005" s="24">
        <f ca="1">IFERROR(__xludf.DUMMYFUNCTION("""COMPUTED_VALUE"""),349)</f>
        <v>349</v>
      </c>
      <c r="E2005" s="25" t="str">
        <f ca="1">IFERROR(__xludf.DUMMYFUNCTION("""COMPUTED_VALUE"""),"REA-U6596")</f>
        <v>REA-U6596</v>
      </c>
    </row>
    <row r="2006" spans="1:5" x14ac:dyDescent="0.2">
      <c r="A2006" s="22">
        <f ca="1">IFERROR(__xludf.DUMMYFUNCTION("""COMPUTED_VALUE"""),44974)</f>
        <v>44974</v>
      </c>
      <c r="B2006" s="23" t="str">
        <f ca="1">IFERROR(__xludf.DUMMYFUNCTION("""COMPUTED_VALUE"""),"UMYWALKA BELINDA MINI AIAX SHINY - NABLATOWA")</f>
        <v>UMYWALKA BELINDA MINI AIAX SHINY - NABLATOWA</v>
      </c>
      <c r="C2006" s="23"/>
      <c r="D2006" s="24">
        <f ca="1">IFERROR(__xludf.DUMMYFUNCTION("""COMPUTED_VALUE"""),269)</f>
        <v>269</v>
      </c>
      <c r="E2006" s="25" t="str">
        <f ca="1">IFERROR(__xludf.DUMMYFUNCTION("""COMPUTED_VALUE"""),"REA-U6505")</f>
        <v>REA-U6505</v>
      </c>
    </row>
    <row r="2007" spans="1:5" x14ac:dyDescent="0.2">
      <c r="A2007" s="22">
        <f ca="1">IFERROR(__xludf.DUMMYFUNCTION("""COMPUTED_VALUE"""),44974)</f>
        <v>44974</v>
      </c>
      <c r="B2007" s="23" t="str">
        <f ca="1">IFERROR(__xludf.DUMMYFUNCTION("""COMPUTED_VALUE"""),"UMYWALKA DENIS BLACK EDGE - NABLATOWA")</f>
        <v>UMYWALKA DENIS BLACK EDGE - NABLATOWA</v>
      </c>
      <c r="C2007" s="23"/>
      <c r="D2007" s="24">
        <f ca="1">IFERROR(__xludf.DUMMYFUNCTION("""COMPUTED_VALUE"""),399)</f>
        <v>399</v>
      </c>
      <c r="E2007" s="25" t="str">
        <f ca="1">IFERROR(__xludf.DUMMYFUNCTION("""COMPUTED_VALUE"""),"REA-U6513")</f>
        <v>REA-U6513</v>
      </c>
    </row>
    <row r="2008" spans="1:5" x14ac:dyDescent="0.2">
      <c r="A2008" s="22">
        <f ca="1">IFERROR(__xludf.DUMMYFUNCTION("""COMPUTED_VALUE"""),44974)</f>
        <v>44974</v>
      </c>
      <c r="B2008" s="23" t="str">
        <f ca="1">IFERROR(__xludf.DUMMYFUNCTION("""COMPUTED_VALUE"""),"KABINA 80X80 CONCEPT BLACK")</f>
        <v>KABINA 80X80 CONCEPT BLACK</v>
      </c>
      <c r="C2008" s="23"/>
      <c r="D2008" s="24">
        <f ca="1">IFERROR(__xludf.DUMMYFUNCTION("""COMPUTED_VALUE"""),829)</f>
        <v>829</v>
      </c>
      <c r="E2008" s="25" t="str">
        <f ca="1">IFERROR(__xludf.DUMMYFUNCTION("""COMPUTED_VALUE"""),"REA-K5479")</f>
        <v>REA-K5479</v>
      </c>
    </row>
    <row r="2009" spans="1:5" x14ac:dyDescent="0.2">
      <c r="A2009" s="22">
        <f ca="1">IFERROR(__xludf.DUMMYFUNCTION("""COMPUTED_VALUE"""),44974)</f>
        <v>44974</v>
      </c>
      <c r="B2009" s="23" t="str">
        <f ca="1">IFERROR(__xludf.DUMMYFUNCTION("""COMPUTED_VALUE"""),"ZESTAW NATRYSKOWY MIKE BLACK")</f>
        <v>ZESTAW NATRYSKOWY MIKE BLACK</v>
      </c>
      <c r="C2009" s="23"/>
      <c r="D2009" s="24">
        <f ca="1">IFERROR(__xludf.DUMMYFUNCTION("""COMPUTED_VALUE"""),649)</f>
        <v>649</v>
      </c>
      <c r="E2009" s="25" t="str">
        <f ca="1">IFERROR(__xludf.DUMMYFUNCTION("""COMPUTED_VALUE"""),"REA-P0550")</f>
        <v>REA-P0550</v>
      </c>
    </row>
    <row r="2010" spans="1:5" x14ac:dyDescent="0.2">
      <c r="A2010" s="22">
        <f ca="1">IFERROR(__xludf.DUMMYFUNCTION("""COMPUTED_VALUE"""),44964)</f>
        <v>44964</v>
      </c>
      <c r="B2010" s="23" t="str">
        <f ca="1">IFERROR(__xludf.DUMMYFUNCTION("""COMPUTED_VALUE"""),"UMYWALKA MAGARI - WPUSZCZANA")</f>
        <v>UMYWALKA MAGARI - WPUSZCZANA</v>
      </c>
      <c r="C2010" s="23"/>
      <c r="D2010" s="24">
        <f ca="1">IFERROR(__xludf.DUMMYFUNCTION("""COMPUTED_VALUE"""),179)</f>
        <v>179</v>
      </c>
      <c r="E2010" s="25" t="str">
        <f ca="1">IFERROR(__xludf.DUMMYFUNCTION("""COMPUTED_VALUE"""),"REA-U0064")</f>
        <v>REA-U0064</v>
      </c>
    </row>
    <row r="2011" spans="1:5" x14ac:dyDescent="0.2">
      <c r="A2011" s="22">
        <f ca="1">IFERROR(__xludf.DUMMYFUNCTION("""COMPUTED_VALUE"""),44964)</f>
        <v>44964</v>
      </c>
      <c r="B2011" s="23" t="str">
        <f ca="1">IFERROR(__xludf.DUMMYFUNCTION("""COMPUTED_VALUE"""),"UMYWALKA DAFNE 75 - WPUSZCZANA")</f>
        <v>UMYWALKA DAFNE 75 - WPUSZCZANA</v>
      </c>
      <c r="C2011" s="23"/>
      <c r="D2011" s="24">
        <f ca="1">IFERROR(__xludf.DUMMYFUNCTION("""COMPUTED_VALUE"""),329)</f>
        <v>329</v>
      </c>
      <c r="E2011" s="25" t="str">
        <f ca="1">IFERROR(__xludf.DUMMYFUNCTION("""COMPUTED_VALUE"""),"REA-U0040")</f>
        <v>REA-U0040</v>
      </c>
    </row>
    <row r="2012" spans="1:5" x14ac:dyDescent="0.2">
      <c r="A2012" s="22">
        <f ca="1">IFERROR(__xludf.DUMMYFUNCTION("""COMPUTED_VALUE"""),44964)</f>
        <v>44964</v>
      </c>
      <c r="B2012" s="23" t="str">
        <f ca="1">IFERROR(__xludf.DUMMYFUNCTION("""COMPUTED_VALUE"""),"UMYWALKA DAFNE 70 - WPUSZCZANA")</f>
        <v>UMYWALKA DAFNE 70 - WPUSZCZANA</v>
      </c>
      <c r="C2012" s="23"/>
      <c r="D2012" s="24">
        <f ca="1">IFERROR(__xludf.DUMMYFUNCTION("""COMPUTED_VALUE"""),299)</f>
        <v>299</v>
      </c>
      <c r="E2012" s="25" t="str">
        <f ca="1">IFERROR(__xludf.DUMMYFUNCTION("""COMPUTED_VALUE"""),"REA-U0190")</f>
        <v>REA-U0190</v>
      </c>
    </row>
    <row r="2013" spans="1:5" x14ac:dyDescent="0.2">
      <c r="A2013" s="22">
        <f ca="1">IFERROR(__xludf.DUMMYFUNCTION("""COMPUTED_VALUE"""),44964)</f>
        <v>44964</v>
      </c>
      <c r="B2013" s="23" t="str">
        <f ca="1">IFERROR(__xludf.DUMMYFUNCTION("""COMPUTED_VALUE"""),"UMYWALKA DAFNE 60 - WPUSZCZANA")</f>
        <v>UMYWALKA DAFNE 60 - WPUSZCZANA</v>
      </c>
      <c r="C2013" s="23"/>
      <c r="D2013" s="24">
        <f ca="1">IFERROR(__xludf.DUMMYFUNCTION("""COMPUTED_VALUE"""),289)</f>
        <v>289</v>
      </c>
      <c r="E2013" s="25" t="str">
        <f ca="1">IFERROR(__xludf.DUMMYFUNCTION("""COMPUTED_VALUE"""),"REA-U0786")</f>
        <v>REA-U0786</v>
      </c>
    </row>
    <row r="2014" spans="1:5" x14ac:dyDescent="0.2">
      <c r="A2014" s="22">
        <f ca="1">IFERROR(__xludf.DUMMYFUNCTION("""COMPUTED_VALUE"""),44964)</f>
        <v>44964</v>
      </c>
      <c r="B2014" s="23" t="str">
        <f ca="1">IFERROR(__xludf.DUMMYFUNCTION("""COMPUTED_VALUE"""),"ZESTAW NATRYSKOWY HELIX CZARNY")</f>
        <v>ZESTAW NATRYSKOWY HELIX CZARNY</v>
      </c>
      <c r="C2014" s="23"/>
      <c r="D2014" s="24">
        <f ca="1">IFERROR(__xludf.DUMMYFUNCTION("""COMPUTED_VALUE"""),729)</f>
        <v>729</v>
      </c>
      <c r="E2014" s="25" t="str">
        <f ca="1">IFERROR(__xludf.DUMMYFUNCTION("""COMPUTED_VALUE"""),"REA-P6618")</f>
        <v>REA-P6618</v>
      </c>
    </row>
    <row r="2015" spans="1:5" x14ac:dyDescent="0.2">
      <c r="A2015" s="22">
        <f ca="1">IFERROR(__xludf.DUMMYFUNCTION("""COMPUTED_VALUE"""),44964)</f>
        <v>44964</v>
      </c>
      <c r="B2015" s="23" t="str">
        <f ca="1">IFERROR(__xludf.DUMMYFUNCTION("""COMPUTED_VALUE"""),"ZESTAW NATRYSKOWY HELIX ZŁOTY")</f>
        <v>ZESTAW NATRYSKOWY HELIX ZŁOTY</v>
      </c>
      <c r="C2015" s="23"/>
      <c r="D2015" s="24">
        <f ca="1">IFERROR(__xludf.DUMMYFUNCTION("""COMPUTED_VALUE"""),829)</f>
        <v>829</v>
      </c>
      <c r="E2015" s="25" t="str">
        <f ca="1">IFERROR(__xludf.DUMMYFUNCTION("""COMPUTED_VALUE"""),"REA-P6619")</f>
        <v>REA-P6619</v>
      </c>
    </row>
    <row r="2016" spans="1:5" x14ac:dyDescent="0.2">
      <c r="A2016" s="22">
        <f ca="1">IFERROR(__xludf.DUMMYFUNCTION("""COMPUTED_VALUE"""),44964)</f>
        <v>44964</v>
      </c>
      <c r="B2016" s="23" t="str">
        <f ca="1">IFERROR(__xludf.DUMMYFUNCTION("""COMPUTED_VALUE"""),"ZESTAW NATRYSKOWY HELIX CHROM")</f>
        <v>ZESTAW NATRYSKOWY HELIX CHROM</v>
      </c>
      <c r="C2016" s="23"/>
      <c r="D2016" s="24">
        <f ca="1">IFERROR(__xludf.DUMMYFUNCTION("""COMPUTED_VALUE"""),699)</f>
        <v>699</v>
      </c>
      <c r="E2016" s="25" t="str">
        <f ca="1">IFERROR(__xludf.DUMMYFUNCTION("""COMPUTED_VALUE"""),"REA-P6620")</f>
        <v>REA-P6620</v>
      </c>
    </row>
    <row r="2017" spans="1:5" x14ac:dyDescent="0.2">
      <c r="A2017" s="22">
        <f ca="1">IFERROR(__xludf.DUMMYFUNCTION("""COMPUTED_VALUE"""),44964)</f>
        <v>44964</v>
      </c>
      <c r="B2017" s="23" t="str">
        <f ca="1">IFERROR(__xludf.DUMMYFUNCTION("""COMPUTED_VALUE"""),"ZESTAW NATRYSKOWY HELIX ZŁOTY SZCZOTKOWANY")</f>
        <v>ZESTAW NATRYSKOWY HELIX ZŁOTY SZCZOTKOWANY</v>
      </c>
      <c r="C2017" s="23"/>
      <c r="D2017" s="24">
        <f ca="1">IFERROR(__xludf.DUMMYFUNCTION("""COMPUTED_VALUE"""),939)</f>
        <v>939</v>
      </c>
      <c r="E2017" s="25" t="str">
        <f ca="1">IFERROR(__xludf.DUMMYFUNCTION("""COMPUTED_VALUE"""),"REA-P6621")</f>
        <v>REA-P6621</v>
      </c>
    </row>
    <row r="2018" spans="1:5" x14ac:dyDescent="0.2">
      <c r="A2018" s="22">
        <f ca="1">IFERROR(__xludf.DUMMYFUNCTION("""COMPUTED_VALUE"""),44964)</f>
        <v>44964</v>
      </c>
      <c r="B2018" s="23" t="str">
        <f ca="1">IFERROR(__xludf.DUMMYFUNCTION("""COMPUTED_VALUE"""),"ZESTAW NATRYSKOWY ROB ZŁOTY TERMOSTAT")</f>
        <v>ZESTAW NATRYSKOWY ROB ZŁOTY TERMOSTAT</v>
      </c>
      <c r="C2018" s="23"/>
      <c r="D2018" s="24">
        <f ca="1">IFERROR(__xludf.DUMMYFUNCTION("""COMPUTED_VALUE"""),1099)</f>
        <v>1099</v>
      </c>
      <c r="E2018" s="25" t="str">
        <f ca="1">IFERROR(__xludf.DUMMYFUNCTION("""COMPUTED_VALUE"""),"REA-P6625")</f>
        <v>REA-P6625</v>
      </c>
    </row>
    <row r="2019" spans="1:5" x14ac:dyDescent="0.2">
      <c r="A2019" s="22">
        <f ca="1">IFERROR(__xludf.DUMMYFUNCTION("""COMPUTED_VALUE"""),44964)</f>
        <v>44964</v>
      </c>
      <c r="B2019" s="23" t="str">
        <f ca="1">IFERROR(__xludf.DUMMYFUNCTION("""COMPUTED_VALUE"""),"ZESTAW NATRYSKOWY ROB CHROM TERMOSTAT")</f>
        <v>ZESTAW NATRYSKOWY ROB CHROM TERMOSTAT</v>
      </c>
      <c r="C2019" s="23"/>
      <c r="D2019" s="24">
        <f ca="1">IFERROR(__xludf.DUMMYFUNCTION("""COMPUTED_VALUE"""),979)</f>
        <v>979</v>
      </c>
      <c r="E2019" s="25" t="str">
        <f ca="1">IFERROR(__xludf.DUMMYFUNCTION("""COMPUTED_VALUE"""),"REA-P6626")</f>
        <v>REA-P6626</v>
      </c>
    </row>
    <row r="2020" spans="1:5" x14ac:dyDescent="0.2">
      <c r="A2020" s="22">
        <f ca="1">IFERROR(__xludf.DUMMYFUNCTION("""COMPUTED_VALUE"""),44964)</f>
        <v>44964</v>
      </c>
      <c r="B2020" s="23" t="str">
        <f ca="1">IFERROR(__xludf.DUMMYFUNCTION("""COMPUTED_VALUE"""),"BATERIA UMYWALKOWA LEVI BLACK ")</f>
        <v xml:space="preserve">BATERIA UMYWALKOWA LEVI BLACK </v>
      </c>
      <c r="C2020" s="23"/>
      <c r="D2020" s="24">
        <f ca="1">IFERROR(__xludf.DUMMYFUNCTION("""COMPUTED_VALUE"""),399)</f>
        <v>399</v>
      </c>
      <c r="E2020" s="25" t="str">
        <f ca="1">IFERROR(__xludf.DUMMYFUNCTION("""COMPUTED_VALUE"""),"REA-B5136")</f>
        <v>REA-B5136</v>
      </c>
    </row>
    <row r="2021" spans="1:5" x14ac:dyDescent="0.2">
      <c r="A2021" s="22">
        <f ca="1">IFERROR(__xludf.DUMMYFUNCTION("""COMPUTED_VALUE"""),44964)</f>
        <v>44964</v>
      </c>
      <c r="B2021" s="23" t="str">
        <f ca="1">IFERROR(__xludf.DUMMYFUNCTION("""COMPUTED_VALUE"""),"ZESTAW NATRYSKOWY LUNGO-MILER RÓŻOWE ZŁOTO TERMOST")</f>
        <v>ZESTAW NATRYSKOWY LUNGO-MILER RÓŻOWE ZŁOTO TERMOST</v>
      </c>
      <c r="C2021" s="23"/>
      <c r="D2021" s="24">
        <f ca="1">IFERROR(__xludf.DUMMYFUNCTION("""COMPUTED_VALUE"""),1439)</f>
        <v>1439</v>
      </c>
      <c r="E2021" s="25" t="str">
        <f ca="1">IFERROR(__xludf.DUMMYFUNCTION("""COMPUTED_VALUE"""),"REA-P6613")</f>
        <v>REA-P6613</v>
      </c>
    </row>
    <row r="2022" spans="1:5" x14ac:dyDescent="0.2">
      <c r="A2022" s="22">
        <f ca="1">IFERROR(__xludf.DUMMYFUNCTION("""COMPUTED_VALUE"""),44964)</f>
        <v>44964</v>
      </c>
      <c r="B2022" s="23" t="str">
        <f ca="1">IFERROR(__xludf.DUMMYFUNCTION("""COMPUTED_VALUE"""),"ZESTAW NATRYSKOWY LUNGO-MILER BIAŁY TERMOSTAT")</f>
        <v>ZESTAW NATRYSKOWY LUNGO-MILER BIAŁY TERMOSTAT</v>
      </c>
      <c r="C2022" s="23"/>
      <c r="D2022" s="24">
        <f ca="1">IFERROR(__xludf.DUMMYFUNCTION("""COMPUTED_VALUE"""),1349)</f>
        <v>1349</v>
      </c>
      <c r="E2022" s="25" t="str">
        <f ca="1">IFERROR(__xludf.DUMMYFUNCTION("""COMPUTED_VALUE"""),"REA-P6614")</f>
        <v>REA-P6614</v>
      </c>
    </row>
    <row r="2023" spans="1:5" x14ac:dyDescent="0.2">
      <c r="A2023" s="22">
        <f ca="1">IFERROR(__xludf.DUMMYFUNCTION("""COMPUTED_VALUE"""),44964)</f>
        <v>44964</v>
      </c>
      <c r="B2023" s="23" t="str">
        <f ca="1">IFERROR(__xludf.DUMMYFUNCTION("""COMPUTED_VALUE"""),"ZESTAW NATRYSKOWO-WANNOWY LUNGO BIAŁY TERMOSTAT")</f>
        <v>ZESTAW NATRYSKOWO-WANNOWY LUNGO BIAŁY TERMOSTAT</v>
      </c>
      <c r="C2023" s="23"/>
      <c r="D2023" s="24">
        <f ca="1">IFERROR(__xludf.DUMMYFUNCTION("""COMPUTED_VALUE"""),1039)</f>
        <v>1039</v>
      </c>
      <c r="E2023" s="25" t="str">
        <f ca="1">IFERROR(__xludf.DUMMYFUNCTION("""COMPUTED_VALUE"""),"REA-P6608")</f>
        <v>REA-P6608</v>
      </c>
    </row>
    <row r="2024" spans="1:5" x14ac:dyDescent="0.2">
      <c r="A2024" s="22">
        <f ca="1">IFERROR(__xludf.DUMMYFUNCTION("""COMPUTED_VALUE"""),44964)</f>
        <v>44964</v>
      </c>
      <c r="B2024" s="23" t="str">
        <f ca="1">IFERROR(__xludf.DUMMYFUNCTION("""COMPUTED_VALUE"""),"ZESTAW WANNOWY PODTYNKOWY LUNGO BIAŁY + BOX")</f>
        <v>ZESTAW WANNOWY PODTYNKOWY LUNGO BIAŁY + BOX</v>
      </c>
      <c r="C2024" s="23"/>
      <c r="D2024" s="24">
        <f ca="1">IFERROR(__xludf.DUMMYFUNCTION("""COMPUTED_VALUE"""),729)</f>
        <v>729</v>
      </c>
      <c r="E2024" s="25" t="str">
        <f ca="1">IFERROR(__xludf.DUMMYFUNCTION("""COMPUTED_VALUE"""),"REA-B6440")</f>
        <v>REA-B6440</v>
      </c>
    </row>
    <row r="2025" spans="1:5" x14ac:dyDescent="0.2">
      <c r="A2025" s="22">
        <f ca="1">IFERROR(__xludf.DUMMYFUNCTION("""COMPUTED_VALUE"""),44964)</f>
        <v>44964</v>
      </c>
      <c r="B2025" s="23" t="str">
        <f ca="1">IFERROR(__xludf.DUMMYFUNCTION("""COMPUTED_VALUE"""),"BATERIA WANNOWA LUNGO BIAŁA")</f>
        <v>BATERIA WANNOWA LUNGO BIAŁA</v>
      </c>
      <c r="C2025" s="23"/>
      <c r="D2025" s="24">
        <f ca="1">IFERROR(__xludf.DUMMYFUNCTION("""COMPUTED_VALUE"""),599)</f>
        <v>599</v>
      </c>
      <c r="E2025" s="25" t="str">
        <f ca="1">IFERROR(__xludf.DUMMYFUNCTION("""COMPUTED_VALUE"""),"REA-B8030")</f>
        <v>REA-B8030</v>
      </c>
    </row>
    <row r="2026" spans="1:5" x14ac:dyDescent="0.2">
      <c r="A2026" s="22">
        <f ca="1">IFERROR(__xludf.DUMMYFUNCTION("""COMPUTED_VALUE"""),44960)</f>
        <v>44960</v>
      </c>
      <c r="B2026" s="23" t="str">
        <f ca="1">IFERROR(__xludf.DUMMYFUNCTION("""COMPUTED_VALUE"""),"WANNA SYDNEY 160 LEWA")</f>
        <v>WANNA SYDNEY 160 LEWA</v>
      </c>
      <c r="C2026" s="23"/>
      <c r="D2026" s="24">
        <f ca="1">IFERROR(__xludf.DUMMYFUNCTION("""COMPUTED_VALUE"""),3399)</f>
        <v>3399</v>
      </c>
      <c r="E2026" s="25" t="str">
        <f ca="1">IFERROR(__xludf.DUMMYFUNCTION("""COMPUTED_VALUE"""),"REA-W8800")</f>
        <v>REA-W8800</v>
      </c>
    </row>
    <row r="2027" spans="1:5" x14ac:dyDescent="0.2">
      <c r="A2027" s="22">
        <f ca="1">IFERROR(__xludf.DUMMYFUNCTION("""COMPUTED_VALUE"""),44960)</f>
        <v>44960</v>
      </c>
      <c r="B2027" s="23" t="str">
        <f ca="1">IFERROR(__xludf.DUMMYFUNCTION("""COMPUTED_VALUE"""),"WANNA SYDNEY 160 PRAWA")</f>
        <v>WANNA SYDNEY 160 PRAWA</v>
      </c>
      <c r="C2027" s="23"/>
      <c r="D2027" s="24">
        <f ca="1">IFERROR(__xludf.DUMMYFUNCTION("""COMPUTED_VALUE"""),3399)</f>
        <v>3399</v>
      </c>
      <c r="E2027" s="25" t="str">
        <f ca="1">IFERROR(__xludf.DUMMYFUNCTION("""COMPUTED_VALUE"""),"REA-W8801")</f>
        <v>REA-W8801</v>
      </c>
    </row>
    <row r="2028" spans="1:5" x14ac:dyDescent="0.2">
      <c r="A2028" s="22">
        <f ca="1">IFERROR(__xludf.DUMMYFUNCTION("""COMPUTED_VALUE"""),44960)</f>
        <v>44960</v>
      </c>
      <c r="B2028" s="23" t="str">
        <f ca="1">IFERROR(__xludf.DUMMYFUNCTION("""COMPUTED_VALUE"""),"WANNA SYDNEY 170 LEWA")</f>
        <v>WANNA SYDNEY 170 LEWA</v>
      </c>
      <c r="C2028" s="23"/>
      <c r="D2028" s="24">
        <f ca="1">IFERROR(__xludf.DUMMYFUNCTION("""COMPUTED_VALUE"""),3499)</f>
        <v>3499</v>
      </c>
      <c r="E2028" s="25" t="str">
        <f ca="1">IFERROR(__xludf.DUMMYFUNCTION("""COMPUTED_VALUE"""),"REA-W8802")</f>
        <v>REA-W8802</v>
      </c>
    </row>
    <row r="2029" spans="1:5" x14ac:dyDescent="0.2">
      <c r="A2029" s="22">
        <f ca="1">IFERROR(__xludf.DUMMYFUNCTION("""COMPUTED_VALUE"""),44960)</f>
        <v>44960</v>
      </c>
      <c r="B2029" s="23" t="str">
        <f ca="1">IFERROR(__xludf.DUMMYFUNCTION("""COMPUTED_VALUE"""),"WANNA SYDNEY 170 PRAWA")</f>
        <v>WANNA SYDNEY 170 PRAWA</v>
      </c>
      <c r="C2029" s="23"/>
      <c r="D2029" s="24">
        <f ca="1">IFERROR(__xludf.DUMMYFUNCTION("""COMPUTED_VALUE"""),3499)</f>
        <v>3499</v>
      </c>
      <c r="E2029" s="25" t="str">
        <f ca="1">IFERROR(__xludf.DUMMYFUNCTION("""COMPUTED_VALUE"""),"REA-W8803")</f>
        <v>REA-W8803</v>
      </c>
    </row>
    <row r="2030" spans="1:5" x14ac:dyDescent="0.2">
      <c r="A2030" s="22">
        <f ca="1">IFERROR(__xludf.DUMMYFUNCTION("""COMPUTED_VALUE"""),44960)</f>
        <v>44960</v>
      </c>
      <c r="B2030" s="23" t="str">
        <f ca="1">IFERROR(__xludf.DUMMYFUNCTION("""COMPUTED_VALUE"""),"WC- CALANI LOYD BLACK")</f>
        <v>WC- CALANI LOYD BLACK</v>
      </c>
      <c r="C2030" s="23"/>
      <c r="D2030" s="24">
        <f ca="1">IFERROR(__xludf.DUMMYFUNCTION("""COMPUTED_VALUE"""),799)</f>
        <v>799</v>
      </c>
      <c r="E2030" s="25" t="str">
        <f ca="1">IFERROR(__xludf.DUMMYFUNCTION("""COMPUTED_VALUE"""),"CAL-C0020")</f>
        <v>CAL-C0020</v>
      </c>
    </row>
    <row r="2031" spans="1:5" x14ac:dyDescent="0.2">
      <c r="A2031" s="22">
        <f ca="1">IFERROR(__xludf.DUMMYFUNCTION("""COMPUTED_VALUE"""),44960)</f>
        <v>44960</v>
      </c>
      <c r="B2031" s="23" t="str">
        <f ca="1">IFERROR(__xludf.DUMMYFUNCTION("""COMPUTED_VALUE"""),"WC- CALANI LOYD SLIM")</f>
        <v>WC- CALANI LOYD SLIM</v>
      </c>
      <c r="C2031" s="23"/>
      <c r="D2031" s="24">
        <f ca="1">IFERROR(__xludf.DUMMYFUNCTION("""COMPUTED_VALUE"""),519)</f>
        <v>519</v>
      </c>
      <c r="E2031" s="25" t="str">
        <f ca="1">IFERROR(__xludf.DUMMYFUNCTION("""COMPUTED_VALUE"""),"CAL-C0002")</f>
        <v>CAL-C0002</v>
      </c>
    </row>
    <row r="2032" spans="1:5" x14ac:dyDescent="0.2">
      <c r="A2032" s="22">
        <f ca="1">IFERROR(__xludf.DUMMYFUNCTION("""COMPUTED_VALUE"""),44946)</f>
        <v>44946</v>
      </c>
      <c r="B2032" s="23" t="str">
        <f ca="1">IFERROR(__xludf.DUMMYFUNCTION("""COMPUTED_VALUE"""),"UMYWALKA FIESTA WHITE - NABLATOWA")</f>
        <v>UMYWALKA FIESTA WHITE - NABLATOWA</v>
      </c>
      <c r="C2032" s="23"/>
      <c r="D2032" s="24">
        <f ca="1">IFERROR(__xludf.DUMMYFUNCTION("""COMPUTED_VALUE"""),129)</f>
        <v>129</v>
      </c>
      <c r="E2032" s="25" t="str">
        <f ca="1">IFERROR(__xludf.DUMMYFUNCTION("""COMPUTED_VALUE"""),"CAL-00001")</f>
        <v>CAL-00001</v>
      </c>
    </row>
    <row r="2033" spans="1:5" x14ac:dyDescent="0.2">
      <c r="A2033" s="22">
        <f ca="1">IFERROR(__xludf.DUMMYFUNCTION("""COMPUTED_VALUE"""),44946)</f>
        <v>44946</v>
      </c>
      <c r="B2033" s="23" t="str">
        <f ca="1">IFERROR(__xludf.DUMMYFUNCTION("""COMPUTED_VALUE"""),"UMYWALKA QUEEN THUNDER SHINY - NABLATOWA ")</f>
        <v xml:space="preserve">UMYWALKA QUEEN THUNDER SHINY - NABLATOWA </v>
      </c>
      <c r="C2033" s="23"/>
      <c r="D2033" s="24">
        <f ca="1">IFERROR(__xludf.DUMMYFUNCTION("""COMPUTED_VALUE"""),459)</f>
        <v>459</v>
      </c>
      <c r="E2033" s="25" t="str">
        <f ca="1">IFERROR(__xludf.DUMMYFUNCTION("""COMPUTED_VALUE"""),"REA-U4101")</f>
        <v>REA-U4101</v>
      </c>
    </row>
    <row r="2034" spans="1:5" x14ac:dyDescent="0.2">
      <c r="A2034" s="22">
        <f ca="1">IFERROR(__xludf.DUMMYFUNCTION("""COMPUTED_VALUE"""),44946)</f>
        <v>44946</v>
      </c>
      <c r="B2034" s="23" t="str">
        <f ca="1">IFERROR(__xludf.DUMMYFUNCTION("""COMPUTED_VALUE"""),"UMYWALKA MERYL WHITE - NABLATOWA")</f>
        <v>UMYWALKA MERYL WHITE - NABLATOWA</v>
      </c>
      <c r="C2034" s="23"/>
      <c r="D2034" s="24">
        <f ca="1">IFERROR(__xludf.DUMMYFUNCTION("""COMPUTED_VALUE"""),499)</f>
        <v>499</v>
      </c>
      <c r="E2034" s="25" t="str">
        <f ca="1">IFERROR(__xludf.DUMMYFUNCTION("""COMPUTED_VALUE"""),"REA-U5054")</f>
        <v>REA-U5054</v>
      </c>
    </row>
    <row r="2035" spans="1:5" x14ac:dyDescent="0.2">
      <c r="A2035" s="22">
        <f ca="1">IFERROR(__xludf.DUMMYFUNCTION("""COMPUTED_VALUE"""),44946)</f>
        <v>44946</v>
      </c>
      <c r="B2035" s="23" t="str">
        <f ca="1">IFERROR(__xludf.DUMMYFUNCTION("""COMPUTED_VALUE"""),"UMYWALKA MARGOT BLACK GOLD  - NABLATOWA")</f>
        <v>UMYWALKA MARGOT BLACK GOLD  - NABLATOWA</v>
      </c>
      <c r="C2035" s="23"/>
      <c r="D2035" s="24">
        <f ca="1">IFERROR(__xludf.DUMMYFUNCTION("""COMPUTED_VALUE"""),619)</f>
        <v>619</v>
      </c>
      <c r="E2035" s="25" t="str">
        <f ca="1">IFERROR(__xludf.DUMMYFUNCTION("""COMPUTED_VALUE"""),"REA-U8978")</f>
        <v>REA-U8978</v>
      </c>
    </row>
    <row r="2036" spans="1:5" x14ac:dyDescent="0.2">
      <c r="A2036" s="22">
        <f ca="1">IFERROR(__xludf.DUMMYFUNCTION("""COMPUTED_VALUE"""),44946)</f>
        <v>44946</v>
      </c>
      <c r="B2036" s="23" t="str">
        <f ca="1">IFERROR(__xludf.DUMMYFUNCTION("""COMPUTED_VALUE"""),"UMYWALKA TANGO WHITE - NABLATOWA")</f>
        <v>UMYWALKA TANGO WHITE - NABLATOWA</v>
      </c>
      <c r="C2036" s="23"/>
      <c r="D2036" s="24">
        <f ca="1">IFERROR(__xludf.DUMMYFUNCTION("""COMPUTED_VALUE"""),299)</f>
        <v>299</v>
      </c>
      <c r="E2036" s="25" t="str">
        <f ca="1">IFERROR(__xludf.DUMMYFUNCTION("""COMPUTED_VALUE"""),"REA-U5610")</f>
        <v>REA-U5610</v>
      </c>
    </row>
    <row r="2037" spans="1:5" x14ac:dyDescent="0.2">
      <c r="A2037" s="22">
        <f ca="1">IFERROR(__xludf.DUMMYFUNCTION("""COMPUTED_VALUE"""),44946)</f>
        <v>44946</v>
      </c>
      <c r="B2037" s="23" t="str">
        <f ca="1">IFERROR(__xludf.DUMMYFUNCTION("""COMPUTED_VALUE"""),"UMYWALKA DEMI AIAX SHINY - NABLATOWA")</f>
        <v>UMYWALKA DEMI AIAX SHINY - NABLATOWA</v>
      </c>
      <c r="C2037" s="23"/>
      <c r="D2037" s="24">
        <f ca="1">IFERROR(__xludf.DUMMYFUNCTION("""COMPUTED_VALUE"""),359)</f>
        <v>359</v>
      </c>
      <c r="E2037" s="25" t="str">
        <f ca="1">IFERROR(__xludf.DUMMYFUNCTION("""COMPUTED_VALUE"""),"REA-U4100")</f>
        <v>REA-U4100</v>
      </c>
    </row>
    <row r="2038" spans="1:5" x14ac:dyDescent="0.2">
      <c r="A2038" s="22">
        <f ca="1">IFERROR(__xludf.DUMMYFUNCTION("""COMPUTED_VALUE"""),44946)</f>
        <v>44946</v>
      </c>
      <c r="B2038" s="23" t="str">
        <f ca="1">IFERROR(__xludf.DUMMYFUNCTION("""COMPUTED_VALUE"""),"UMYWALKA PAULA - NABLATOWA")</f>
        <v>UMYWALKA PAULA - NABLATOWA</v>
      </c>
      <c r="C2038" s="23"/>
      <c r="D2038" s="24">
        <f ca="1">IFERROR(__xludf.DUMMYFUNCTION("""COMPUTED_VALUE"""),139)</f>
        <v>139</v>
      </c>
      <c r="E2038" s="25" t="str">
        <f ca="1">IFERROR(__xludf.DUMMYFUNCTION("""COMPUTED_VALUE"""),"CAL-00008")</f>
        <v>CAL-00008</v>
      </c>
    </row>
    <row r="2039" spans="1:5" x14ac:dyDescent="0.2">
      <c r="A2039" s="22">
        <f ca="1">IFERROR(__xludf.DUMMYFUNCTION("""COMPUTED_VALUE"""),44946)</f>
        <v>44946</v>
      </c>
      <c r="B2039" s="23" t="str">
        <f ca="1">IFERROR(__xludf.DUMMYFUNCTION("""COMPUTED_VALUE"""),"UMYWALKA FIESTA MINI - NABLATOWA")</f>
        <v>UMYWALKA FIESTA MINI - NABLATOWA</v>
      </c>
      <c r="C2039" s="23"/>
      <c r="D2039" s="24">
        <f ca="1">IFERROR(__xludf.DUMMYFUNCTION("""COMPUTED_VALUE"""),99)</f>
        <v>99</v>
      </c>
      <c r="E2039" s="25" t="str">
        <f ca="1">IFERROR(__xludf.DUMMYFUNCTION("""COMPUTED_VALUE"""),"CAL-00002")</f>
        <v>CAL-00002</v>
      </c>
    </row>
    <row r="2040" spans="1:5" x14ac:dyDescent="0.2">
      <c r="A2040" s="22">
        <f ca="1">IFERROR(__xludf.DUMMYFUNCTION("""COMPUTED_VALUE"""),44946)</f>
        <v>44946</v>
      </c>
      <c r="B2040" s="23" t="str">
        <f ca="1">IFERROR(__xludf.DUMMYFUNCTION("""COMPUTED_VALUE"""),"UMYWALKA FIESTA MINI BLACK - NABLATOWA")</f>
        <v>UMYWALKA FIESTA MINI BLACK - NABLATOWA</v>
      </c>
      <c r="C2040" s="23"/>
      <c r="D2040" s="24">
        <f ca="1">IFERROR(__xludf.DUMMYFUNCTION("""COMPUTED_VALUE"""),199)</f>
        <v>199</v>
      </c>
      <c r="E2040" s="25" t="str">
        <f ca="1">IFERROR(__xludf.DUMMYFUNCTION("""COMPUTED_VALUE"""),"CAL-00014")</f>
        <v>CAL-00014</v>
      </c>
    </row>
    <row r="2041" spans="1:5" x14ac:dyDescent="0.2">
      <c r="A2041" s="22"/>
      <c r="B2041" s="23" t="str">
        <f ca="1">IFERROR(__xludf.DUMMYFUNCTION("""COMPUTED_VALUE"""),"ZESTAW NATRYSKOWO-WANNOWY LUNGO ZŁOTY SZCZOTK TERM")</f>
        <v>ZESTAW NATRYSKOWO-WANNOWY LUNGO ZŁOTY SZCZOTK TERM</v>
      </c>
      <c r="C2041" s="23"/>
      <c r="D2041" s="24">
        <f ca="1">IFERROR(__xludf.DUMMYFUNCTION("""COMPUTED_VALUE"""),1159)</f>
        <v>1159</v>
      </c>
      <c r="E2041" s="25" t="str">
        <f ca="1">IFERROR(__xludf.DUMMYFUNCTION("""COMPUTED_VALUE"""),"REA-P6604")</f>
        <v>REA-P6604</v>
      </c>
    </row>
    <row r="2042" spans="1:5" x14ac:dyDescent="0.2">
      <c r="A2042" s="22"/>
      <c r="B2042" s="23" t="str">
        <f ca="1">IFERROR(__xludf.DUMMYFUNCTION("""COMPUTED_VALUE"""),"ZESTAW NATRYSKOWY ROB ZŁOTY SZCZOTKOWANY TERMOSTAT")</f>
        <v>ZESTAW NATRYSKOWY ROB ZŁOTY SZCZOTKOWANY TERMOSTAT</v>
      </c>
      <c r="C2042" s="23"/>
      <c r="D2042" s="24">
        <f ca="1">IFERROR(__xludf.DUMMYFUNCTION("""COMPUTED_VALUE"""),1199)</f>
        <v>1199</v>
      </c>
      <c r="E2042" s="25" t="str">
        <f ca="1">IFERROR(__xludf.DUMMYFUNCTION("""COMPUTED_VALUE"""),"REA-P6623")</f>
        <v>REA-P6623</v>
      </c>
    </row>
    <row r="2043" spans="1:5" x14ac:dyDescent="0.2">
      <c r="A2043" s="22"/>
      <c r="B2043" s="23" t="str">
        <f ca="1">IFERROR(__xludf.DUMMYFUNCTION("""COMPUTED_VALUE"""),"ZESTAW NATRYSKOWY ROB NIKIEL SZCZOTKOWANY TERMOSTA")</f>
        <v>ZESTAW NATRYSKOWY ROB NIKIEL SZCZOTKOWANY TERMOSTA</v>
      </c>
      <c r="C2043" s="23"/>
      <c r="D2043" s="24">
        <f ca="1">IFERROR(__xludf.DUMMYFUNCTION("""COMPUTED_VALUE"""),1159)</f>
        <v>1159</v>
      </c>
      <c r="E2043" s="25" t="str">
        <f ca="1">IFERROR(__xludf.DUMMYFUNCTION("""COMPUTED_VALUE"""),"REA-P6624")</f>
        <v>REA-P6624</v>
      </c>
    </row>
    <row r="2044" spans="1:5" x14ac:dyDescent="0.2">
      <c r="A2044" s="22"/>
      <c r="B2044" s="23" t="str">
        <f ca="1">IFERROR(__xludf.DUMMYFUNCTION("""COMPUTED_VALUE"""),"ZESTAW NATRYSKOWO-WANNOWY Z WYLEWKĄ LUNGO BIAŁY")</f>
        <v>ZESTAW NATRYSKOWO-WANNOWY Z WYLEWKĄ LUNGO BIAŁY</v>
      </c>
      <c r="C2044" s="23"/>
      <c r="D2044" s="24">
        <f ca="1">IFERROR(__xludf.DUMMYFUNCTION("""COMPUTED_VALUE"""),999)</f>
        <v>999</v>
      </c>
      <c r="E2044" s="25" t="str">
        <f ca="1">IFERROR(__xludf.DUMMYFUNCTION("""COMPUTED_VALUE"""),"REA-P6611")</f>
        <v>REA-P6611</v>
      </c>
    </row>
    <row r="2045" spans="1:5" x14ac:dyDescent="0.2">
      <c r="A2045" s="22"/>
      <c r="B2045" s="23" t="str">
        <f ca="1">IFERROR(__xludf.DUMMYFUNCTION("""COMPUTED_VALUE"""),"BATERIA WANNOWA LUNGO BLACK")</f>
        <v>BATERIA WANNOWA LUNGO BLACK</v>
      </c>
      <c r="C2045" s="23"/>
      <c r="D2045" s="24">
        <f ca="1">IFERROR(__xludf.DUMMYFUNCTION("""COMPUTED_VALUE"""),599)</f>
        <v>599</v>
      </c>
      <c r="E2045" s="25" t="str">
        <f ca="1">IFERROR(__xludf.DUMMYFUNCTION("""COMPUTED_VALUE"""),"REA-B6634")</f>
        <v>REA-B6634</v>
      </c>
    </row>
    <row r="2046" spans="1:5" x14ac:dyDescent="0.2">
      <c r="A2046" s="22"/>
      <c r="B2046" s="23" t="str">
        <f ca="1">IFERROR(__xludf.DUMMYFUNCTION("""COMPUTED_VALUE"""),"STELAŻ PODTYNKOWY WC F GOLD")</f>
        <v>STELAŻ PODTYNKOWY WC F GOLD</v>
      </c>
      <c r="C2046" s="23"/>
      <c r="D2046" s="24">
        <f ca="1">IFERROR(__xludf.DUMMYFUNCTION("""COMPUTED_VALUE"""),899)</f>
        <v>899</v>
      </c>
      <c r="E2046" s="25" t="str">
        <f ca="1">IFERROR(__xludf.DUMMYFUNCTION("""COMPUTED_VALUE"""),"REA-E9851")</f>
        <v>REA-E9851</v>
      </c>
    </row>
    <row r="2047" spans="1:5" x14ac:dyDescent="0.2">
      <c r="A2047" s="22"/>
      <c r="B2047" s="23" t="str">
        <f ca="1">IFERROR(__xludf.DUMMYFUNCTION("""COMPUTED_VALUE"""),"STELAŻ PODTYNKOWY WC H GOLD")</f>
        <v>STELAŻ PODTYNKOWY WC H GOLD</v>
      </c>
      <c r="C2047" s="23"/>
      <c r="D2047" s="24">
        <f ca="1">IFERROR(__xludf.DUMMYFUNCTION("""COMPUTED_VALUE"""),899)</f>
        <v>899</v>
      </c>
      <c r="E2047" s="25" t="str">
        <f ca="1">IFERROR(__xludf.DUMMYFUNCTION("""COMPUTED_VALUE"""),"REA-E9863")</f>
        <v>REA-E9863</v>
      </c>
    </row>
    <row r="2048" spans="1:5" x14ac:dyDescent="0.2">
      <c r="A2048" s="22"/>
      <c r="B2048" s="23" t="str">
        <f ca="1">IFERROR(__xludf.DUMMYFUNCTION("""COMPUTED_VALUE"""),"STELAŻ PODTYNKOWY WC F CHROM")</f>
        <v>STELAŻ PODTYNKOWY WC F CHROM</v>
      </c>
      <c r="C2048" s="23"/>
      <c r="D2048" s="24">
        <f ca="1">IFERROR(__xludf.DUMMYFUNCTION("""COMPUTED_VALUE"""),799)</f>
        <v>799</v>
      </c>
      <c r="E2048" s="25" t="str">
        <f ca="1">IFERROR(__xludf.DUMMYFUNCTION("""COMPUTED_VALUE"""),"REA-E0019")</f>
        <v>REA-E0019</v>
      </c>
    </row>
    <row r="2049" spans="1:5" x14ac:dyDescent="0.2">
      <c r="A2049" s="22"/>
      <c r="B2049" s="23" t="str">
        <f ca="1">IFERROR(__xludf.DUMMYFUNCTION("""COMPUTED_VALUE"""),"STELAŻ PODTYNKOWY WC H CHROM")</f>
        <v>STELAŻ PODTYNKOWY WC H CHROM</v>
      </c>
      <c r="C2049" s="23"/>
      <c r="D2049" s="24">
        <f ca="1">IFERROR(__xludf.DUMMYFUNCTION("""COMPUTED_VALUE"""),799)</f>
        <v>799</v>
      </c>
      <c r="E2049" s="25" t="str">
        <f ca="1">IFERROR(__xludf.DUMMYFUNCTION("""COMPUTED_VALUE"""),"REA-E0014")</f>
        <v>REA-E0014</v>
      </c>
    </row>
    <row r="2050" spans="1:5" x14ac:dyDescent="0.2">
      <c r="A2050" s="22"/>
      <c r="B2050" s="23" t="str">
        <f ca="1">IFERROR(__xludf.DUMMYFUNCTION("""COMPUTED_VALUE"""),"STELAŻ PODTYNKOWY WC F BLACK")</f>
        <v>STELAŻ PODTYNKOWY WC F BLACK</v>
      </c>
      <c r="C2050" s="23"/>
      <c r="D2050" s="24">
        <f ca="1">IFERROR(__xludf.DUMMYFUNCTION("""COMPUTED_VALUE"""),799)</f>
        <v>799</v>
      </c>
      <c r="E2050" s="25" t="str">
        <f ca="1">IFERROR(__xludf.DUMMYFUNCTION("""COMPUTED_VALUE"""),"REA-E3652")</f>
        <v>REA-E3652</v>
      </c>
    </row>
    <row r="2051" spans="1:5" x14ac:dyDescent="0.2">
      <c r="A2051" s="22"/>
      <c r="B2051" s="23" t="str">
        <f ca="1">IFERROR(__xludf.DUMMYFUNCTION("""COMPUTED_VALUE"""),"STELAŻ PODTYNKOWY WC H BLACK")</f>
        <v>STELAŻ PODTYNKOWY WC H BLACK</v>
      </c>
      <c r="C2051" s="23"/>
      <c r="D2051" s="24">
        <f ca="1">IFERROR(__xludf.DUMMYFUNCTION("""COMPUTED_VALUE"""),799)</f>
        <v>799</v>
      </c>
      <c r="E2051" s="25" t="str">
        <f ca="1">IFERROR(__xludf.DUMMYFUNCTION("""COMPUTED_VALUE"""),"REA-E3650")</f>
        <v>REA-E3650</v>
      </c>
    </row>
    <row r="2052" spans="1:5" x14ac:dyDescent="0.2">
      <c r="A2052" s="22">
        <f ca="1">IFERROR(__xludf.DUMMYFUNCTION("""COMPUTED_VALUE"""),44930)</f>
        <v>44930</v>
      </c>
      <c r="B2052" s="23" t="str">
        <f ca="1">IFERROR(__xludf.DUMMYFUNCTION("""COMPUTED_VALUE"""),"SYFON KLIK-KLAK UNIWERSALNY L.GOLD")</f>
        <v>SYFON KLIK-KLAK UNIWERSALNY L.GOLD</v>
      </c>
      <c r="C2052" s="23"/>
      <c r="D2052" s="24">
        <f ca="1">IFERROR(__xludf.DUMMYFUNCTION("""COMPUTED_VALUE"""),279)</f>
        <v>279</v>
      </c>
      <c r="E2052" s="25" t="str">
        <f ca="1">IFERROR(__xludf.DUMMYFUNCTION("""COMPUTED_VALUE"""),"REA-A5692")</f>
        <v>REA-A5692</v>
      </c>
    </row>
    <row r="2053" spans="1:5" x14ac:dyDescent="0.2">
      <c r="A2053" s="22">
        <f ca="1">IFERROR(__xludf.DUMMYFUNCTION("""COMPUTED_VALUE"""),44930)</f>
        <v>44930</v>
      </c>
      <c r="B2053" s="23" t="str">
        <f ca="1">IFERROR(__xludf.DUMMYFUNCTION("""COMPUTED_VALUE"""),"BATERIA CALANI UMYWALKOWA LOTUS NISKA L BLACK")</f>
        <v>BATERIA CALANI UMYWALKOWA LOTUS NISKA L BLACK</v>
      </c>
      <c r="C2053" s="23"/>
      <c r="D2053" s="24">
        <f ca="1">IFERROR(__xludf.DUMMYFUNCTION("""COMPUTED_VALUE"""),189)</f>
        <v>189</v>
      </c>
      <c r="E2053" s="25" t="str">
        <f ca="1">IFERROR(__xludf.DUMMYFUNCTION("""COMPUTED_VALUE"""),"CAL-B0012")</f>
        <v>CAL-B0012</v>
      </c>
    </row>
    <row r="2054" spans="1:5" x14ac:dyDescent="0.2">
      <c r="A2054" s="22">
        <f ca="1">IFERROR(__xludf.DUMMYFUNCTION("""COMPUTED_VALUE"""),44930)</f>
        <v>44930</v>
      </c>
      <c r="B2054" s="23" t="str">
        <f ca="1">IFERROR(__xludf.DUMMYFUNCTION("""COMPUTED_VALUE"""),"ZESTAW NATRYSKOWY ROB CZARNY TERMOSTAT")</f>
        <v>ZESTAW NATRYSKOWY ROB CZARNY TERMOSTAT</v>
      </c>
      <c r="C2054" s="23"/>
      <c r="D2054" s="24">
        <f ca="1">IFERROR(__xludf.DUMMYFUNCTION("""COMPUTED_VALUE"""),1019)</f>
        <v>1019</v>
      </c>
      <c r="E2054" s="25" t="str">
        <f ca="1">IFERROR(__xludf.DUMMYFUNCTION("""COMPUTED_VALUE"""),"REA-P6627")</f>
        <v>REA-P6627</v>
      </c>
    </row>
    <row r="2055" spans="1:5" x14ac:dyDescent="0.2">
      <c r="A2055" s="22">
        <f ca="1">IFERROR(__xludf.DUMMYFUNCTION("""COMPUTED_VALUE"""),44930)</f>
        <v>44930</v>
      </c>
      <c r="B2055" s="23" t="str">
        <f ca="1">IFERROR(__xludf.DUMMYFUNCTION("""COMPUTED_VALUE"""),"ZESTAW NATRYSKOWO-WANNOWY LUNGO RÓŻOWE ZŁOTO TERMO")</f>
        <v>ZESTAW NATRYSKOWO-WANNOWY LUNGO RÓŻOWE ZŁOTO TERMO</v>
      </c>
      <c r="C2055" s="23"/>
      <c r="D2055" s="24">
        <f ca="1">IFERROR(__xludf.DUMMYFUNCTION("""COMPUTED_VALUE"""),1139)</f>
        <v>1139</v>
      </c>
      <c r="E2055" s="25" t="str">
        <f ca="1">IFERROR(__xludf.DUMMYFUNCTION("""COMPUTED_VALUE"""),"REA-P6606")</f>
        <v>REA-P6606</v>
      </c>
    </row>
    <row r="2056" spans="1:5" x14ac:dyDescent="0.2">
      <c r="A2056" s="22">
        <f ca="1">IFERROR(__xludf.DUMMYFUNCTION("""COMPUTED_VALUE"""),44930)</f>
        <v>44930</v>
      </c>
      <c r="B2056" s="23" t="str">
        <f ca="1">IFERROR(__xludf.DUMMYFUNCTION("""COMPUTED_VALUE"""),"ZESTAW NATRYSKOWO-WANNOWY Z WYLEWKĄ LUNGO ZŁOTY SZ")</f>
        <v>ZESTAW NATRYSKOWO-WANNOWY Z WYLEWKĄ LUNGO ZŁOTY SZ</v>
      </c>
      <c r="C2056" s="23"/>
      <c r="D2056" s="24">
        <f ca="1">IFERROR(__xludf.DUMMYFUNCTION("""COMPUTED_VALUE"""),1159)</f>
        <v>1159</v>
      </c>
      <c r="E2056" s="25" t="str">
        <f ca="1">IFERROR(__xludf.DUMMYFUNCTION("""COMPUTED_VALUE"""),"REA-P6609")</f>
        <v>REA-P6609</v>
      </c>
    </row>
    <row r="2057" spans="1:5" x14ac:dyDescent="0.2">
      <c r="A2057" s="22">
        <f ca="1">IFERROR(__xludf.DUMMYFUNCTION("""COMPUTED_VALUE"""),44930)</f>
        <v>44930</v>
      </c>
      <c r="B2057" s="23" t="str">
        <f ca="1">IFERROR(__xludf.DUMMYFUNCTION("""COMPUTED_VALUE"""),"ZESTAW WANNOWY PODTYNKOWY LUNGO ZŁOTY SZCZOT + BOX")</f>
        <v>ZESTAW WANNOWY PODTYNKOWY LUNGO ZŁOTY SZCZOT + BOX</v>
      </c>
      <c r="C2057" s="23"/>
      <c r="D2057" s="24">
        <f ca="1">IFERROR(__xludf.DUMMYFUNCTION("""COMPUTED_VALUE"""),799)</f>
        <v>799</v>
      </c>
      <c r="E2057" s="25" t="str">
        <f ca="1">IFERROR(__xludf.DUMMYFUNCTION("""COMPUTED_VALUE"""),"REA-B7503")</f>
        <v>REA-B7503</v>
      </c>
    </row>
    <row r="2058" spans="1:5" x14ac:dyDescent="0.2">
      <c r="A2058" s="22">
        <f ca="1">IFERROR(__xludf.DUMMYFUNCTION("""COMPUTED_VALUE"""),44930)</f>
        <v>44930</v>
      </c>
      <c r="B2058" s="23" t="str">
        <f ca="1">IFERROR(__xludf.DUMMYFUNCTION("""COMPUTED_VALUE"""),"BATERIA WANNOWA CARAT ZŁOTA SZCZOTKOWANA")</f>
        <v>BATERIA WANNOWA CARAT ZŁOTA SZCZOTKOWANA</v>
      </c>
      <c r="C2058" s="23"/>
      <c r="D2058" s="24">
        <f ca="1">IFERROR(__xludf.DUMMYFUNCTION("""COMPUTED_VALUE"""),1529)</f>
        <v>1529</v>
      </c>
      <c r="E2058" s="25" t="str">
        <f ca="1">IFERROR(__xludf.DUMMYFUNCTION("""COMPUTED_VALUE"""),"REA-B6522")</f>
        <v>REA-B6522</v>
      </c>
    </row>
    <row r="2059" spans="1:5" x14ac:dyDescent="0.2">
      <c r="A2059" s="22">
        <f ca="1">IFERROR(__xludf.DUMMYFUNCTION("""COMPUTED_VALUE"""),44930)</f>
        <v>44930</v>
      </c>
      <c r="B2059" s="23" t="str">
        <f ca="1">IFERROR(__xludf.DUMMYFUNCTION("""COMPUTED_VALUE"""),"BATERIA WANNOWA CARAT L.GOLD")</f>
        <v>BATERIA WANNOWA CARAT L.GOLD</v>
      </c>
      <c r="C2059" s="23"/>
      <c r="D2059" s="24">
        <f ca="1">IFERROR(__xludf.DUMMYFUNCTION("""COMPUTED_VALUE"""),1499)</f>
        <v>1499</v>
      </c>
      <c r="E2059" s="25" t="str">
        <f ca="1">IFERROR(__xludf.DUMMYFUNCTION("""COMPUTED_VALUE"""),"REA-B5231")</f>
        <v>REA-B5231</v>
      </c>
    </row>
    <row r="2060" spans="1:5" x14ac:dyDescent="0.2">
      <c r="A2060" s="22">
        <f ca="1">IFERROR(__xludf.DUMMYFUNCTION("""COMPUTED_VALUE"""),44930)</f>
        <v>44930</v>
      </c>
      <c r="B2060" s="23" t="str">
        <f ca="1">IFERROR(__xludf.DUMMYFUNCTION("""COMPUTED_VALUE"""),"BATERIA WANNOWA CARAT BLACK MATT")</f>
        <v>BATERIA WANNOWA CARAT BLACK MATT</v>
      </c>
      <c r="C2060" s="23"/>
      <c r="D2060" s="24">
        <f ca="1">IFERROR(__xludf.DUMMYFUNCTION("""COMPUTED_VALUE"""),1369)</f>
        <v>1369</v>
      </c>
      <c r="E2060" s="25" t="str">
        <f ca="1">IFERROR(__xludf.DUMMYFUNCTION("""COMPUTED_VALUE"""),"REA-B5423")</f>
        <v>REA-B5423</v>
      </c>
    </row>
    <row r="2061" spans="1:5" x14ac:dyDescent="0.2">
      <c r="A2061" s="22">
        <f ca="1">IFERROR(__xludf.DUMMYFUNCTION("""COMPUTED_VALUE"""),44904)</f>
        <v>44904</v>
      </c>
      <c r="B2061" s="23" t="str">
        <f ca="1">IFERROR(__xludf.DUMMYFUNCTION("""COMPUTED_VALUE"""),"UMYWALKA NADIA GOLD EDGE - NABLATOWA")</f>
        <v>UMYWALKA NADIA GOLD EDGE - NABLATOWA</v>
      </c>
      <c r="C2061" s="23"/>
      <c r="D2061" s="24">
        <f ca="1">IFERROR(__xludf.DUMMYFUNCTION("""COMPUTED_VALUE"""),499)</f>
        <v>499</v>
      </c>
      <c r="E2061" s="25" t="str">
        <f ca="1">IFERROR(__xludf.DUMMYFUNCTION("""COMPUTED_VALUE"""),"REA-U1063")</f>
        <v>REA-U1063</v>
      </c>
    </row>
    <row r="2062" spans="1:5" x14ac:dyDescent="0.2">
      <c r="A2062" s="22">
        <f ca="1">IFERROR(__xludf.DUMMYFUNCTION("""COMPUTED_VALUE"""),44904)</f>
        <v>44904</v>
      </c>
      <c r="B2062" s="23" t="str">
        <f ca="1">IFERROR(__xludf.DUMMYFUNCTION("""COMPUTED_VALUE"""),"WANNA OLIMPIA 170")</f>
        <v>WANNA OLIMPIA 170</v>
      </c>
      <c r="C2062" s="23"/>
      <c r="D2062" s="24">
        <f ca="1">IFERROR(__xludf.DUMMYFUNCTION("""COMPUTED_VALUE"""),3699)</f>
        <v>3699</v>
      </c>
      <c r="E2062" s="25" t="str">
        <f ca="1">IFERROR(__xludf.DUMMYFUNCTION("""COMPUTED_VALUE"""),"REA-W0633")</f>
        <v>REA-W0633</v>
      </c>
    </row>
    <row r="2063" spans="1:5" x14ac:dyDescent="0.2">
      <c r="A2063" s="22">
        <f ca="1">IFERROR(__xludf.DUMMYFUNCTION("""COMPUTED_VALUE"""),44904)</f>
        <v>44904</v>
      </c>
      <c r="B2063" s="23" t="str">
        <f ca="1">IFERROR(__xludf.DUMMYFUNCTION("""COMPUTED_VALUE"""),"WANNA OLIMPIA 150")</f>
        <v>WANNA OLIMPIA 150</v>
      </c>
      <c r="C2063" s="23"/>
      <c r="D2063" s="24">
        <f ca="1">IFERROR(__xludf.DUMMYFUNCTION("""COMPUTED_VALUE"""),3599)</f>
        <v>3599</v>
      </c>
      <c r="E2063" s="25" t="str">
        <f ca="1">IFERROR(__xludf.DUMMYFUNCTION("""COMPUTED_VALUE"""),"REA-W0634")</f>
        <v>REA-W0634</v>
      </c>
    </row>
    <row r="2064" spans="1:5" x14ac:dyDescent="0.2">
      <c r="A2064" s="22">
        <f ca="1">IFERROR(__xludf.DUMMYFUNCTION("""COMPUTED_VALUE"""),44904)</f>
        <v>44904</v>
      </c>
      <c r="B2064" s="23" t="str">
        <f ca="1">IFERROR(__xludf.DUMMYFUNCTION("""COMPUTED_VALUE"""),"WANNA MILANO 150")</f>
        <v>WANNA MILANO 150</v>
      </c>
      <c r="C2064" s="23"/>
      <c r="D2064" s="24">
        <f ca="1">IFERROR(__xludf.DUMMYFUNCTION("""COMPUTED_VALUE"""),3299)</f>
        <v>3299</v>
      </c>
      <c r="E2064" s="25" t="str">
        <f ca="1">IFERROR(__xludf.DUMMYFUNCTION("""COMPUTED_VALUE"""),"REA-W2000")</f>
        <v>REA-W2000</v>
      </c>
    </row>
    <row r="2065" spans="1:5" x14ac:dyDescent="0.2">
      <c r="A2065" s="22">
        <f ca="1">IFERROR(__xludf.DUMMYFUNCTION("""COMPUTED_VALUE"""),44904)</f>
        <v>44904</v>
      </c>
      <c r="B2065" s="23" t="str">
        <f ca="1">IFERROR(__xludf.DUMMYFUNCTION("""COMPUTED_VALUE"""),"WANNA MILANO 170")</f>
        <v>WANNA MILANO 170</v>
      </c>
      <c r="C2065" s="23"/>
      <c r="D2065" s="24">
        <f ca="1">IFERROR(__xludf.DUMMYFUNCTION("""COMPUTED_VALUE"""),3349)</f>
        <v>3349</v>
      </c>
      <c r="E2065" s="25" t="str">
        <f ca="1">IFERROR(__xludf.DUMMYFUNCTION("""COMPUTED_VALUE"""),"REA-W2001")</f>
        <v>REA-W2001</v>
      </c>
    </row>
    <row r="2066" spans="1:5" x14ac:dyDescent="0.2">
      <c r="A2066" s="22">
        <f ca="1">IFERROR(__xludf.DUMMYFUNCTION("""COMPUTED_VALUE"""),44904)</f>
        <v>44904</v>
      </c>
      <c r="B2066" s="23" t="str">
        <f ca="1">IFERROR(__xludf.DUMMYFUNCTION("""COMPUTED_VALUE"""),"BATERIA BIDETOWA LOOP ROSE GOLD")</f>
        <v>BATERIA BIDETOWA LOOP ROSE GOLD</v>
      </c>
      <c r="C2066" s="23"/>
      <c r="D2066" s="24">
        <f ca="1">IFERROR(__xludf.DUMMYFUNCTION("""COMPUTED_VALUE"""),399)</f>
        <v>399</v>
      </c>
      <c r="E2066" s="25" t="str">
        <f ca="1">IFERROR(__xludf.DUMMYFUNCTION("""COMPUTED_VALUE"""),"REA-B6523")</f>
        <v>REA-B6523</v>
      </c>
    </row>
    <row r="2067" spans="1:5" x14ac:dyDescent="0.2">
      <c r="A2067" s="22">
        <f ca="1">IFERROR(__xludf.DUMMYFUNCTION("""COMPUTED_VALUE"""),44904)</f>
        <v>44904</v>
      </c>
      <c r="B2067" s="23" t="str">
        <f ca="1">IFERROR(__xludf.DUMMYFUNCTION("""COMPUTED_VALUE"""),"ZESTAW NATRYSKOWO-WANNOWY LUNGO ZŁOTY SZCZOTK TERM")</f>
        <v>ZESTAW NATRYSKOWO-WANNOWY LUNGO ZŁOTY SZCZOTK TERM</v>
      </c>
      <c r="C2067" s="23"/>
      <c r="D2067" s="24">
        <f ca="1">IFERROR(__xludf.DUMMYFUNCTION("""COMPUTED_VALUE"""),1159)</f>
        <v>1159</v>
      </c>
      <c r="E2067" s="25" t="str">
        <f ca="1">IFERROR(__xludf.DUMMYFUNCTION("""COMPUTED_VALUE"""),"REA-P6604")</f>
        <v>REA-P6604</v>
      </c>
    </row>
    <row r="2068" spans="1:5" x14ac:dyDescent="0.2">
      <c r="A2068" s="22">
        <f ca="1">IFERROR(__xludf.DUMMYFUNCTION("""COMPUTED_VALUE"""),44904)</f>
        <v>44904</v>
      </c>
      <c r="B2068" s="23" t="str">
        <f ca="1">IFERROR(__xludf.DUMMYFUNCTION("""COMPUTED_VALUE"""),"ZESTAW NATRYSKOWY VINCENT NIKIEL SZCZOTKOWANY TERM")</f>
        <v>ZESTAW NATRYSKOWY VINCENT NIKIEL SZCZOTKOWANY TERM</v>
      </c>
      <c r="C2068" s="23"/>
      <c r="D2068" s="24">
        <f ca="1">IFERROR(__xludf.DUMMYFUNCTION("""COMPUTED_VALUE"""),899)</f>
        <v>899</v>
      </c>
      <c r="E2068" s="25" t="str">
        <f ca="1">IFERROR(__xludf.DUMMYFUNCTION("""COMPUTED_VALUE"""),"REA-P6603")</f>
        <v>REA-P6603</v>
      </c>
    </row>
    <row r="2069" spans="1:5" x14ac:dyDescent="0.2">
      <c r="A2069" s="22">
        <f ca="1">IFERROR(__xludf.DUMMYFUNCTION("""COMPUTED_VALUE"""),44904)</f>
        <v>44904</v>
      </c>
      <c r="B2069" s="23" t="str">
        <f ca="1">IFERROR(__xludf.DUMMYFUNCTION("""COMPUTED_VALUE"""),"ZESTAW NATRYSKOWY VINCENT ZŁOTY SZCZOTKOWANY TERMO")</f>
        <v>ZESTAW NATRYSKOWY VINCENT ZŁOTY SZCZOTKOWANY TERMO</v>
      </c>
      <c r="C2069" s="23"/>
      <c r="D2069" s="24">
        <f ca="1">IFERROR(__xludf.DUMMYFUNCTION("""COMPUTED_VALUE"""),1059)</f>
        <v>1059</v>
      </c>
      <c r="E2069" s="25" t="str">
        <f ca="1">IFERROR(__xludf.DUMMYFUNCTION("""COMPUTED_VALUE"""),"REA-P6602")</f>
        <v>REA-P6602</v>
      </c>
    </row>
    <row r="2070" spans="1:5" x14ac:dyDescent="0.2">
      <c r="A2070" s="22">
        <f ca="1">IFERROR(__xludf.DUMMYFUNCTION("""COMPUTED_VALUE"""),44904)</f>
        <v>44904</v>
      </c>
      <c r="B2070" s="23" t="str">
        <f ca="1">IFERROR(__xludf.DUMMYFUNCTION("""COMPUTED_VALUE"""),"BATERIA WANNOWA LUNGO ZŁOTA SZCZOTKOWANA")</f>
        <v>BATERIA WANNOWA LUNGO ZŁOTA SZCZOTKOWANA</v>
      </c>
      <c r="C2070" s="23"/>
      <c r="D2070" s="24">
        <f ca="1">IFERROR(__xludf.DUMMYFUNCTION("""COMPUTED_VALUE"""),699)</f>
        <v>699</v>
      </c>
      <c r="E2070" s="25" t="str">
        <f ca="1">IFERROR(__xludf.DUMMYFUNCTION("""COMPUTED_VALUE"""),"REA-B8010")</f>
        <v>REA-B8010</v>
      </c>
    </row>
    <row r="2071" spans="1:5" x14ac:dyDescent="0.2">
      <c r="A2071" s="22">
        <f ca="1">IFERROR(__xludf.DUMMYFUNCTION("""COMPUTED_VALUE"""),44904)</f>
        <v>44904</v>
      </c>
      <c r="B2071" s="23" t="str">
        <f ca="1">IFERROR(__xludf.DUMMYFUNCTION("""COMPUTED_VALUE"""),"ZESTAW NATRYSKOWO-WANNOWY Z WYLEWKĄ LUNGO RÓŻOWE Z")</f>
        <v>ZESTAW NATRYSKOWO-WANNOWY Z WYLEWKĄ LUNGO RÓŻOWE Z</v>
      </c>
      <c r="C2071" s="23"/>
      <c r="D2071" s="24">
        <f ca="1">IFERROR(__xludf.DUMMYFUNCTION("""COMPUTED_VALUE"""),1199)</f>
        <v>1199</v>
      </c>
      <c r="E2071" s="25" t="str">
        <f ca="1">IFERROR(__xludf.DUMMYFUNCTION("""COMPUTED_VALUE"""),"REA-P6610")</f>
        <v>REA-P6610</v>
      </c>
    </row>
    <row r="2072" spans="1:5" x14ac:dyDescent="0.2">
      <c r="A2072" s="22">
        <f ca="1">IFERROR(__xludf.DUMMYFUNCTION("""COMPUTED_VALUE"""),44904)</f>
        <v>44904</v>
      </c>
      <c r="B2072" s="23" t="str">
        <f ca="1">IFERROR(__xludf.DUMMYFUNCTION("""COMPUTED_VALUE"""),"ZESTAW WANNOWY PODTYNKOWY LUNGO RÓŻOWE ZŁOTO + BOX")</f>
        <v>ZESTAW WANNOWY PODTYNKOWY LUNGO RÓŻOWE ZŁOTO + BOX</v>
      </c>
      <c r="C2072" s="23"/>
      <c r="D2072" s="24">
        <f ca="1">IFERROR(__xludf.DUMMYFUNCTION("""COMPUTED_VALUE"""),779)</f>
        <v>779</v>
      </c>
      <c r="E2072" s="25" t="str">
        <f ca="1">IFERROR(__xludf.DUMMYFUNCTION("""COMPUTED_VALUE"""),"REA-B6930")</f>
        <v>REA-B6930</v>
      </c>
    </row>
    <row r="2073" spans="1:5" x14ac:dyDescent="0.2">
      <c r="A2073" s="22">
        <f ca="1">IFERROR(__xludf.DUMMYFUNCTION("""COMPUTED_VALUE"""),44904)</f>
        <v>44904</v>
      </c>
      <c r="B2073" s="23" t="str">
        <f ca="1">IFERROR(__xludf.DUMMYFUNCTION("""COMPUTED_VALUE"""),"ZESTAW WANNOWY PODTYNKOWY LUNGO CHROM + BOX")</f>
        <v>ZESTAW WANNOWY PODTYNKOWY LUNGO CHROM + BOX</v>
      </c>
      <c r="C2073" s="23"/>
      <c r="D2073" s="24">
        <f ca="1">IFERROR(__xludf.DUMMYFUNCTION("""COMPUTED_VALUE"""),689)</f>
        <v>689</v>
      </c>
      <c r="E2073" s="25" t="str">
        <f ca="1">IFERROR(__xludf.DUMMYFUNCTION("""COMPUTED_VALUE"""),"REA-B6990")</f>
        <v>REA-B6990</v>
      </c>
    </row>
    <row r="2074" spans="1:5" x14ac:dyDescent="0.2">
      <c r="A2074" s="22">
        <f ca="1">IFERROR(__xludf.DUMMYFUNCTION("""COMPUTED_VALUE"""),44896)</f>
        <v>44896</v>
      </c>
      <c r="B2074" s="23" t="str">
        <f ca="1">IFERROR(__xludf.DUMMYFUNCTION("""COMPUTED_VALUE"""),"UMYWALKA NADIA 60 BLACK MATT - NABLATOWA")</f>
        <v>UMYWALKA NADIA 60 BLACK MATT - NABLATOWA</v>
      </c>
      <c r="C2074" s="23"/>
      <c r="D2074" s="24">
        <f ca="1">IFERROR(__xludf.DUMMYFUNCTION("""COMPUTED_VALUE"""),499)</f>
        <v>499</v>
      </c>
      <c r="E2074" s="25" t="str">
        <f ca="1">IFERROR(__xludf.DUMMYFUNCTION("""COMPUTED_VALUE"""),"REA-U1062")</f>
        <v>REA-U1062</v>
      </c>
    </row>
    <row r="2075" spans="1:5" x14ac:dyDescent="0.2">
      <c r="A2075" s="22">
        <f ca="1">IFERROR(__xludf.DUMMYFUNCTION("""COMPUTED_VALUE"""),44896)</f>
        <v>44896</v>
      </c>
      <c r="B2075" s="23" t="str">
        <f ca="1">IFERROR(__xludf.DUMMYFUNCTION("""COMPUTED_VALUE"""),"UMYWALKA BELINDA MINI BLACK - NABLATOWA")</f>
        <v>UMYWALKA BELINDA MINI BLACK - NABLATOWA</v>
      </c>
      <c r="C2075" s="23"/>
      <c r="D2075" s="24">
        <f ca="1">IFERROR(__xludf.DUMMYFUNCTION("""COMPUTED_VALUE"""),239)</f>
        <v>239</v>
      </c>
      <c r="E2075" s="25" t="str">
        <f ca="1">IFERROR(__xludf.DUMMYFUNCTION("""COMPUTED_VALUE"""),"REA-U8004")</f>
        <v>REA-U8004</v>
      </c>
    </row>
    <row r="2076" spans="1:5" x14ac:dyDescent="0.2">
      <c r="A2076" s="22">
        <f ca="1">IFERROR(__xludf.DUMMYFUNCTION("""COMPUTED_VALUE"""),44896)</f>
        <v>44896</v>
      </c>
      <c r="B2076" s="23" t="str">
        <f ca="1">IFERROR(__xludf.DUMMYFUNCTION("""COMPUTED_VALUE"""),"BATERIA CALANI UMYWALKOWA SIENA WYSOKA H CHROM")</f>
        <v>BATERIA CALANI UMYWALKOWA SIENA WYSOKA H CHROM</v>
      </c>
      <c r="C2076" s="23"/>
      <c r="D2076" s="24">
        <f ca="1">IFERROR(__xludf.DUMMYFUNCTION("""COMPUTED_VALUE"""),269)</f>
        <v>269</v>
      </c>
      <c r="E2076" s="25" t="str">
        <f ca="1">IFERROR(__xludf.DUMMYFUNCTION("""COMPUTED_VALUE"""),"CAL-B0017")</f>
        <v>CAL-B0017</v>
      </c>
    </row>
    <row r="2077" spans="1:5" x14ac:dyDescent="0.2">
      <c r="A2077" s="22">
        <f ca="1">IFERROR(__xludf.DUMMYFUNCTION("""COMPUTED_VALUE"""),44896)</f>
        <v>44896</v>
      </c>
      <c r="B2077" s="23" t="str">
        <f ca="1">IFERROR(__xludf.DUMMYFUNCTION("""COMPUTED_VALUE"""),"BATERIA WANNOWA MAYSON BLACK")</f>
        <v>BATERIA WANNOWA MAYSON BLACK</v>
      </c>
      <c r="C2077" s="23"/>
      <c r="D2077" s="24">
        <f ca="1">IFERROR(__xludf.DUMMYFUNCTION("""COMPUTED_VALUE"""),369)</f>
        <v>369</v>
      </c>
      <c r="E2077" s="25" t="str">
        <f ca="1">IFERROR(__xludf.DUMMYFUNCTION("""COMPUTED_VALUE"""),"REA-B9634")</f>
        <v>REA-B9634</v>
      </c>
    </row>
    <row r="2078" spans="1:5" x14ac:dyDescent="0.2">
      <c r="A2078" s="22">
        <f ca="1">IFERROR(__xludf.DUMMYFUNCTION("""COMPUTED_VALUE"""),44896)</f>
        <v>44896</v>
      </c>
      <c r="B2078" s="23" t="str">
        <f ca="1">IFERROR(__xludf.DUMMYFUNCTION("""COMPUTED_VALUE"""),"BATERIA KUCHENNA CASTOR BLACK MAT")</f>
        <v>BATERIA KUCHENNA CASTOR BLACK MAT</v>
      </c>
      <c r="C2078" s="23"/>
      <c r="D2078" s="24">
        <f ca="1">IFERROR(__xludf.DUMMYFUNCTION("""COMPUTED_VALUE"""),529)</f>
        <v>529</v>
      </c>
      <c r="E2078" s="25" t="str">
        <f ca="1">IFERROR(__xludf.DUMMYFUNCTION("""COMPUTED_VALUE"""),"REA-B6935")</f>
        <v>REA-B6935</v>
      </c>
    </row>
    <row r="2079" spans="1:5" x14ac:dyDescent="0.2">
      <c r="A2079" s="22">
        <f ca="1">IFERROR(__xludf.DUMMYFUNCTION("""COMPUTED_VALUE"""),44896)</f>
        <v>44896</v>
      </c>
      <c r="B2079" s="23" t="str">
        <f ca="1">IFERROR(__xludf.DUMMYFUNCTION("""COMPUTED_VALUE"""),"BATERIA WANNOWA ŚCIENNA FENIX BLACK")</f>
        <v>BATERIA WANNOWA ŚCIENNA FENIX BLACK</v>
      </c>
      <c r="C2079" s="23"/>
      <c r="D2079" s="24">
        <f ca="1">IFERROR(__xludf.DUMMYFUNCTION("""COMPUTED_VALUE"""),599)</f>
        <v>599</v>
      </c>
      <c r="E2079" s="25" t="str">
        <f ca="1">IFERROR(__xludf.DUMMYFUNCTION("""COMPUTED_VALUE"""),"REA-B3310")</f>
        <v>REA-B3310</v>
      </c>
    </row>
    <row r="2080" spans="1:5" x14ac:dyDescent="0.2">
      <c r="A2080" s="22">
        <f ca="1">IFERROR(__xludf.DUMMYFUNCTION("""COMPUTED_VALUE"""),44896)</f>
        <v>44896</v>
      </c>
      <c r="B2080" s="23" t="str">
        <f ca="1">IFERROR(__xludf.DUMMYFUNCTION("""COMPUTED_VALUE"""),"BATERIA UMYWALKOWA LUNGO ROSE GOLD NISKA")</f>
        <v>BATERIA UMYWALKOWA LUNGO ROSE GOLD NISKA</v>
      </c>
      <c r="C2080" s="23"/>
      <c r="D2080" s="24">
        <f ca="1">IFERROR(__xludf.DUMMYFUNCTION("""COMPUTED_VALUE"""),229)</f>
        <v>229</v>
      </c>
      <c r="E2080" s="25" t="str">
        <f ca="1">IFERROR(__xludf.DUMMYFUNCTION("""COMPUTED_VALUE"""),"REA-B4500")</f>
        <v>REA-B4500</v>
      </c>
    </row>
    <row r="2081" spans="1:5" x14ac:dyDescent="0.2">
      <c r="A2081" s="22">
        <f ca="1">IFERROR(__xludf.DUMMYFUNCTION("""COMPUTED_VALUE"""),44896)</f>
        <v>44896</v>
      </c>
      <c r="B2081" s="23" t="str">
        <f ca="1">IFERROR(__xludf.DUMMYFUNCTION("""COMPUTED_VALUE"""),"BATERIA UMYWALKOWA PODTYNKOWA LUNGO CHROM + BOX")</f>
        <v>BATERIA UMYWALKOWA PODTYNKOWA LUNGO CHROM + BOX</v>
      </c>
      <c r="C2081" s="23"/>
      <c r="D2081" s="24">
        <f ca="1">IFERROR(__xludf.DUMMYFUNCTION("""COMPUTED_VALUE"""),359)</f>
        <v>359</v>
      </c>
      <c r="E2081" s="25" t="str">
        <f ca="1">IFERROR(__xludf.DUMMYFUNCTION("""COMPUTED_VALUE"""),"REA-B0521")</f>
        <v>REA-B0521</v>
      </c>
    </row>
    <row r="2082" spans="1:5" x14ac:dyDescent="0.2">
      <c r="A2082" s="22">
        <f ca="1">IFERROR(__xludf.DUMMYFUNCTION("""COMPUTED_VALUE"""),44896)</f>
        <v>44896</v>
      </c>
      <c r="B2082" s="23" t="str">
        <f ca="1">IFERROR(__xludf.DUMMYFUNCTION("""COMPUTED_VALUE"""),"ZESTAW CALANI NATRYSKOWY PODTYNKOWY NEXOS S BLACK")</f>
        <v>ZESTAW CALANI NATRYSKOWY PODTYNKOWY NEXOS S BLACK</v>
      </c>
      <c r="C2082" s="23"/>
      <c r="D2082" s="24">
        <f ca="1">IFERROR(__xludf.DUMMYFUNCTION("""COMPUTED_VALUE"""),999)</f>
        <v>999</v>
      </c>
      <c r="E2082" s="25" t="str">
        <f ca="1">IFERROR(__xludf.DUMMYFUNCTION("""COMPUTED_VALUE"""),"CAL-B0006")</f>
        <v>CAL-B0006</v>
      </c>
    </row>
    <row r="2083" spans="1:5" x14ac:dyDescent="0.2">
      <c r="A2083" s="22">
        <f ca="1">IFERROR(__xludf.DUMMYFUNCTION("""COMPUTED_VALUE"""),44896)</f>
        <v>44896</v>
      </c>
      <c r="B2083" s="23" t="str">
        <f ca="1">IFERROR(__xludf.DUMMYFUNCTION("""COMPUTED_VALUE"""),"BATERIA UMYWALKOWA WYSOKA OVAL L.GOLD")</f>
        <v>BATERIA UMYWALKOWA WYSOKA OVAL L.GOLD</v>
      </c>
      <c r="C2083" s="23"/>
      <c r="D2083" s="24">
        <f ca="1">IFERROR(__xludf.DUMMYFUNCTION("""COMPUTED_VALUE"""),299)</f>
        <v>299</v>
      </c>
      <c r="E2083" s="25" t="str">
        <f ca="1">IFERROR(__xludf.DUMMYFUNCTION("""COMPUTED_VALUE"""),"REA-B6513")</f>
        <v>REA-B6513</v>
      </c>
    </row>
    <row r="2084" spans="1:5" x14ac:dyDescent="0.2">
      <c r="A2084" s="22">
        <f ca="1">IFERROR(__xludf.DUMMYFUNCTION("""COMPUTED_VALUE"""),44896)</f>
        <v>44896</v>
      </c>
      <c r="B2084" s="23" t="str">
        <f ca="1">IFERROR(__xludf.DUMMYFUNCTION("""COMPUTED_VALUE"""),"BATERIA UMYWALKOWA WYSOKA OVAL BLACK")</f>
        <v>BATERIA UMYWALKOWA WYSOKA OVAL BLACK</v>
      </c>
      <c r="C2084" s="23"/>
      <c r="D2084" s="24">
        <f ca="1">IFERROR(__xludf.DUMMYFUNCTION("""COMPUTED_VALUE"""),289)</f>
        <v>289</v>
      </c>
      <c r="E2084" s="25" t="str">
        <f ca="1">IFERROR(__xludf.DUMMYFUNCTION("""COMPUTED_VALUE"""),"REA-B6511")</f>
        <v>REA-B6511</v>
      </c>
    </row>
    <row r="2085" spans="1:5" x14ac:dyDescent="0.2">
      <c r="A2085" s="22">
        <f ca="1">IFERROR(__xludf.DUMMYFUNCTION("""COMPUTED_VALUE"""),44896)</f>
        <v>44896</v>
      </c>
      <c r="B2085" s="23" t="str">
        <f ca="1">IFERROR(__xludf.DUMMYFUNCTION("""COMPUTED_VALUE"""),"BATERIA KUCHENNA ICON BLACK L.GOLD WYSOKA")</f>
        <v>BATERIA KUCHENNA ICON BLACK L.GOLD WYSOKA</v>
      </c>
      <c r="C2085" s="23"/>
      <c r="D2085" s="24">
        <f ca="1">IFERROR(__xludf.DUMMYFUNCTION("""COMPUTED_VALUE"""),269)</f>
        <v>269</v>
      </c>
      <c r="E2085" s="25" t="str">
        <f ca="1">IFERROR(__xludf.DUMMYFUNCTION("""COMPUTED_VALUE"""),"REA-B5682")</f>
        <v>REA-B5682</v>
      </c>
    </row>
    <row r="2086" spans="1:5" x14ac:dyDescent="0.2">
      <c r="A2086" s="22">
        <f ca="1">IFERROR(__xludf.DUMMYFUNCTION("""COMPUTED_VALUE"""),44896)</f>
        <v>44896</v>
      </c>
      <c r="B2086" s="23" t="str">
        <f ca="1">IFERROR(__xludf.DUMMYFUNCTION("""COMPUTED_VALUE"""),"ZESTAW NATRYSKOWY ROGER GOLD")</f>
        <v>ZESTAW NATRYSKOWY ROGER GOLD</v>
      </c>
      <c r="C2086" s="23"/>
      <c r="D2086" s="24">
        <f ca="1">IFERROR(__xludf.DUMMYFUNCTION("""COMPUTED_VALUE"""),1099)</f>
        <v>1099</v>
      </c>
      <c r="E2086" s="25" t="str">
        <f ca="1">IFERROR(__xludf.DUMMYFUNCTION("""COMPUTED_VALUE"""),"REA-P0692")</f>
        <v>REA-P0692</v>
      </c>
    </row>
    <row r="2087" spans="1:5" x14ac:dyDescent="0.2">
      <c r="A2087" s="22">
        <f ca="1">IFERROR(__xludf.DUMMYFUNCTION("""COMPUTED_VALUE"""),44896)</f>
        <v>44896</v>
      </c>
      <c r="B2087" s="23" t="str">
        <f ca="1">IFERROR(__xludf.DUMMYFUNCTION("""COMPUTED_VALUE"""),"ZESTAW NATRYSKOWY VINCENT CZARNY TERMOSTAT")</f>
        <v>ZESTAW NATRYSKOWY VINCENT CZARNY TERMOSTAT</v>
      </c>
      <c r="C2087" s="23"/>
      <c r="D2087" s="24">
        <f ca="1">IFERROR(__xludf.DUMMYFUNCTION("""COMPUTED_VALUE"""),799)</f>
        <v>799</v>
      </c>
      <c r="E2087" s="25" t="str">
        <f ca="1">IFERROR(__xludf.DUMMYFUNCTION("""COMPUTED_VALUE"""),"REA-P6600")</f>
        <v>REA-P6600</v>
      </c>
    </row>
    <row r="2088" spans="1:5" x14ac:dyDescent="0.2">
      <c r="A2088" s="22">
        <f ca="1">IFERROR(__xludf.DUMMYFUNCTION("""COMPUTED_VALUE"""),44896)</f>
        <v>44896</v>
      </c>
      <c r="B2088" s="23" t="str">
        <f ca="1">IFERROR(__xludf.DUMMYFUNCTION("""COMPUTED_VALUE"""),"BATERIA WANNOWA FENIX CHROM")</f>
        <v>BATERIA WANNOWA FENIX CHROM</v>
      </c>
      <c r="C2088" s="23"/>
      <c r="D2088" s="24">
        <f ca="1">IFERROR(__xludf.DUMMYFUNCTION("""COMPUTED_VALUE"""),519)</f>
        <v>519</v>
      </c>
      <c r="E2088" s="25" t="str">
        <f ca="1">IFERROR(__xludf.DUMMYFUNCTION("""COMPUTED_VALUE"""),"REA-B8880")</f>
        <v>REA-B8880</v>
      </c>
    </row>
    <row r="2089" spans="1:5" x14ac:dyDescent="0.2">
      <c r="A2089" s="22">
        <f ca="1">IFERROR(__xludf.DUMMYFUNCTION("""COMPUTED_VALUE"""),44896)</f>
        <v>44896</v>
      </c>
      <c r="B2089" s="23" t="str">
        <f ca="1">IFERROR(__xludf.DUMMYFUNCTION("""COMPUTED_VALUE"""),"ZESTAW NATRYSKOWO-WANNOWY LUNGO CHROM TERMOSTAT")</f>
        <v>ZESTAW NATRYSKOWO-WANNOWY LUNGO CHROM TERMOSTAT</v>
      </c>
      <c r="C2089" s="23"/>
      <c r="D2089" s="24">
        <f ca="1">IFERROR(__xludf.DUMMYFUNCTION("""COMPUTED_VALUE"""),819)</f>
        <v>819</v>
      </c>
      <c r="E2089" s="25" t="str">
        <f ca="1">IFERROR(__xludf.DUMMYFUNCTION("""COMPUTED_VALUE"""),"REA-P6607")</f>
        <v>REA-P6607</v>
      </c>
    </row>
    <row r="2090" spans="1:5" x14ac:dyDescent="0.2">
      <c r="A2090" s="22">
        <f ca="1">IFERROR(__xludf.DUMMYFUNCTION("""COMPUTED_VALUE"""),44896)</f>
        <v>44896</v>
      </c>
      <c r="B2090" s="23" t="str">
        <f ca="1">IFERROR(__xludf.DUMMYFUNCTION("""COMPUTED_VALUE"""),"ZESTAW NATRYSKOWO-WANNOWY Z WYLEWKĄ LUNGO CHROM")</f>
        <v>ZESTAW NATRYSKOWO-WANNOWY Z WYLEWKĄ LUNGO CHROM</v>
      </c>
      <c r="C2090" s="23"/>
      <c r="D2090" s="24">
        <f ca="1">IFERROR(__xludf.DUMMYFUNCTION("""COMPUTED_VALUE"""),959)</f>
        <v>959</v>
      </c>
      <c r="E2090" s="25" t="str">
        <f ca="1">IFERROR(__xludf.DUMMYFUNCTION("""COMPUTED_VALUE"""),"REA-P6612")</f>
        <v>REA-P6612</v>
      </c>
    </row>
    <row r="2091" spans="1:5" x14ac:dyDescent="0.2">
      <c r="A2091" s="22">
        <f ca="1">IFERROR(__xludf.DUMMYFUNCTION("""COMPUTED_VALUE"""),44882)</f>
        <v>44882</v>
      </c>
      <c r="B2091" s="23" t="str">
        <f ca="1">IFERROR(__xludf.DUMMYFUNCTION("""COMPUTED_VALUE"""),"WC - RAUL RIMLESS DUROPLAST/SLIM/ZM BLACK MATT")</f>
        <v>WC - RAUL RIMLESS DUROPLAST/SLIM/ZM BLACK MATT</v>
      </c>
      <c r="C2091" s="23"/>
      <c r="D2091" s="24">
        <f ca="1">IFERROR(__xludf.DUMMYFUNCTION("""COMPUTED_VALUE"""),999)</f>
        <v>999</v>
      </c>
      <c r="E2091" s="25" t="str">
        <f ca="1">IFERROR(__xludf.DUMMYFUNCTION("""COMPUTED_VALUE"""),"REA-C1100")</f>
        <v>REA-C1100</v>
      </c>
    </row>
    <row r="2092" spans="1:5" x14ac:dyDescent="0.2">
      <c r="A2092" s="22">
        <f ca="1">IFERROR(__xludf.DUMMYFUNCTION("""COMPUTED_VALUE"""),44882)</f>
        <v>44882</v>
      </c>
      <c r="B2092" s="23" t="str">
        <f ca="1">IFERROR(__xludf.DUMMYFUNCTION("""COMPUTED_VALUE"""),"UMYWALKA AMELIA MARMO SHINY - NABLATOWA")</f>
        <v>UMYWALKA AMELIA MARMO SHINY - NABLATOWA</v>
      </c>
      <c r="C2092" s="23"/>
      <c r="D2092" s="24">
        <f ca="1">IFERROR(__xludf.DUMMYFUNCTION("""COMPUTED_VALUE"""),319)</f>
        <v>319</v>
      </c>
      <c r="E2092" s="25" t="str">
        <f ca="1">IFERROR(__xludf.DUMMYFUNCTION("""COMPUTED_VALUE"""),"REA-U8001")</f>
        <v>REA-U8001</v>
      </c>
    </row>
    <row r="2093" spans="1:5" x14ac:dyDescent="0.2">
      <c r="A2093" s="22">
        <f ca="1">IFERROR(__xludf.DUMMYFUNCTION("""COMPUTED_VALUE"""),44882)</f>
        <v>44882</v>
      </c>
      <c r="B2093" s="23" t="str">
        <f ca="1">IFERROR(__xludf.DUMMYFUNCTION("""COMPUTED_VALUE"""),"UMYWALKA AURA 61 MARMO SHINY - NABLATOWA")</f>
        <v>UMYWALKA AURA 61 MARMO SHINY - NABLATOWA</v>
      </c>
      <c r="C2093" s="23"/>
      <c r="D2093" s="24">
        <f ca="1">IFERROR(__xludf.DUMMYFUNCTION("""COMPUTED_VALUE"""),399)</f>
        <v>399</v>
      </c>
      <c r="E2093" s="25" t="str">
        <f ca="1">IFERROR(__xludf.DUMMYFUNCTION("""COMPUTED_VALUE"""),"REA-U8003")</f>
        <v>REA-U8003</v>
      </c>
    </row>
    <row r="2094" spans="1:5" x14ac:dyDescent="0.2">
      <c r="A2094" s="22">
        <f ca="1">IFERROR(__xludf.DUMMYFUNCTION("""COMPUTED_VALUE"""),44882)</f>
        <v>44882</v>
      </c>
      <c r="B2094" s="23" t="str">
        <f ca="1">IFERROR(__xludf.DUMMYFUNCTION("""COMPUTED_VALUE"""),"UMYWALKA ROYAL MARMO SHINY - NABLATOWA")</f>
        <v>UMYWALKA ROYAL MARMO SHINY - NABLATOWA</v>
      </c>
      <c r="C2094" s="23"/>
      <c r="D2094" s="24">
        <f ca="1">IFERROR(__xludf.DUMMYFUNCTION("""COMPUTED_VALUE"""),419)</f>
        <v>419</v>
      </c>
      <c r="E2094" s="25" t="str">
        <f ca="1">IFERROR(__xludf.DUMMYFUNCTION("""COMPUTED_VALUE"""),"REA-U8009")</f>
        <v>REA-U8009</v>
      </c>
    </row>
    <row r="2095" spans="1:5" x14ac:dyDescent="0.2">
      <c r="A2095" s="22">
        <f ca="1">IFERROR(__xludf.DUMMYFUNCTION("""COMPUTED_VALUE"""),44875)</f>
        <v>44875</v>
      </c>
      <c r="B2095" s="23" t="str">
        <f ca="1">IFERROR(__xludf.DUMMYFUNCTION("""COMPUTED_VALUE"""),"BATERIA UMYWALKOWA MY2021-21B ARGUS BLACK WYSOKA")</f>
        <v>BATERIA UMYWALKOWA MY2021-21B ARGUS BLACK WYSOKA</v>
      </c>
      <c r="C2095" s="23"/>
      <c r="D2095" s="24">
        <f ca="1">IFERROR(__xludf.DUMMYFUNCTION("""COMPUTED_VALUE"""),289)</f>
        <v>289</v>
      </c>
      <c r="E2095" s="25" t="str">
        <f ca="1">IFERROR(__xludf.DUMMYFUNCTION("""COMPUTED_VALUE"""),"REA-B6211")</f>
        <v>REA-B6211</v>
      </c>
    </row>
    <row r="2096" spans="1:5" x14ac:dyDescent="0.2">
      <c r="A2096" s="22">
        <f ca="1">IFERROR(__xludf.DUMMYFUNCTION("""COMPUTED_VALUE"""),44875)</f>
        <v>44875</v>
      </c>
      <c r="B2096" s="23" t="str">
        <f ca="1">IFERROR(__xludf.DUMMYFUNCTION("""COMPUTED_VALUE"""),"BATERIA UMYWALKOWA MY2021-21C ARGUS CHROME WYSOKA")</f>
        <v>BATERIA UMYWALKOWA MY2021-21C ARGUS CHROME WYSOKA</v>
      </c>
      <c r="C2096" s="23"/>
      <c r="D2096" s="24">
        <f ca="1">IFERROR(__xludf.DUMMYFUNCTION("""COMPUTED_VALUE"""),289)</f>
        <v>289</v>
      </c>
      <c r="E2096" s="25" t="str">
        <f ca="1">IFERROR(__xludf.DUMMYFUNCTION("""COMPUTED_VALUE"""),"REA-B6209")</f>
        <v>REA-B6209</v>
      </c>
    </row>
    <row r="2097" spans="1:5" x14ac:dyDescent="0.2">
      <c r="A2097" s="22">
        <f ca="1">IFERROR(__xludf.DUMMYFUNCTION("""COMPUTED_VALUE"""),44875)</f>
        <v>44875</v>
      </c>
      <c r="B2097" s="23" t="str">
        <f ca="1">IFERROR(__xludf.DUMMYFUNCTION("""COMPUTED_VALUE"""),"ZESTAW NATRYSKOWY MY2061-77GG HASS ZŁOTY SZCZOTKOW")</f>
        <v>ZESTAW NATRYSKOWY MY2061-77GG HASS ZŁOTY SZCZOTKOW</v>
      </c>
      <c r="C2097" s="23"/>
      <c r="D2097" s="24">
        <f ca="1">IFERROR(__xludf.DUMMYFUNCTION("""COMPUTED_VALUE"""),899)</f>
        <v>899</v>
      </c>
      <c r="E2097" s="25" t="str">
        <f ca="1">IFERROR(__xludf.DUMMYFUNCTION("""COMPUTED_VALUE"""),"REA-B9972")</f>
        <v>REA-B9972</v>
      </c>
    </row>
    <row r="2098" spans="1:5" x14ac:dyDescent="0.2">
      <c r="A2098" s="22">
        <f ca="1">IFERROR(__xludf.DUMMYFUNCTION("""COMPUTED_VALUE"""),44875)</f>
        <v>44875</v>
      </c>
      <c r="B2098" s="23" t="str">
        <f ca="1">IFERROR(__xludf.DUMMYFUNCTION("""COMPUTED_VALUE"""),"BATERIA BIDETOW MY2061-9GG HASS ZŁOTA SZCZOTKOWANA")</f>
        <v>BATERIA BIDETOW MY2061-9GG HASS ZŁOTA SZCZOTKOWANA</v>
      </c>
      <c r="C2098" s="23"/>
      <c r="D2098" s="24">
        <f ca="1">IFERROR(__xludf.DUMMYFUNCTION("""COMPUTED_VALUE"""),379)</f>
        <v>379</v>
      </c>
      <c r="E2098" s="25" t="str">
        <f ca="1">IFERROR(__xludf.DUMMYFUNCTION("""COMPUTED_VALUE"""),"REA-B9970")</f>
        <v>REA-B9970</v>
      </c>
    </row>
    <row r="2099" spans="1:5" x14ac:dyDescent="0.2">
      <c r="A2099" s="22">
        <f ca="1">IFERROR(__xludf.DUMMYFUNCTION("""COMPUTED_VALUE"""),44875)</f>
        <v>44875</v>
      </c>
      <c r="B2099" s="23" t="str">
        <f ca="1">IFERROR(__xludf.DUMMYFUNCTION("""COMPUTED_VALUE"""),"BATERIA UMYWALKOWA MY2061-21C HASS CHROME WYSOKA")</f>
        <v>BATERIA UMYWALKOWA MY2061-21C HASS CHROME WYSOKA</v>
      </c>
      <c r="C2099" s="23"/>
      <c r="D2099" s="24">
        <f ca="1">IFERROR(__xludf.DUMMYFUNCTION("""COMPUTED_VALUE"""),389)</f>
        <v>389</v>
      </c>
      <c r="E2099" s="25" t="str">
        <f ca="1">IFERROR(__xludf.DUMMYFUNCTION("""COMPUTED_VALUE"""),"REA-B6207")</f>
        <v>REA-B6207</v>
      </c>
    </row>
    <row r="2100" spans="1:5" x14ac:dyDescent="0.2">
      <c r="A2100" s="22">
        <f ca="1">IFERROR(__xludf.DUMMYFUNCTION("""COMPUTED_VALUE"""),44875)</f>
        <v>44875</v>
      </c>
      <c r="B2100" s="23" t="str">
        <f ca="1">IFERROR(__xludf.DUMMYFUNCTION("""COMPUTED_VALUE"""),"ZESTAW NATRYSKOWY MY2061-77B HASS BLACK")</f>
        <v>ZESTAW NATRYSKOWY MY2061-77B HASS BLACK</v>
      </c>
      <c r="C2100" s="23"/>
      <c r="D2100" s="24">
        <f ca="1">IFERROR(__xludf.DUMMYFUNCTION("""COMPUTED_VALUE"""),689)</f>
        <v>689</v>
      </c>
      <c r="E2100" s="25" t="str">
        <f ca="1">IFERROR(__xludf.DUMMYFUNCTION("""COMPUTED_VALUE"""),"REA-B9968")</f>
        <v>REA-B9968</v>
      </c>
    </row>
    <row r="2101" spans="1:5" x14ac:dyDescent="0.2">
      <c r="A2101" s="22">
        <f ca="1">IFERROR(__xludf.DUMMYFUNCTION("""COMPUTED_VALUE"""),44875)</f>
        <v>44875</v>
      </c>
      <c r="B2101" s="23" t="str">
        <f ca="1">IFERROR(__xludf.DUMMYFUNCTION("""COMPUTED_VALUE"""),"BATERIA WANNOWA MY2061-3B HASS BLACK")</f>
        <v>BATERIA WANNOWA MY2061-3B HASS BLACK</v>
      </c>
      <c r="C2101" s="23"/>
      <c r="D2101" s="24">
        <f ca="1">IFERROR(__xludf.DUMMYFUNCTION("""COMPUTED_VALUE"""),399)</f>
        <v>399</v>
      </c>
      <c r="E2101" s="25" t="str">
        <f ca="1">IFERROR(__xludf.DUMMYFUNCTION("""COMPUTED_VALUE"""),"REA-B9967")</f>
        <v>REA-B9967</v>
      </c>
    </row>
    <row r="2102" spans="1:5" x14ac:dyDescent="0.2">
      <c r="A2102" s="22">
        <f ca="1">IFERROR(__xludf.DUMMYFUNCTION("""COMPUTED_VALUE"""),44875)</f>
        <v>44875</v>
      </c>
      <c r="B2102" s="23" t="str">
        <f ca="1">IFERROR(__xludf.DUMMYFUNCTION("""COMPUTED_VALUE"""),"BATERIA UMYWALKOWA MY2061-21B HASS BLACK WYSOKA")</f>
        <v>BATERIA UMYWALKOWA MY2061-21B HASS BLACK WYSOKA</v>
      </c>
      <c r="C2102" s="23"/>
      <c r="D2102" s="24">
        <f ca="1">IFERROR(__xludf.DUMMYFUNCTION("""COMPUTED_VALUE"""),389)</f>
        <v>389</v>
      </c>
      <c r="E2102" s="25" t="str">
        <f ca="1">IFERROR(__xludf.DUMMYFUNCTION("""COMPUTED_VALUE"""),"REA-B9966")</f>
        <v>REA-B9966</v>
      </c>
    </row>
    <row r="2103" spans="1:5" x14ac:dyDescent="0.2">
      <c r="A2103" s="22">
        <f ca="1">IFERROR(__xludf.DUMMYFUNCTION("""COMPUTED_VALUE"""),44875)</f>
        <v>44875</v>
      </c>
      <c r="B2103" s="23" t="str">
        <f ca="1">IFERROR(__xludf.DUMMYFUNCTION("""COMPUTED_VALUE"""),"BATERIA BIDETOWA MY2061-9B HASS BLACK")</f>
        <v>BATERIA BIDETOWA MY2061-9B HASS BLACK</v>
      </c>
      <c r="C2103" s="23"/>
      <c r="D2103" s="24">
        <f ca="1">IFERROR(__xludf.DUMMYFUNCTION("""COMPUTED_VALUE"""),299)</f>
        <v>299</v>
      </c>
      <c r="E2103" s="25" t="str">
        <f ca="1">IFERROR(__xludf.DUMMYFUNCTION("""COMPUTED_VALUE"""),"REA-B9965")</f>
        <v>REA-B9965</v>
      </c>
    </row>
    <row r="2104" spans="1:5" x14ac:dyDescent="0.2">
      <c r="A2104" s="22">
        <f ca="1">IFERROR(__xludf.DUMMYFUNCTION("""COMPUTED_VALUE"""),44875)</f>
        <v>44875</v>
      </c>
      <c r="B2104" s="23" t="str">
        <f ca="1">IFERROR(__xludf.DUMMYFUNCTION("""COMPUTED_VALUE"""),"ZESTAW NATRYSKOWY MY1906-77BGG SOUL GOLD BLACK")</f>
        <v>ZESTAW NATRYSKOWY MY1906-77BGG SOUL GOLD BLACK</v>
      </c>
      <c r="C2104" s="23"/>
      <c r="D2104" s="24">
        <f ca="1">IFERROR(__xludf.DUMMYFUNCTION("""COMPUTED_VALUE"""),779)</f>
        <v>779</v>
      </c>
      <c r="E2104" s="25" t="str">
        <f ca="1">IFERROR(__xludf.DUMMYFUNCTION("""COMPUTED_VALUE"""),"REA-B9962")</f>
        <v>REA-B9962</v>
      </c>
    </row>
    <row r="2105" spans="1:5" x14ac:dyDescent="0.2">
      <c r="A2105" s="22">
        <f ca="1">IFERROR(__xludf.DUMMYFUNCTION("""COMPUTED_VALUE"""),44875)</f>
        <v>44875</v>
      </c>
      <c r="B2105" s="23" t="str">
        <f ca="1">IFERROR(__xludf.DUMMYFUNCTION("""COMPUTED_VALUE"""),"BATERIA WANNOWA MY1906-3G SOUL GOLD")</f>
        <v>BATERIA WANNOWA MY1906-3G SOUL GOLD</v>
      </c>
      <c r="C2105" s="23"/>
      <c r="D2105" s="24">
        <f ca="1">IFERROR(__xludf.DUMMYFUNCTION("""COMPUTED_VALUE"""),479)</f>
        <v>479</v>
      </c>
      <c r="E2105" s="25" t="str">
        <f ca="1">IFERROR(__xludf.DUMMYFUNCTION("""COMPUTED_VALUE"""),"REA-B9923")</f>
        <v>REA-B9923</v>
      </c>
    </row>
    <row r="2106" spans="1:5" x14ac:dyDescent="0.2">
      <c r="A2106" s="22">
        <f ca="1">IFERROR(__xludf.DUMMYFUNCTION("""COMPUTED_VALUE"""),44875)</f>
        <v>44875</v>
      </c>
      <c r="B2106" s="23" t="str">
        <f ca="1">IFERROR(__xludf.DUMMYFUNCTION("""COMPUTED_VALUE"""),"BATERIA BIDETOWA MY1906-9G SOUL GOLD")</f>
        <v>BATERIA BIDETOWA MY1906-9G SOUL GOLD</v>
      </c>
      <c r="C2106" s="23"/>
      <c r="D2106" s="24">
        <f ca="1">IFERROR(__xludf.DUMMYFUNCTION("""COMPUTED_VALUE"""),339)</f>
        <v>339</v>
      </c>
      <c r="E2106" s="25" t="str">
        <f ca="1">IFERROR(__xludf.DUMMYFUNCTION("""COMPUTED_VALUE"""),"REA-B9958")</f>
        <v>REA-B9958</v>
      </c>
    </row>
    <row r="2107" spans="1:5" x14ac:dyDescent="0.2">
      <c r="A2107" s="22">
        <f ca="1">IFERROR(__xludf.DUMMYFUNCTION("""COMPUTED_VALUE"""),44875)</f>
        <v>44875</v>
      </c>
      <c r="B2107" s="23" t="str">
        <f ca="1">IFERROR(__xludf.DUMMYFUNCTION("""COMPUTED_VALUE"""),"ZESTAW NASTRYSKOWY MY1906-77B SOUL BLACK")</f>
        <v>ZESTAW NASTRYSKOWY MY1906-77B SOUL BLACK</v>
      </c>
      <c r="C2107" s="23"/>
      <c r="D2107" s="24">
        <f ca="1">IFERROR(__xludf.DUMMYFUNCTION("""COMPUTED_VALUE"""),599)</f>
        <v>599</v>
      </c>
      <c r="E2107" s="25" t="str">
        <f ca="1">IFERROR(__xludf.DUMMYFUNCTION("""COMPUTED_VALUE"""),"REA-B9998")</f>
        <v>REA-B9998</v>
      </c>
    </row>
    <row r="2108" spans="1:5" x14ac:dyDescent="0.2">
      <c r="A2108" s="22">
        <f ca="1">IFERROR(__xludf.DUMMYFUNCTION("""COMPUTED_VALUE"""),44875)</f>
        <v>44875</v>
      </c>
      <c r="B2108" s="23" t="str">
        <f ca="1">IFERROR(__xludf.DUMMYFUNCTION("""COMPUTED_VALUE"""),"BATERIA WANNOWA MY1906-3B SOUL BLACK")</f>
        <v>BATERIA WANNOWA MY1906-3B SOUL BLACK</v>
      </c>
      <c r="C2108" s="23"/>
      <c r="D2108" s="24">
        <f ca="1">IFERROR(__xludf.DUMMYFUNCTION("""COMPUTED_VALUE"""),399)</f>
        <v>399</v>
      </c>
      <c r="E2108" s="25" t="str">
        <f ca="1">IFERROR(__xludf.DUMMYFUNCTION("""COMPUTED_VALUE"""),"REA-B9997")</f>
        <v>REA-B9997</v>
      </c>
    </row>
    <row r="2109" spans="1:5" x14ac:dyDescent="0.2">
      <c r="A2109" s="22">
        <f ca="1">IFERROR(__xludf.DUMMYFUNCTION("""COMPUTED_VALUE"""),44875)</f>
        <v>44875</v>
      </c>
      <c r="B2109" s="23" t="str">
        <f ca="1">IFERROR(__xludf.DUMMYFUNCTION("""COMPUTED_VALUE"""),"BATERIA BIDETOWA MY1906-9B SOUL BLACK")</f>
        <v>BATERIA BIDETOWA MY1906-9B SOUL BLACK</v>
      </c>
      <c r="C2109" s="23"/>
      <c r="D2109" s="24">
        <f ca="1">IFERROR(__xludf.DUMMYFUNCTION("""COMPUTED_VALUE"""),279)</f>
        <v>279</v>
      </c>
      <c r="E2109" s="25" t="str">
        <f ca="1">IFERROR(__xludf.DUMMYFUNCTION("""COMPUTED_VALUE"""),"REA-B9995")</f>
        <v>REA-B9995</v>
      </c>
    </row>
    <row r="2110" spans="1:5" x14ac:dyDescent="0.2">
      <c r="A2110" s="22">
        <f ca="1">IFERROR(__xludf.DUMMYFUNCTION("""COMPUTED_VALUE"""),44875)</f>
        <v>44875</v>
      </c>
      <c r="B2110" s="23" t="str">
        <f ca="1">IFERROR(__xludf.DUMMYFUNCTION("""COMPUTED_VALUE"""),"BATERIA WANNOWA MY1902-3B STORM BLACK")</f>
        <v>BATERIA WANNOWA MY1902-3B STORM BLACK</v>
      </c>
      <c r="C2110" s="23"/>
      <c r="D2110" s="24">
        <f ca="1">IFERROR(__xludf.DUMMYFUNCTION("""COMPUTED_VALUE"""),399)</f>
        <v>399</v>
      </c>
      <c r="E2110" s="25" t="str">
        <f ca="1">IFERROR(__xludf.DUMMYFUNCTION("""COMPUTED_VALUE"""),"REA-B9989")</f>
        <v>REA-B9989</v>
      </c>
    </row>
    <row r="2111" spans="1:5" x14ac:dyDescent="0.2">
      <c r="A2111" s="22">
        <f ca="1">IFERROR(__xludf.DUMMYFUNCTION("""COMPUTED_VALUE"""),44875)</f>
        <v>44875</v>
      </c>
      <c r="B2111" s="23" t="str">
        <f ca="1">IFERROR(__xludf.DUMMYFUNCTION("""COMPUTED_VALUE"""),"BATERIA PRYSZNICOWA MY1902-8B STORM CZARNA")</f>
        <v>BATERIA PRYSZNICOWA MY1902-8B STORM CZARNA</v>
      </c>
      <c r="C2111" s="23"/>
      <c r="D2111" s="24">
        <f ca="1">IFERROR(__xludf.DUMMYFUNCTION("""COMPUTED_VALUE"""),319)</f>
        <v>319</v>
      </c>
      <c r="E2111" s="25" t="str">
        <f ca="1">IFERROR(__xludf.DUMMYFUNCTION("""COMPUTED_VALUE"""),"REA-B8033")</f>
        <v>REA-B8033</v>
      </c>
    </row>
    <row r="2112" spans="1:5" x14ac:dyDescent="0.2">
      <c r="A2112" s="22">
        <f ca="1">IFERROR(__xludf.DUMMYFUNCTION("""COMPUTED_VALUE"""),44875)</f>
        <v>44875</v>
      </c>
      <c r="B2112" s="23" t="str">
        <f ca="1">IFERROR(__xludf.DUMMYFUNCTION("""COMPUTED_VALUE"""),"BATERIA UMYWALKOWA MY1902-21B STORM BLACK WYSOKA")</f>
        <v>BATERIA UMYWALKOWA MY1902-21B STORM BLACK WYSOKA</v>
      </c>
      <c r="C2112" s="23"/>
      <c r="D2112" s="24">
        <f ca="1">IFERROR(__xludf.DUMMYFUNCTION("""COMPUTED_VALUE"""),359)</f>
        <v>359</v>
      </c>
      <c r="E2112" s="25" t="str">
        <f ca="1">IFERROR(__xludf.DUMMYFUNCTION("""COMPUTED_VALUE"""),"REA-B9988")</f>
        <v>REA-B9988</v>
      </c>
    </row>
    <row r="2113" spans="1:5" x14ac:dyDescent="0.2">
      <c r="A2113" s="22">
        <f ca="1">IFERROR(__xludf.DUMMYFUNCTION("""COMPUTED_VALUE"""),44875)</f>
        <v>44875</v>
      </c>
      <c r="B2113" s="23" t="str">
        <f ca="1">IFERROR(__xludf.DUMMYFUNCTION("""COMPUTED_VALUE"""),"BATERIA UMYWALKOWA MY1902-2B STORM BLACK NISKA")</f>
        <v>BATERIA UMYWALKOWA MY1902-2B STORM BLACK NISKA</v>
      </c>
      <c r="C2113" s="23"/>
      <c r="D2113" s="24">
        <f ca="1">IFERROR(__xludf.DUMMYFUNCTION("""COMPUTED_VALUE"""),279)</f>
        <v>279</v>
      </c>
      <c r="E2113" s="25" t="str">
        <f ca="1">IFERROR(__xludf.DUMMYFUNCTION("""COMPUTED_VALUE"""),"REA-B9986")</f>
        <v>REA-B9986</v>
      </c>
    </row>
    <row r="2114" spans="1:5" x14ac:dyDescent="0.2">
      <c r="A2114" s="22">
        <f ca="1">IFERROR(__xludf.DUMMYFUNCTION("""COMPUTED_VALUE"""),44875)</f>
        <v>44875</v>
      </c>
      <c r="B2114" s="23" t="str">
        <f ca="1">IFERROR(__xludf.DUMMYFUNCTION("""COMPUTED_VALUE"""),"BATERIA WANNOWA MY1902-3C STORM CHROME")</f>
        <v>BATERIA WANNOWA MY1902-3C STORM CHROME</v>
      </c>
      <c r="C2114" s="23"/>
      <c r="D2114" s="24">
        <f ca="1">IFERROR(__xludf.DUMMYFUNCTION("""COMPUTED_VALUE"""),399)</f>
        <v>399</v>
      </c>
      <c r="E2114" s="25" t="str">
        <f ca="1">IFERROR(__xludf.DUMMYFUNCTION("""COMPUTED_VALUE"""),"REA-B6204")</f>
        <v>REA-B6204</v>
      </c>
    </row>
    <row r="2115" spans="1:5" x14ac:dyDescent="0.2">
      <c r="A2115" s="22">
        <f ca="1">IFERROR(__xludf.DUMMYFUNCTION("""COMPUTED_VALUE"""),44875)</f>
        <v>44875</v>
      </c>
      <c r="B2115" s="23" t="str">
        <f ca="1">IFERROR(__xludf.DUMMYFUNCTION("""COMPUTED_VALUE"""),"BATERIA UMYWALKOWA MY1902-21C STORM CHROME WYSOKA")</f>
        <v>BATERIA UMYWALKOWA MY1902-21C STORM CHROME WYSOKA</v>
      </c>
      <c r="C2115" s="23"/>
      <c r="D2115" s="24">
        <f ca="1">IFERROR(__xludf.DUMMYFUNCTION("""COMPUTED_VALUE"""),359)</f>
        <v>359</v>
      </c>
      <c r="E2115" s="25" t="str">
        <f ca="1">IFERROR(__xludf.DUMMYFUNCTION("""COMPUTED_VALUE"""),"REA-B6203")</f>
        <v>REA-B6203</v>
      </c>
    </row>
    <row r="2116" spans="1:5" x14ac:dyDescent="0.2">
      <c r="A2116" s="22">
        <f ca="1">IFERROR(__xludf.DUMMYFUNCTION("""COMPUTED_VALUE"""),44875)</f>
        <v>44875</v>
      </c>
      <c r="B2116" s="23" t="str">
        <f ca="1">IFERROR(__xludf.DUMMYFUNCTION("""COMPUTED_VALUE"""),"BATERIA WANNOWA MY1902-3G STORM GOLD")</f>
        <v>BATERIA WANNOWA MY1902-3G STORM GOLD</v>
      </c>
      <c r="C2116" s="23"/>
      <c r="D2116" s="24">
        <f ca="1">IFERROR(__xludf.DUMMYFUNCTION("""COMPUTED_VALUE"""),489)</f>
        <v>489</v>
      </c>
      <c r="E2116" s="25" t="str">
        <f ca="1">IFERROR(__xludf.DUMMYFUNCTION("""COMPUTED_VALUE"""),"REA-B9985")</f>
        <v>REA-B9985</v>
      </c>
    </row>
    <row r="2117" spans="1:5" x14ac:dyDescent="0.2">
      <c r="A2117" s="22">
        <f ca="1">IFERROR(__xludf.DUMMYFUNCTION("""COMPUTED_VALUE"""),44875)</f>
        <v>44875</v>
      </c>
      <c r="B2117" s="23" t="str">
        <f ca="1">IFERROR(__xludf.DUMMYFUNCTION("""COMPUTED_VALUE"""),"BATERIA PRYSZNICOWA MY1902-8G STORM GOLD")</f>
        <v>BATERIA PRYSZNICOWA MY1902-8G STORM GOLD</v>
      </c>
      <c r="C2117" s="23"/>
      <c r="D2117" s="24">
        <f ca="1">IFERROR(__xludf.DUMMYFUNCTION("""COMPUTED_VALUE"""),399)</f>
        <v>399</v>
      </c>
      <c r="E2117" s="25" t="str">
        <f ca="1">IFERROR(__xludf.DUMMYFUNCTION("""COMPUTED_VALUE"""),"REA-B9984")</f>
        <v>REA-B9984</v>
      </c>
    </row>
    <row r="2118" spans="1:5" x14ac:dyDescent="0.2">
      <c r="A2118" s="22">
        <f ca="1">IFERROR(__xludf.DUMMYFUNCTION("""COMPUTED_VALUE"""),44875)</f>
        <v>44875</v>
      </c>
      <c r="B2118" s="23" t="str">
        <f ca="1">IFERROR(__xludf.DUMMYFUNCTION("""COMPUTED_VALUE"""),"BATERIA UMYWALKOWA MY1902-21G STORM GOLD WYSOKA")</f>
        <v>BATERIA UMYWALKOWA MY1902-21G STORM GOLD WYSOKA</v>
      </c>
      <c r="C2118" s="23"/>
      <c r="D2118" s="24">
        <f ca="1">IFERROR(__xludf.DUMMYFUNCTION("""COMPUTED_VALUE"""),419)</f>
        <v>419</v>
      </c>
      <c r="E2118" s="25" t="str">
        <f ca="1">IFERROR(__xludf.DUMMYFUNCTION("""COMPUTED_VALUE"""),"REA-B9983")</f>
        <v>REA-B9983</v>
      </c>
    </row>
    <row r="2119" spans="1:5" x14ac:dyDescent="0.2">
      <c r="A2119" s="22">
        <f ca="1">IFERROR(__xludf.DUMMYFUNCTION("""COMPUTED_VALUE"""),44875)</f>
        <v>44875</v>
      </c>
      <c r="B2119" s="23" t="str">
        <f ca="1">IFERROR(__xludf.DUMMYFUNCTION("""COMPUTED_VALUE"""),"BATERIA BIDETOWA MY1902-9G STORM GOLD")</f>
        <v>BATERIA BIDETOWA MY1902-9G STORM GOLD</v>
      </c>
      <c r="C2119" s="23"/>
      <c r="D2119" s="24">
        <f ca="1">IFERROR(__xludf.DUMMYFUNCTION("""COMPUTED_VALUE"""),299)</f>
        <v>299</v>
      </c>
      <c r="E2119" s="25" t="str">
        <f ca="1">IFERROR(__xludf.DUMMYFUNCTION("""COMPUTED_VALUE"""),"REA-B9982")</f>
        <v>REA-B9982</v>
      </c>
    </row>
    <row r="2120" spans="1:5" x14ac:dyDescent="0.2">
      <c r="A2120" s="22">
        <f ca="1">IFERROR(__xludf.DUMMYFUNCTION("""COMPUTED_VALUE"""),44875)</f>
        <v>44875</v>
      </c>
      <c r="B2120" s="23" t="str">
        <f ca="1">IFERROR(__xludf.DUMMYFUNCTION("""COMPUTED_VALUE"""),"BATERIA PRYSZNICOWA MY1805-8BG BLOOM BLACK/GOLD")</f>
        <v>BATERIA PRYSZNICOWA MY1805-8BG BLOOM BLACK/GOLD</v>
      </c>
      <c r="C2120" s="23"/>
      <c r="D2120" s="24">
        <f ca="1">IFERROR(__xludf.DUMMYFUNCTION("""COMPUTED_VALUE"""),399)</f>
        <v>399</v>
      </c>
      <c r="E2120" s="25" t="str">
        <f ca="1">IFERROR(__xludf.DUMMYFUNCTION("""COMPUTED_VALUE"""),"REA-B9938")</f>
        <v>REA-B9938</v>
      </c>
    </row>
    <row r="2121" spans="1:5" x14ac:dyDescent="0.2">
      <c r="A2121" s="22">
        <f ca="1">IFERROR(__xludf.DUMMYFUNCTION("""COMPUTED_VALUE"""),44875)</f>
        <v>44875</v>
      </c>
      <c r="B2121" s="23" t="str">
        <f ca="1">IFERROR(__xludf.DUMMYFUNCTION("""COMPUTED_VALUE"""),"BATERIA WANNOWA MY1805-3WG BLOOM WHITE/GOLD")</f>
        <v>BATERIA WANNOWA MY1805-3WG BLOOM WHITE/GOLD</v>
      </c>
      <c r="C2121" s="23"/>
      <c r="D2121" s="24">
        <f ca="1">IFERROR(__xludf.DUMMYFUNCTION("""COMPUTED_VALUE"""),459)</f>
        <v>459</v>
      </c>
      <c r="E2121" s="25" t="str">
        <f ca="1">IFERROR(__xludf.DUMMYFUNCTION("""COMPUTED_VALUE"""),"REA-B9932")</f>
        <v>REA-B9932</v>
      </c>
    </row>
    <row r="2122" spans="1:5" x14ac:dyDescent="0.2">
      <c r="A2122" s="22">
        <f ca="1">IFERROR(__xludf.DUMMYFUNCTION("""COMPUTED_VALUE"""),44875)</f>
        <v>44875</v>
      </c>
      <c r="B2122" s="23" t="str">
        <f ca="1">IFERROR(__xludf.DUMMYFUNCTION("""COMPUTED_VALUE"""),"BATERIA WANNOWA MY1802-3G URBAN GOLD")</f>
        <v>BATERIA WANNOWA MY1802-3G URBAN GOLD</v>
      </c>
      <c r="C2122" s="23"/>
      <c r="D2122" s="24">
        <f ca="1">IFERROR(__xludf.DUMMYFUNCTION("""COMPUTED_VALUE"""),449)</f>
        <v>449</v>
      </c>
      <c r="E2122" s="25" t="str">
        <f ca="1">IFERROR(__xludf.DUMMYFUNCTION("""COMPUTED_VALUE"""),"REA-B9914")</f>
        <v>REA-B9914</v>
      </c>
    </row>
    <row r="2123" spans="1:5" x14ac:dyDescent="0.2">
      <c r="A2123" s="22">
        <f ca="1">IFERROR(__xludf.DUMMYFUNCTION("""COMPUTED_VALUE"""),44875)</f>
        <v>44875</v>
      </c>
      <c r="B2123" s="23" t="str">
        <f ca="1">IFERROR(__xludf.DUMMYFUNCTION("""COMPUTED_VALUE"""),"BATERIA PRYSZNICOWA MY1802-8G URBAN GOLD ")</f>
        <v xml:space="preserve">BATERIA PRYSZNICOWA MY1802-8G URBAN GOLD </v>
      </c>
      <c r="C2123" s="23"/>
      <c r="D2123" s="24">
        <f ca="1">IFERROR(__xludf.DUMMYFUNCTION("""COMPUTED_VALUE"""),349)</f>
        <v>349</v>
      </c>
      <c r="E2123" s="25" t="str">
        <f ca="1">IFERROR(__xludf.DUMMYFUNCTION("""COMPUTED_VALUE"""),"REA-B9913")</f>
        <v>REA-B9913</v>
      </c>
    </row>
    <row r="2124" spans="1:5" x14ac:dyDescent="0.2">
      <c r="A2124" s="22">
        <f ca="1">IFERROR(__xludf.DUMMYFUNCTION("""COMPUTED_VALUE"""),44875)</f>
        <v>44875</v>
      </c>
      <c r="B2124" s="23" t="str">
        <f ca="1">IFERROR(__xludf.DUMMYFUNCTION("""COMPUTED_VALUE"""),"BATERIA WANNOWA MY1802-3B URBAN BLACK")</f>
        <v>BATERIA WANNOWA MY1802-3B URBAN BLACK</v>
      </c>
      <c r="C2124" s="23"/>
      <c r="D2124" s="24">
        <f ca="1">IFERROR(__xludf.DUMMYFUNCTION("""COMPUTED_VALUE"""),369)</f>
        <v>369</v>
      </c>
      <c r="E2124" s="25" t="str">
        <f ca="1">IFERROR(__xludf.DUMMYFUNCTION("""COMPUTED_VALUE"""),"REA-B9910")</f>
        <v>REA-B9910</v>
      </c>
    </row>
    <row r="2125" spans="1:5" x14ac:dyDescent="0.2">
      <c r="A2125" s="22">
        <f ca="1">IFERROR(__xludf.DUMMYFUNCTION("""COMPUTED_VALUE"""),44869)</f>
        <v>44869</v>
      </c>
      <c r="B2125" s="23" t="str">
        <f ca="1">IFERROR(__xludf.DUMMYFUNCTION("""COMPUTED_VALUE"""),"ŚCIANKA RAPID GOLD 80")</f>
        <v>ŚCIANKA RAPID GOLD 80</v>
      </c>
      <c r="C2125" s="23"/>
      <c r="D2125" s="24">
        <f ca="1">IFERROR(__xludf.DUMMYFUNCTION("""COMPUTED_VALUE"""),650)</f>
        <v>650</v>
      </c>
      <c r="E2125" s="25" t="str">
        <f ca="1">IFERROR(__xludf.DUMMYFUNCTION("""COMPUTED_VALUE"""),"REA-K5621")</f>
        <v>REA-K5621</v>
      </c>
    </row>
    <row r="2126" spans="1:5" x14ac:dyDescent="0.2">
      <c r="A2126" s="22">
        <f ca="1">IFERROR(__xludf.DUMMYFUNCTION("""COMPUTED_VALUE"""),44869)</f>
        <v>44869</v>
      </c>
      <c r="B2126" s="23" t="str">
        <f ca="1">IFERROR(__xludf.DUMMYFUNCTION("""COMPUTED_VALUE"""),"ŚCIANKA RAPID GOLD 90")</f>
        <v>ŚCIANKA RAPID GOLD 90</v>
      </c>
      <c r="C2126" s="23"/>
      <c r="D2126" s="24">
        <f ca="1">IFERROR(__xludf.DUMMYFUNCTION("""COMPUTED_VALUE"""),700)</f>
        <v>700</v>
      </c>
      <c r="E2126" s="25" t="str">
        <f ca="1">IFERROR(__xludf.DUMMYFUNCTION("""COMPUTED_VALUE"""),"REA-K5624")</f>
        <v>REA-K5624</v>
      </c>
    </row>
    <row r="2127" spans="1:5" x14ac:dyDescent="0.2">
      <c r="A2127" s="22">
        <f ca="1">IFERROR(__xludf.DUMMYFUNCTION("""COMPUTED_VALUE"""),44869)</f>
        <v>44869</v>
      </c>
      <c r="B2127" s="23" t="str">
        <f ca="1">IFERROR(__xludf.DUMMYFUNCTION("""COMPUTED_VALUE"""),"ŚCIANKA RAPID GOLD 100")</f>
        <v>ŚCIANKA RAPID GOLD 100</v>
      </c>
      <c r="C2127" s="23"/>
      <c r="D2127" s="24">
        <f ca="1">IFERROR(__xludf.DUMMYFUNCTION("""COMPUTED_VALUE"""),750)</f>
        <v>750</v>
      </c>
      <c r="E2127" s="25" t="str">
        <f ca="1">IFERROR(__xludf.DUMMYFUNCTION("""COMPUTED_VALUE"""),"REA-K5625")</f>
        <v>REA-K5625</v>
      </c>
    </row>
    <row r="2128" spans="1:5" x14ac:dyDescent="0.2">
      <c r="A2128" s="22">
        <f ca="1">IFERROR(__xludf.DUMMYFUNCTION("""COMPUTED_VALUE"""),44869)</f>
        <v>44869</v>
      </c>
      <c r="B2128" s="23" t="str">
        <f ca="1">IFERROR(__xludf.DUMMYFUNCTION("""COMPUTED_VALUE"""),"DRZWI PRYSZNICOWE RAPID SLIDE GOLD 100")</f>
        <v>DRZWI PRYSZNICOWE RAPID SLIDE GOLD 100</v>
      </c>
      <c r="C2128" s="23"/>
      <c r="D2128" s="24">
        <f ca="1">IFERROR(__xludf.DUMMYFUNCTION("""COMPUTED_VALUE"""),899)</f>
        <v>899</v>
      </c>
      <c r="E2128" s="25" t="str">
        <f ca="1">IFERROR(__xludf.DUMMYFUNCTION("""COMPUTED_VALUE"""),"REA-K5611")</f>
        <v>REA-K5611</v>
      </c>
    </row>
    <row r="2129" spans="1:5" x14ac:dyDescent="0.2">
      <c r="A2129" s="22">
        <f ca="1">IFERROR(__xludf.DUMMYFUNCTION("""COMPUTED_VALUE"""),44869)</f>
        <v>44869</v>
      </c>
      <c r="B2129" s="23" t="str">
        <f ca="1">IFERROR(__xludf.DUMMYFUNCTION("""COMPUTED_VALUE"""),"DRZWI PRYSZNICOWE RAPID SLIDE GOLD 110")</f>
        <v>DRZWI PRYSZNICOWE RAPID SLIDE GOLD 110</v>
      </c>
      <c r="C2129" s="23"/>
      <c r="D2129" s="24">
        <f ca="1">IFERROR(__xludf.DUMMYFUNCTION("""COMPUTED_VALUE"""),959)</f>
        <v>959</v>
      </c>
      <c r="E2129" s="25" t="str">
        <f ca="1">IFERROR(__xludf.DUMMYFUNCTION("""COMPUTED_VALUE"""),"REA-K5613")</f>
        <v>REA-K5613</v>
      </c>
    </row>
    <row r="2130" spans="1:5" x14ac:dyDescent="0.2">
      <c r="A2130" s="22">
        <f ca="1">IFERROR(__xludf.DUMMYFUNCTION("""COMPUTED_VALUE"""),44869)</f>
        <v>44869</v>
      </c>
      <c r="B2130" s="23" t="str">
        <f ca="1">IFERROR(__xludf.DUMMYFUNCTION("""COMPUTED_VALUE"""),"DRZWI PRYSZNICOWE RAPID SLIDE GOLD 120")</f>
        <v>DRZWI PRYSZNICOWE RAPID SLIDE GOLD 120</v>
      </c>
      <c r="C2130" s="23"/>
      <c r="D2130" s="24">
        <f ca="1">IFERROR(__xludf.DUMMYFUNCTION("""COMPUTED_VALUE"""),999)</f>
        <v>999</v>
      </c>
      <c r="E2130" s="25" t="str">
        <f ca="1">IFERROR(__xludf.DUMMYFUNCTION("""COMPUTED_VALUE"""),"REA-K5614")</f>
        <v>REA-K5614</v>
      </c>
    </row>
    <row r="2131" spans="1:5" x14ac:dyDescent="0.2">
      <c r="A2131" s="22">
        <f ca="1">IFERROR(__xludf.DUMMYFUNCTION("""COMPUTED_VALUE"""),44869)</f>
        <v>44869</v>
      </c>
      <c r="B2131" s="23" t="str">
        <f ca="1">IFERROR(__xludf.DUMMYFUNCTION("""COMPUTED_VALUE"""),"DRZWI PRYSZNICOWE RAPID SLIDE GOLD 130")</f>
        <v>DRZWI PRYSZNICOWE RAPID SLIDE GOLD 130</v>
      </c>
      <c r="C2131" s="23"/>
      <c r="D2131" s="24">
        <f ca="1">IFERROR(__xludf.DUMMYFUNCTION("""COMPUTED_VALUE"""),1029)</f>
        <v>1029</v>
      </c>
      <c r="E2131" s="25" t="str">
        <f ca="1">IFERROR(__xludf.DUMMYFUNCTION("""COMPUTED_VALUE"""),"REA-K5615")</f>
        <v>REA-K5615</v>
      </c>
    </row>
    <row r="2132" spans="1:5" x14ac:dyDescent="0.2">
      <c r="A2132" s="22">
        <f ca="1">IFERROR(__xludf.DUMMYFUNCTION("""COMPUTED_VALUE"""),44869)</f>
        <v>44869</v>
      </c>
      <c r="B2132" s="23" t="str">
        <f ca="1">IFERROR(__xludf.DUMMYFUNCTION("""COMPUTED_VALUE"""),"DRZWI PRYSZNICOWE RAPID SLIDE GOLD 140")</f>
        <v>DRZWI PRYSZNICOWE RAPID SLIDE GOLD 140</v>
      </c>
      <c r="C2132" s="23"/>
      <c r="D2132" s="24">
        <f ca="1">IFERROR(__xludf.DUMMYFUNCTION("""COMPUTED_VALUE"""),1059)</f>
        <v>1059</v>
      </c>
      <c r="E2132" s="25" t="str">
        <f ca="1">IFERROR(__xludf.DUMMYFUNCTION("""COMPUTED_VALUE"""),"REA-K5616")</f>
        <v>REA-K5616</v>
      </c>
    </row>
    <row r="2133" spans="1:5" x14ac:dyDescent="0.2">
      <c r="A2133" s="22">
        <f ca="1">IFERROR(__xludf.DUMMYFUNCTION("""COMPUTED_VALUE"""),44869)</f>
        <v>44869</v>
      </c>
      <c r="B2133" s="23" t="str">
        <f ca="1">IFERROR(__xludf.DUMMYFUNCTION("""COMPUTED_VALUE"""),"DRZWI PRYSZNICOWE RAPID SLIDE GOLD 150")</f>
        <v>DRZWI PRYSZNICOWE RAPID SLIDE GOLD 150</v>
      </c>
      <c r="C2133" s="23"/>
      <c r="D2133" s="24">
        <f ca="1">IFERROR(__xludf.DUMMYFUNCTION("""COMPUTED_VALUE"""),1279)</f>
        <v>1279</v>
      </c>
      <c r="E2133" s="25" t="str">
        <f ca="1">IFERROR(__xludf.DUMMYFUNCTION("""COMPUTED_VALUE"""),"REA-K5617")</f>
        <v>REA-K5617</v>
      </c>
    </row>
    <row r="2134" spans="1:5" x14ac:dyDescent="0.2">
      <c r="A2134" s="22">
        <f ca="1">IFERROR(__xludf.DUMMYFUNCTION("""COMPUTED_VALUE"""),44869)</f>
        <v>44869</v>
      </c>
      <c r="B2134" s="23" t="str">
        <f ca="1">IFERROR(__xludf.DUMMYFUNCTION("""COMPUTED_VALUE"""),"DRZWI PRYSZNICOWE RAPID SWING GOLD 90")</f>
        <v>DRZWI PRYSZNICOWE RAPID SWING GOLD 90</v>
      </c>
      <c r="C2134" s="23"/>
      <c r="D2134" s="24">
        <f ca="1">IFERROR(__xludf.DUMMYFUNCTION("""COMPUTED_VALUE"""),1169)</f>
        <v>1169</v>
      </c>
      <c r="E2134" s="25" t="str">
        <f ca="1">IFERROR(__xludf.DUMMYFUNCTION("""COMPUTED_VALUE"""),"REA-K5618")</f>
        <v>REA-K5618</v>
      </c>
    </row>
    <row r="2135" spans="1:5" x14ac:dyDescent="0.2">
      <c r="A2135" s="22">
        <f ca="1">IFERROR(__xludf.DUMMYFUNCTION("""COMPUTED_VALUE"""),44869)</f>
        <v>44869</v>
      </c>
      <c r="B2135" s="23" t="str">
        <f ca="1">IFERROR(__xludf.DUMMYFUNCTION("""COMPUTED_VALUE"""),"DRZWI PRYSZNICOWE RAPID SWING GOLD 100")</f>
        <v>DRZWI PRYSZNICOWE RAPID SWING GOLD 100</v>
      </c>
      <c r="C2135" s="23"/>
      <c r="D2135" s="24">
        <f ca="1">IFERROR(__xludf.DUMMYFUNCTION("""COMPUTED_VALUE"""),1199)</f>
        <v>1199</v>
      </c>
      <c r="E2135" s="25" t="str">
        <f ca="1">IFERROR(__xludf.DUMMYFUNCTION("""COMPUTED_VALUE"""),"REA-K5619")</f>
        <v>REA-K5619</v>
      </c>
    </row>
    <row r="2136" spans="1:5" x14ac:dyDescent="0.2">
      <c r="A2136" s="22">
        <f ca="1">IFERROR(__xludf.DUMMYFUNCTION("""COMPUTED_VALUE"""),44869)</f>
        <v>44869</v>
      </c>
      <c r="B2136" s="23" t="str">
        <f ca="1">IFERROR(__xludf.DUMMYFUNCTION("""COMPUTED_VALUE"""),"DRZWI PRYSZNICOWE RAPID SLIDE CHROM 100")</f>
        <v>DRZWI PRYSZNICOWE RAPID SLIDE CHROM 100</v>
      </c>
      <c r="C2136" s="23"/>
      <c r="D2136" s="24">
        <f ca="1">IFERROR(__xludf.DUMMYFUNCTION("""COMPUTED_VALUE"""),839)</f>
        <v>839</v>
      </c>
      <c r="E2136" s="25" t="str">
        <f ca="1">IFERROR(__xludf.DUMMYFUNCTION("""COMPUTED_VALUE"""),"REA-K5600")</f>
        <v>REA-K5600</v>
      </c>
    </row>
    <row r="2137" spans="1:5" x14ac:dyDescent="0.2">
      <c r="A2137" s="22">
        <f ca="1">IFERROR(__xludf.DUMMYFUNCTION("""COMPUTED_VALUE"""),44869)</f>
        <v>44869</v>
      </c>
      <c r="B2137" s="23" t="str">
        <f ca="1">IFERROR(__xludf.DUMMYFUNCTION("""COMPUTED_VALUE"""),"DRZWI PRYSZNICOWE RAPID SLIDE CHROM 110")</f>
        <v>DRZWI PRYSZNICOWE RAPID SLIDE CHROM 110</v>
      </c>
      <c r="C2137" s="23"/>
      <c r="D2137" s="24">
        <f ca="1">IFERROR(__xludf.DUMMYFUNCTION("""COMPUTED_VALUE"""),899)</f>
        <v>899</v>
      </c>
      <c r="E2137" s="25" t="str">
        <f ca="1">IFERROR(__xludf.DUMMYFUNCTION("""COMPUTED_VALUE"""),"REA-K5601")</f>
        <v>REA-K5601</v>
      </c>
    </row>
    <row r="2138" spans="1:5" x14ac:dyDescent="0.2">
      <c r="A2138" s="22">
        <f ca="1">IFERROR(__xludf.DUMMYFUNCTION("""COMPUTED_VALUE"""),44869)</f>
        <v>44869</v>
      </c>
      <c r="B2138" s="23" t="str">
        <f ca="1">IFERROR(__xludf.DUMMYFUNCTION("""COMPUTED_VALUE"""),"DRZWI PRYSZNICOWE RAPID SLIDE CHROM 120")</f>
        <v>DRZWI PRYSZNICOWE RAPID SLIDE CHROM 120</v>
      </c>
      <c r="C2138" s="23"/>
      <c r="D2138" s="24">
        <f ca="1">IFERROR(__xludf.DUMMYFUNCTION("""COMPUTED_VALUE"""),909)</f>
        <v>909</v>
      </c>
      <c r="E2138" s="25" t="str">
        <f ca="1">IFERROR(__xludf.DUMMYFUNCTION("""COMPUTED_VALUE"""),"REA-K5602")</f>
        <v>REA-K5602</v>
      </c>
    </row>
    <row r="2139" spans="1:5" x14ac:dyDescent="0.2">
      <c r="A2139" s="22">
        <f ca="1">IFERROR(__xludf.DUMMYFUNCTION("""COMPUTED_VALUE"""),44869)</f>
        <v>44869</v>
      </c>
      <c r="B2139" s="23" t="str">
        <f ca="1">IFERROR(__xludf.DUMMYFUNCTION("""COMPUTED_VALUE"""),"DRZWI PRYSZNICOWE RAPID SLIDE CHROM 130")</f>
        <v>DRZWI PRYSZNICOWE RAPID SLIDE CHROM 130</v>
      </c>
      <c r="C2139" s="23"/>
      <c r="D2139" s="24">
        <f ca="1">IFERROR(__xludf.DUMMYFUNCTION("""COMPUTED_VALUE"""),929)</f>
        <v>929</v>
      </c>
      <c r="E2139" s="25" t="str">
        <f ca="1">IFERROR(__xludf.DUMMYFUNCTION("""COMPUTED_VALUE"""),"REA-K5603")</f>
        <v>REA-K5603</v>
      </c>
    </row>
    <row r="2140" spans="1:5" x14ac:dyDescent="0.2">
      <c r="A2140" s="22">
        <f ca="1">IFERROR(__xludf.DUMMYFUNCTION("""COMPUTED_VALUE"""),44869)</f>
        <v>44869</v>
      </c>
      <c r="B2140" s="23" t="str">
        <f ca="1">IFERROR(__xludf.DUMMYFUNCTION("""COMPUTED_VALUE"""),"DRZWI PRYSZNICOWE RAPID SLIDE CHROM 140")</f>
        <v>DRZWI PRYSZNICOWE RAPID SLIDE CHROM 140</v>
      </c>
      <c r="C2140" s="23"/>
      <c r="D2140" s="24">
        <f ca="1">IFERROR(__xludf.DUMMYFUNCTION("""COMPUTED_VALUE"""),979)</f>
        <v>979</v>
      </c>
      <c r="E2140" s="25" t="str">
        <f ca="1">IFERROR(__xludf.DUMMYFUNCTION("""COMPUTED_VALUE"""),"REA-K5604")</f>
        <v>REA-K5604</v>
      </c>
    </row>
    <row r="2141" spans="1:5" x14ac:dyDescent="0.2">
      <c r="A2141" s="22">
        <f ca="1">IFERROR(__xludf.DUMMYFUNCTION("""COMPUTED_VALUE"""),44869)</f>
        <v>44869</v>
      </c>
      <c r="B2141" s="23" t="str">
        <f ca="1">IFERROR(__xludf.DUMMYFUNCTION("""COMPUTED_VALUE"""),"DRZWI PRYSZNICOWE RAPID SLIDE CHROM 150")</f>
        <v>DRZWI PRYSZNICOWE RAPID SLIDE CHROM 150</v>
      </c>
      <c r="C2141" s="23"/>
      <c r="D2141" s="24">
        <f ca="1">IFERROR(__xludf.DUMMYFUNCTION("""COMPUTED_VALUE"""),999)</f>
        <v>999</v>
      </c>
      <c r="E2141" s="25" t="str">
        <f ca="1">IFERROR(__xludf.DUMMYFUNCTION("""COMPUTED_VALUE"""),"REA-K5605")</f>
        <v>REA-K5605</v>
      </c>
    </row>
    <row r="2142" spans="1:5" x14ac:dyDescent="0.2">
      <c r="A2142" s="22">
        <f ca="1">IFERROR(__xludf.DUMMYFUNCTION("""COMPUTED_VALUE"""),44869)</f>
        <v>44869</v>
      </c>
      <c r="B2142" s="23" t="str">
        <f ca="1">IFERROR(__xludf.DUMMYFUNCTION("""COMPUTED_VALUE"""),"DRZWI PRYSZNICOWE RAPID SWING CHROM 90")</f>
        <v>DRZWI PRYSZNICOWE RAPID SWING CHROM 90</v>
      </c>
      <c r="C2142" s="23"/>
      <c r="D2142" s="24">
        <f ca="1">IFERROR(__xludf.DUMMYFUNCTION("""COMPUTED_VALUE"""),859)</f>
        <v>859</v>
      </c>
      <c r="E2142" s="25" t="str">
        <f ca="1">IFERROR(__xludf.DUMMYFUNCTION("""COMPUTED_VALUE"""),"REA-K5606")</f>
        <v>REA-K5606</v>
      </c>
    </row>
    <row r="2143" spans="1:5" x14ac:dyDescent="0.2">
      <c r="A2143" s="22">
        <f ca="1">IFERROR(__xludf.DUMMYFUNCTION("""COMPUTED_VALUE"""),44869)</f>
        <v>44869</v>
      </c>
      <c r="B2143" s="23" t="str">
        <f ca="1">IFERROR(__xludf.DUMMYFUNCTION("""COMPUTED_VALUE"""),"DRZWI PRYSZNICOWE RAPID SWING CHROM 100")</f>
        <v>DRZWI PRYSZNICOWE RAPID SWING CHROM 100</v>
      </c>
      <c r="C2143" s="23"/>
      <c r="D2143" s="24">
        <f ca="1">IFERROR(__xludf.DUMMYFUNCTION("""COMPUTED_VALUE"""),919)</f>
        <v>919</v>
      </c>
      <c r="E2143" s="25" t="str">
        <f ca="1">IFERROR(__xludf.DUMMYFUNCTION("""COMPUTED_VALUE"""),"REA-K5607")</f>
        <v>REA-K5607</v>
      </c>
    </row>
    <row r="2144" spans="1:5" x14ac:dyDescent="0.2">
      <c r="A2144" s="22">
        <f ca="1">IFERROR(__xludf.DUMMYFUNCTION("""COMPUTED_VALUE"""),44869)</f>
        <v>44869</v>
      </c>
      <c r="B2144" s="23" t="str">
        <f ca="1">IFERROR(__xludf.DUMMYFUNCTION("""COMPUTED_VALUE"""),"ŚCIANKA RAPID CHROM 80")</f>
        <v>ŚCIANKA RAPID CHROM 80</v>
      </c>
      <c r="C2144" s="23"/>
      <c r="D2144" s="24">
        <f ca="1">IFERROR(__xludf.DUMMYFUNCTION("""COMPUTED_VALUE"""),500)</f>
        <v>500</v>
      </c>
      <c r="E2144" s="25" t="str">
        <f ca="1">IFERROR(__xludf.DUMMYFUNCTION("""COMPUTED_VALUE"""),"REA-K5608")</f>
        <v>REA-K5608</v>
      </c>
    </row>
    <row r="2145" spans="1:5" x14ac:dyDescent="0.2">
      <c r="A2145" s="22">
        <f ca="1">IFERROR(__xludf.DUMMYFUNCTION("""COMPUTED_VALUE"""),44869)</f>
        <v>44869</v>
      </c>
      <c r="B2145" s="23" t="str">
        <f ca="1">IFERROR(__xludf.DUMMYFUNCTION("""COMPUTED_VALUE"""),"ŚCIANKA RAPID CHROM 90")</f>
        <v>ŚCIANKA RAPID CHROM 90</v>
      </c>
      <c r="C2145" s="23"/>
      <c r="D2145" s="24">
        <f ca="1">IFERROR(__xludf.DUMMYFUNCTION("""COMPUTED_VALUE"""),520)</f>
        <v>520</v>
      </c>
      <c r="E2145" s="25" t="str">
        <f ca="1">IFERROR(__xludf.DUMMYFUNCTION("""COMPUTED_VALUE"""),"REA-K5609")</f>
        <v>REA-K5609</v>
      </c>
    </row>
    <row r="2146" spans="1:5" x14ac:dyDescent="0.2">
      <c r="A2146" s="22">
        <f ca="1">IFERROR(__xludf.DUMMYFUNCTION("""COMPUTED_VALUE"""),44869)</f>
        <v>44869</v>
      </c>
      <c r="B2146" s="23" t="str">
        <f ca="1">IFERROR(__xludf.DUMMYFUNCTION("""COMPUTED_VALUE"""),"ŚCIANKA RAPID CHROM 100")</f>
        <v>ŚCIANKA RAPID CHROM 100</v>
      </c>
      <c r="C2146" s="23"/>
      <c r="D2146" s="24">
        <f ca="1">IFERROR(__xludf.DUMMYFUNCTION("""COMPUTED_VALUE"""),530)</f>
        <v>530</v>
      </c>
      <c r="E2146" s="25" t="str">
        <f ca="1">IFERROR(__xludf.DUMMYFUNCTION("""COMPUTED_VALUE"""),"REA-K5610")</f>
        <v>REA-K5610</v>
      </c>
    </row>
    <row r="2147" spans="1:5" x14ac:dyDescent="0.2">
      <c r="A2147" s="22">
        <f ca="1">IFERROR(__xludf.DUMMYFUNCTION("""COMPUTED_VALUE"""),44869)</f>
        <v>44869</v>
      </c>
      <c r="B2147" s="23" t="str">
        <f ca="1">IFERROR(__xludf.DUMMYFUNCTION("""COMPUTED_VALUE"""),"PÓŁKA TORI NIKIEL SZCZOTKOWANY")</f>
        <v>PÓŁKA TORI NIKIEL SZCZOTKOWANY</v>
      </c>
      <c r="C2147" s="23"/>
      <c r="D2147" s="24">
        <f ca="1">IFERROR(__xludf.DUMMYFUNCTION("""COMPUTED_VALUE"""),189)</f>
        <v>189</v>
      </c>
      <c r="E2147" s="25" t="str">
        <f ca="1">IFERROR(__xludf.DUMMYFUNCTION("""COMPUTED_VALUE"""),"REA-85002")</f>
        <v>REA-85002</v>
      </c>
    </row>
    <row r="2148" spans="1:5" x14ac:dyDescent="0.2">
      <c r="A2148" s="22">
        <f ca="1">IFERROR(__xludf.DUMMYFUNCTION("""COMPUTED_VALUE"""),44869)</f>
        <v>44869</v>
      </c>
      <c r="B2148" s="23" t="str">
        <f ca="1">IFERROR(__xludf.DUMMYFUNCTION("""COMPUTED_VALUE"""),"UMYWALKA HOLLY - WOLNOSTOJĄCA")</f>
        <v>UMYWALKA HOLLY - WOLNOSTOJĄCA</v>
      </c>
      <c r="C2148" s="23"/>
      <c r="D2148" s="24">
        <f ca="1">IFERROR(__xludf.DUMMYFUNCTION("""COMPUTED_VALUE"""),1399)</f>
        <v>1399</v>
      </c>
      <c r="E2148" s="25" t="str">
        <f ca="1">IFERROR(__xludf.DUMMYFUNCTION("""COMPUTED_VALUE"""),"REA-U8005")</f>
        <v>REA-U8005</v>
      </c>
    </row>
    <row r="2149" spans="1:5" x14ac:dyDescent="0.2">
      <c r="A2149" s="22">
        <f ca="1">IFERROR(__xludf.DUMMYFUNCTION("""COMPUTED_VALUE"""),44869)</f>
        <v>44869</v>
      </c>
      <c r="B2149" s="23" t="str">
        <f ca="1">IFERROR(__xludf.DUMMYFUNCTION("""COMPUTED_VALUE"""),"UMYWALKA ROXY B STONE NATURE - NABLATOWA")</f>
        <v>UMYWALKA ROXY B STONE NATURE - NABLATOWA</v>
      </c>
      <c r="C2149" s="23"/>
      <c r="D2149" s="24">
        <f ca="1">IFERROR(__xludf.DUMMYFUNCTION("""COMPUTED_VALUE"""),359)</f>
        <v>359</v>
      </c>
      <c r="E2149" s="25" t="str">
        <f ca="1">IFERROR(__xludf.DUMMYFUNCTION("""COMPUTED_VALUE"""),"REA-U6650")</f>
        <v>REA-U6650</v>
      </c>
    </row>
    <row r="2150" spans="1:5" x14ac:dyDescent="0.2">
      <c r="A2150" s="22">
        <f ca="1">IFERROR(__xludf.DUMMYFUNCTION("""COMPUTED_VALUE"""),44869)</f>
        <v>44869</v>
      </c>
      <c r="B2150" s="23" t="str">
        <f ca="1">IFERROR(__xludf.DUMMYFUNCTION("""COMPUTED_VALUE"""),"UMYWALKA ROXY C STONE L.GREY - NABLATOWA")</f>
        <v>UMYWALKA ROXY C STONE L.GREY - NABLATOWA</v>
      </c>
      <c r="C2150" s="23"/>
      <c r="D2150" s="24">
        <f ca="1">IFERROR(__xludf.DUMMYFUNCTION("""COMPUTED_VALUE"""),359)</f>
        <v>359</v>
      </c>
      <c r="E2150" s="25" t="str">
        <f ca="1">IFERROR(__xludf.DUMMYFUNCTION("""COMPUTED_VALUE"""),"REA-U6651")</f>
        <v>REA-U6651</v>
      </c>
    </row>
    <row r="2151" spans="1:5" x14ac:dyDescent="0.2">
      <c r="A2151" s="22">
        <f ca="1">IFERROR(__xludf.DUMMYFUNCTION("""COMPUTED_VALUE"""),44869)</f>
        <v>44869</v>
      </c>
      <c r="B2151" s="23" t="str">
        <f ca="1">IFERROR(__xludf.DUMMYFUNCTION("""COMPUTED_VALUE"""),"UMYWALKA AURA 81 - NABLATOWA")</f>
        <v>UMYWALKA AURA 81 - NABLATOWA</v>
      </c>
      <c r="C2151" s="23"/>
      <c r="D2151" s="24">
        <f ca="1">IFERROR(__xludf.DUMMYFUNCTION("""COMPUTED_VALUE"""),439)</f>
        <v>439</v>
      </c>
      <c r="E2151" s="25" t="str">
        <f ca="1">IFERROR(__xludf.DUMMYFUNCTION("""COMPUTED_VALUE"""),"REA-U2541")</f>
        <v>REA-U2541</v>
      </c>
    </row>
    <row r="2152" spans="1:5" x14ac:dyDescent="0.2">
      <c r="A2152" s="22">
        <f ca="1">IFERROR(__xludf.DUMMYFUNCTION("""COMPUTED_VALUE"""),44860)</f>
        <v>44860</v>
      </c>
      <c r="B2152" s="23" t="str">
        <f ca="1">IFERROR(__xludf.DUMMYFUNCTION("""COMPUTED_VALUE"""),"ADAPTER PRZEDŁUŻAJĄCY DO ZESTAWU NATRYSKOW ZŁOTY")</f>
        <v>ADAPTER PRZEDŁUŻAJĄCY DO ZESTAWU NATRYSKOW ZŁOTY</v>
      </c>
      <c r="C2152" s="23"/>
      <c r="D2152" s="24">
        <f ca="1">IFERROR(__xludf.DUMMYFUNCTION("""COMPUTED_VALUE"""),89)</f>
        <v>89</v>
      </c>
      <c r="E2152" s="25" t="str">
        <f ca="1">IFERROR(__xludf.DUMMYFUNCTION("""COMPUTED_VALUE"""),"REA-K6651")</f>
        <v>REA-K6651</v>
      </c>
    </row>
    <row r="2153" spans="1:5" x14ac:dyDescent="0.2">
      <c r="A2153" s="22">
        <f ca="1">IFERROR(__xludf.DUMMYFUNCTION("""COMPUTED_VALUE"""),44860)</f>
        <v>44860</v>
      </c>
      <c r="B2153" s="23" t="str">
        <f ca="1">IFERROR(__xludf.DUMMYFUNCTION("""COMPUTED_VALUE"""),"ADAPTER PRZEDŁUŻAJĄCY DO ZESTAWU NATRYSKOW CZARNY")</f>
        <v>ADAPTER PRZEDŁUŻAJĄCY DO ZESTAWU NATRYSKOW CZARNY</v>
      </c>
      <c r="C2153" s="23"/>
      <c r="D2153" s="24">
        <f ca="1">IFERROR(__xludf.DUMMYFUNCTION("""COMPUTED_VALUE"""),79)</f>
        <v>79</v>
      </c>
      <c r="E2153" s="25" t="str">
        <f ca="1">IFERROR(__xludf.DUMMYFUNCTION("""COMPUTED_VALUE"""),"REA-K6650")</f>
        <v>REA-K6650</v>
      </c>
    </row>
    <row r="2154" spans="1:5" x14ac:dyDescent="0.2">
      <c r="A2154" s="22">
        <f ca="1">IFERROR(__xludf.DUMMYFUNCTION("""COMPUTED_VALUE"""),44860)</f>
        <v>44860</v>
      </c>
      <c r="B2154" s="23" t="str">
        <f ca="1">IFERROR(__xludf.DUMMYFUNCTION("""COMPUTED_VALUE"""),"ADAPTER PRZEDŁUŻAJĄCY DO ZESTAWU NATRYSKOWEGO CHRO")</f>
        <v>ADAPTER PRZEDŁUŻAJĄCY DO ZESTAWU NATRYSKOWEGO CHRO</v>
      </c>
      <c r="C2154" s="23"/>
      <c r="D2154" s="24">
        <f ca="1">IFERROR(__xludf.DUMMYFUNCTION("""COMPUTED_VALUE"""),69)</f>
        <v>69</v>
      </c>
      <c r="E2154" s="25" t="str">
        <f ca="1">IFERROR(__xludf.DUMMYFUNCTION("""COMPUTED_VALUE"""),"REA-K6654")</f>
        <v>REA-K6654</v>
      </c>
    </row>
    <row r="2155" spans="1:5" x14ac:dyDescent="0.2">
      <c r="A2155" s="22">
        <f ca="1">IFERROR(__xludf.DUMMYFUNCTION("""COMPUTED_VALUE"""),44860)</f>
        <v>44860</v>
      </c>
      <c r="B2155" s="23" t="str">
        <f ca="1">IFERROR(__xludf.DUMMYFUNCTION("""COMPUTED_VALUE"""),"ZESTAW NATRYSKOWY MAX CZARNY TERMOSTAT")</f>
        <v>ZESTAW NATRYSKOWY MAX CZARNY TERMOSTAT</v>
      </c>
      <c r="C2155" s="23"/>
      <c r="D2155" s="24">
        <f ca="1">IFERROR(__xludf.DUMMYFUNCTION("""COMPUTED_VALUE"""),659)</f>
        <v>659</v>
      </c>
      <c r="E2155" s="25" t="str">
        <f ca="1">IFERROR(__xludf.DUMMYFUNCTION("""COMPUTED_VALUE"""),"REA-P6615")</f>
        <v>REA-P6615</v>
      </c>
    </row>
    <row r="2156" spans="1:5" x14ac:dyDescent="0.2">
      <c r="A2156" s="22">
        <f ca="1">IFERROR(__xludf.DUMMYFUNCTION("""COMPUTED_VALUE"""),44860)</f>
        <v>44860</v>
      </c>
      <c r="B2156" s="23" t="str">
        <f ca="1">IFERROR(__xludf.DUMMYFUNCTION("""COMPUTED_VALUE"""),"ZESTAW NATRYSKOWY MAX CHROM TERMOSTAT")</f>
        <v>ZESTAW NATRYSKOWY MAX CHROM TERMOSTAT</v>
      </c>
      <c r="C2156" s="23"/>
      <c r="D2156" s="24">
        <f ca="1">IFERROR(__xludf.DUMMYFUNCTION("""COMPUTED_VALUE"""),629)</f>
        <v>629</v>
      </c>
      <c r="E2156" s="25" t="str">
        <f ca="1">IFERROR(__xludf.DUMMYFUNCTION("""COMPUTED_VALUE"""),"REA-P6616")</f>
        <v>REA-P6616</v>
      </c>
    </row>
    <row r="2157" spans="1:5" x14ac:dyDescent="0.2">
      <c r="A2157" s="22">
        <f ca="1">IFERROR(__xludf.DUMMYFUNCTION("""COMPUTED_VALUE"""),44860)</f>
        <v>44860</v>
      </c>
      <c r="B2157" s="23" t="str">
        <f ca="1">IFERROR(__xludf.DUMMYFUNCTION("""COMPUTED_VALUE"""),"ZESTAW NATRYSKOWY MAX ZŁOTY TERMOSTAT")</f>
        <v>ZESTAW NATRYSKOWY MAX ZŁOTY TERMOSTAT</v>
      </c>
      <c r="C2157" s="23"/>
      <c r="D2157" s="24">
        <f ca="1">IFERROR(__xludf.DUMMYFUNCTION("""COMPUTED_VALUE"""),739)</f>
        <v>739</v>
      </c>
      <c r="E2157" s="25" t="str">
        <f ca="1">IFERROR(__xludf.DUMMYFUNCTION("""COMPUTED_VALUE"""),"REA-P6617")</f>
        <v>REA-P6617</v>
      </c>
    </row>
    <row r="2158" spans="1:5" x14ac:dyDescent="0.2">
      <c r="A2158" s="22">
        <f ca="1">IFERROR(__xludf.DUMMYFUNCTION("""COMPUTED_VALUE"""),44860)</f>
        <v>44860</v>
      </c>
      <c r="B2158" s="23" t="str">
        <f ca="1">IFERROR(__xludf.DUMMYFUNCTION("""COMPUTED_VALUE"""),"KABINA DIAMOND GOLD 100x100")</f>
        <v>KABINA DIAMOND GOLD 100x100</v>
      </c>
      <c r="C2158" s="23"/>
      <c r="D2158" s="24">
        <f ca="1">IFERROR(__xludf.DUMMYFUNCTION("""COMPUTED_VALUE"""),1990)</f>
        <v>1990</v>
      </c>
      <c r="E2158" s="25" t="str">
        <f ca="1">IFERROR(__xludf.DUMMYFUNCTION("""COMPUTED_VALUE"""),"REA-K6616")</f>
        <v>REA-K6616</v>
      </c>
    </row>
    <row r="2159" spans="1:5" x14ac:dyDescent="0.2">
      <c r="A2159" s="22">
        <f ca="1">IFERROR(__xludf.DUMMYFUNCTION("""COMPUTED_VALUE"""),44860)</f>
        <v>44860</v>
      </c>
      <c r="B2159" s="23" t="str">
        <f ca="1">IFERROR(__xludf.DUMMYFUNCTION("""COMPUTED_VALUE"""),"KABINA DIAMOND GOLD 80x80")</f>
        <v>KABINA DIAMOND GOLD 80x80</v>
      </c>
      <c r="C2159" s="23"/>
      <c r="D2159" s="24">
        <f ca="1">IFERROR(__xludf.DUMMYFUNCTION("""COMPUTED_VALUE"""),1799)</f>
        <v>1799</v>
      </c>
      <c r="E2159" s="25" t="str">
        <f ca="1">IFERROR(__xludf.DUMMYFUNCTION("""COMPUTED_VALUE"""),"REA-K6615")</f>
        <v>REA-K6615</v>
      </c>
    </row>
    <row r="2160" spans="1:5" x14ac:dyDescent="0.2">
      <c r="A2160" s="22">
        <f ca="1">IFERROR(__xludf.DUMMYFUNCTION("""COMPUTED_VALUE"""),44860)</f>
        <v>44860</v>
      </c>
      <c r="B2160" s="23" t="str">
        <f ca="1">IFERROR(__xludf.DUMMYFUNCTION("""COMPUTED_VALUE"""),"KABINA FARGO GOLD 90x120 U")</f>
        <v>KABINA FARGO GOLD 90x120 U</v>
      </c>
      <c r="C2160" s="23"/>
      <c r="D2160" s="24">
        <f ca="1">IFERROR(__xludf.DUMMYFUNCTION("""COMPUTED_VALUE"""),2069)</f>
        <v>2069</v>
      </c>
      <c r="E2160" s="25" t="str">
        <f ca="1">IFERROR(__xludf.DUMMYFUNCTION("""COMPUTED_VALUE"""),"REA-K6614")</f>
        <v>REA-K6614</v>
      </c>
    </row>
    <row r="2161" spans="1:5" x14ac:dyDescent="0.2">
      <c r="A2161" s="22">
        <f ca="1">IFERROR(__xludf.DUMMYFUNCTION("""COMPUTED_VALUE"""),44860)</f>
        <v>44860</v>
      </c>
      <c r="B2161" s="23" t="str">
        <f ca="1">IFERROR(__xludf.DUMMYFUNCTION("""COMPUTED_VALUE"""),"PÓŁKA TORI GOLD SZCZOTKOWANY")</f>
        <v>PÓŁKA TORI GOLD SZCZOTKOWANY</v>
      </c>
      <c r="C2161" s="23"/>
      <c r="D2161" s="24">
        <f ca="1">IFERROR(__xludf.DUMMYFUNCTION("""COMPUTED_VALUE"""),219)</f>
        <v>219</v>
      </c>
      <c r="E2161" s="25" t="str">
        <f ca="1">IFERROR(__xludf.DUMMYFUNCTION("""COMPUTED_VALUE"""),"REA-85001")</f>
        <v>REA-85001</v>
      </c>
    </row>
    <row r="2162" spans="1:5" x14ac:dyDescent="0.2">
      <c r="A2162" s="22">
        <f ca="1">IFERROR(__xludf.DUMMYFUNCTION("""COMPUTED_VALUE"""),44860)</f>
        <v>44860</v>
      </c>
      <c r="B2162" s="23" t="str">
        <f ca="1">IFERROR(__xludf.DUMMYFUNCTION("""COMPUTED_VALUE"""),"WC - CARTER RIMLESS DUROPLAST/SLIM/ZM")</f>
        <v>WC - CARTER RIMLESS DUROPLAST/SLIM/ZM</v>
      </c>
      <c r="C2162" s="23"/>
      <c r="D2162" s="24">
        <f ca="1">IFERROR(__xludf.DUMMYFUNCTION("""COMPUTED_VALUE"""),579)</f>
        <v>579</v>
      </c>
      <c r="E2162" s="25" t="str">
        <f ca="1">IFERROR(__xludf.DUMMYFUNCTION("""COMPUTED_VALUE"""),"REA-C1400")</f>
        <v>REA-C1400</v>
      </c>
    </row>
    <row r="2163" spans="1:5" x14ac:dyDescent="0.2">
      <c r="A2163" s="22">
        <f ca="1">IFERROR(__xludf.DUMMYFUNCTION("""COMPUTED_VALUE"""),44860)</f>
        <v>44860</v>
      </c>
      <c r="B2163" s="23" t="str">
        <f ca="1">IFERROR(__xludf.DUMMYFUNCTION("""COMPUTED_VALUE"""),"UMYWALKA NADIA 60- NABLATOWA")</f>
        <v>UMYWALKA NADIA 60- NABLATOWA</v>
      </c>
      <c r="C2163" s="23"/>
      <c r="D2163" s="24">
        <f ca="1">IFERROR(__xludf.DUMMYFUNCTION("""COMPUTED_VALUE"""),379)</f>
        <v>379</v>
      </c>
      <c r="E2163" s="25" t="str">
        <f ca="1">IFERROR(__xludf.DUMMYFUNCTION("""COMPUTED_VALUE"""),"REA-U1055")</f>
        <v>REA-U1055</v>
      </c>
    </row>
    <row r="2164" spans="1:5" x14ac:dyDescent="0.2">
      <c r="A2164" s="22">
        <f ca="1">IFERROR(__xludf.DUMMYFUNCTION("""COMPUTED_VALUE"""),44860)</f>
        <v>44860</v>
      </c>
      <c r="B2164" s="23" t="str">
        <f ca="1">IFERROR(__xludf.DUMMYFUNCTION("""COMPUTED_VALUE"""),"UMYWALKA NADIA GOLD EDGE - NABLATOWA")</f>
        <v>UMYWALKA NADIA GOLD EDGE - NABLATOWA</v>
      </c>
      <c r="C2164" s="23"/>
      <c r="D2164" s="24">
        <f ca="1">IFERROR(__xludf.DUMMYFUNCTION("""COMPUTED_VALUE"""),499)</f>
        <v>499</v>
      </c>
      <c r="E2164" s="25" t="str">
        <f ca="1">IFERROR(__xludf.DUMMYFUNCTION("""COMPUTED_VALUE"""),"REA-U1063")</f>
        <v>REA-U1063</v>
      </c>
    </row>
    <row r="2165" spans="1:5" x14ac:dyDescent="0.2">
      <c r="A2165" s="22">
        <f ca="1">IFERROR(__xludf.DUMMYFUNCTION("""COMPUTED_VALUE"""),44860)</f>
        <v>44860</v>
      </c>
      <c r="B2165" s="23" t="str">
        <f ca="1">IFERROR(__xludf.DUMMYFUNCTION("""COMPUTED_VALUE"""),"WC - RAUL RIMLESS DUROPLAST/SLIM/ZM")</f>
        <v>WC - RAUL RIMLESS DUROPLAST/SLIM/ZM</v>
      </c>
      <c r="C2165" s="23"/>
      <c r="D2165" s="24">
        <f ca="1">IFERROR(__xludf.DUMMYFUNCTION("""COMPUTED_VALUE"""),699)</f>
        <v>699</v>
      </c>
      <c r="E2165" s="25" t="str">
        <f ca="1">IFERROR(__xludf.DUMMYFUNCTION("""COMPUTED_VALUE"""),"REA-C9660")</f>
        <v>REA-C9660</v>
      </c>
    </row>
    <row r="2166" spans="1:5" x14ac:dyDescent="0.2">
      <c r="A2166" s="22">
        <f ca="1">IFERROR(__xludf.DUMMYFUNCTION("""COMPUTED_VALUE"""),44860)</f>
        <v>44860</v>
      </c>
      <c r="B2166" s="23" t="str">
        <f ca="1">IFERROR(__xludf.DUMMYFUNCTION("""COMPUTED_VALUE"""),"BATERIA WANNOWA ORIX L.GOLD")</f>
        <v>BATERIA WANNOWA ORIX L.GOLD</v>
      </c>
      <c r="C2166" s="23"/>
      <c r="D2166" s="24">
        <f ca="1">IFERROR(__xludf.DUMMYFUNCTION("""COMPUTED_VALUE"""),549)</f>
        <v>549</v>
      </c>
      <c r="E2166" s="25" t="str">
        <f ca="1">IFERROR(__xludf.DUMMYFUNCTION("""COMPUTED_VALUE"""),"REA-B5134")</f>
        <v>REA-B5134</v>
      </c>
    </row>
    <row r="2167" spans="1:5" x14ac:dyDescent="0.2">
      <c r="A2167" s="22">
        <f ca="1">IFERROR(__xludf.DUMMYFUNCTION("""COMPUTED_VALUE"""),44860)</f>
        <v>44860</v>
      </c>
      <c r="B2167" s="23" t="str">
        <f ca="1">IFERROR(__xludf.DUMMYFUNCTION("""COMPUTED_VALUE"""),"BATERIA UMYWALKOWA JAGER GOLD NISKA")</f>
        <v>BATERIA UMYWALKOWA JAGER GOLD NISKA</v>
      </c>
      <c r="C2167" s="23"/>
      <c r="D2167" s="24">
        <f ca="1">IFERROR(__xludf.DUMMYFUNCTION("""COMPUTED_VALUE"""),359)</f>
        <v>359</v>
      </c>
      <c r="E2167" s="25" t="str">
        <f ca="1">IFERROR(__xludf.DUMMYFUNCTION("""COMPUTED_VALUE"""),"REA-B5120")</f>
        <v>REA-B5120</v>
      </c>
    </row>
    <row r="2168" spans="1:5" x14ac:dyDescent="0.2">
      <c r="A2168" s="22">
        <f ca="1">IFERROR(__xludf.DUMMYFUNCTION("""COMPUTED_VALUE"""),44860)</f>
        <v>44860</v>
      </c>
      <c r="B2168" s="23" t="str">
        <f ca="1">IFERROR(__xludf.DUMMYFUNCTION("""COMPUTED_VALUE"""),"BATERIA UMYWALKOWA PARKER NIKIEL SZCZOTKOWA WYSOKA")</f>
        <v>BATERIA UMYWALKOWA PARKER NIKIEL SZCZOTKOWA WYSOKA</v>
      </c>
      <c r="C2168" s="23"/>
      <c r="D2168" s="24">
        <f ca="1">IFERROR(__xludf.DUMMYFUNCTION("""COMPUTED_VALUE"""),449)</f>
        <v>449</v>
      </c>
      <c r="E2168" s="25" t="str">
        <f ca="1">IFERROR(__xludf.DUMMYFUNCTION("""COMPUTED_VALUE"""),"REA-B4812")</f>
        <v>REA-B4812</v>
      </c>
    </row>
    <row r="2169" spans="1:5" x14ac:dyDescent="0.2">
      <c r="A2169" s="22">
        <f ca="1">IFERROR(__xludf.DUMMYFUNCTION("""COMPUTED_VALUE"""),44860)</f>
        <v>44860</v>
      </c>
      <c r="B2169" s="23" t="str">
        <f ca="1">IFERROR(__xludf.DUMMYFUNCTION("""COMPUTED_VALUE"""),"BATERIA UMYWALKOWA PARKER ZŁOTA SZCZOTKOW WYSOKA")</f>
        <v>BATERIA UMYWALKOWA PARKER ZŁOTA SZCZOTKOW WYSOKA</v>
      </c>
      <c r="C2169" s="23"/>
      <c r="D2169" s="24">
        <f ca="1">IFERROR(__xludf.DUMMYFUNCTION("""COMPUTED_VALUE"""),459)</f>
        <v>459</v>
      </c>
      <c r="E2169" s="25" t="str">
        <f ca="1">IFERROR(__xludf.DUMMYFUNCTION("""COMPUTED_VALUE"""),"REA-B4810")</f>
        <v>REA-B4810</v>
      </c>
    </row>
    <row r="2170" spans="1:5" x14ac:dyDescent="0.2">
      <c r="A2170" s="22">
        <f ca="1">IFERROR(__xludf.DUMMYFUNCTION("""COMPUTED_VALUE"""),44860)</f>
        <v>44860</v>
      </c>
      <c r="B2170" s="23" t="str">
        <f ca="1">IFERROR(__xludf.DUMMYFUNCTION("""COMPUTED_VALUE"""),"BATERIA UMYWALKOWA PARKER ZŁOTA SZCZOTKOW NISKA")</f>
        <v>BATERIA UMYWALKOWA PARKER ZŁOTA SZCZOTKOW NISKA</v>
      </c>
      <c r="C2170" s="23"/>
      <c r="D2170" s="24">
        <f ca="1">IFERROR(__xludf.DUMMYFUNCTION("""COMPUTED_VALUE"""),369)</f>
        <v>369</v>
      </c>
      <c r="E2170" s="25" t="str">
        <f ca="1">IFERROR(__xludf.DUMMYFUNCTION("""COMPUTED_VALUE"""),"REA-B4809")</f>
        <v>REA-B4809</v>
      </c>
    </row>
    <row r="2171" spans="1:5" x14ac:dyDescent="0.2">
      <c r="A2171" s="22">
        <f ca="1">IFERROR(__xludf.DUMMYFUNCTION("""COMPUTED_VALUE"""),44860)</f>
        <v>44860</v>
      </c>
      <c r="B2171" s="23" t="str">
        <f ca="1">IFERROR(__xludf.DUMMYFUNCTION("""COMPUTED_VALUE"""),"BATERIA UMYWALKOWA PARKER NIEKIEL SZCZOTKOW NISKA")</f>
        <v>BATERIA UMYWALKOWA PARKER NIEKIEL SZCZOTKOW NISKA</v>
      </c>
      <c r="C2171" s="23"/>
      <c r="D2171" s="24">
        <f ca="1">IFERROR(__xludf.DUMMYFUNCTION("""COMPUTED_VALUE"""),359)</f>
        <v>359</v>
      </c>
      <c r="E2171" s="25" t="str">
        <f ca="1">IFERROR(__xludf.DUMMYFUNCTION("""COMPUTED_VALUE"""),"REA-B4811")</f>
        <v>REA-B4811</v>
      </c>
    </row>
    <row r="2172" spans="1:5" x14ac:dyDescent="0.2">
      <c r="A2172" s="22">
        <f ca="1">IFERROR(__xludf.DUMMYFUNCTION("""COMPUTED_VALUE"""),44860)</f>
        <v>44860</v>
      </c>
      <c r="B2172" s="23" t="str">
        <f ca="1">IFERROR(__xludf.DUMMYFUNCTION("""COMPUTED_VALUE"""),"ZESTAW NATRYSKOWY PODTYNK VERSO NIKIEL SZCZOTKOWAN")</f>
        <v>ZESTAW NATRYSKOWY PODTYNK VERSO NIKIEL SZCZOTKOWAN</v>
      </c>
      <c r="C2172" s="23"/>
      <c r="D2172" s="24">
        <f ca="1">IFERROR(__xludf.DUMMYFUNCTION("""COMPUTED_VALUE"""),1259)</f>
        <v>1259</v>
      </c>
      <c r="E2172" s="25" t="str">
        <f ca="1">IFERROR(__xludf.DUMMYFUNCTION("""COMPUTED_VALUE"""),"REA-P4800")</f>
        <v>REA-P4800</v>
      </c>
    </row>
    <row r="2173" spans="1:5" x14ac:dyDescent="0.2">
      <c r="A2173" s="22">
        <f ca="1">IFERROR(__xludf.DUMMYFUNCTION("""COMPUTED_VALUE"""),44860)</f>
        <v>44860</v>
      </c>
      <c r="B2173" s="23" t="str">
        <f ca="1">IFERROR(__xludf.DUMMYFUNCTION("""COMPUTED_VALUE"""),"BATERIA KUCHENNA SPRING CZARNA")</f>
        <v>BATERIA KUCHENNA SPRING CZARNA</v>
      </c>
      <c r="C2173" s="23"/>
      <c r="D2173" s="24">
        <f ca="1">IFERROR(__xludf.DUMMYFUNCTION("""COMPUTED_VALUE"""),379)</f>
        <v>379</v>
      </c>
      <c r="E2173" s="25" t="str">
        <f ca="1">IFERROR(__xludf.DUMMYFUNCTION("""COMPUTED_VALUE"""),"REA-B4804")</f>
        <v>REA-B4804</v>
      </c>
    </row>
    <row r="2174" spans="1:5" x14ac:dyDescent="0.2">
      <c r="A2174" s="22">
        <f ca="1">IFERROR(__xludf.DUMMYFUNCTION("""COMPUTED_VALUE"""),44860)</f>
        <v>44860</v>
      </c>
      <c r="B2174" s="23" t="str">
        <f ca="1">IFERROR(__xludf.DUMMYFUNCTION("""COMPUTED_VALUE"""),"BATERIA UMYWALKOWA PODTYNKOWA MASON BLACK")</f>
        <v>BATERIA UMYWALKOWA PODTYNKOWA MASON BLACK</v>
      </c>
      <c r="C2174" s="23"/>
      <c r="D2174" s="24">
        <f ca="1">IFERROR(__xludf.DUMMYFUNCTION("""COMPUTED_VALUE"""),479)</f>
        <v>479</v>
      </c>
      <c r="E2174" s="25" t="str">
        <f ca="1">IFERROR(__xludf.DUMMYFUNCTION("""COMPUTED_VALUE"""),"REA-B0690")</f>
        <v>REA-B0690</v>
      </c>
    </row>
    <row r="2175" spans="1:5" x14ac:dyDescent="0.2">
      <c r="A2175" s="22">
        <f ca="1">IFERROR(__xludf.DUMMYFUNCTION("""COMPUTED_VALUE"""),44860)</f>
        <v>44860</v>
      </c>
      <c r="B2175" s="23" t="str">
        <f ca="1">IFERROR(__xludf.DUMMYFUNCTION("""COMPUTED_VALUE"""),"BATERIA CALANI UMYWALKOWA ASTRAL NISKA L GOLD")</f>
        <v>BATERIA CALANI UMYWALKOWA ASTRAL NISKA L GOLD</v>
      </c>
      <c r="C2175" s="23"/>
      <c r="D2175" s="24">
        <f ca="1">IFERROR(__xludf.DUMMYFUNCTION("""COMPUTED_VALUE"""),169)</f>
        <v>169</v>
      </c>
      <c r="E2175" s="25" t="str">
        <f ca="1">IFERROR(__xludf.DUMMYFUNCTION("""COMPUTED_VALUE"""),"CAL-B0011")</f>
        <v>CAL-B0011</v>
      </c>
    </row>
    <row r="2176" spans="1:5" x14ac:dyDescent="0.2">
      <c r="A2176" s="22">
        <f ca="1">IFERROR(__xludf.DUMMYFUNCTION("""COMPUTED_VALUE"""),44860)</f>
        <v>44860</v>
      </c>
      <c r="B2176" s="23" t="str">
        <f ca="1">IFERROR(__xludf.DUMMYFUNCTION("""COMPUTED_VALUE"""),"BATERIA CALANI UMYWALKOWA NEXOS WYSOKA H GOLD")</f>
        <v>BATERIA CALANI UMYWALKOWA NEXOS WYSOKA H GOLD</v>
      </c>
      <c r="C2176" s="23"/>
      <c r="D2176" s="24">
        <f ca="1">IFERROR(__xludf.DUMMYFUNCTION("""COMPUTED_VALUE"""),169)</f>
        <v>169</v>
      </c>
      <c r="E2176" s="25" t="str">
        <f ca="1">IFERROR(__xludf.DUMMYFUNCTION("""COMPUTED_VALUE"""),"CAL-B0025")</f>
        <v>CAL-B0025</v>
      </c>
    </row>
    <row r="2177" spans="1:5" x14ac:dyDescent="0.2">
      <c r="A2177" s="22">
        <f ca="1">IFERROR(__xludf.DUMMYFUNCTION("""COMPUTED_VALUE"""),44860)</f>
        <v>44860</v>
      </c>
      <c r="B2177" s="23" t="str">
        <f ca="1">IFERROR(__xludf.DUMMYFUNCTION("""COMPUTED_VALUE"""),"BATERIA WANNOWA LUPPO BLACK")</f>
        <v>BATERIA WANNOWA LUPPO BLACK</v>
      </c>
      <c r="C2177" s="23"/>
      <c r="D2177" s="24">
        <f ca="1">IFERROR(__xludf.DUMMYFUNCTION("""COMPUTED_VALUE"""),369)</f>
        <v>369</v>
      </c>
      <c r="E2177" s="25" t="str">
        <f ca="1">IFERROR(__xludf.DUMMYFUNCTION("""COMPUTED_VALUE"""),"REA-B5770")</f>
        <v>REA-B5770</v>
      </c>
    </row>
    <row r="2178" spans="1:5" x14ac:dyDescent="0.2">
      <c r="A2178" s="22">
        <f ca="1">IFERROR(__xludf.DUMMYFUNCTION("""COMPUTED_VALUE"""),44860)</f>
        <v>44860</v>
      </c>
      <c r="B2178" s="23" t="str">
        <f ca="1">IFERROR(__xludf.DUMMYFUNCTION("""COMPUTED_VALUE"""),"BATERIA UMYWALKOWA KENT Chrom")</f>
        <v>BATERIA UMYWALKOWA KENT Chrom</v>
      </c>
      <c r="C2178" s="23"/>
      <c r="D2178" s="24">
        <f ca="1">IFERROR(__xludf.DUMMYFUNCTION("""COMPUTED_VALUE"""),329)</f>
        <v>329</v>
      </c>
      <c r="E2178" s="25" t="str">
        <f ca="1">IFERROR(__xludf.DUMMYFUNCTION("""COMPUTED_VALUE"""),"REA-B8011")</f>
        <v>REA-B8011</v>
      </c>
    </row>
    <row r="2179" spans="1:5" x14ac:dyDescent="0.2">
      <c r="A2179" s="22">
        <f ca="1">IFERROR(__xludf.DUMMYFUNCTION("""COMPUTED_VALUE"""),44860)</f>
        <v>44860</v>
      </c>
      <c r="B2179" s="23" t="str">
        <f ca="1">IFERROR(__xludf.DUMMYFUNCTION("""COMPUTED_VALUE"""),"BATERIA UMYWALKOWA KENT BLACK")</f>
        <v>BATERIA UMYWALKOWA KENT BLACK</v>
      </c>
      <c r="C2179" s="23"/>
      <c r="D2179" s="24">
        <f ca="1">IFERROR(__xludf.DUMMYFUNCTION("""COMPUTED_VALUE"""),339)</f>
        <v>339</v>
      </c>
      <c r="E2179" s="25" t="str">
        <f ca="1">IFERROR(__xludf.DUMMYFUNCTION("""COMPUTED_VALUE"""),"REA-B8012")</f>
        <v>REA-B8012</v>
      </c>
    </row>
    <row r="2180" spans="1:5" x14ac:dyDescent="0.2">
      <c r="A2180" s="22">
        <f ca="1">IFERROR(__xludf.DUMMYFUNCTION("""COMPUTED_VALUE"""),44860)</f>
        <v>44860</v>
      </c>
      <c r="B2180" s="23" t="str">
        <f ca="1">IFERROR(__xludf.DUMMYFUNCTION("""COMPUTED_VALUE"""),"BATERIA UMYWALKOWA KENT GOLD")</f>
        <v>BATERIA UMYWALKOWA KENT GOLD</v>
      </c>
      <c r="C2180" s="23"/>
      <c r="D2180" s="24">
        <f ca="1">IFERROR(__xludf.DUMMYFUNCTION("""COMPUTED_VALUE"""),399)</f>
        <v>399</v>
      </c>
      <c r="E2180" s="25" t="str">
        <f ca="1">IFERROR(__xludf.DUMMYFUNCTION("""COMPUTED_VALUE"""),"REA-B8014")</f>
        <v>REA-B8014</v>
      </c>
    </row>
    <row r="2181" spans="1:5" x14ac:dyDescent="0.2">
      <c r="A2181" s="22">
        <f ca="1">IFERROR(__xludf.DUMMYFUNCTION("""COMPUTED_VALUE"""),44860)</f>
        <v>44860</v>
      </c>
      <c r="B2181" s="23" t="str">
        <f ca="1">IFERROR(__xludf.DUMMYFUNCTION("""COMPUTED_VALUE"""),"BATERIA UMYWALKOWA GRAF BLACK WYSOKA")</f>
        <v>BATERIA UMYWALKOWA GRAF BLACK WYSOKA</v>
      </c>
      <c r="C2181" s="23"/>
      <c r="D2181" s="24">
        <f ca="1">IFERROR(__xludf.DUMMYFUNCTION("""COMPUTED_VALUE"""),149)</f>
        <v>149</v>
      </c>
      <c r="E2181" s="25" t="str">
        <f ca="1">IFERROR(__xludf.DUMMYFUNCTION("""COMPUTED_VALUE"""),"REA-B8665")</f>
        <v>REA-B8665</v>
      </c>
    </row>
    <row r="2182" spans="1:5" x14ac:dyDescent="0.2">
      <c r="A2182" s="22">
        <f ca="1">IFERROR(__xludf.DUMMYFUNCTION("""COMPUTED_VALUE"""),44860)</f>
        <v>44860</v>
      </c>
      <c r="B2182" s="23" t="str">
        <f ca="1">IFERROR(__xludf.DUMMYFUNCTION("""COMPUTED_VALUE"""),"BATERIA UMYWALKOWA GRAF")</f>
        <v>BATERIA UMYWALKOWA GRAF</v>
      </c>
      <c r="C2182" s="23"/>
      <c r="D2182" s="24">
        <f ca="1">IFERROR(__xludf.DUMMYFUNCTION("""COMPUTED_VALUE"""),149)</f>
        <v>149</v>
      </c>
      <c r="E2182" s="25" t="str">
        <f ca="1">IFERROR(__xludf.DUMMYFUNCTION("""COMPUTED_VALUE"""),"REA-B0027")</f>
        <v>REA-B0027</v>
      </c>
    </row>
    <row r="2183" spans="1:5" x14ac:dyDescent="0.2">
      <c r="A2183" s="22">
        <f ca="1">IFERROR(__xludf.DUMMYFUNCTION("""COMPUTED_VALUE"""),44860)</f>
        <v>44860</v>
      </c>
      <c r="B2183" s="23" t="str">
        <f ca="1">IFERROR(__xludf.DUMMYFUNCTION("""COMPUTED_VALUE"""),"BATERIA TALISA L.GOLD")</f>
        <v>BATERIA TALISA L.GOLD</v>
      </c>
      <c r="C2183" s="23"/>
      <c r="D2183" s="24">
        <f ca="1">IFERROR(__xludf.DUMMYFUNCTION("""COMPUTED_VALUE"""),219)</f>
        <v>219</v>
      </c>
      <c r="E2183" s="25" t="str">
        <f ca="1">IFERROR(__xludf.DUMMYFUNCTION("""COMPUTED_VALUE"""),"REA-B1020")</f>
        <v>REA-B1020</v>
      </c>
    </row>
    <row r="2184" spans="1:5" x14ac:dyDescent="0.2">
      <c r="A2184" s="22">
        <f ca="1">IFERROR(__xludf.DUMMYFUNCTION("""COMPUTED_VALUE"""),44860)</f>
        <v>44860</v>
      </c>
      <c r="B2184" s="23" t="str">
        <f ca="1">IFERROR(__xludf.DUMMYFUNCTION("""COMPUTED_VALUE"""),"BATERIA WANNOWA VERTIGO BLACK MAT")</f>
        <v>BATERIA WANNOWA VERTIGO BLACK MAT</v>
      </c>
      <c r="C2184" s="23"/>
      <c r="D2184" s="24">
        <f ca="1">IFERROR(__xludf.DUMMYFUNCTION("""COMPUTED_VALUE"""),449)</f>
        <v>449</v>
      </c>
      <c r="E2184" s="25" t="str">
        <f ca="1">IFERROR(__xludf.DUMMYFUNCTION("""COMPUTED_VALUE"""),"REA-B9669")</f>
        <v>REA-B9669</v>
      </c>
    </row>
    <row r="2185" spans="1:5" x14ac:dyDescent="0.2">
      <c r="A2185" s="22">
        <f ca="1">IFERROR(__xludf.DUMMYFUNCTION("""COMPUTED_VALUE"""),44860)</f>
        <v>44860</v>
      </c>
      <c r="B2185" s="23" t="str">
        <f ca="1">IFERROR(__xludf.DUMMYFUNCTION("""COMPUTED_VALUE"""),"BATERIA WANNOWA CARAT L.GOLD")</f>
        <v>BATERIA WANNOWA CARAT L.GOLD</v>
      </c>
      <c r="C2185" s="23"/>
      <c r="D2185" s="24">
        <f ca="1">IFERROR(__xludf.DUMMYFUNCTION("""COMPUTED_VALUE"""),1499)</f>
        <v>1499</v>
      </c>
      <c r="E2185" s="25" t="str">
        <f ca="1">IFERROR(__xludf.DUMMYFUNCTION("""COMPUTED_VALUE"""),"REA-B5231")</f>
        <v>REA-B5231</v>
      </c>
    </row>
    <row r="2186" spans="1:5" x14ac:dyDescent="0.2">
      <c r="A2186" s="22">
        <f ca="1">IFERROR(__xludf.DUMMYFUNCTION("""COMPUTED_VALUE"""),44860)</f>
        <v>44860</v>
      </c>
      <c r="B2186" s="23" t="str">
        <f ca="1">IFERROR(__xludf.DUMMYFUNCTION("""COMPUTED_VALUE"""),"BATERIA PODŁOGOWA WANNOWA ORTIS L.GOLD")</f>
        <v>BATERIA PODŁOGOWA WANNOWA ORTIS L.GOLD</v>
      </c>
      <c r="C2186" s="23"/>
      <c r="D2186" s="24">
        <f ca="1">IFERROR(__xludf.DUMMYFUNCTION("""COMPUTED_VALUE"""),1099)</f>
        <v>1099</v>
      </c>
      <c r="E2186" s="25" t="str">
        <f ca="1">IFERROR(__xludf.DUMMYFUNCTION("""COMPUTED_VALUE"""),"REA-B7430")</f>
        <v>REA-B7430</v>
      </c>
    </row>
    <row r="2187" spans="1:5" x14ac:dyDescent="0.2">
      <c r="A2187" s="22">
        <f ca="1">IFERROR(__xludf.DUMMYFUNCTION("""COMPUTED_VALUE"""),44860)</f>
        <v>44860</v>
      </c>
      <c r="B2187" s="23" t="str">
        <f ca="1">IFERROR(__xludf.DUMMYFUNCTION("""COMPUTED_VALUE"""),"BATERIA PODŁOGOWA WANNOWA ORTIS BLACK")</f>
        <v>BATERIA PODŁOGOWA WANNOWA ORTIS BLACK</v>
      </c>
      <c r="C2187" s="23"/>
      <c r="D2187" s="24">
        <f ca="1">IFERROR(__xludf.DUMMYFUNCTION("""COMPUTED_VALUE"""),1099)</f>
        <v>1099</v>
      </c>
      <c r="E2187" s="25" t="str">
        <f ca="1">IFERROR(__xludf.DUMMYFUNCTION("""COMPUTED_VALUE"""),"REA-B0232")</f>
        <v>REA-B0232</v>
      </c>
    </row>
    <row r="2188" spans="1:5" x14ac:dyDescent="0.2">
      <c r="A2188" s="22">
        <f ca="1">IFERROR(__xludf.DUMMYFUNCTION("""COMPUTED_VALUE"""),44860)</f>
        <v>44860</v>
      </c>
      <c r="B2188" s="23" t="str">
        <f ca="1">IFERROR(__xludf.DUMMYFUNCTION("""COMPUTED_VALUE"""),"BATERIA WYSOKA DECO OLD BLACK")</f>
        <v>BATERIA WYSOKA DECO OLD BLACK</v>
      </c>
      <c r="C2188" s="23"/>
      <c r="D2188" s="24">
        <f ca="1">IFERROR(__xludf.DUMMYFUNCTION("""COMPUTED_VALUE"""),499)</f>
        <v>499</v>
      </c>
      <c r="E2188" s="25" t="str">
        <f ca="1">IFERROR(__xludf.DUMMYFUNCTION("""COMPUTED_VALUE"""),"REA-B0182")</f>
        <v>REA-B0182</v>
      </c>
    </row>
    <row r="2189" spans="1:5" x14ac:dyDescent="0.2">
      <c r="A2189" s="22">
        <f ca="1">IFERROR(__xludf.DUMMYFUNCTION("""COMPUTED_VALUE"""),44860)</f>
        <v>44860</v>
      </c>
      <c r="B2189" s="23" t="str">
        <f ca="1">IFERROR(__xludf.DUMMYFUNCTION("""COMPUTED_VALUE"""),"BATERIA KUCHENNA CASTOR BLACK L.GOLD")</f>
        <v>BATERIA KUCHENNA CASTOR BLACK L.GOLD</v>
      </c>
      <c r="C2189" s="23"/>
      <c r="D2189" s="24">
        <f ca="1">IFERROR(__xludf.DUMMYFUNCTION("""COMPUTED_VALUE"""),599)</f>
        <v>599</v>
      </c>
      <c r="E2189" s="25" t="str">
        <f ca="1">IFERROR(__xludf.DUMMYFUNCTION("""COMPUTED_VALUE"""),"REA-B6936")</f>
        <v>REA-B6936</v>
      </c>
    </row>
    <row r="2190" spans="1:5" x14ac:dyDescent="0.2">
      <c r="A2190" s="22">
        <f ca="1">IFERROR(__xludf.DUMMYFUNCTION("""COMPUTED_VALUE"""),44860)</f>
        <v>44860</v>
      </c>
      <c r="B2190" s="23" t="str">
        <f ca="1">IFERROR(__xludf.DUMMYFUNCTION("""COMPUTED_VALUE"""),"SYFON KLIK-KLAK UNIWERSALNY L.GOLD SZCZOTKOWANY")</f>
        <v>SYFON KLIK-KLAK UNIWERSALNY L.GOLD SZCZOTKOWANY</v>
      </c>
      <c r="C2190" s="23"/>
      <c r="D2190" s="24">
        <f ca="1">IFERROR(__xludf.DUMMYFUNCTION("""COMPUTED_VALUE"""),299)</f>
        <v>299</v>
      </c>
      <c r="E2190" s="25" t="str">
        <f ca="1">IFERROR(__xludf.DUMMYFUNCTION("""COMPUTED_VALUE"""),"REA-A8586")</f>
        <v>REA-A8586</v>
      </c>
    </row>
    <row r="2191" spans="1:5" x14ac:dyDescent="0.2">
      <c r="A2191" s="22">
        <f ca="1">IFERROR(__xludf.DUMMYFUNCTION("""COMPUTED_VALUE"""),44860)</f>
        <v>44860</v>
      </c>
      <c r="B2191" s="23" t="str">
        <f ca="1">IFERROR(__xludf.DUMMYFUNCTION("""COMPUTED_VALUE"""),"SYFON KLIK-KLAK UNIWERSALNY OLD BLACK")</f>
        <v>SYFON KLIK-KLAK UNIWERSALNY OLD BLACK</v>
      </c>
      <c r="C2191" s="23"/>
      <c r="D2191" s="24">
        <f ca="1">IFERROR(__xludf.DUMMYFUNCTION("""COMPUTED_VALUE"""),279)</f>
        <v>279</v>
      </c>
      <c r="E2191" s="25" t="str">
        <f ca="1">IFERROR(__xludf.DUMMYFUNCTION("""COMPUTED_VALUE"""),"REA-A8536")</f>
        <v>REA-A8536</v>
      </c>
    </row>
    <row r="2192" spans="1:5" x14ac:dyDescent="0.2">
      <c r="A2192" s="22">
        <f ca="1">IFERROR(__xludf.DUMMYFUNCTION("""COMPUTED_VALUE"""),44860)</f>
        <v>44860</v>
      </c>
      <c r="B2192" s="23" t="str">
        <f ca="1">IFERROR(__xludf.DUMMYFUNCTION("""COMPUTED_VALUE"""),"ZESTAW NATRYSKOWY ORIX BLACK+ BOX")</f>
        <v>ZESTAW NATRYSKOWY ORIX BLACK+ BOX</v>
      </c>
      <c r="C2192" s="23"/>
      <c r="D2192" s="24">
        <f ca="1">IFERROR(__xludf.DUMMYFUNCTION("""COMPUTED_VALUE"""),799)</f>
        <v>799</v>
      </c>
      <c r="E2192" s="25" t="str">
        <f ca="1">IFERROR(__xludf.DUMMYFUNCTION("""COMPUTED_VALUE"""),"REA-P8465")</f>
        <v>REA-P8465</v>
      </c>
    </row>
    <row r="2193" spans="1:5" x14ac:dyDescent="0.2">
      <c r="A2193" s="22">
        <f ca="1">IFERROR(__xludf.DUMMYFUNCTION("""COMPUTED_VALUE"""),44860)</f>
        <v>44860</v>
      </c>
      <c r="B2193" s="23" t="str">
        <f ca="1">IFERROR(__xludf.DUMMYFUNCTION("""COMPUTED_VALUE"""),"ZESTAW NATRYSKOWY FENIX L.GOLD")</f>
        <v>ZESTAW NATRYSKOWY FENIX L.GOLD</v>
      </c>
      <c r="C2193" s="23"/>
      <c r="D2193" s="24">
        <f ca="1">IFERROR(__xludf.DUMMYFUNCTION("""COMPUTED_VALUE"""),1079)</f>
        <v>1079</v>
      </c>
      <c r="E2193" s="25" t="str">
        <f ca="1">IFERROR(__xludf.DUMMYFUNCTION("""COMPUTED_VALUE"""),"REA-P8401")</f>
        <v>REA-P8401</v>
      </c>
    </row>
    <row r="2194" spans="1:5" x14ac:dyDescent="0.2">
      <c r="A2194" s="22">
        <f ca="1">IFERROR(__xludf.DUMMYFUNCTION("""COMPUTED_VALUE"""),44860)</f>
        <v>44860</v>
      </c>
      <c r="B2194" s="23" t="str">
        <f ca="1">IFERROR(__xludf.DUMMYFUNCTION("""COMPUTED_VALUE"""),"ZESTAW NATRYSKOWO-WANNOWY TERMOSTAT LUNGO BLACK")</f>
        <v>ZESTAW NATRYSKOWO-WANNOWY TERMOSTAT LUNGO BLACK</v>
      </c>
      <c r="C2194" s="23"/>
      <c r="D2194" s="24">
        <f ca="1">IFERROR(__xludf.DUMMYFUNCTION("""COMPUTED_VALUE"""),1039)</f>
        <v>1039</v>
      </c>
      <c r="E2194" s="25" t="str">
        <f ca="1">IFERROR(__xludf.DUMMYFUNCTION("""COMPUTED_VALUE"""),"REA-P4113")</f>
        <v>REA-P4113</v>
      </c>
    </row>
    <row r="2195" spans="1:5" x14ac:dyDescent="0.2">
      <c r="A2195" s="22">
        <f ca="1">IFERROR(__xludf.DUMMYFUNCTION("""COMPUTED_VALUE"""),44860)</f>
        <v>44860</v>
      </c>
      <c r="B2195" s="23" t="str">
        <f ca="1">IFERROR(__xludf.DUMMYFUNCTION("""COMPUTED_VALUE"""),"ZESTAW NATRYSKOWY PODTYNKOWY LUNGO ROSE GOLD + BOX")</f>
        <v>ZESTAW NATRYSKOWY PODTYNKOWY LUNGO ROSE GOLD + BOX</v>
      </c>
      <c r="C2195" s="23"/>
      <c r="D2195" s="24">
        <f ca="1">IFERROR(__xludf.DUMMYFUNCTION("""COMPUTED_VALUE"""),1119)</f>
        <v>1119</v>
      </c>
      <c r="E2195" s="25" t="str">
        <f ca="1">IFERROR(__xludf.DUMMYFUNCTION("""COMPUTED_VALUE"""),"REA-P4111")</f>
        <v>REA-P4111</v>
      </c>
    </row>
    <row r="2196" spans="1:5" x14ac:dyDescent="0.2">
      <c r="A2196" s="22">
        <f ca="1">IFERROR(__xludf.DUMMYFUNCTION("""COMPUTED_VALUE"""),44860)</f>
        <v>44860</v>
      </c>
      <c r="B2196" s="23" t="str">
        <f ca="1">IFERROR(__xludf.DUMMYFUNCTION("""COMPUTED_VALUE"""),"ZESTAW NATRYSKOWY PODTYNKOWY LUNGO L.GOLD SZCZOTKO")</f>
        <v>ZESTAW NATRYSKOWY PODTYNKOWY LUNGO L.GOLD SZCZOTKO</v>
      </c>
      <c r="C2196" s="23"/>
      <c r="D2196" s="24">
        <f ca="1">IFERROR(__xludf.DUMMYFUNCTION("""COMPUTED_VALUE"""),1099)</f>
        <v>1099</v>
      </c>
      <c r="E2196" s="25" t="str">
        <f ca="1">IFERROR(__xludf.DUMMYFUNCTION("""COMPUTED_VALUE"""),"REA-P4160")</f>
        <v>REA-P4160</v>
      </c>
    </row>
    <row r="2197" spans="1:5" x14ac:dyDescent="0.2">
      <c r="A2197" s="22">
        <f ca="1">IFERROR(__xludf.DUMMYFUNCTION("""COMPUTED_VALUE"""),44860)</f>
        <v>44860</v>
      </c>
      <c r="B2197" s="23" t="str">
        <f ca="1">IFERROR(__xludf.DUMMYFUNCTION("""COMPUTED_VALUE"""),"ZESTAW NATRYSKOWO-WANNOWY Z WYLEWKĄ LUNGO L.GOLD")</f>
        <v>ZESTAW NATRYSKOWO-WANNOWY Z WYLEWKĄ LUNGO L.GOLD</v>
      </c>
      <c r="C2197" s="23"/>
      <c r="D2197" s="24">
        <f ca="1">IFERROR(__xludf.DUMMYFUNCTION("""COMPUTED_VALUE"""),1099)</f>
        <v>1099</v>
      </c>
      <c r="E2197" s="25" t="str">
        <f ca="1">IFERROR(__xludf.DUMMYFUNCTION("""COMPUTED_VALUE"""),"REA-P4125")</f>
        <v>REA-P4125</v>
      </c>
    </row>
    <row r="2198" spans="1:5" x14ac:dyDescent="0.2">
      <c r="A2198" s="22">
        <f ca="1">IFERROR(__xludf.DUMMYFUNCTION("""COMPUTED_VALUE"""),44860)</f>
        <v>44860</v>
      </c>
      <c r="B2198" s="23" t="str">
        <f ca="1">IFERROR(__xludf.DUMMYFUNCTION("""COMPUTED_VALUE"""),"ZESTAW NATRYSKOWY PODTYNKOWY LUNGO L.GOLD + BOX")</f>
        <v>ZESTAW NATRYSKOWY PODTYNKOWY LUNGO L.GOLD + BOX</v>
      </c>
      <c r="C2198" s="23"/>
      <c r="D2198" s="24">
        <f ca="1">IFERROR(__xludf.DUMMYFUNCTION("""COMPUTED_VALUE"""),999)</f>
        <v>999</v>
      </c>
      <c r="E2198" s="25" t="str">
        <f ca="1">IFERROR(__xludf.DUMMYFUNCTION("""COMPUTED_VALUE"""),"REA-P4110")</f>
        <v>REA-P4110</v>
      </c>
    </row>
    <row r="2199" spans="1:5" x14ac:dyDescent="0.2">
      <c r="A2199" s="22">
        <f ca="1">IFERROR(__xludf.DUMMYFUNCTION("""COMPUTED_VALUE"""),44860)</f>
        <v>44860</v>
      </c>
      <c r="B2199" s="23" t="str">
        <f ca="1">IFERROR(__xludf.DUMMYFUNCTION("""COMPUTED_VALUE"""),"ODPŁYW NEO SLIM PRO MIEDŹ SZCZOTKOWANA 600")</f>
        <v>ODPŁYW NEO SLIM PRO MIEDŹ SZCZOTKOWANA 600</v>
      </c>
      <c r="C2199" s="23"/>
      <c r="D2199" s="24">
        <f ca="1">IFERROR(__xludf.DUMMYFUNCTION("""COMPUTED_VALUE"""),359)</f>
        <v>359</v>
      </c>
      <c r="E2199" s="25" t="str">
        <f ca="1">IFERROR(__xludf.DUMMYFUNCTION("""COMPUTED_VALUE"""),"REA-G0650")</f>
        <v>REA-G0650</v>
      </c>
    </row>
    <row r="2200" spans="1:5" x14ac:dyDescent="0.2">
      <c r="A2200" s="22">
        <f ca="1">IFERROR(__xludf.DUMMYFUNCTION("""COMPUTED_VALUE"""),44860)</f>
        <v>44860</v>
      </c>
      <c r="B2200" s="23" t="str">
        <f ca="1">IFERROR(__xludf.DUMMYFUNCTION("""COMPUTED_VALUE"""),"ODPŁYW NEO SLIM PRO MIEDŹ SZCZOTKOWANA 700")</f>
        <v>ODPŁYW NEO SLIM PRO MIEDŹ SZCZOTKOWANA 700</v>
      </c>
      <c r="C2200" s="23"/>
      <c r="D2200" s="24">
        <f ca="1">IFERROR(__xludf.DUMMYFUNCTION("""COMPUTED_VALUE"""),389)</f>
        <v>389</v>
      </c>
      <c r="E2200" s="25" t="str">
        <f ca="1">IFERROR(__xludf.DUMMYFUNCTION("""COMPUTED_VALUE"""),"REA-G0651")</f>
        <v>REA-G0651</v>
      </c>
    </row>
    <row r="2201" spans="1:5" x14ac:dyDescent="0.2">
      <c r="A2201" s="22">
        <f ca="1">IFERROR(__xludf.DUMMYFUNCTION("""COMPUTED_VALUE"""),44860)</f>
        <v>44860</v>
      </c>
      <c r="B2201" s="23" t="str">
        <f ca="1">IFERROR(__xludf.DUMMYFUNCTION("""COMPUTED_VALUE"""),"ODPŁYW NEO SLIM PRO MIEDŹ SZCZOTKOWANA 800")</f>
        <v>ODPŁYW NEO SLIM PRO MIEDŹ SZCZOTKOWANA 800</v>
      </c>
      <c r="C2201" s="23"/>
      <c r="D2201" s="24">
        <f ca="1">IFERROR(__xludf.DUMMYFUNCTION("""COMPUTED_VALUE"""),429)</f>
        <v>429</v>
      </c>
      <c r="E2201" s="25" t="str">
        <f ca="1">IFERROR(__xludf.DUMMYFUNCTION("""COMPUTED_VALUE"""),"REA-G0653")</f>
        <v>REA-G0653</v>
      </c>
    </row>
    <row r="2202" spans="1:5" x14ac:dyDescent="0.2">
      <c r="A2202" s="22">
        <f ca="1">IFERROR(__xludf.DUMMYFUNCTION("""COMPUTED_VALUE"""),44860)</f>
        <v>44860</v>
      </c>
      <c r="B2202" s="23" t="str">
        <f ca="1">IFERROR(__xludf.DUMMYFUNCTION("""COMPUTED_VALUE"""),"ODPŁYW NEO SLIM BLACK PRO-600")</f>
        <v>ODPŁYW NEO SLIM BLACK PRO-600</v>
      </c>
      <c r="C2202" s="23"/>
      <c r="D2202" s="24">
        <f ca="1">IFERROR(__xludf.DUMMYFUNCTION("""COMPUTED_VALUE"""),299)</f>
        <v>299</v>
      </c>
      <c r="E2202" s="25" t="str">
        <f ca="1">IFERROR(__xludf.DUMMYFUNCTION("""COMPUTED_VALUE"""),"REA-G8900")</f>
        <v>REA-G8900</v>
      </c>
    </row>
    <row r="2203" spans="1:5" x14ac:dyDescent="0.2">
      <c r="A2203" s="22">
        <f ca="1">IFERROR(__xludf.DUMMYFUNCTION("""COMPUTED_VALUE"""),44860)</f>
        <v>44860</v>
      </c>
      <c r="B2203" s="23" t="str">
        <f ca="1">IFERROR(__xludf.DUMMYFUNCTION("""COMPUTED_VALUE"""),"ODPŁYW NEO SLIM BLACK PRO-700")</f>
        <v>ODPŁYW NEO SLIM BLACK PRO-700</v>
      </c>
      <c r="C2203" s="23"/>
      <c r="D2203" s="24">
        <f ca="1">IFERROR(__xludf.DUMMYFUNCTION("""COMPUTED_VALUE"""),319)</f>
        <v>319</v>
      </c>
      <c r="E2203" s="25" t="str">
        <f ca="1">IFERROR(__xludf.DUMMYFUNCTION("""COMPUTED_VALUE"""),"REA-G8901")</f>
        <v>REA-G8901</v>
      </c>
    </row>
    <row r="2204" spans="1:5" x14ac:dyDescent="0.2">
      <c r="A2204" s="22">
        <f ca="1">IFERROR(__xludf.DUMMYFUNCTION("""COMPUTED_VALUE"""),44860)</f>
        <v>44860</v>
      </c>
      <c r="B2204" s="23" t="str">
        <f ca="1">IFERROR(__xludf.DUMMYFUNCTION("""COMPUTED_VALUE"""),"ODPŁYW NEO SLIM BLACK PRO-800")</f>
        <v>ODPŁYW NEO SLIM BLACK PRO-800</v>
      </c>
      <c r="C2204" s="23"/>
      <c r="D2204" s="24">
        <f ca="1">IFERROR(__xludf.DUMMYFUNCTION("""COMPUTED_VALUE"""),349)</f>
        <v>349</v>
      </c>
      <c r="E2204" s="25" t="str">
        <f ca="1">IFERROR(__xludf.DUMMYFUNCTION("""COMPUTED_VALUE"""),"REA-G8902")</f>
        <v>REA-G8902</v>
      </c>
    </row>
    <row r="2205" spans="1:5" x14ac:dyDescent="0.2">
      <c r="A2205" s="22">
        <f ca="1">IFERROR(__xludf.DUMMYFUNCTION("""COMPUTED_VALUE"""),44860)</f>
        <v>44860</v>
      </c>
      <c r="B2205" s="23" t="str">
        <f ca="1">IFERROR(__xludf.DUMMYFUNCTION("""COMPUTED_VALUE"""),"ODPŁYW NEO SLIM BLACK PRO-900")</f>
        <v>ODPŁYW NEO SLIM BLACK PRO-900</v>
      </c>
      <c r="C2205" s="23"/>
      <c r="D2205" s="24">
        <f ca="1">IFERROR(__xludf.DUMMYFUNCTION("""COMPUTED_VALUE"""),369)</f>
        <v>369</v>
      </c>
      <c r="E2205" s="25" t="str">
        <f ca="1">IFERROR(__xludf.DUMMYFUNCTION("""COMPUTED_VALUE"""),"REA-G8903")</f>
        <v>REA-G8903</v>
      </c>
    </row>
    <row r="2206" spans="1:5" x14ac:dyDescent="0.2">
      <c r="A2206" s="22">
        <f ca="1">IFERROR(__xludf.DUMMYFUNCTION("""COMPUTED_VALUE"""),44860)</f>
        <v>44860</v>
      </c>
      <c r="B2206" s="23" t="str">
        <f ca="1">IFERROR(__xludf.DUMMYFUNCTION("""COMPUTED_VALUE"""),"ODPŁYW NEO SLIM BLACK PRO-1000")</f>
        <v>ODPŁYW NEO SLIM BLACK PRO-1000</v>
      </c>
      <c r="C2206" s="23"/>
      <c r="D2206" s="24">
        <f ca="1">IFERROR(__xludf.DUMMYFUNCTION("""COMPUTED_VALUE"""),389)</f>
        <v>389</v>
      </c>
      <c r="E2206" s="25" t="str">
        <f ca="1">IFERROR(__xludf.DUMMYFUNCTION("""COMPUTED_VALUE"""),"REA-G8904")</f>
        <v>REA-G8904</v>
      </c>
    </row>
    <row r="2207" spans="1:5" x14ac:dyDescent="0.2">
      <c r="A2207" s="22">
        <f ca="1">IFERROR(__xludf.DUMMYFUNCTION("""COMPUTED_VALUE"""),44860)</f>
        <v>44860</v>
      </c>
      <c r="B2207" s="23" t="str">
        <f ca="1">IFERROR(__xludf.DUMMYFUNCTION("""COMPUTED_VALUE"""),"ODPŁYW NEO SLIM PRO-700 BRUSH")</f>
        <v>ODPŁYW NEO SLIM PRO-700 BRUSH</v>
      </c>
      <c r="C2207" s="23"/>
      <c r="D2207" s="24">
        <f ca="1">IFERROR(__xludf.DUMMYFUNCTION("""COMPUTED_VALUE"""),239)</f>
        <v>239</v>
      </c>
      <c r="E2207" s="25" t="str">
        <f ca="1">IFERROR(__xludf.DUMMYFUNCTION("""COMPUTED_VALUE"""),"REA-G8401")</f>
        <v>REA-G8401</v>
      </c>
    </row>
    <row r="2208" spans="1:5" x14ac:dyDescent="0.2">
      <c r="A2208" s="22">
        <f ca="1">IFERROR(__xludf.DUMMYFUNCTION("""COMPUTED_VALUE"""),44860)</f>
        <v>44860</v>
      </c>
      <c r="B2208" s="23" t="str">
        <f ca="1">IFERROR(__xludf.DUMMYFUNCTION("""COMPUTED_VALUE"""),"ODPŁYW NEO SLIM PRO-800 BRUSH")</f>
        <v>ODPŁYW NEO SLIM PRO-800 BRUSH</v>
      </c>
      <c r="C2208" s="23"/>
      <c r="D2208" s="24">
        <f ca="1">IFERROR(__xludf.DUMMYFUNCTION("""COMPUTED_VALUE"""),249)</f>
        <v>249</v>
      </c>
      <c r="E2208" s="25" t="str">
        <f ca="1">IFERROR(__xludf.DUMMYFUNCTION("""COMPUTED_VALUE"""),"REA-G8402")</f>
        <v>REA-G8402</v>
      </c>
    </row>
    <row r="2209" spans="1:5" x14ac:dyDescent="0.2">
      <c r="A2209" s="22">
        <f ca="1">IFERROR(__xludf.DUMMYFUNCTION("""COMPUTED_VALUE"""),44860)</f>
        <v>44860</v>
      </c>
      <c r="B2209" s="23" t="str">
        <f ca="1">IFERROR(__xludf.DUMMYFUNCTION("""COMPUTED_VALUE"""),"ODPŁYW NEO SLIM PRO-900 BRUSH")</f>
        <v>ODPŁYW NEO SLIM PRO-900 BRUSH</v>
      </c>
      <c r="C2209" s="23"/>
      <c r="D2209" s="24">
        <f ca="1">IFERROR(__xludf.DUMMYFUNCTION("""COMPUTED_VALUE"""),289)</f>
        <v>289</v>
      </c>
      <c r="E2209" s="25" t="str">
        <f ca="1">IFERROR(__xludf.DUMMYFUNCTION("""COMPUTED_VALUE"""),"REA-G8403")</f>
        <v>REA-G8403</v>
      </c>
    </row>
    <row r="2210" spans="1:5" x14ac:dyDescent="0.2">
      <c r="A2210" s="22">
        <f ca="1">IFERROR(__xludf.DUMMYFUNCTION("""COMPUTED_VALUE"""),44860)</f>
        <v>44860</v>
      </c>
      <c r="B2210" s="23" t="str">
        <f ca="1">IFERROR(__xludf.DUMMYFUNCTION("""COMPUTED_VALUE"""),"ODPŁYW NEO SLIM PRO-1000 BRUSH")</f>
        <v>ODPŁYW NEO SLIM PRO-1000 BRUSH</v>
      </c>
      <c r="C2210" s="23"/>
      <c r="D2210" s="24">
        <f ca="1">IFERROR(__xludf.DUMMYFUNCTION("""COMPUTED_VALUE"""),289)</f>
        <v>289</v>
      </c>
      <c r="E2210" s="25" t="str">
        <f ca="1">IFERROR(__xludf.DUMMYFUNCTION("""COMPUTED_VALUE"""),"REA-G8404")</f>
        <v>REA-G8404</v>
      </c>
    </row>
    <row r="2211" spans="1:5" x14ac:dyDescent="0.2">
      <c r="A2211" s="22">
        <f ca="1">IFERROR(__xludf.DUMMYFUNCTION("""COMPUTED_VALUE"""),44853)</f>
        <v>44853</v>
      </c>
      <c r="B2211" s="23" t="str">
        <f ca="1">IFERROR(__xludf.DUMMYFUNCTION("""COMPUTED_VALUE"""),"ADAPTER POSZERZA GOLD RAPID FARGO SOLAR 195 cm")</f>
        <v>ADAPTER POSZERZA GOLD RAPID FARGO SOLAR 195 cm</v>
      </c>
      <c r="C2211" s="23"/>
      <c r="D2211" s="24">
        <f ca="1">IFERROR(__xludf.DUMMYFUNCTION("""COMPUTED_VALUE"""),250)</f>
        <v>250</v>
      </c>
      <c r="E2211" s="25" t="str">
        <f ca="1">IFERROR(__xludf.DUMMYFUNCTION("""COMPUTED_VALUE"""),"REA-K7772")</f>
        <v>REA-K7772</v>
      </c>
    </row>
    <row r="2212" spans="1:5" x14ac:dyDescent="0.2">
      <c r="A2212" s="22">
        <f ca="1">IFERROR(__xludf.DUMMYFUNCTION("""COMPUTED_VALUE"""),44853)</f>
        <v>44853</v>
      </c>
      <c r="B2212" s="23" t="str">
        <f ca="1">IFERROR(__xludf.DUMMYFUNCTION("""COMPUTED_VALUE"""),"PÓŁKA TORI BLACK")</f>
        <v>PÓŁKA TORI BLACK</v>
      </c>
      <c r="C2212" s="23"/>
      <c r="D2212" s="24">
        <f ca="1">IFERROR(__xludf.DUMMYFUNCTION("""COMPUTED_VALUE"""),169)</f>
        <v>169</v>
      </c>
      <c r="E2212" s="25" t="str">
        <f ca="1">IFERROR(__xludf.DUMMYFUNCTION("""COMPUTED_VALUE"""),"REA-85000")</f>
        <v>REA-85000</v>
      </c>
    </row>
    <row r="2213" spans="1:5" x14ac:dyDescent="0.2">
      <c r="A2213" s="22">
        <f ca="1">IFERROR(__xludf.DUMMYFUNCTION("""COMPUTED_VALUE"""),44853)</f>
        <v>44853</v>
      </c>
      <c r="B2213" s="23" t="str">
        <f ca="1">IFERROR(__xludf.DUMMYFUNCTION("""COMPUTED_VALUE"""),"DOZOWNIK DO MYDŁA ZŁOTY SZCZOTKOWANY")</f>
        <v>DOZOWNIK DO MYDŁA ZŁOTY SZCZOTKOWANY</v>
      </c>
      <c r="C2213" s="23"/>
      <c r="D2213" s="24">
        <f ca="1">IFERROR(__xludf.DUMMYFUNCTION("""COMPUTED_VALUE"""),69)</f>
        <v>69</v>
      </c>
      <c r="E2213" s="25" t="str">
        <f ca="1">IFERROR(__xludf.DUMMYFUNCTION("""COMPUTED_VALUE"""),"BAT-08001")</f>
        <v>BAT-08001</v>
      </c>
    </row>
    <row r="2214" spans="1:5" x14ac:dyDescent="0.2">
      <c r="A2214" s="22">
        <f ca="1">IFERROR(__xludf.DUMMYFUNCTION("""COMPUTED_VALUE"""),44853)</f>
        <v>44853</v>
      </c>
      <c r="B2214" s="23" t="str">
        <f ca="1">IFERROR(__xludf.DUMMYFUNCTION("""COMPUTED_VALUE"""),"DOZOWNIK DO MYDŁA ZŁOTY")</f>
        <v>DOZOWNIK DO MYDŁA ZŁOTY</v>
      </c>
      <c r="C2214" s="23"/>
      <c r="D2214" s="24">
        <f ca="1">IFERROR(__xludf.DUMMYFUNCTION("""COMPUTED_VALUE"""),59)</f>
        <v>59</v>
      </c>
      <c r="E2214" s="25" t="str">
        <f ca="1">IFERROR(__xludf.DUMMYFUNCTION("""COMPUTED_VALUE"""),"BAT-08000")</f>
        <v>BAT-08000</v>
      </c>
    </row>
    <row r="2215" spans="1:5" x14ac:dyDescent="0.2">
      <c r="A2215" s="22">
        <f ca="1">IFERROR(__xludf.DUMMYFUNCTION("""COMPUTED_VALUE"""),44853)</f>
        <v>44853</v>
      </c>
      <c r="B2215" s="23" t="str">
        <f ca="1">IFERROR(__xludf.DUMMYFUNCTION("""COMPUTED_VALUE"""),"UMYWALKA SAMI - NABLATOWA")</f>
        <v>UMYWALKA SAMI - NABLATOWA</v>
      </c>
      <c r="C2215" s="23"/>
      <c r="D2215" s="24">
        <f ca="1">IFERROR(__xludf.DUMMYFUNCTION("""COMPUTED_VALUE"""),219)</f>
        <v>219</v>
      </c>
      <c r="E2215" s="25" t="str">
        <f ca="1">IFERROR(__xludf.DUMMYFUNCTION("""COMPUTED_VALUE"""),"REA-U1891")</f>
        <v>REA-U1891</v>
      </c>
    </row>
    <row r="2216" spans="1:5" x14ac:dyDescent="0.2">
      <c r="A2216" s="22">
        <f ca="1">IFERROR(__xludf.DUMMYFUNCTION("""COMPUTED_VALUE"""),44853)</f>
        <v>44853</v>
      </c>
      <c r="B2216" s="23" t="str">
        <f ca="1">IFERROR(__xludf.DUMMYFUNCTION("""COMPUTED_VALUE"""),"WC - CARLO MINI RIMLESS DUROPLAST/FLAT/ZM")</f>
        <v>WC - CARLO MINI RIMLESS DUROPLAST/FLAT/ZM</v>
      </c>
      <c r="C2216" s="23"/>
      <c r="D2216" s="24">
        <f ca="1">IFERROR(__xludf.DUMMYFUNCTION("""COMPUTED_VALUE"""),679)</f>
        <v>679</v>
      </c>
      <c r="E2216" s="25" t="str">
        <f ca="1">IFERROR(__xludf.DUMMYFUNCTION("""COMPUTED_VALUE"""),"REA-C2760")</f>
        <v>REA-C2760</v>
      </c>
    </row>
    <row r="2217" spans="1:5" x14ac:dyDescent="0.2">
      <c r="A2217" s="22">
        <f ca="1">IFERROR(__xludf.DUMMYFUNCTION("""COMPUTED_VALUE"""),44853)</f>
        <v>44853</v>
      </c>
      <c r="B2217" s="23" t="str">
        <f ca="1">IFERROR(__xludf.DUMMYFUNCTION("""COMPUTED_VALUE"""),"UMYWALKA DENIS SHINNY MARMO - NABLATOWA")</f>
        <v>UMYWALKA DENIS SHINNY MARMO - NABLATOWA</v>
      </c>
      <c r="C2217" s="23"/>
      <c r="D2217" s="24">
        <f ca="1">IFERROR(__xludf.DUMMYFUNCTION("""COMPUTED_VALUE"""),459)</f>
        <v>459</v>
      </c>
      <c r="E2217" s="25" t="str">
        <f ca="1">IFERROR(__xludf.DUMMYFUNCTION("""COMPUTED_VALUE"""),"REA-U5896")</f>
        <v>REA-U5896</v>
      </c>
    </row>
    <row r="2218" spans="1:5" x14ac:dyDescent="0.2">
      <c r="A2218" s="22">
        <f ca="1">IFERROR(__xludf.DUMMYFUNCTION("""COMPUTED_VALUE"""),44853)</f>
        <v>44853</v>
      </c>
      <c r="B2218" s="23" t="str">
        <f ca="1">IFERROR(__xludf.DUMMYFUNCTION("""COMPUTED_VALUE"""),"UMYWALKA KAREN - NABLATOWA")</f>
        <v>UMYWALKA KAREN - NABLATOWA</v>
      </c>
      <c r="C2218" s="23"/>
      <c r="D2218" s="24">
        <f ca="1">IFERROR(__xludf.DUMMYFUNCTION("""COMPUTED_VALUE"""),169)</f>
        <v>169</v>
      </c>
      <c r="E2218" s="25" t="str">
        <f ca="1">IFERROR(__xludf.DUMMYFUNCTION("""COMPUTED_VALUE"""),"CAL-00006")</f>
        <v>CAL-00006</v>
      </c>
    </row>
    <row r="2219" spans="1:5" x14ac:dyDescent="0.2">
      <c r="A2219" s="22">
        <f ca="1">IFERROR(__xludf.DUMMYFUNCTION("""COMPUTED_VALUE"""),44853)</f>
        <v>44853</v>
      </c>
      <c r="B2219" s="23" t="str">
        <f ca="1">IFERROR(__xludf.DUMMYFUNCTION("""COMPUTED_VALUE"""),"UMYWALKA TRACY - NABLATOWA")</f>
        <v>UMYWALKA TRACY - NABLATOWA</v>
      </c>
      <c r="C2219" s="23"/>
      <c r="D2219" s="24">
        <f ca="1">IFERROR(__xludf.DUMMYFUNCTION("""COMPUTED_VALUE"""),199)</f>
        <v>199</v>
      </c>
      <c r="E2219" s="25" t="str">
        <f ca="1">IFERROR(__xludf.DUMMYFUNCTION("""COMPUTED_VALUE"""),"CAL-00003")</f>
        <v>CAL-00003</v>
      </c>
    </row>
    <row r="2220" spans="1:5" x14ac:dyDescent="0.2">
      <c r="A2220" s="22">
        <f ca="1">IFERROR(__xludf.DUMMYFUNCTION("""COMPUTED_VALUE"""),44853)</f>
        <v>44853</v>
      </c>
      <c r="B2220" s="23" t="str">
        <f ca="1">IFERROR(__xludf.DUMMYFUNCTION("""COMPUTED_VALUE"""),"UMYWALKA FIESTA BLACK WHITE - NABLATOWA")</f>
        <v>UMYWALKA FIESTA BLACK WHITE - NABLATOWA</v>
      </c>
      <c r="C2220" s="23"/>
      <c r="D2220" s="24">
        <f ca="1">IFERROR(__xludf.DUMMYFUNCTION("""COMPUTED_VALUE"""),229)</f>
        <v>229</v>
      </c>
      <c r="E2220" s="25" t="str">
        <f ca="1">IFERROR(__xludf.DUMMYFUNCTION("""COMPUTED_VALUE"""),"CAL-00023")</f>
        <v>CAL-00023</v>
      </c>
    </row>
    <row r="2221" spans="1:5" x14ac:dyDescent="0.2">
      <c r="A2221" s="22">
        <f ca="1">IFERROR(__xludf.DUMMYFUNCTION("""COMPUTED_VALUE"""),44853)</f>
        <v>44853</v>
      </c>
      <c r="B2221" s="23" t="str">
        <f ca="1">IFERROR(__xludf.DUMMYFUNCTION("""COMPUTED_VALUE"""),"UMYWALKA BELINDA MARBLE MATT - NABLATOWA")</f>
        <v>UMYWALKA BELINDA MARBLE MATT - NABLATOWA</v>
      </c>
      <c r="C2221" s="23"/>
      <c r="D2221" s="24">
        <f ca="1">IFERROR(__xludf.DUMMYFUNCTION("""COMPUTED_VALUE"""),359)</f>
        <v>359</v>
      </c>
      <c r="E2221" s="25" t="str">
        <f ca="1">IFERROR(__xludf.DUMMYFUNCTION("""COMPUTED_VALUE"""),"REA-U8702")</f>
        <v>REA-U8702</v>
      </c>
    </row>
    <row r="2222" spans="1:5" x14ac:dyDescent="0.2">
      <c r="A2222" s="22">
        <f ca="1">IFERROR(__xludf.DUMMYFUNCTION("""COMPUTED_VALUE"""),44853)</f>
        <v>44853</v>
      </c>
      <c r="B2222" s="23" t="str">
        <f ca="1">IFERROR(__xludf.DUMMYFUNCTION("""COMPUTED_VALUE"""),"UMYWALKA PAMELA SHINY AIAX - NABLATOWA")</f>
        <v>UMYWALKA PAMELA SHINY AIAX - NABLATOWA</v>
      </c>
      <c r="C2222" s="23"/>
      <c r="D2222" s="24">
        <f ca="1">IFERROR(__xludf.DUMMYFUNCTION("""COMPUTED_VALUE"""),349)</f>
        <v>349</v>
      </c>
      <c r="E2222" s="25" t="str">
        <f ca="1">IFERROR(__xludf.DUMMYFUNCTION("""COMPUTED_VALUE"""),"REA-U9685")</f>
        <v>REA-U9685</v>
      </c>
    </row>
    <row r="2223" spans="1:5" x14ac:dyDescent="0.2">
      <c r="A2223" s="22">
        <f ca="1">IFERROR(__xludf.DUMMYFUNCTION("""COMPUTED_VALUE"""),44847)</f>
        <v>44847</v>
      </c>
      <c r="B2223" s="23" t="str">
        <f ca="1">IFERROR(__xludf.DUMMYFUNCTION("""COMPUTED_VALUE"""),"ZESTAW CALANI NATRYSKOWY PODTYNKOWY NEXOS S GOLD")</f>
        <v>ZESTAW CALANI NATRYSKOWY PODTYNKOWY NEXOS S GOLD</v>
      </c>
      <c r="C2223" s="23"/>
      <c r="D2223" s="24">
        <f ca="1">IFERROR(__xludf.DUMMYFUNCTION("""COMPUTED_VALUE"""),769)</f>
        <v>769</v>
      </c>
      <c r="E2223" s="25" t="str">
        <f ca="1">IFERROR(__xludf.DUMMYFUNCTION("""COMPUTED_VALUE"""),"CAL-B0021")</f>
        <v>CAL-B0021</v>
      </c>
    </row>
    <row r="2224" spans="1:5" x14ac:dyDescent="0.2">
      <c r="A2224" s="22">
        <f ca="1">IFERROR(__xludf.DUMMYFUNCTION("""COMPUTED_VALUE"""),44847)</f>
        <v>44847</v>
      </c>
      <c r="B2224" s="23" t="str">
        <f ca="1">IFERROR(__xludf.DUMMYFUNCTION("""COMPUTED_VALUE"""),"BATERIA CALANI UMYWALKOWA ASTRAL NISKA L GOLD")</f>
        <v>BATERIA CALANI UMYWALKOWA ASTRAL NISKA L GOLD</v>
      </c>
      <c r="C2224" s="23"/>
      <c r="D2224" s="24">
        <f ca="1">IFERROR(__xludf.DUMMYFUNCTION("""COMPUTED_VALUE"""),169)</f>
        <v>169</v>
      </c>
      <c r="E2224" s="25" t="str">
        <f ca="1">IFERROR(__xludf.DUMMYFUNCTION("""COMPUTED_VALUE"""),"CAL-B0011")</f>
        <v>CAL-B0011</v>
      </c>
    </row>
    <row r="2225" spans="1:5" x14ac:dyDescent="0.2">
      <c r="A2225" s="22">
        <f ca="1">IFERROR(__xludf.DUMMYFUNCTION("""COMPUTED_VALUE"""),44847)</f>
        <v>44847</v>
      </c>
      <c r="B2225" s="23" t="str">
        <f ca="1">IFERROR(__xludf.DUMMYFUNCTION("""COMPUTED_VALUE"""),"BATERIA UMYWALKOWA PARKER ZŁOTA SZCZOTKOW NISKA")</f>
        <v>BATERIA UMYWALKOWA PARKER ZŁOTA SZCZOTKOW NISKA</v>
      </c>
      <c r="C2225" s="23"/>
      <c r="D2225" s="24">
        <f ca="1">IFERROR(__xludf.DUMMYFUNCTION("""COMPUTED_VALUE"""),369)</f>
        <v>369</v>
      </c>
      <c r="E2225" s="25" t="str">
        <f ca="1">IFERROR(__xludf.DUMMYFUNCTION("""COMPUTED_VALUE"""),"REA-B4809")</f>
        <v>REA-B4809</v>
      </c>
    </row>
    <row r="2226" spans="1:5" x14ac:dyDescent="0.2">
      <c r="A2226" s="22">
        <f ca="1">IFERROR(__xludf.DUMMYFUNCTION("""COMPUTED_VALUE"""),44847)</f>
        <v>44847</v>
      </c>
      <c r="B2226" s="23" t="str">
        <f ca="1">IFERROR(__xludf.DUMMYFUNCTION("""COMPUTED_VALUE"""),"BATERIA UMYWALKOWA PARKER NIEKIEL SZCZOTKOW NISKA")</f>
        <v>BATERIA UMYWALKOWA PARKER NIEKIEL SZCZOTKOW NISKA</v>
      </c>
      <c r="C2226" s="23"/>
      <c r="D2226" s="24">
        <f ca="1">IFERROR(__xludf.DUMMYFUNCTION("""COMPUTED_VALUE"""),359)</f>
        <v>359</v>
      </c>
      <c r="E2226" s="25" t="str">
        <f ca="1">IFERROR(__xludf.DUMMYFUNCTION("""COMPUTED_VALUE"""),"REA-B4811")</f>
        <v>REA-B4811</v>
      </c>
    </row>
    <row r="2227" spans="1:5" x14ac:dyDescent="0.2">
      <c r="A2227" s="22">
        <f ca="1">IFERROR(__xludf.DUMMYFUNCTION("""COMPUTED_VALUE"""),44847)</f>
        <v>44847</v>
      </c>
      <c r="B2227" s="23" t="str">
        <f ca="1">IFERROR(__xludf.DUMMYFUNCTION("""COMPUTED_VALUE"""),"UCHWYT PRYSZNICOWY 01 BLACK")</f>
        <v>UCHWYT PRYSZNICOWY 01 BLACK</v>
      </c>
      <c r="C2227" s="23"/>
      <c r="D2227" s="24">
        <f ca="1">IFERROR(__xludf.DUMMYFUNCTION("""COMPUTED_VALUE"""),99)</f>
        <v>99</v>
      </c>
      <c r="E2227" s="25" t="str">
        <f ca="1">IFERROR(__xludf.DUMMYFUNCTION("""COMPUTED_VALUE"""),"REA-P5983")</f>
        <v>REA-P5983</v>
      </c>
    </row>
    <row r="2228" spans="1:5" x14ac:dyDescent="0.2">
      <c r="A2228" s="22">
        <f ca="1">IFERROR(__xludf.DUMMYFUNCTION("""COMPUTED_VALUE"""),44847)</f>
        <v>44847</v>
      </c>
      <c r="B2228" s="23" t="str">
        <f ca="1">IFERROR(__xludf.DUMMYFUNCTION("""COMPUTED_VALUE"""),"UCHWYT PRYSZNICOWY 01 GOLD")</f>
        <v>UCHWYT PRYSZNICOWY 01 GOLD</v>
      </c>
      <c r="C2228" s="23"/>
      <c r="D2228" s="24">
        <f ca="1">IFERROR(__xludf.DUMMYFUNCTION("""COMPUTED_VALUE"""),99)</f>
        <v>99</v>
      </c>
      <c r="E2228" s="25" t="str">
        <f ca="1">IFERROR(__xludf.DUMMYFUNCTION("""COMPUTED_VALUE"""),"REA-P5981")</f>
        <v>REA-P5981</v>
      </c>
    </row>
    <row r="2229" spans="1:5" x14ac:dyDescent="0.2">
      <c r="A2229" s="22">
        <f ca="1">IFERROR(__xludf.DUMMYFUNCTION("""COMPUTED_VALUE"""),44847)</f>
        <v>44847</v>
      </c>
      <c r="B2229" s="23" t="str">
        <f ca="1">IFERROR(__xludf.DUMMYFUNCTION("""COMPUTED_VALUE"""),"UCHWYT PRYSZNICOWY 01 CHROME")</f>
        <v>UCHWYT PRYSZNICOWY 01 CHROME</v>
      </c>
      <c r="C2229" s="23"/>
      <c r="D2229" s="24">
        <f ca="1">IFERROR(__xludf.DUMMYFUNCTION("""COMPUTED_VALUE"""),69)</f>
        <v>69</v>
      </c>
      <c r="E2229" s="25" t="str">
        <f ca="1">IFERROR(__xludf.DUMMYFUNCTION("""COMPUTED_VALUE"""),"REA-P5982")</f>
        <v>REA-P5982</v>
      </c>
    </row>
    <row r="2230" spans="1:5" x14ac:dyDescent="0.2">
      <c r="A2230" s="22">
        <f ca="1">IFERROR(__xludf.DUMMYFUNCTION("""COMPUTED_VALUE"""),44847)</f>
        <v>44847</v>
      </c>
      <c r="B2230" s="23" t="str">
        <f ca="1">IFERROR(__xludf.DUMMYFUNCTION("""COMPUTED_VALUE"""),"BATERIA PODŁOGOWA WANNOWA ORTIS CHROM")</f>
        <v>BATERIA PODŁOGOWA WANNOWA ORTIS CHROM</v>
      </c>
      <c r="C2230" s="23"/>
      <c r="D2230" s="24">
        <f ca="1">IFERROR(__xludf.DUMMYFUNCTION("""COMPUTED_VALUE"""),1159)</f>
        <v>1159</v>
      </c>
      <c r="E2230" s="25" t="str">
        <f ca="1">IFERROR(__xludf.DUMMYFUNCTION("""COMPUTED_VALUE"""),"REA-B1011")</f>
        <v>REA-B1011</v>
      </c>
    </row>
    <row r="2231" spans="1:5" x14ac:dyDescent="0.2">
      <c r="A2231" s="22">
        <f ca="1">IFERROR(__xludf.DUMMYFUNCTION("""COMPUTED_VALUE"""),44847)</f>
        <v>44847</v>
      </c>
      <c r="B2231" s="23" t="str">
        <f ca="1">IFERROR(__xludf.DUMMYFUNCTION("""COMPUTED_VALUE"""),"BATERIA PODŁOGOWA WANNOWA ORTIS BLACK")</f>
        <v>BATERIA PODŁOGOWA WANNOWA ORTIS BLACK</v>
      </c>
      <c r="C2231" s="23"/>
      <c r="D2231" s="24">
        <f ca="1">IFERROR(__xludf.DUMMYFUNCTION("""COMPUTED_VALUE"""),1099)</f>
        <v>1099</v>
      </c>
      <c r="E2231" s="25" t="str">
        <f ca="1">IFERROR(__xludf.DUMMYFUNCTION("""COMPUTED_VALUE"""),"REA-B0232")</f>
        <v>REA-B0232</v>
      </c>
    </row>
    <row r="2232" spans="1:5" x14ac:dyDescent="0.2">
      <c r="A2232" s="22">
        <f ca="1">IFERROR(__xludf.DUMMYFUNCTION("""COMPUTED_VALUE"""),44847)</f>
        <v>44847</v>
      </c>
      <c r="B2232" s="23" t="str">
        <f ca="1">IFERROR(__xludf.DUMMYFUNCTION("""COMPUTED_VALUE"""),"BATERIA KUCHENNA APOLLO BLACK/ROSE GOLD")</f>
        <v>BATERIA KUCHENNA APOLLO BLACK/ROSE GOLD</v>
      </c>
      <c r="C2232" s="23"/>
      <c r="D2232" s="24">
        <f ca="1">IFERROR(__xludf.DUMMYFUNCTION("""COMPUTED_VALUE"""),449)</f>
        <v>449</v>
      </c>
      <c r="E2232" s="25" t="str">
        <f ca="1">IFERROR(__xludf.DUMMYFUNCTION("""COMPUTED_VALUE"""),"REA-B9600")</f>
        <v>REA-B9600</v>
      </c>
    </row>
    <row r="2233" spans="1:5" x14ac:dyDescent="0.2">
      <c r="A2233" s="22">
        <f ca="1">IFERROR(__xludf.DUMMYFUNCTION("""COMPUTED_VALUE"""),44847)</f>
        <v>44847</v>
      </c>
      <c r="B2233" s="23" t="str">
        <f ca="1">IFERROR(__xludf.DUMMYFUNCTION("""COMPUTED_VALUE"""),"ZESTAW NATRYSKOWY ORIX CHROME + BOX")</f>
        <v>ZESTAW NATRYSKOWY ORIX CHROME + BOX</v>
      </c>
      <c r="C2233" s="23"/>
      <c r="D2233" s="24">
        <f ca="1">IFERROR(__xludf.DUMMYFUNCTION("""COMPUTED_VALUE"""),729)</f>
        <v>729</v>
      </c>
      <c r="E2233" s="25" t="str">
        <f ca="1">IFERROR(__xludf.DUMMYFUNCTION("""COMPUTED_VALUE"""),"REA-P8463")</f>
        <v>REA-P8463</v>
      </c>
    </row>
    <row r="2234" spans="1:5" x14ac:dyDescent="0.2">
      <c r="A2234" s="22">
        <f ca="1">IFERROR(__xludf.DUMMYFUNCTION("""COMPUTED_VALUE"""),44847)</f>
        <v>44847</v>
      </c>
      <c r="B2234" s="23" t="str">
        <f ca="1">IFERROR(__xludf.DUMMYFUNCTION("""COMPUTED_VALUE"""),"ZESTAW NATRYSKOWY ORIX GOLD+ BOX")</f>
        <v>ZESTAW NATRYSKOWY ORIX GOLD+ BOX</v>
      </c>
      <c r="C2234" s="23"/>
      <c r="D2234" s="24">
        <f ca="1">IFERROR(__xludf.DUMMYFUNCTION("""COMPUTED_VALUE"""),929)</f>
        <v>929</v>
      </c>
      <c r="E2234" s="25" t="str">
        <f ca="1">IFERROR(__xludf.DUMMYFUNCTION("""COMPUTED_VALUE"""),"REA-P8464")</f>
        <v>REA-P8464</v>
      </c>
    </row>
    <row r="2235" spans="1:5" x14ac:dyDescent="0.2">
      <c r="A2235" s="22">
        <f ca="1">IFERROR(__xludf.DUMMYFUNCTION("""COMPUTED_VALUE"""),44847)</f>
        <v>44847</v>
      </c>
      <c r="B2235" s="23" t="str">
        <f ca="1">IFERROR(__xludf.DUMMYFUNCTION("""COMPUTED_VALUE"""),"ZESTAW NATRYSKOWY ORIX BLACK+ BOX")</f>
        <v>ZESTAW NATRYSKOWY ORIX BLACK+ BOX</v>
      </c>
      <c r="C2235" s="23"/>
      <c r="D2235" s="24">
        <f ca="1">IFERROR(__xludf.DUMMYFUNCTION("""COMPUTED_VALUE"""),799)</f>
        <v>799</v>
      </c>
      <c r="E2235" s="25" t="str">
        <f ca="1">IFERROR(__xludf.DUMMYFUNCTION("""COMPUTED_VALUE"""),"REA-P8465")</f>
        <v>REA-P8465</v>
      </c>
    </row>
    <row r="2236" spans="1:5" x14ac:dyDescent="0.2">
      <c r="A2236" s="22">
        <f ca="1">IFERROR(__xludf.DUMMYFUNCTION("""COMPUTED_VALUE"""),44847)</f>
        <v>44847</v>
      </c>
      <c r="B2236" s="23" t="str">
        <f ca="1">IFERROR(__xludf.DUMMYFUNCTION("""COMPUTED_VALUE"""),"ZESTAW NATRYSKOWY FENIX L.GOLD")</f>
        <v>ZESTAW NATRYSKOWY FENIX L.GOLD</v>
      </c>
      <c r="C2236" s="23"/>
      <c r="D2236" s="24">
        <f ca="1">IFERROR(__xludf.DUMMYFUNCTION("""COMPUTED_VALUE"""),1079)</f>
        <v>1079</v>
      </c>
      <c r="E2236" s="25" t="str">
        <f ca="1">IFERROR(__xludf.DUMMYFUNCTION("""COMPUTED_VALUE"""),"REA-P8401")</f>
        <v>REA-P8401</v>
      </c>
    </row>
    <row r="2237" spans="1:5" x14ac:dyDescent="0.2">
      <c r="A2237" s="22">
        <f ca="1">IFERROR(__xludf.DUMMYFUNCTION("""COMPUTED_VALUE"""),44847)</f>
        <v>44847</v>
      </c>
      <c r="B2237" s="23" t="str">
        <f ca="1">IFERROR(__xludf.DUMMYFUNCTION("""COMPUTED_VALUE"""),"BATERIA WANNOWA ŚCIENNA FENIX L.GOLD")</f>
        <v>BATERIA WANNOWA ŚCIENNA FENIX L.GOLD</v>
      </c>
      <c r="C2237" s="23"/>
      <c r="D2237" s="24">
        <f ca="1">IFERROR(__xludf.DUMMYFUNCTION("""COMPUTED_VALUE"""),599)</f>
        <v>599</v>
      </c>
      <c r="E2237" s="25" t="str">
        <f ca="1">IFERROR(__xludf.DUMMYFUNCTION("""COMPUTED_VALUE"""),"REA-B5666")</f>
        <v>REA-B5666</v>
      </c>
    </row>
    <row r="2238" spans="1:5" x14ac:dyDescent="0.2">
      <c r="A2238" s="22">
        <f ca="1">IFERROR(__xludf.DUMMYFUNCTION("""COMPUTED_VALUE"""),44847)</f>
        <v>44847</v>
      </c>
      <c r="B2238" s="23" t="str">
        <f ca="1">IFERROR(__xludf.DUMMYFUNCTION("""COMPUTED_VALUE"""),"BATERIA UMYWALKOWA LUGANO CHROM WYSOKA")</f>
        <v>BATERIA UMYWALKOWA LUGANO CHROM WYSOKA</v>
      </c>
      <c r="C2238" s="23"/>
      <c r="D2238" s="24">
        <f ca="1">IFERROR(__xludf.DUMMYFUNCTION("""COMPUTED_VALUE"""),319)</f>
        <v>319</v>
      </c>
      <c r="E2238" s="25" t="str">
        <f ca="1">IFERROR(__xludf.DUMMYFUNCTION("""COMPUTED_VALUE"""),"REA-B5000")</f>
        <v>REA-B5000</v>
      </c>
    </row>
    <row r="2239" spans="1:5" x14ac:dyDescent="0.2">
      <c r="A2239" s="22">
        <f ca="1">IFERROR(__xludf.DUMMYFUNCTION("""COMPUTED_VALUE"""),44847)</f>
        <v>44847</v>
      </c>
      <c r="B2239" s="23" t="str">
        <f ca="1">IFERROR(__xludf.DUMMYFUNCTION("""COMPUTED_VALUE"""),"BATERIA UMYWALKOWA LUGANO BLACK WYSOKA")</f>
        <v>BATERIA UMYWALKOWA LUGANO BLACK WYSOKA</v>
      </c>
      <c r="C2239" s="23"/>
      <c r="D2239" s="24">
        <f ca="1">IFERROR(__xludf.DUMMYFUNCTION("""COMPUTED_VALUE"""),339)</f>
        <v>339</v>
      </c>
      <c r="E2239" s="25" t="str">
        <f ca="1">IFERROR(__xludf.DUMMYFUNCTION("""COMPUTED_VALUE"""),"REA-B5001")</f>
        <v>REA-B5001</v>
      </c>
    </row>
    <row r="2240" spans="1:5" x14ac:dyDescent="0.2">
      <c r="A2240" s="22">
        <f ca="1">IFERROR(__xludf.DUMMYFUNCTION("""COMPUTED_VALUE"""),44847)</f>
        <v>44847</v>
      </c>
      <c r="B2240" s="23" t="str">
        <f ca="1">IFERROR(__xludf.DUMMYFUNCTION("""COMPUTED_VALUE"""),"BATERIA UMYWALKOWA LUGANO L.GOLD WYSOKA")</f>
        <v>BATERIA UMYWALKOWA LUGANO L.GOLD WYSOKA</v>
      </c>
      <c r="C2240" s="23"/>
      <c r="D2240" s="24">
        <f ca="1">IFERROR(__xludf.DUMMYFUNCTION("""COMPUTED_VALUE"""),389)</f>
        <v>389</v>
      </c>
      <c r="E2240" s="25" t="str">
        <f ca="1">IFERROR(__xludf.DUMMYFUNCTION("""COMPUTED_VALUE"""),"REA-B5002")</f>
        <v>REA-B5002</v>
      </c>
    </row>
    <row r="2241" spans="1:5" x14ac:dyDescent="0.2">
      <c r="A2241" s="22">
        <f ca="1">IFERROR(__xludf.DUMMYFUNCTION("""COMPUTED_VALUE"""),44847)</f>
        <v>44847</v>
      </c>
      <c r="B2241" s="23" t="str">
        <f ca="1">IFERROR(__xludf.DUMMYFUNCTION("""COMPUTED_VALUE"""),"ZESTAW NATRYSKOWY PODTYNKOWY LUNGO L.GOLD SZCZOTKO")</f>
        <v>ZESTAW NATRYSKOWY PODTYNKOWY LUNGO L.GOLD SZCZOTKO</v>
      </c>
      <c r="C2241" s="23"/>
      <c r="D2241" s="24">
        <f ca="1">IFERROR(__xludf.DUMMYFUNCTION("""COMPUTED_VALUE"""),1099)</f>
        <v>1099</v>
      </c>
      <c r="E2241" s="25" t="str">
        <f ca="1">IFERROR(__xludf.DUMMYFUNCTION("""COMPUTED_VALUE"""),"REA-P4160")</f>
        <v>REA-P4160</v>
      </c>
    </row>
    <row r="2242" spans="1:5" x14ac:dyDescent="0.2">
      <c r="A2242" s="22">
        <f ca="1">IFERROR(__xludf.DUMMYFUNCTION("""COMPUTED_VALUE"""),44847)</f>
        <v>44847</v>
      </c>
      <c r="B2242" s="23" t="str">
        <f ca="1">IFERROR(__xludf.DUMMYFUNCTION("""COMPUTED_VALUE"""),"BATERIA WANNOWA LUNGO ROSE GOLD")</f>
        <v>BATERIA WANNOWA LUNGO ROSE GOLD</v>
      </c>
      <c r="C2242" s="23"/>
      <c r="D2242" s="24">
        <f ca="1">IFERROR(__xludf.DUMMYFUNCTION("""COMPUTED_VALUE"""),669)</f>
        <v>669</v>
      </c>
      <c r="E2242" s="25" t="str">
        <f ca="1">IFERROR(__xludf.DUMMYFUNCTION("""COMPUTED_VALUE"""),"REA-B6695")</f>
        <v>REA-B6695</v>
      </c>
    </row>
    <row r="2243" spans="1:5" x14ac:dyDescent="0.2">
      <c r="A2243" s="22">
        <f ca="1">IFERROR(__xludf.DUMMYFUNCTION("""COMPUTED_VALUE"""),44847)</f>
        <v>44847</v>
      </c>
      <c r="B2243" s="23" t="str">
        <f ca="1">IFERROR(__xludf.DUMMYFUNCTION("""COMPUTED_VALUE"""),"BATERIA WANNOWA LUNGO L.GOLD")</f>
        <v>BATERIA WANNOWA LUNGO L.GOLD</v>
      </c>
      <c r="C2243" s="23"/>
      <c r="D2243" s="24">
        <f ca="1">IFERROR(__xludf.DUMMYFUNCTION("""COMPUTED_VALUE"""),669)</f>
        <v>669</v>
      </c>
      <c r="E2243" s="25" t="str">
        <f ca="1">IFERROR(__xludf.DUMMYFUNCTION("""COMPUTED_VALUE"""),"REA-B6635")</f>
        <v>REA-B6635</v>
      </c>
    </row>
    <row r="2244" spans="1:5" x14ac:dyDescent="0.2">
      <c r="A2244" s="22">
        <f ca="1">IFERROR(__xludf.DUMMYFUNCTION("""COMPUTED_VALUE"""),44847)</f>
        <v>44847</v>
      </c>
      <c r="B2244" s="23" t="str">
        <f ca="1">IFERROR(__xludf.DUMMYFUNCTION("""COMPUTED_VALUE"""),"ZESTAW NATRYSKOWY PODTYNK VERSO NIKIEL SZCZOTKOWAN")</f>
        <v>ZESTAW NATRYSKOWY PODTYNK VERSO NIKIEL SZCZOTKOWAN</v>
      </c>
      <c r="C2244" s="23"/>
      <c r="D2244" s="24">
        <f ca="1">IFERROR(__xludf.DUMMYFUNCTION("""COMPUTED_VALUE"""),1259)</f>
        <v>1259</v>
      </c>
      <c r="E2244" s="25" t="str">
        <f ca="1">IFERROR(__xludf.DUMMYFUNCTION("""COMPUTED_VALUE"""),"REA-P4800")</f>
        <v>REA-P4800</v>
      </c>
    </row>
    <row r="2245" spans="1:5" x14ac:dyDescent="0.2">
      <c r="A2245" s="22">
        <f ca="1">IFERROR(__xludf.DUMMYFUNCTION("""COMPUTED_VALUE"""),44847)</f>
        <v>44847</v>
      </c>
      <c r="B2245" s="23" t="str">
        <f ca="1">IFERROR(__xludf.DUMMYFUNCTION("""COMPUTED_VALUE"""),"BATERIA WANNOWA MILD CZARNA/RÓŻOWE ZŁOTO")</f>
        <v>BATERIA WANNOWA MILD CZARNA/RÓŻOWE ZŁOTO</v>
      </c>
      <c r="C2245" s="23"/>
      <c r="D2245" s="24">
        <f ca="1">IFERROR(__xludf.DUMMYFUNCTION("""COMPUTED_VALUE"""),399)</f>
        <v>399</v>
      </c>
      <c r="E2245" s="25" t="str">
        <f ca="1">IFERROR(__xludf.DUMMYFUNCTION("""COMPUTED_VALUE"""),"REA-B4813")</f>
        <v>REA-B4813</v>
      </c>
    </row>
    <row r="2246" spans="1:5" x14ac:dyDescent="0.2">
      <c r="A2246" s="22">
        <f ca="1">IFERROR(__xludf.DUMMYFUNCTION("""COMPUTED_VALUE"""),44847)</f>
        <v>44847</v>
      </c>
      <c r="B2246" s="23" t="str">
        <f ca="1">IFERROR(__xludf.DUMMYFUNCTION("""COMPUTED_VALUE"""),"BATERIA UMYWALKOWA MILD CZARNA/RÓŻOWE ZŁOTO WYSOKA")</f>
        <v>BATERIA UMYWALKOWA MILD CZARNA/RÓŻOWE ZŁOTO WYSOKA</v>
      </c>
      <c r="C2246" s="23"/>
      <c r="D2246" s="24">
        <f ca="1">IFERROR(__xludf.DUMMYFUNCTION("""COMPUTED_VALUE"""),299)</f>
        <v>299</v>
      </c>
      <c r="E2246" s="25" t="str">
        <f ca="1">IFERROR(__xludf.DUMMYFUNCTION("""COMPUTED_VALUE"""),"REA-B4808")</f>
        <v>REA-B4808</v>
      </c>
    </row>
    <row r="2247" spans="1:5" x14ac:dyDescent="0.2">
      <c r="A2247" s="22">
        <f ca="1">IFERROR(__xludf.DUMMYFUNCTION("""COMPUTED_VALUE"""),44847)</f>
        <v>44847</v>
      </c>
      <c r="B2247" s="23" t="str">
        <f ca="1">IFERROR(__xludf.DUMMYFUNCTION("""COMPUTED_VALUE"""),"BATERIA UMYWALKOWA MILD CZARNA/RÓŻOWE ZŁOTO NISKA")</f>
        <v>BATERIA UMYWALKOWA MILD CZARNA/RÓŻOWE ZŁOTO NISKA</v>
      </c>
      <c r="C2247" s="23"/>
      <c r="D2247" s="24">
        <f ca="1">IFERROR(__xludf.DUMMYFUNCTION("""COMPUTED_VALUE"""),229)</f>
        <v>229</v>
      </c>
      <c r="E2247" s="25" t="str">
        <f ca="1">IFERROR(__xludf.DUMMYFUNCTION("""COMPUTED_VALUE"""),"REA-B4807")</f>
        <v>REA-B4807</v>
      </c>
    </row>
    <row r="2248" spans="1:5" x14ac:dyDescent="0.2">
      <c r="A2248" s="22">
        <f ca="1">IFERROR(__xludf.DUMMYFUNCTION("""COMPUTED_VALUE"""),44847)</f>
        <v>44847</v>
      </c>
      <c r="B2248" s="23" t="str">
        <f ca="1">IFERROR(__xludf.DUMMYFUNCTION("""COMPUTED_VALUE"""),"BATERIA KUCHENNA MILD ZŁOTA")</f>
        <v>BATERIA KUCHENNA MILD ZŁOTA</v>
      </c>
      <c r="C2248" s="23"/>
      <c r="D2248" s="24">
        <f ca="1">IFERROR(__xludf.DUMMYFUNCTION("""COMPUTED_VALUE"""),319)</f>
        <v>319</v>
      </c>
      <c r="E2248" s="25" t="str">
        <f ca="1">IFERROR(__xludf.DUMMYFUNCTION("""COMPUTED_VALUE"""),"REA-B4802")</f>
        <v>REA-B4802</v>
      </c>
    </row>
    <row r="2249" spans="1:5" x14ac:dyDescent="0.2">
      <c r="A2249" s="22">
        <f ca="1">IFERROR(__xludf.DUMMYFUNCTION("""COMPUTED_VALUE"""),44847)</f>
        <v>44847</v>
      </c>
      <c r="B2249" s="23" t="str">
        <f ca="1">IFERROR(__xludf.DUMMYFUNCTION("""COMPUTED_VALUE"""),"BATERIA KUCHENNA MILD CZARNA")</f>
        <v>BATERIA KUCHENNA MILD CZARNA</v>
      </c>
      <c r="C2249" s="23"/>
      <c r="D2249" s="24">
        <f ca="1">IFERROR(__xludf.DUMMYFUNCTION("""COMPUTED_VALUE"""),329)</f>
        <v>329</v>
      </c>
      <c r="E2249" s="25" t="str">
        <f ca="1">IFERROR(__xludf.DUMMYFUNCTION("""COMPUTED_VALUE"""),"REA-B4800")</f>
        <v>REA-B4800</v>
      </c>
    </row>
    <row r="2250" spans="1:5" x14ac:dyDescent="0.2">
      <c r="A2250" s="22">
        <f ca="1">IFERROR(__xludf.DUMMYFUNCTION("""COMPUTED_VALUE"""),44847)</f>
        <v>44847</v>
      </c>
      <c r="B2250" s="23" t="str">
        <f ca="1">IFERROR(__xludf.DUMMYFUNCTION("""COMPUTED_VALUE"""),"BATERIA KUCHENNA MILD CZARNA/RÓŻOWE ZŁOTO")</f>
        <v>BATERIA KUCHENNA MILD CZARNA/RÓŻOWE ZŁOTO</v>
      </c>
      <c r="C2250" s="23"/>
      <c r="D2250" s="24">
        <f ca="1">IFERROR(__xludf.DUMMYFUNCTION("""COMPUTED_VALUE"""),319)</f>
        <v>319</v>
      </c>
      <c r="E2250" s="25" t="str">
        <f ca="1">IFERROR(__xludf.DUMMYFUNCTION("""COMPUTED_VALUE"""),"REA-B4801")</f>
        <v>REA-B4801</v>
      </c>
    </row>
    <row r="2251" spans="1:5" x14ac:dyDescent="0.2">
      <c r="A2251" s="22">
        <f ca="1">IFERROR(__xludf.DUMMYFUNCTION("""COMPUTED_VALUE"""),44847)</f>
        <v>44847</v>
      </c>
      <c r="B2251" s="23" t="str">
        <f ca="1">IFERROR(__xludf.DUMMYFUNCTION("""COMPUTED_VALUE"""),"BATERIA KUCHENNA MILD ZŁOTA SZCZOTKOWANA")</f>
        <v>BATERIA KUCHENNA MILD ZŁOTA SZCZOTKOWANA</v>
      </c>
      <c r="C2251" s="23"/>
      <c r="D2251" s="24">
        <f ca="1">IFERROR(__xludf.DUMMYFUNCTION("""COMPUTED_VALUE"""),339)</f>
        <v>339</v>
      </c>
      <c r="E2251" s="25" t="str">
        <f ca="1">IFERROR(__xludf.DUMMYFUNCTION("""COMPUTED_VALUE"""),"REA-B4803")</f>
        <v>REA-B4803</v>
      </c>
    </row>
    <row r="2252" spans="1:5" x14ac:dyDescent="0.2">
      <c r="A2252" s="22">
        <f ca="1">IFERROR(__xludf.DUMMYFUNCTION("""COMPUTED_VALUE"""),44847)</f>
        <v>44847</v>
      </c>
      <c r="B2252" s="23" t="str">
        <f ca="1">IFERROR(__xludf.DUMMYFUNCTION("""COMPUTED_VALUE"""),"BATERIA KUCHENNA SPRING NIKIEL SZCZOTKOWANY")</f>
        <v>BATERIA KUCHENNA SPRING NIKIEL SZCZOTKOWANY</v>
      </c>
      <c r="C2252" s="23"/>
      <c r="D2252" s="24">
        <f ca="1">IFERROR(__xludf.DUMMYFUNCTION("""COMPUTED_VALUE"""),399)</f>
        <v>399</v>
      </c>
      <c r="E2252" s="25" t="str">
        <f ca="1">IFERROR(__xludf.DUMMYFUNCTION("""COMPUTED_VALUE"""),"REA-B4806")</f>
        <v>REA-B4806</v>
      </c>
    </row>
    <row r="2253" spans="1:5" x14ac:dyDescent="0.2">
      <c r="A2253" s="22">
        <f ca="1">IFERROR(__xludf.DUMMYFUNCTION("""COMPUTED_VALUE"""),44847)</f>
        <v>44847</v>
      </c>
      <c r="B2253" s="23" t="str">
        <f ca="1">IFERROR(__xludf.DUMMYFUNCTION("""COMPUTED_VALUE"""),"BATERIA KUCHENNA SPRING ZŁOTA SZCZOTKOWANA")</f>
        <v>BATERIA KUCHENNA SPRING ZŁOTA SZCZOTKOWANA</v>
      </c>
      <c r="C2253" s="23"/>
      <c r="D2253" s="24">
        <f ca="1">IFERROR(__xludf.DUMMYFUNCTION("""COMPUTED_VALUE"""),479)</f>
        <v>479</v>
      </c>
      <c r="E2253" s="25" t="str">
        <f ca="1">IFERROR(__xludf.DUMMYFUNCTION("""COMPUTED_VALUE"""),"REA-B4805")</f>
        <v>REA-B4805</v>
      </c>
    </row>
    <row r="2254" spans="1:5" x14ac:dyDescent="0.2">
      <c r="A2254" s="22">
        <f ca="1">IFERROR(__xludf.DUMMYFUNCTION("""COMPUTED_VALUE"""),44847)</f>
        <v>44847</v>
      </c>
      <c r="B2254" s="23" t="str">
        <f ca="1">IFERROR(__xludf.DUMMYFUNCTION("""COMPUTED_VALUE"""),"BATERIA TALISA BLACK MAT")</f>
        <v>BATERIA TALISA BLACK MAT</v>
      </c>
      <c r="C2254" s="23"/>
      <c r="D2254" s="24">
        <f ca="1">IFERROR(__xludf.DUMMYFUNCTION("""COMPUTED_VALUE"""),199)</f>
        <v>199</v>
      </c>
      <c r="E2254" s="25" t="str">
        <f ca="1">IFERROR(__xludf.DUMMYFUNCTION("""COMPUTED_VALUE"""),"REA-B0978")</f>
        <v>REA-B0978</v>
      </c>
    </row>
    <row r="2255" spans="1:5" x14ac:dyDescent="0.2">
      <c r="A2255" s="22">
        <f ca="1">IFERROR(__xludf.DUMMYFUNCTION("""COMPUTED_VALUE"""),44847)</f>
        <v>44847</v>
      </c>
      <c r="B2255" s="23" t="str">
        <f ca="1">IFERROR(__xludf.DUMMYFUNCTION("""COMPUTED_VALUE"""),"BATERIA TALISA L.GOLD")</f>
        <v>BATERIA TALISA L.GOLD</v>
      </c>
      <c r="C2255" s="23"/>
      <c r="D2255" s="24">
        <f ca="1">IFERROR(__xludf.DUMMYFUNCTION("""COMPUTED_VALUE"""),219)</f>
        <v>219</v>
      </c>
      <c r="E2255" s="25" t="str">
        <f ca="1">IFERROR(__xludf.DUMMYFUNCTION("""COMPUTED_VALUE"""),"REA-B1020")</f>
        <v>REA-B1020</v>
      </c>
    </row>
    <row r="2256" spans="1:5" x14ac:dyDescent="0.2">
      <c r="A2256" s="22">
        <f ca="1">IFERROR(__xludf.DUMMYFUNCTION("""COMPUTED_VALUE"""),44847)</f>
        <v>44847</v>
      </c>
      <c r="B2256" s="23" t="str">
        <f ca="1">IFERROR(__xludf.DUMMYFUNCTION("""COMPUTED_VALUE"""),"ZESTAW NATRYSKOWY VINTAGE OLD BLACK")</f>
        <v>ZESTAW NATRYSKOWY VINTAGE OLD BLACK</v>
      </c>
      <c r="C2256" s="23"/>
      <c r="D2256" s="24">
        <f ca="1">IFERROR(__xludf.DUMMYFUNCTION("""COMPUTED_VALUE"""),1299)</f>
        <v>1299</v>
      </c>
      <c r="E2256" s="25" t="str">
        <f ca="1">IFERROR(__xludf.DUMMYFUNCTION("""COMPUTED_VALUE"""),"REA-P2367")</f>
        <v>REA-P2367</v>
      </c>
    </row>
    <row r="2257" spans="1:5" x14ac:dyDescent="0.2">
      <c r="A2257" s="22">
        <f ca="1">IFERROR(__xludf.DUMMYFUNCTION("""COMPUTED_VALUE"""),44847)</f>
        <v>44847</v>
      </c>
      <c r="B2257" s="23" t="str">
        <f ca="1">IFERROR(__xludf.DUMMYFUNCTION("""COMPUTED_VALUE"""),"ZESTAW NATRYSKOWY NAVARO")</f>
        <v>ZESTAW NATRYSKOWY NAVARO</v>
      </c>
      <c r="C2257" s="23"/>
      <c r="D2257" s="24">
        <f ca="1">IFERROR(__xludf.DUMMYFUNCTION("""COMPUTED_VALUE"""),759)</f>
        <v>759</v>
      </c>
      <c r="E2257" s="25" t="str">
        <f ca="1">IFERROR(__xludf.DUMMYFUNCTION("""COMPUTED_VALUE"""),"REA-P0802")</f>
        <v>REA-P0802</v>
      </c>
    </row>
    <row r="2258" spans="1:5" x14ac:dyDescent="0.2">
      <c r="A2258" s="22">
        <f ca="1">IFERROR(__xludf.DUMMYFUNCTION("""COMPUTED_VALUE"""),44847)</f>
        <v>44847</v>
      </c>
      <c r="B2258" s="23" t="str">
        <f ca="1">IFERROR(__xludf.DUMMYFUNCTION("""COMPUTED_VALUE"""),"ZESTAW NATRYSKOWY VINCENT TERMOSTAT L.GOLD")</f>
        <v>ZESTAW NATRYSKOWY VINCENT TERMOSTAT L.GOLD</v>
      </c>
      <c r="C2258" s="23"/>
      <c r="D2258" s="24">
        <f ca="1">IFERROR(__xludf.DUMMYFUNCTION("""COMPUTED_VALUE"""),999)</f>
        <v>999</v>
      </c>
      <c r="E2258" s="25" t="str">
        <f ca="1">IFERROR(__xludf.DUMMYFUNCTION("""COMPUTED_VALUE"""),"REA-P8005")</f>
        <v>REA-P8005</v>
      </c>
    </row>
    <row r="2259" spans="1:5" x14ac:dyDescent="0.2">
      <c r="A2259" s="22">
        <f ca="1">IFERROR(__xludf.DUMMYFUNCTION("""COMPUTED_VALUE"""),44847)</f>
        <v>44847</v>
      </c>
      <c r="B2259" s="23" t="str">
        <f ca="1">IFERROR(__xludf.DUMMYFUNCTION("""COMPUTED_VALUE"""),"SYFON KLIK-KLAK UNIWERSALNY OLD BLACK")</f>
        <v>SYFON KLIK-KLAK UNIWERSALNY OLD BLACK</v>
      </c>
      <c r="C2259" s="23"/>
      <c r="D2259" s="24">
        <f ca="1">IFERROR(__xludf.DUMMYFUNCTION("""COMPUTED_VALUE"""),279)</f>
        <v>279</v>
      </c>
      <c r="E2259" s="25" t="str">
        <f ca="1">IFERROR(__xludf.DUMMYFUNCTION("""COMPUTED_VALUE"""),"REA-A8536")</f>
        <v>REA-A8536</v>
      </c>
    </row>
    <row r="2260" spans="1:5" x14ac:dyDescent="0.2">
      <c r="A2260" s="22">
        <f ca="1">IFERROR(__xludf.DUMMYFUNCTION("""COMPUTED_VALUE"""),44847)</f>
        <v>44847</v>
      </c>
      <c r="B2260" s="23" t="str">
        <f ca="1">IFERROR(__xludf.DUMMYFUNCTION("""COMPUTED_VALUE"""),"ZESTAW NATRYSKOWY FENIX BLACK MAT")</f>
        <v>ZESTAW NATRYSKOWY FENIX BLACK MAT</v>
      </c>
      <c r="C2260" s="23"/>
      <c r="D2260" s="24">
        <f ca="1">IFERROR(__xludf.DUMMYFUNCTION("""COMPUTED_VALUE"""),939)</f>
        <v>939</v>
      </c>
      <c r="E2260" s="25" t="str">
        <f ca="1">IFERROR(__xludf.DUMMYFUNCTION("""COMPUTED_VALUE"""),"REA-P6920")</f>
        <v>REA-P6920</v>
      </c>
    </row>
    <row r="2261" spans="1:5" x14ac:dyDescent="0.2">
      <c r="A2261" s="22">
        <f ca="1">IFERROR(__xludf.DUMMYFUNCTION("""COMPUTED_VALUE"""),44847)</f>
        <v>44847</v>
      </c>
      <c r="B2261" s="23" t="str">
        <f ca="1">IFERROR(__xludf.DUMMYFUNCTION("""COMPUTED_VALUE"""),"ZESTAW NATRYSKOWO-WANNOWY TERMOSTAT LUNGO L.GOLD")</f>
        <v>ZESTAW NATRYSKOWO-WANNOWY TERMOSTAT LUNGO L.GOLD</v>
      </c>
      <c r="C2261" s="23"/>
      <c r="D2261" s="24">
        <f ca="1">IFERROR(__xludf.DUMMYFUNCTION("""COMPUTED_VALUE"""),1139)</f>
        <v>1139</v>
      </c>
      <c r="E2261" s="25" t="str">
        <f ca="1">IFERROR(__xludf.DUMMYFUNCTION("""COMPUTED_VALUE"""),"REA-P4114")</f>
        <v>REA-P4114</v>
      </c>
    </row>
    <row r="2262" spans="1:5" x14ac:dyDescent="0.2">
      <c r="A2262" s="22">
        <f ca="1">IFERROR(__xludf.DUMMYFUNCTION("""COMPUTED_VALUE"""),44847)</f>
        <v>44847</v>
      </c>
      <c r="B2262" s="23" t="str">
        <f ca="1">IFERROR(__xludf.DUMMYFUNCTION("""COMPUTED_VALUE"""),"BATERIA NISKA TESS L.GOLD")</f>
        <v>BATERIA NISKA TESS L.GOLD</v>
      </c>
      <c r="C2262" s="23"/>
      <c r="D2262" s="24">
        <f ca="1">IFERROR(__xludf.DUMMYFUNCTION("""COMPUTED_VALUE"""),279)</f>
        <v>279</v>
      </c>
      <c r="E2262" s="25" t="str">
        <f ca="1">IFERROR(__xludf.DUMMYFUNCTION("""COMPUTED_VALUE"""),"REA-B8865")</f>
        <v>REA-B8865</v>
      </c>
    </row>
    <row r="2263" spans="1:5" x14ac:dyDescent="0.2">
      <c r="A2263" s="22">
        <f ca="1">IFERROR(__xludf.DUMMYFUNCTION("""COMPUTED_VALUE"""),44847)</f>
        <v>44847</v>
      </c>
      <c r="B2263" s="23" t="str">
        <f ca="1">IFERROR(__xludf.DUMMYFUNCTION("""COMPUTED_VALUE"""),"BATERIA BIDETOWA TESS CHROME")</f>
        <v>BATERIA BIDETOWA TESS CHROME</v>
      </c>
      <c r="C2263" s="23"/>
      <c r="D2263" s="24">
        <f ca="1">IFERROR(__xludf.DUMMYFUNCTION("""COMPUTED_VALUE"""),229)</f>
        <v>229</v>
      </c>
      <c r="E2263" s="25" t="str">
        <f ca="1">IFERROR(__xludf.DUMMYFUNCTION("""COMPUTED_VALUE"""),"REA-B8805")</f>
        <v>REA-B8805</v>
      </c>
    </row>
    <row r="2264" spans="1:5" x14ac:dyDescent="0.2">
      <c r="A2264" s="22">
        <f ca="1">IFERROR(__xludf.DUMMYFUNCTION("""COMPUTED_VALUE"""),44847)</f>
        <v>44847</v>
      </c>
      <c r="B2264" s="23" t="str">
        <f ca="1">IFERROR(__xludf.DUMMYFUNCTION("""COMPUTED_VALUE"""),"BATERIA BIDETOWA TESS L.GOLD")</f>
        <v>BATERIA BIDETOWA TESS L.GOLD</v>
      </c>
      <c r="C2264" s="23"/>
      <c r="D2264" s="24">
        <f ca="1">IFERROR(__xludf.DUMMYFUNCTION("""COMPUTED_VALUE"""),269)</f>
        <v>269</v>
      </c>
      <c r="E2264" s="25" t="str">
        <f ca="1">IFERROR(__xludf.DUMMYFUNCTION("""COMPUTED_VALUE"""),"REA-B8807")</f>
        <v>REA-B8807</v>
      </c>
    </row>
    <row r="2265" spans="1:5" x14ac:dyDescent="0.2">
      <c r="A2265" s="22">
        <f ca="1">IFERROR(__xludf.DUMMYFUNCTION("""COMPUTED_VALUE"""),44847)</f>
        <v>44847</v>
      </c>
      <c r="B2265" s="23" t="str">
        <f ca="1">IFERROR(__xludf.DUMMYFUNCTION("""COMPUTED_VALUE"""),"UMYWALKA BELINDA BLACK MARBLE SHINY - NABLATOWA")</f>
        <v>UMYWALKA BELINDA BLACK MARBLE SHINY - NABLATOWA</v>
      </c>
      <c r="C2265" s="23"/>
      <c r="D2265" s="24">
        <f ca="1">IFERROR(__xludf.DUMMYFUNCTION("""COMPUTED_VALUE"""),359)</f>
        <v>359</v>
      </c>
      <c r="E2265" s="25" t="str">
        <f ca="1">IFERROR(__xludf.DUMMYFUNCTION("""COMPUTED_VALUE"""),"REA-U8907")</f>
        <v>REA-U8907</v>
      </c>
    </row>
    <row r="2266" spans="1:5" x14ac:dyDescent="0.2">
      <c r="A2266" s="22">
        <f ca="1">IFERROR(__xludf.DUMMYFUNCTION("""COMPUTED_VALUE"""),44847)</f>
        <v>44847</v>
      </c>
      <c r="B2266" s="23" t="str">
        <f ca="1">IFERROR(__xludf.DUMMYFUNCTION("""COMPUTED_VALUE"""),"PARAWAN RUCHOMY LAGOS-1 70")</f>
        <v>PARAWAN RUCHOMY LAGOS-1 70</v>
      </c>
      <c r="C2266" s="23"/>
      <c r="D2266" s="24">
        <f ca="1">IFERROR(__xludf.DUMMYFUNCTION("""COMPUTED_VALUE"""),399)</f>
        <v>399</v>
      </c>
      <c r="E2266" s="25" t="str">
        <f ca="1">IFERROR(__xludf.DUMMYFUNCTION("""COMPUTED_VALUE"""),"REA-K4569")</f>
        <v>REA-K4569</v>
      </c>
    </row>
    <row r="2267" spans="1:5" x14ac:dyDescent="0.2">
      <c r="A2267" s="22">
        <f ca="1">IFERROR(__xludf.DUMMYFUNCTION("""COMPUTED_VALUE"""),44847)</f>
        <v>44847</v>
      </c>
      <c r="B2267" s="23" t="str">
        <f ca="1">IFERROR(__xludf.DUMMYFUNCTION("""COMPUTED_VALUE"""),"PARAWAN WANNOWY CALANI FARO 60")</f>
        <v>PARAWAN WANNOWY CALANI FARO 60</v>
      </c>
      <c r="C2267" s="23"/>
      <c r="D2267" s="24">
        <f ca="1">IFERROR(__xludf.DUMMYFUNCTION("""COMPUTED_VALUE"""),319)</f>
        <v>319</v>
      </c>
      <c r="E2267" s="26" t="str">
        <f ca="1">IFERROR(__xludf.DUMMYFUNCTION("""COMPUTED_VALUE"""),"CAL-W0004")</f>
        <v>CAL-W0004</v>
      </c>
    </row>
    <row r="2268" spans="1:5" x14ac:dyDescent="0.2">
      <c r="A2268" s="22">
        <f ca="1">IFERROR(__xludf.DUMMYFUNCTION("""COMPUTED_VALUE"""),44847)</f>
        <v>44847</v>
      </c>
      <c r="B2268" s="23" t="str">
        <f ca="1">IFERROR(__xludf.DUMMYFUNCTION("""COMPUTED_VALUE"""),"PARAWAN WANNOWY CALANI FARO 70")</f>
        <v>PARAWAN WANNOWY CALANI FARO 70</v>
      </c>
      <c r="C2268" s="23"/>
      <c r="D2268" s="24">
        <f ca="1">IFERROR(__xludf.DUMMYFUNCTION("""COMPUTED_VALUE"""),299)</f>
        <v>299</v>
      </c>
      <c r="E2268" s="26" t="str">
        <f ca="1">IFERROR(__xludf.DUMMYFUNCTION("""COMPUTED_VALUE"""),"CAL-W0002")</f>
        <v>CAL-W0002</v>
      </c>
    </row>
    <row r="2269" spans="1:5" x14ac:dyDescent="0.2">
      <c r="A2269" s="22">
        <f ca="1">IFERROR(__xludf.DUMMYFUNCTION("""COMPUTED_VALUE"""),44847)</f>
        <v>44847</v>
      </c>
      <c r="B2269" s="23" t="str">
        <f ca="1">IFERROR(__xludf.DUMMYFUNCTION("""COMPUTED_VALUE"""),"PARAWAN WANNOWY CALANI FARO# 60")</f>
        <v>PARAWAN WANNOWY CALANI FARO# 60</v>
      </c>
      <c r="C2269" s="23"/>
      <c r="D2269" s="24">
        <f ca="1">IFERROR(__xludf.DUMMYFUNCTION("""COMPUTED_VALUE"""),319)</f>
        <v>319</v>
      </c>
      <c r="E2269" s="26" t="str">
        <f ca="1">IFERROR(__xludf.DUMMYFUNCTION("""COMPUTED_VALUE"""),"CAL-W0003")</f>
        <v>CAL-W0003</v>
      </c>
    </row>
    <row r="2270" spans="1:5" x14ac:dyDescent="0.2">
      <c r="A2270" s="22">
        <f ca="1">IFERROR(__xludf.DUMMYFUNCTION("""COMPUTED_VALUE"""),44847)</f>
        <v>44847</v>
      </c>
      <c r="B2270" s="23" t="str">
        <f ca="1">IFERROR(__xludf.DUMMYFUNCTION("""COMPUTED_VALUE"""),"UMYWALKA BELINDA BLACK MARBLE MATT - NABLATOWA")</f>
        <v>UMYWALKA BELINDA BLACK MARBLE MATT - NABLATOWA</v>
      </c>
      <c r="C2270" s="23"/>
      <c r="D2270" s="24">
        <f ca="1">IFERROR(__xludf.DUMMYFUNCTION("""COMPUTED_VALUE"""),359)</f>
        <v>359</v>
      </c>
      <c r="E2270" s="25" t="str">
        <f ca="1">IFERROR(__xludf.DUMMYFUNCTION("""COMPUTED_VALUE"""),"REA-U8908")</f>
        <v>REA-U8908</v>
      </c>
    </row>
    <row r="2271" spans="1:5" x14ac:dyDescent="0.2">
      <c r="A2271" s="22">
        <f ca="1">IFERROR(__xludf.DUMMYFUNCTION("""COMPUTED_VALUE"""),44847)</f>
        <v>44847</v>
      </c>
      <c r="B2271" s="23" t="str">
        <f ca="1">IFERROR(__xludf.DUMMYFUNCTION("""COMPUTED_VALUE"""),"UMYWALKA VEGAS - NABLATOWA")</f>
        <v>UMYWALKA VEGAS - NABLATOWA</v>
      </c>
      <c r="C2271" s="23"/>
      <c r="D2271" s="24">
        <f ca="1">IFERROR(__xludf.DUMMYFUNCTION("""COMPUTED_VALUE"""),299)</f>
        <v>299</v>
      </c>
      <c r="E2271" s="25" t="str">
        <f ca="1">IFERROR(__xludf.DUMMYFUNCTION("""COMPUTED_VALUE"""),"REA-U6643")</f>
        <v>REA-U6643</v>
      </c>
    </row>
    <row r="2272" spans="1:5" x14ac:dyDescent="0.2">
      <c r="A2272" s="22">
        <f ca="1">IFERROR(__xludf.DUMMYFUNCTION("""COMPUTED_VALUE"""),44847)</f>
        <v>44847</v>
      </c>
      <c r="B2272" s="23" t="str">
        <f ca="1">IFERROR(__xludf.DUMMYFUNCTION("""COMPUTED_VALUE"""),"UMYWALKA ROXY A STONE D.GREY - NABLATOWA")</f>
        <v>UMYWALKA ROXY A STONE D.GREY - NABLATOWA</v>
      </c>
      <c r="C2272" s="23"/>
      <c r="D2272" s="24">
        <f ca="1">IFERROR(__xludf.DUMMYFUNCTION("""COMPUTED_VALUE"""),359)</f>
        <v>359</v>
      </c>
      <c r="E2272" s="25" t="str">
        <f ca="1">IFERROR(__xludf.DUMMYFUNCTION("""COMPUTED_VALUE"""),"REA-U6649")</f>
        <v>REA-U6649</v>
      </c>
    </row>
    <row r="2273" spans="1:5" x14ac:dyDescent="0.2">
      <c r="A2273" s="22">
        <f ca="1">IFERROR(__xludf.DUMMYFUNCTION("""COMPUTED_VALUE"""),44845)</f>
        <v>44845</v>
      </c>
      <c r="B2273" s="23" t="str">
        <f ca="1">IFERROR(__xludf.DUMMYFUNCTION("""COMPUTED_VALUE"""),"WC - CARLO MINI RIMLES DUROPLA/FLAT/ZM BLACK GOLD ")</f>
        <v xml:space="preserve">WC - CARLO MINI RIMLES DUROPLA/FLAT/ZM BLACK GOLD </v>
      </c>
      <c r="C2273" s="23"/>
      <c r="D2273" s="24">
        <f ca="1">IFERROR(__xludf.DUMMYFUNCTION("""COMPUTED_VALUE"""),1299)</f>
        <v>1299</v>
      </c>
      <c r="E2273" s="25" t="str">
        <f ca="1">IFERROR(__xludf.DUMMYFUNCTION("""COMPUTED_VALUE"""),"REA-C8990")</f>
        <v>REA-C8990</v>
      </c>
    </row>
    <row r="2274" spans="1:5" x14ac:dyDescent="0.2">
      <c r="A2274" s="22">
        <f ca="1">IFERROR(__xludf.DUMMYFUNCTION("""COMPUTED_VALUE"""),44845)</f>
        <v>44845</v>
      </c>
      <c r="B2274" s="23" t="str">
        <f ca="1">IFERROR(__xludf.DUMMYFUNCTION("""COMPUTED_VALUE"""),"UMYWALKA SOFIA GOLD/WHITE - NABLATOWA")</f>
        <v>UMYWALKA SOFIA GOLD/WHITE - NABLATOWA</v>
      </c>
      <c r="C2274" s="23"/>
      <c r="D2274" s="24">
        <f ca="1">IFERROR(__xludf.DUMMYFUNCTION("""COMPUTED_VALUE"""),339)</f>
        <v>339</v>
      </c>
      <c r="E2274" s="25" t="str">
        <f ca="1">IFERROR(__xludf.DUMMYFUNCTION("""COMPUTED_VALUE"""),"REA-U0456")</f>
        <v>REA-U0456</v>
      </c>
    </row>
    <row r="2275" spans="1:5" x14ac:dyDescent="0.2">
      <c r="A2275" s="22">
        <f ca="1">IFERROR(__xludf.DUMMYFUNCTION("""COMPUTED_VALUE"""),44845)</f>
        <v>44845</v>
      </c>
      <c r="B2275" s="23" t="str">
        <f ca="1">IFERROR(__xludf.DUMMYFUNCTION("""COMPUTED_VALUE"""),"UMYWALKA DENIS WHITE - NABLATOWA")</f>
        <v>UMYWALKA DENIS WHITE - NABLATOWA</v>
      </c>
      <c r="C2275" s="23"/>
      <c r="D2275" s="24">
        <f ca="1">IFERROR(__xludf.DUMMYFUNCTION("""COMPUTED_VALUE"""),329)</f>
        <v>329</v>
      </c>
      <c r="E2275" s="25" t="str">
        <f ca="1">IFERROR(__xludf.DUMMYFUNCTION("""COMPUTED_VALUE"""),"REA-U4800")</f>
        <v>REA-U4800</v>
      </c>
    </row>
    <row r="2276" spans="1:5" x14ac:dyDescent="0.2">
      <c r="A2276" s="22">
        <f ca="1">IFERROR(__xludf.DUMMYFUNCTION("""COMPUTED_VALUE"""),44845)</f>
        <v>44845</v>
      </c>
      <c r="B2276" s="23" t="str">
        <f ca="1">IFERROR(__xludf.DUMMYFUNCTION("""COMPUTED_VALUE"""),"UMYWALKA ROYAL STATUARIO MARBLE MATT - NABLATOWA")</f>
        <v>UMYWALKA ROYAL STATUARIO MARBLE MATT - NABLATOWA</v>
      </c>
      <c r="C2276" s="23"/>
      <c r="D2276" s="24">
        <f ca="1">IFERROR(__xludf.DUMMYFUNCTION("""COMPUTED_VALUE"""),379)</f>
        <v>379</v>
      </c>
      <c r="E2276" s="25" t="str">
        <f ca="1">IFERROR(__xludf.DUMMYFUNCTION("""COMPUTED_VALUE"""),"REA-U8010")</f>
        <v>REA-U8010</v>
      </c>
    </row>
    <row r="2277" spans="1:5" x14ac:dyDescent="0.2">
      <c r="A2277" s="22">
        <f ca="1">IFERROR(__xludf.DUMMYFUNCTION("""COMPUTED_VALUE"""),44845)</f>
        <v>44845</v>
      </c>
      <c r="B2277" s="23" t="str">
        <f ca="1">IFERROR(__xludf.DUMMYFUNCTION("""COMPUTED_VALUE"""),"UMYWALKA SOFIA MINI - NABLATOWA")</f>
        <v>UMYWALKA SOFIA MINI - NABLATOWA</v>
      </c>
      <c r="C2277" s="23"/>
      <c r="D2277" s="24">
        <f ca="1">IFERROR(__xludf.DUMMYFUNCTION("""COMPUTED_VALUE"""),169)</f>
        <v>169</v>
      </c>
      <c r="E2277" s="25" t="str">
        <f ca="1">IFERROR(__xludf.DUMMYFUNCTION("""COMPUTED_VALUE"""),"REA-U0623")</f>
        <v>REA-U0623</v>
      </c>
    </row>
    <row r="2278" spans="1:5" x14ac:dyDescent="0.2">
      <c r="A2278" s="22">
        <f ca="1">IFERROR(__xludf.DUMMYFUNCTION("""COMPUTED_VALUE"""),44845)</f>
        <v>44845</v>
      </c>
      <c r="B2278" s="23" t="str">
        <f ca="1">IFERROR(__xludf.DUMMYFUNCTION("""COMPUTED_VALUE"""),"ADAPTER MAGNETYCZNY HUGO BLACK")</f>
        <v>ADAPTER MAGNETYCZNY HUGO BLACK</v>
      </c>
      <c r="C2278" s="23"/>
      <c r="D2278" s="24">
        <f ca="1">IFERROR(__xludf.DUMMYFUNCTION("""COMPUTED_VALUE"""),200)</f>
        <v>200</v>
      </c>
      <c r="E2278" s="25" t="str">
        <f ca="1">IFERROR(__xludf.DUMMYFUNCTION("""COMPUTED_VALUE"""),"REA-K7770")</f>
        <v>REA-K7770</v>
      </c>
    </row>
    <row r="2279" spans="1:5" x14ac:dyDescent="0.2">
      <c r="A2279" s="22">
        <f ca="1">IFERROR(__xludf.DUMMYFUNCTION("""COMPUTED_VALUE"""),44845)</f>
        <v>44845</v>
      </c>
      <c r="B2279" s="23" t="str">
        <f ca="1">IFERROR(__xludf.DUMMYFUNCTION("""COMPUTED_VALUE"""),"ADAPTER MAGNETYCZNY HUGO GOLD SZCZOTKOWANY")</f>
        <v>ADAPTER MAGNETYCZNY HUGO GOLD SZCZOTKOWANY</v>
      </c>
      <c r="C2279" s="23"/>
      <c r="D2279" s="24">
        <f ca="1">IFERROR(__xludf.DUMMYFUNCTION("""COMPUTED_VALUE"""),180)</f>
        <v>180</v>
      </c>
      <c r="E2279" s="25" t="str">
        <f ca="1">IFERROR(__xludf.DUMMYFUNCTION("""COMPUTED_VALUE"""),"REA-K7771")</f>
        <v>REA-K7771</v>
      </c>
    </row>
    <row r="2280" spans="1:5" x14ac:dyDescent="0.2">
      <c r="A2280" s="22">
        <f ca="1">IFERROR(__xludf.DUMMYFUNCTION("""COMPUTED_VALUE"""),44845)</f>
        <v>44845</v>
      </c>
      <c r="B2280" s="23" t="str">
        <f ca="1">IFERROR(__xludf.DUMMYFUNCTION("""COMPUTED_VALUE"""),"ŚCIANKA PRYSZNICOWA HUGO BLACK 80")</f>
        <v>ŚCIANKA PRYSZNICOWA HUGO BLACK 80</v>
      </c>
      <c r="C2280" s="23"/>
      <c r="D2280" s="24">
        <f ca="1">IFERROR(__xludf.DUMMYFUNCTION("""COMPUTED_VALUE"""),550)</f>
        <v>550</v>
      </c>
      <c r="E2280" s="25" t="str">
        <f ca="1">IFERROR(__xludf.DUMMYFUNCTION("""COMPUTED_VALUE"""),"REA-K6607")</f>
        <v>REA-K6607</v>
      </c>
    </row>
    <row r="2281" spans="1:5" x14ac:dyDescent="0.2">
      <c r="A2281" s="22">
        <f ca="1">IFERROR(__xludf.DUMMYFUNCTION("""COMPUTED_VALUE"""),44845)</f>
        <v>44845</v>
      </c>
      <c r="B2281" s="23" t="str">
        <f ca="1">IFERROR(__xludf.DUMMYFUNCTION("""COMPUTED_VALUE"""),"ŚCIANKA PRYSZNICOWA HUGO BLACK 90")</f>
        <v>ŚCIANKA PRYSZNICOWA HUGO BLACK 90</v>
      </c>
      <c r="C2281" s="23"/>
      <c r="D2281" s="24">
        <f ca="1">IFERROR(__xludf.DUMMYFUNCTION("""COMPUTED_VALUE"""),550)</f>
        <v>550</v>
      </c>
      <c r="E2281" s="25" t="str">
        <f ca="1">IFERROR(__xludf.DUMMYFUNCTION("""COMPUTED_VALUE"""),"REA-K6611")</f>
        <v>REA-K6611</v>
      </c>
    </row>
    <row r="2282" spans="1:5" x14ac:dyDescent="0.2">
      <c r="A2282" s="22">
        <f ca="1">IFERROR(__xludf.DUMMYFUNCTION("""COMPUTED_VALUE"""),44845)</f>
        <v>44845</v>
      </c>
      <c r="B2282" s="23" t="str">
        <f ca="1">IFERROR(__xludf.DUMMYFUNCTION("""COMPUTED_VALUE"""),"ŚCIANKA POSZERZAJĄCA HUGO BLACK 30")</f>
        <v>ŚCIANKA POSZERZAJĄCA HUGO BLACK 30</v>
      </c>
      <c r="C2282" s="23"/>
      <c r="D2282" s="24">
        <f ca="1">IFERROR(__xludf.DUMMYFUNCTION("""COMPUTED_VALUE"""),400)</f>
        <v>400</v>
      </c>
      <c r="E2282" s="25" t="str">
        <f ca="1">IFERROR(__xludf.DUMMYFUNCTION("""COMPUTED_VALUE"""),"REA-K6606")</f>
        <v>REA-K6606</v>
      </c>
    </row>
    <row r="2283" spans="1:5" x14ac:dyDescent="0.2">
      <c r="A2283" s="22">
        <f ca="1">IFERROR(__xludf.DUMMYFUNCTION("""COMPUTED_VALUE"""),44845)</f>
        <v>44845</v>
      </c>
      <c r="B2283" s="23" t="str">
        <f ca="1">IFERROR(__xludf.DUMMYFUNCTION("""COMPUTED_VALUE"""),"ŚCIANKA PRYSZNICOWA HUGO GOLD SZCZOTKOWANY 80")</f>
        <v>ŚCIANKA PRYSZNICOWA HUGO GOLD SZCZOTKOWANY 80</v>
      </c>
      <c r="C2283" s="23"/>
      <c r="D2283" s="24">
        <f ca="1">IFERROR(__xludf.DUMMYFUNCTION("""COMPUTED_VALUE"""),550)</f>
        <v>550</v>
      </c>
      <c r="E2283" s="25" t="str">
        <f ca="1">IFERROR(__xludf.DUMMYFUNCTION("""COMPUTED_VALUE"""),"REA-K6612")</f>
        <v>REA-K6612</v>
      </c>
    </row>
    <row r="2284" spans="1:5" x14ac:dyDescent="0.2">
      <c r="A2284" s="22">
        <f ca="1">IFERROR(__xludf.DUMMYFUNCTION("""COMPUTED_VALUE"""),44845)</f>
        <v>44845</v>
      </c>
      <c r="B2284" s="23" t="str">
        <f ca="1">IFERROR(__xludf.DUMMYFUNCTION("""COMPUTED_VALUE"""),"ŚCIANKA PRYSZNICOWA HUGO GOLD SZCZOTKOWANY 90")</f>
        <v>ŚCIANKA PRYSZNICOWA HUGO GOLD SZCZOTKOWANY 90</v>
      </c>
      <c r="C2284" s="23"/>
      <c r="D2284" s="24">
        <f ca="1">IFERROR(__xludf.DUMMYFUNCTION("""COMPUTED_VALUE"""),560)</f>
        <v>560</v>
      </c>
      <c r="E2284" s="25" t="str">
        <f ca="1">IFERROR(__xludf.DUMMYFUNCTION("""COMPUTED_VALUE"""),"REA-K6613")</f>
        <v>REA-K6613</v>
      </c>
    </row>
    <row r="2285" spans="1:5" x14ac:dyDescent="0.2">
      <c r="A2285" s="22">
        <f ca="1">IFERROR(__xludf.DUMMYFUNCTION("""COMPUTED_VALUE"""),44845)</f>
        <v>44845</v>
      </c>
      <c r="B2285" s="23" t="str">
        <f ca="1">IFERROR(__xludf.DUMMYFUNCTION("""COMPUTED_VALUE"""),"ŚCIANKA POSZERZAJĄCA HUGO GOLD SZCZOTKOWANY 30")</f>
        <v>ŚCIANKA POSZERZAJĄCA HUGO GOLD SZCZOTKOWANY 30</v>
      </c>
      <c r="C2285" s="23"/>
      <c r="D2285" s="24">
        <f ca="1">IFERROR(__xludf.DUMMYFUNCTION("""COMPUTED_VALUE"""),370)</f>
        <v>370</v>
      </c>
      <c r="E2285" s="25" t="str">
        <f ca="1">IFERROR(__xludf.DUMMYFUNCTION("""COMPUTED_VALUE"""),"REA-K6610")</f>
        <v>REA-K6610</v>
      </c>
    </row>
    <row r="2286" spans="1:5" x14ac:dyDescent="0.2">
      <c r="A2286" s="22">
        <f ca="1">IFERROR(__xludf.DUMMYFUNCTION("""COMPUTED_VALUE"""),44845)</f>
        <v>44845</v>
      </c>
      <c r="B2286" s="23" t="str">
        <f ca="1">IFERROR(__xludf.DUMMYFUNCTION("""COMPUTED_VALUE"""),"DRZWI PRYSZNICOWE HUGO BLACK 80")</f>
        <v>DRZWI PRYSZNICOWE HUGO BLACK 80</v>
      </c>
      <c r="C2286" s="23"/>
      <c r="D2286" s="24">
        <f ca="1">IFERROR(__xludf.DUMMYFUNCTION("""COMPUTED_VALUE"""),1069)</f>
        <v>1069</v>
      </c>
      <c r="E2286" s="25" t="str">
        <f ca="1">IFERROR(__xludf.DUMMYFUNCTION("""COMPUTED_VALUE"""),"REA-K6603")</f>
        <v>REA-K6603</v>
      </c>
    </row>
    <row r="2287" spans="1:5" x14ac:dyDescent="0.2">
      <c r="A2287" s="22">
        <f ca="1">IFERROR(__xludf.DUMMYFUNCTION("""COMPUTED_VALUE"""),44845)</f>
        <v>44845</v>
      </c>
      <c r="B2287" s="23" t="str">
        <f ca="1">IFERROR(__xludf.DUMMYFUNCTION("""COMPUTED_VALUE"""),"DRZWI PRYSZNICOWE HUGO BLACK 90")</f>
        <v>DRZWI PRYSZNICOWE HUGO BLACK 90</v>
      </c>
      <c r="C2287" s="23"/>
      <c r="D2287" s="24">
        <f ca="1">IFERROR(__xludf.DUMMYFUNCTION("""COMPUTED_VALUE"""),1099)</f>
        <v>1099</v>
      </c>
      <c r="E2287" s="25" t="str">
        <f ca="1">IFERROR(__xludf.DUMMYFUNCTION("""COMPUTED_VALUE"""),"REA-K6604")</f>
        <v>REA-K6604</v>
      </c>
    </row>
    <row r="2288" spans="1:5" x14ac:dyDescent="0.2">
      <c r="A2288" s="22">
        <f ca="1">IFERROR(__xludf.DUMMYFUNCTION("""COMPUTED_VALUE"""),44845)</f>
        <v>44845</v>
      </c>
      <c r="B2288" s="23" t="str">
        <f ca="1">IFERROR(__xludf.DUMMYFUNCTION("""COMPUTED_VALUE"""),"DRZWI PRYSZNICOWE HUGO BLACK 100")</f>
        <v>DRZWI PRYSZNICOWE HUGO BLACK 100</v>
      </c>
      <c r="C2288" s="23"/>
      <c r="D2288" s="24">
        <f ca="1">IFERROR(__xludf.DUMMYFUNCTION("""COMPUTED_VALUE"""),1069)</f>
        <v>1069</v>
      </c>
      <c r="E2288" s="25" t="str">
        <f ca="1">IFERROR(__xludf.DUMMYFUNCTION("""COMPUTED_VALUE"""),"REA-K6008")</f>
        <v>REA-K6008</v>
      </c>
    </row>
    <row r="2289" spans="1:5" x14ac:dyDescent="0.2">
      <c r="A2289" s="22">
        <f ca="1">IFERROR(__xludf.DUMMYFUNCTION("""COMPUTED_VALUE"""),44845)</f>
        <v>44845</v>
      </c>
      <c r="B2289" s="23" t="str">
        <f ca="1">IFERROR(__xludf.DUMMYFUNCTION("""COMPUTED_VALUE"""),"DRZWI PRYSZNICOWE HUGO GOLD SZCZOTKOWANY 80")</f>
        <v>DRZWI PRYSZNICOWE HUGO GOLD SZCZOTKOWANY 80</v>
      </c>
      <c r="C2289" s="23"/>
      <c r="D2289" s="24">
        <f ca="1">IFERROR(__xludf.DUMMYFUNCTION("""COMPUTED_VALUE"""),1199)</f>
        <v>1199</v>
      </c>
      <c r="E2289" s="25" t="str">
        <f ca="1">IFERROR(__xludf.DUMMYFUNCTION("""COMPUTED_VALUE"""),"REA-K8410")</f>
        <v>REA-K8410</v>
      </c>
    </row>
    <row r="2290" spans="1:5" x14ac:dyDescent="0.2">
      <c r="A2290" s="22">
        <f ca="1">IFERROR(__xludf.DUMMYFUNCTION("""COMPUTED_VALUE"""),44845)</f>
        <v>44845</v>
      </c>
      <c r="B2290" s="23" t="str">
        <f ca="1">IFERROR(__xludf.DUMMYFUNCTION("""COMPUTED_VALUE"""),"DRZWI PRYSZNICOWE HUGO GOLD SZCZOTKOWANY 90")</f>
        <v>DRZWI PRYSZNICOWE HUGO GOLD SZCZOTKOWANY 90</v>
      </c>
      <c r="C2290" s="23"/>
      <c r="D2290" s="24">
        <f ca="1">IFERROR(__xludf.DUMMYFUNCTION("""COMPUTED_VALUE"""),1239)</f>
        <v>1239</v>
      </c>
      <c r="E2290" s="25" t="str">
        <f ca="1">IFERROR(__xludf.DUMMYFUNCTION("""COMPUTED_VALUE"""),"REA-K8411")</f>
        <v>REA-K8411</v>
      </c>
    </row>
    <row r="2291" spans="1:5" x14ac:dyDescent="0.2">
      <c r="A2291" s="22">
        <f ca="1">IFERROR(__xludf.DUMMYFUNCTION("""COMPUTED_VALUE"""),44845)</f>
        <v>44845</v>
      </c>
      <c r="B2291" s="23" t="str">
        <f ca="1">IFERROR(__xludf.DUMMYFUNCTION("""COMPUTED_VALUE"""),"DRZWI PRYSZNICOWE HUGO GOLD SZCZOTKOWANY 100")</f>
        <v>DRZWI PRYSZNICOWE HUGO GOLD SZCZOTKOWANY 100</v>
      </c>
      <c r="C2291" s="23"/>
      <c r="D2291" s="24">
        <f ca="1">IFERROR(__xludf.DUMMYFUNCTION("""COMPUTED_VALUE"""),1259)</f>
        <v>1259</v>
      </c>
      <c r="E2291" s="25" t="str">
        <f ca="1">IFERROR(__xludf.DUMMYFUNCTION("""COMPUTED_VALUE"""),"REA-K8413")</f>
        <v>REA-K8413</v>
      </c>
    </row>
    <row r="2292" spans="1:5" x14ac:dyDescent="0.2">
      <c r="A2292" s="22">
        <f ca="1">IFERROR(__xludf.DUMMYFUNCTION("""COMPUTED_VALUE"""),44845)</f>
        <v>44845</v>
      </c>
      <c r="B2292" s="23" t="str">
        <f ca="1">IFERROR(__xludf.DUMMYFUNCTION("""COMPUTED_VALUE"""),"KABINA HUGO BLACK 80x80")</f>
        <v>KABINA HUGO BLACK 80x80</v>
      </c>
      <c r="C2292" s="23"/>
      <c r="D2292" s="24">
        <f ca="1">IFERROR(__xludf.DUMMYFUNCTION("""COMPUTED_VALUE"""),1899)</f>
        <v>1899</v>
      </c>
      <c r="E2292" s="25" t="str">
        <f ca="1">IFERROR(__xludf.DUMMYFUNCTION("""COMPUTED_VALUE"""),"REA-K6600")</f>
        <v>REA-K6600</v>
      </c>
    </row>
    <row r="2293" spans="1:5" x14ac:dyDescent="0.2">
      <c r="A2293" s="22">
        <f ca="1">IFERROR(__xludf.DUMMYFUNCTION("""COMPUTED_VALUE"""),44845)</f>
        <v>44845</v>
      </c>
      <c r="B2293" s="23" t="str">
        <f ca="1">IFERROR(__xludf.DUMMYFUNCTION("""COMPUTED_VALUE"""),"KABINA HUGO BLACK 90x90")</f>
        <v>KABINA HUGO BLACK 90x90</v>
      </c>
      <c r="C2293" s="23"/>
      <c r="D2293" s="24">
        <f ca="1">IFERROR(__xludf.DUMMYFUNCTION("""COMPUTED_VALUE"""),1999)</f>
        <v>1999</v>
      </c>
      <c r="E2293" s="25" t="str">
        <f ca="1">IFERROR(__xludf.DUMMYFUNCTION("""COMPUTED_VALUE"""),"REA-K6601")</f>
        <v>REA-K6601</v>
      </c>
    </row>
    <row r="2294" spans="1:5" x14ac:dyDescent="0.2">
      <c r="A2294" s="22">
        <f ca="1">IFERROR(__xludf.DUMMYFUNCTION("""COMPUTED_VALUE"""),44845)</f>
        <v>44845</v>
      </c>
      <c r="B2294" s="23" t="str">
        <f ca="1">IFERROR(__xludf.DUMMYFUNCTION("""COMPUTED_VALUE"""),"KABINA HUGO BLACK 100x100")</f>
        <v>KABINA HUGO BLACK 100x100</v>
      </c>
      <c r="C2294" s="23"/>
      <c r="D2294" s="24">
        <f ca="1">IFERROR(__xludf.DUMMYFUNCTION("""COMPUTED_VALUE"""),1799)</f>
        <v>1799</v>
      </c>
      <c r="E2294" s="25" t="str">
        <f ca="1">IFERROR(__xludf.DUMMYFUNCTION("""COMPUTED_VALUE"""),"REA-K6602")</f>
        <v>REA-K6602</v>
      </c>
    </row>
    <row r="2295" spans="1:5" x14ac:dyDescent="0.2">
      <c r="A2295" s="22">
        <f ca="1">IFERROR(__xludf.DUMMYFUNCTION("""COMPUTED_VALUE"""),44845)</f>
        <v>44845</v>
      </c>
      <c r="B2295" s="23" t="str">
        <f ca="1">IFERROR(__xludf.DUMMYFUNCTION("""COMPUTED_VALUE"""),"KABINA HUGO GOLD SZCZOTKOWANY 80x80")</f>
        <v>KABINA HUGO GOLD SZCZOTKOWANY 80x80</v>
      </c>
      <c r="C2295" s="23"/>
      <c r="D2295" s="24">
        <f ca="1">IFERROR(__xludf.DUMMYFUNCTION("""COMPUTED_VALUE"""),1859)</f>
        <v>1859</v>
      </c>
      <c r="E2295" s="25" t="str">
        <f ca="1">IFERROR(__xludf.DUMMYFUNCTION("""COMPUTED_VALUE"""),"REA-K6608")</f>
        <v>REA-K6608</v>
      </c>
    </row>
    <row r="2296" spans="1:5" x14ac:dyDescent="0.2">
      <c r="A2296" s="22">
        <f ca="1">IFERROR(__xludf.DUMMYFUNCTION("""COMPUTED_VALUE"""),44845)</f>
        <v>44845</v>
      </c>
      <c r="B2296" s="23" t="str">
        <f ca="1">IFERROR(__xludf.DUMMYFUNCTION("""COMPUTED_VALUE"""),"KABINA HUGO GOLD SZCZOTKOWANY 90x90")</f>
        <v>KABINA HUGO GOLD SZCZOTKOWANY 90x90</v>
      </c>
      <c r="C2296" s="23"/>
      <c r="D2296" s="24">
        <f ca="1">IFERROR(__xludf.DUMMYFUNCTION("""COMPUTED_VALUE"""),2059)</f>
        <v>2059</v>
      </c>
      <c r="E2296" s="25" t="str">
        <f ca="1">IFERROR(__xludf.DUMMYFUNCTION("""COMPUTED_VALUE"""),"REA-K6609")</f>
        <v>REA-K6609</v>
      </c>
    </row>
    <row r="2297" spans="1:5" x14ac:dyDescent="0.2">
      <c r="A2297" s="22">
        <f ca="1">IFERROR(__xludf.DUMMYFUNCTION("""COMPUTED_VALUE"""),44845)</f>
        <v>44845</v>
      </c>
      <c r="B2297" s="23" t="str">
        <f ca="1">IFERROR(__xludf.DUMMYFUNCTION("""COMPUTED_VALUE"""),"KABINA HUGO GOLD SZCZOTKOWANY 100x100")</f>
        <v>KABINA HUGO GOLD SZCZOTKOWANY 100x100</v>
      </c>
      <c r="C2297" s="23"/>
      <c r="D2297" s="24">
        <f ca="1">IFERROR(__xludf.DUMMYFUNCTION("""COMPUTED_VALUE"""),2099)</f>
        <v>2099</v>
      </c>
      <c r="E2297" s="25" t="str">
        <f ca="1">IFERROR(__xludf.DUMMYFUNCTION("""COMPUTED_VALUE"""),"REA-K6605")</f>
        <v>REA-K6605</v>
      </c>
    </row>
    <row r="2298" spans="1:5" x14ac:dyDescent="0.2">
      <c r="A2298" s="22">
        <f ca="1">IFERROR(__xludf.DUMMYFUNCTION("""COMPUTED_VALUE"""),44845)</f>
        <v>44845</v>
      </c>
      <c r="B2298" s="23" t="str">
        <f ca="1">IFERROR(__xludf.DUMMYFUNCTION("""COMPUTED_VALUE"""),"PARAWAN RUCHOMY LAGOS-1 80")</f>
        <v>PARAWAN RUCHOMY LAGOS-1 80</v>
      </c>
      <c r="C2298" s="23"/>
      <c r="D2298" s="24">
        <f ca="1">IFERROR(__xludf.DUMMYFUNCTION("""COMPUTED_VALUE"""),459)</f>
        <v>459</v>
      </c>
      <c r="E2298" s="27" t="str">
        <f ca="1">IFERROR(__xludf.DUMMYFUNCTION("""COMPUTED_VALUE"""),"REA-K4570")</f>
        <v>REA-K4570</v>
      </c>
    </row>
    <row r="2299" spans="1:5" x14ac:dyDescent="0.2">
      <c r="A2299" s="22">
        <f ca="1">IFERROR(__xludf.DUMMYFUNCTION("""COMPUTED_VALUE"""),44841)</f>
        <v>44841</v>
      </c>
      <c r="B2299" s="23" t="str">
        <f ca="1">IFERROR(__xludf.DUMMYFUNCTION("""COMPUTED_VALUE"""),"UMYWALKA DENIS BLACK MATT - NABLATOWA")</f>
        <v>UMYWALKA DENIS BLACK MATT - NABLATOWA</v>
      </c>
      <c r="C2299" s="23"/>
      <c r="D2299" s="24">
        <f ca="1">IFERROR(__xludf.DUMMYFUNCTION("""COMPUTED_VALUE"""),569)</f>
        <v>569</v>
      </c>
      <c r="E2299" s="27" t="str">
        <f ca="1">IFERROR(__xludf.DUMMYFUNCTION("""COMPUTED_VALUE"""),"REA-U3690")</f>
        <v>REA-U3690</v>
      </c>
    </row>
    <row r="2300" spans="1:5" x14ac:dyDescent="0.2">
      <c r="A2300" s="22">
        <f ca="1">IFERROR(__xludf.DUMMYFUNCTION("""COMPUTED_VALUE"""),44841)</f>
        <v>44841</v>
      </c>
      <c r="B2300" s="23" t="str">
        <f ca="1">IFERROR(__xludf.DUMMYFUNCTION("""COMPUTED_VALUE"""),"UMYWALKA SOFIA MINI BLACK SHINY - NABLATOWA")</f>
        <v>UMYWALKA SOFIA MINI BLACK SHINY - NABLATOWA</v>
      </c>
      <c r="C2300" s="23"/>
      <c r="D2300" s="24">
        <f ca="1">IFERROR(__xludf.DUMMYFUNCTION("""COMPUTED_VALUE"""),279)</f>
        <v>279</v>
      </c>
      <c r="E2300" s="27" t="str">
        <f ca="1">IFERROR(__xludf.DUMMYFUNCTION("""COMPUTED_VALUE"""),"REA-U8013")</f>
        <v>REA-U8013</v>
      </c>
    </row>
    <row r="2301" spans="1:5" x14ac:dyDescent="0.2">
      <c r="A2301" s="22">
        <f ca="1">IFERROR(__xludf.DUMMYFUNCTION("""COMPUTED_VALUE"""),44841)</f>
        <v>44841</v>
      </c>
      <c r="B2301" s="23" t="str">
        <f ca="1">IFERROR(__xludf.DUMMYFUNCTION("""COMPUTED_VALUE"""),"UMYWALKA SOFIA MAT BLACK - NABLATOWA")</f>
        <v>UMYWALKA SOFIA MAT BLACK - NABLATOWA</v>
      </c>
      <c r="C2301" s="23"/>
      <c r="D2301" s="24">
        <f ca="1">IFERROR(__xludf.DUMMYFUNCTION("""COMPUTED_VALUE"""),399)</f>
        <v>399</v>
      </c>
      <c r="E2301" s="27" t="str">
        <f ca="1">IFERROR(__xludf.DUMMYFUNCTION("""COMPUTED_VALUE"""),"REA-U0333")</f>
        <v>REA-U0333</v>
      </c>
    </row>
    <row r="2302" spans="1:5" x14ac:dyDescent="0.2">
      <c r="A2302" s="22">
        <f ca="1">IFERROR(__xludf.DUMMYFUNCTION("""COMPUTED_VALUE"""),44841)</f>
        <v>44841</v>
      </c>
      <c r="B2302" s="23" t="str">
        <f ca="1">IFERROR(__xludf.DUMMYFUNCTION("""COMPUTED_VALUE"""),"WC - MARTIN RIMLESS DUROPLAST/SLIM/ZM")</f>
        <v>WC - MARTIN RIMLESS DUROPLAST/SLIM/ZM</v>
      </c>
      <c r="C2302" s="23"/>
      <c r="D2302" s="24">
        <f ca="1">IFERROR(__xludf.DUMMYFUNCTION("""COMPUTED_VALUE"""),669)</f>
        <v>669</v>
      </c>
      <c r="E2302" s="27" t="str">
        <f ca="1">IFERROR(__xludf.DUMMYFUNCTION("""COMPUTED_VALUE"""),"REA-C8006")</f>
        <v>REA-C8006</v>
      </c>
    </row>
    <row r="2303" spans="1:5" x14ac:dyDescent="0.2">
      <c r="A2303" s="22">
        <f ca="1">IFERROR(__xludf.DUMMYFUNCTION("""COMPUTED_VALUE"""),44841)</f>
        <v>44841</v>
      </c>
      <c r="B2303" s="23" t="str">
        <f ca="1">IFERROR(__xludf.DUMMYFUNCTION("""COMPUTED_VALUE"""),"UMYWALKA OLGA TERAZZO - NABLATOWA")</f>
        <v>UMYWALKA OLGA TERAZZO - NABLATOWA</v>
      </c>
      <c r="C2303" s="23"/>
      <c r="D2303" s="24">
        <f ca="1">IFERROR(__xludf.DUMMYFUNCTION("""COMPUTED_VALUE"""),399)</f>
        <v>399</v>
      </c>
      <c r="E2303" s="27" t="str">
        <f ca="1">IFERROR(__xludf.DUMMYFUNCTION("""COMPUTED_VALUE"""),"REA-U5692")</f>
        <v>REA-U5692</v>
      </c>
    </row>
    <row r="2304" spans="1:5" x14ac:dyDescent="0.2">
      <c r="A2304" s="22">
        <f ca="1">IFERROR(__xludf.DUMMYFUNCTION("""COMPUTED_VALUE"""),44841)</f>
        <v>44841</v>
      </c>
      <c r="B2304" s="23" t="str">
        <f ca="1">IFERROR(__xludf.DUMMYFUNCTION("""COMPUTED_VALUE"""),"UMYWALKA AMELIA TERAZZO - NABLATOWA")</f>
        <v>UMYWALKA AMELIA TERAZZO - NABLATOWA</v>
      </c>
      <c r="C2304" s="23"/>
      <c r="D2304" s="24">
        <f ca="1">IFERROR(__xludf.DUMMYFUNCTION("""COMPUTED_VALUE"""),319)</f>
        <v>319</v>
      </c>
      <c r="E2304" s="27" t="str">
        <f ca="1">IFERROR(__xludf.DUMMYFUNCTION("""COMPUTED_VALUE"""),"REA-U6593")</f>
        <v>REA-U6593</v>
      </c>
    </row>
    <row r="2305" spans="1:5" x14ac:dyDescent="0.2">
      <c r="A2305" s="22">
        <f ca="1">IFERROR(__xludf.DUMMYFUNCTION("""COMPUTED_VALUE"""),44825)</f>
        <v>44825</v>
      </c>
      <c r="B2305" s="23" t="str">
        <f ca="1">IFERROR(__xludf.DUMMYFUNCTION("""COMPUTED_VALUE"""),"UMYWALKA SOFIA MINI SHINY AIAX - NABLATOWA")</f>
        <v>UMYWALKA SOFIA MINI SHINY AIAX - NABLATOWA</v>
      </c>
      <c r="C2305" s="23"/>
      <c r="D2305" s="24">
        <f ca="1">IFERROR(__xludf.DUMMYFUNCTION("""COMPUTED_VALUE"""),269)</f>
        <v>269</v>
      </c>
      <c r="E2305" s="27" t="str">
        <f ca="1">IFERROR(__xludf.DUMMYFUNCTION("""COMPUTED_VALUE"""),"REA-U8014")</f>
        <v>REA-U8014</v>
      </c>
    </row>
    <row r="2306" spans="1:5" x14ac:dyDescent="0.2">
      <c r="A2306" s="22">
        <f ca="1">IFERROR(__xludf.DUMMYFUNCTION("""COMPUTED_VALUE"""),44825)</f>
        <v>44825</v>
      </c>
      <c r="B2306" s="23" t="str">
        <f ca="1">IFERROR(__xludf.DUMMYFUNCTION("""COMPUTED_VALUE"""),"UMYWALKA SOFIA IN GOLD/MARBLE BLACK - NABLATOWA")</f>
        <v>UMYWALKA SOFIA IN GOLD/MARBLE BLACK - NABLATOWA</v>
      </c>
      <c r="C2306" s="23"/>
      <c r="D2306" s="24">
        <f ca="1">IFERROR(__xludf.DUMMYFUNCTION("""COMPUTED_VALUE"""),399)</f>
        <v>399</v>
      </c>
      <c r="E2306" s="27" t="str">
        <f ca="1">IFERROR(__xludf.DUMMYFUNCTION("""COMPUTED_VALUE"""),"REA-U8011")</f>
        <v>REA-U8011</v>
      </c>
    </row>
    <row r="2307" spans="1:5" x14ac:dyDescent="0.2">
      <c r="A2307" s="22">
        <f ca="1">IFERROR(__xludf.DUMMYFUNCTION("""COMPUTED_VALUE"""),44825)</f>
        <v>44825</v>
      </c>
      <c r="B2307" s="23" t="str">
        <f ca="1">IFERROR(__xludf.DUMMYFUNCTION("""COMPUTED_VALUE"""),"UMYWALKA SOFIA IN MARBLE BLACK/GOLD - NABLATOWA")</f>
        <v>UMYWALKA SOFIA IN MARBLE BLACK/GOLD - NABLATOWA</v>
      </c>
      <c r="C2307" s="23"/>
      <c r="D2307" s="24">
        <f ca="1">IFERROR(__xludf.DUMMYFUNCTION("""COMPUTED_VALUE"""),399)</f>
        <v>399</v>
      </c>
      <c r="E2307" s="27" t="str">
        <f ca="1">IFERROR(__xludf.DUMMYFUNCTION("""COMPUTED_VALUE"""),"REA-U8012")</f>
        <v>REA-U8012</v>
      </c>
    </row>
    <row r="2308" spans="1:5" x14ac:dyDescent="0.2">
      <c r="A2308" s="22">
        <f ca="1">IFERROR(__xludf.DUMMYFUNCTION("""COMPUTED_VALUE"""),44825)</f>
        <v>44825</v>
      </c>
      <c r="B2308" s="23" t="str">
        <f ca="1">IFERROR(__xludf.DUMMYFUNCTION("""COMPUTED_VALUE"""),"UMYWALKA INGA BLACK MARBLE MATT- NABLATOWA")</f>
        <v>UMYWALKA INGA BLACK MARBLE MATT- NABLATOWA</v>
      </c>
      <c r="C2308" s="23"/>
      <c r="D2308" s="24">
        <f ca="1">IFERROR(__xludf.DUMMYFUNCTION("""COMPUTED_VALUE"""),459)</f>
        <v>459</v>
      </c>
      <c r="E2308" s="27" t="str">
        <f ca="1">IFERROR(__xludf.DUMMYFUNCTION("""COMPUTED_VALUE"""),"REA-U8006")</f>
        <v>REA-U8006</v>
      </c>
    </row>
    <row r="2309" spans="1:5" x14ac:dyDescent="0.2">
      <c r="A2309" s="22">
        <f ca="1">IFERROR(__xludf.DUMMYFUNCTION("""COMPUTED_VALUE"""),44825)</f>
        <v>44825</v>
      </c>
      <c r="B2309" s="23" t="str">
        <f ca="1">IFERROR(__xludf.DUMMYFUNCTION("""COMPUTED_VALUE"""),"UMYWALKA AMELIA BLACK MARBLE SHINY - NABLATOWA")</f>
        <v>UMYWALKA AMELIA BLACK MARBLE SHINY - NABLATOWA</v>
      </c>
      <c r="C2309" s="23"/>
      <c r="D2309" s="24">
        <f ca="1">IFERROR(__xludf.DUMMYFUNCTION("""COMPUTED_VALUE"""),349)</f>
        <v>349</v>
      </c>
      <c r="E2309" s="27" t="str">
        <f ca="1">IFERROR(__xludf.DUMMYFUNCTION("""COMPUTED_VALUE"""),"REA-U8000")</f>
        <v>REA-U8000</v>
      </c>
    </row>
    <row r="2310" spans="1:5" x14ac:dyDescent="0.2">
      <c r="A2310" s="22">
        <f ca="1">IFERROR(__xludf.DUMMYFUNCTION("""COMPUTED_VALUE"""),44825)</f>
        <v>44825</v>
      </c>
      <c r="B2310" s="23" t="str">
        <f ca="1">IFERROR(__xludf.DUMMYFUNCTION("""COMPUTED_VALUE"""),"ŚCIANKA PRYSZNICOWA MOLIER 90 CHROM")</f>
        <v>ŚCIANKA PRYSZNICOWA MOLIER 90 CHROM</v>
      </c>
      <c r="C2310" s="23"/>
      <c r="D2310" s="24">
        <f ca="1">IFERROR(__xludf.DUMMYFUNCTION("""COMPUTED_VALUE"""),470)</f>
        <v>470</v>
      </c>
      <c r="E2310" s="27" t="str">
        <f ca="1">IFERROR(__xludf.DUMMYFUNCTION("""COMPUTED_VALUE"""),"REA-K8535")</f>
        <v>REA-K8535</v>
      </c>
    </row>
    <row r="2311" spans="1:5" x14ac:dyDescent="0.2">
      <c r="A2311" s="22">
        <f ca="1">IFERROR(__xludf.DUMMYFUNCTION("""COMPUTED_VALUE"""),44825)</f>
        <v>44825</v>
      </c>
      <c r="B2311" s="23" t="str">
        <f ca="1">IFERROR(__xludf.DUMMYFUNCTION("""COMPUTED_VALUE"""),"DRZWI PRYSZNICOWE SOLAR BLACK 90")</f>
        <v>DRZWI PRYSZNICOWE SOLAR BLACK 90</v>
      </c>
      <c r="C2311" s="23"/>
      <c r="D2311" s="24">
        <f ca="1">IFERROR(__xludf.DUMMYFUNCTION("""COMPUTED_VALUE"""),879)</f>
        <v>879</v>
      </c>
      <c r="E2311" s="27" t="str">
        <f ca="1">IFERROR(__xludf.DUMMYFUNCTION("""COMPUTED_VALUE"""),"REA-K6319")</f>
        <v>REA-K6319</v>
      </c>
    </row>
    <row r="2312" spans="1:5" x14ac:dyDescent="0.2">
      <c r="A2312" s="22">
        <f ca="1">IFERROR(__xludf.DUMMYFUNCTION("""COMPUTED_VALUE"""),44825)</f>
        <v>44825</v>
      </c>
      <c r="B2312" s="23" t="str">
        <f ca="1">IFERROR(__xludf.DUMMYFUNCTION("""COMPUTED_VALUE"""),"ŚCIANKA PRYSZNICOWA CORTIS 120 GOLD")</f>
        <v>ŚCIANKA PRYSZNICOWA CORTIS 120 GOLD</v>
      </c>
      <c r="C2312" s="23"/>
      <c r="D2312" s="24">
        <f ca="1">IFERROR(__xludf.DUMMYFUNCTION("""COMPUTED_VALUE"""),1229)</f>
        <v>1229</v>
      </c>
      <c r="E2312" s="27" t="str">
        <f ca="1">IFERROR(__xludf.DUMMYFUNCTION("""COMPUTED_VALUE"""),"REA-K8485")</f>
        <v>REA-K8485</v>
      </c>
    </row>
    <row r="2313" spans="1:5" x14ac:dyDescent="0.2">
      <c r="A2313" s="22">
        <f ca="1">IFERROR(__xludf.DUMMYFUNCTION("""COMPUTED_VALUE"""),44825)</f>
        <v>44825</v>
      </c>
      <c r="B2313" s="23" t="str">
        <f ca="1">IFERROR(__xludf.DUMMYFUNCTION("""COMPUTED_VALUE"""),"ŚCIANKA PRYSZNICOWA CORTIS 100 GOLD")</f>
        <v>ŚCIANKA PRYSZNICOWA CORTIS 100 GOLD</v>
      </c>
      <c r="C2313" s="23"/>
      <c r="D2313" s="24">
        <f ca="1">IFERROR(__xludf.DUMMYFUNCTION("""COMPUTED_VALUE"""),1179)</f>
        <v>1179</v>
      </c>
      <c r="E2313" s="27" t="str">
        <f ca="1">IFERROR(__xludf.DUMMYFUNCTION("""COMPUTED_VALUE"""),"REA-K8484")</f>
        <v>REA-K8484</v>
      </c>
    </row>
    <row r="2314" spans="1:5" x14ac:dyDescent="0.2">
      <c r="A2314" s="22">
        <f ca="1">IFERROR(__xludf.DUMMYFUNCTION("""COMPUTED_VALUE"""),44825)</f>
        <v>44825</v>
      </c>
      <c r="B2314" s="23" t="str">
        <f ca="1">IFERROR(__xludf.DUMMYFUNCTION("""COMPUTED_VALUE"""),"ŚCIANKA PRYSZNICOWA CORTIS 100")</f>
        <v>ŚCIANKA PRYSZNICOWA CORTIS 100</v>
      </c>
      <c r="C2314" s="23"/>
      <c r="D2314" s="24">
        <f ca="1">IFERROR(__xludf.DUMMYFUNCTION("""COMPUTED_VALUE"""),1029)</f>
        <v>1029</v>
      </c>
      <c r="E2314" s="27" t="str">
        <f ca="1">IFERROR(__xludf.DUMMYFUNCTION("""COMPUTED_VALUE"""),"REA-K7210")</f>
        <v>REA-K7210</v>
      </c>
    </row>
    <row r="2315" spans="1:5" x14ac:dyDescent="0.2">
      <c r="A2315" s="22">
        <f ca="1">IFERROR(__xludf.DUMMYFUNCTION("""COMPUTED_VALUE"""),44825)</f>
        <v>44825</v>
      </c>
      <c r="B2315" s="23" t="str">
        <f ca="1">IFERROR(__xludf.DUMMYFUNCTION("""COMPUTED_VALUE"""),"ŚCIANKA DO KABINY NIXON-2  80")</f>
        <v>ŚCIANKA DO KABINY NIXON-2  80</v>
      </c>
      <c r="C2315" s="23"/>
      <c r="D2315" s="24">
        <f ca="1">IFERROR(__xludf.DUMMYFUNCTION("""COMPUTED_VALUE"""),580)</f>
        <v>580</v>
      </c>
      <c r="E2315" s="27" t="str">
        <f ca="1">IFERROR(__xludf.DUMMYFUNCTION("""COMPUTED_VALUE"""),"REA-K5010")</f>
        <v>REA-K5010</v>
      </c>
    </row>
    <row r="2316" spans="1:5" x14ac:dyDescent="0.2">
      <c r="A2316" s="22">
        <f ca="1">IFERROR(__xludf.DUMMYFUNCTION("""COMPUTED_VALUE"""),44825)</f>
        <v>44825</v>
      </c>
      <c r="B2316" s="23" t="str">
        <f ca="1">IFERROR(__xludf.DUMMYFUNCTION("""COMPUTED_VALUE"""),"WC - CARLO MINI RIMLES DUROPLA/FLAT/ZM ARTE D.GREY")</f>
        <v>WC - CARLO MINI RIMLES DUROPLA/FLAT/ZM ARTE D.GREY</v>
      </c>
      <c r="C2316" s="23"/>
      <c r="D2316" s="24">
        <f ca="1">IFERROR(__xludf.DUMMYFUNCTION("""COMPUTED_VALUE"""),1099)</f>
        <v>1099</v>
      </c>
      <c r="E2316" s="27" t="str">
        <f ca="1">IFERROR(__xludf.DUMMYFUNCTION("""COMPUTED_VALUE"""),"REA-C5000")</f>
        <v>REA-C5000</v>
      </c>
    </row>
    <row r="2317" spans="1:5" x14ac:dyDescent="0.2">
      <c r="A2317" s="22">
        <f ca="1">IFERROR(__xludf.DUMMYFUNCTION("""COMPUTED_VALUE"""),44825)</f>
        <v>44825</v>
      </c>
      <c r="B2317" s="23" t="str">
        <f ca="1">IFERROR(__xludf.DUMMYFUNCTION("""COMPUTED_VALUE"""),"UMYWALKA ARTE D.GREY - NABLATOWA")</f>
        <v>UMYWALKA ARTE D.GREY - NABLATOWA</v>
      </c>
      <c r="C2317" s="23"/>
      <c r="D2317" s="24">
        <f ca="1">IFERROR(__xludf.DUMMYFUNCTION("""COMPUTED_VALUE"""),399)</f>
        <v>399</v>
      </c>
      <c r="E2317" s="27" t="str">
        <f ca="1">IFERROR(__xludf.DUMMYFUNCTION("""COMPUTED_VALUE"""),"REA-U8002")</f>
        <v>REA-U8002</v>
      </c>
    </row>
    <row r="2318" spans="1:5" x14ac:dyDescent="0.2">
      <c r="A2318" s="22">
        <f ca="1">IFERROR(__xludf.DUMMYFUNCTION("""COMPUTED_VALUE"""),44818)</f>
        <v>44818</v>
      </c>
      <c r="B2318" s="23" t="str">
        <f ca="1">IFERROR(__xludf.DUMMYFUNCTION("""COMPUTED_VALUE"""),"ODPŁYW NEO SLIM PRO-600 BRUSH")</f>
        <v>ODPŁYW NEO SLIM PRO-600 BRUSH</v>
      </c>
      <c r="C2318" s="23"/>
      <c r="D2318" s="24">
        <f ca="1">IFERROR(__xludf.DUMMYFUNCTION("""COMPUTED_VALUE"""),209)</f>
        <v>209</v>
      </c>
      <c r="E2318" s="27" t="str">
        <f ca="1">IFERROR(__xludf.DUMMYFUNCTION("""COMPUTED_VALUE"""),"REA-G8400")</f>
        <v>REA-G8400</v>
      </c>
    </row>
    <row r="2319" spans="1:5" x14ac:dyDescent="0.2">
      <c r="A2319" s="22">
        <f ca="1">IFERROR(__xludf.DUMMYFUNCTION("""COMPUTED_VALUE"""),44818)</f>
        <v>44818</v>
      </c>
      <c r="B2319" s="23" t="str">
        <f ca="1">IFERROR(__xludf.DUMMYFUNCTION("""COMPUTED_VALUE"""),"ODPŁYW NEO SLIM PRO-500 BRUSH")</f>
        <v>ODPŁYW NEO SLIM PRO-500 BRUSH</v>
      </c>
      <c r="C2319" s="23"/>
      <c r="D2319" s="24">
        <f ca="1">IFERROR(__xludf.DUMMYFUNCTION("""COMPUTED_VALUE"""),189)</f>
        <v>189</v>
      </c>
      <c r="E2319" s="27" t="str">
        <f ca="1">IFERROR(__xludf.DUMMYFUNCTION("""COMPUTED_VALUE"""),"REA-G8749")</f>
        <v>REA-G8749</v>
      </c>
    </row>
    <row r="2320" spans="1:5" x14ac:dyDescent="0.2">
      <c r="A2320" s="22">
        <f ca="1">IFERROR(__xludf.DUMMYFUNCTION("""COMPUTED_VALUE"""),44818)</f>
        <v>44818</v>
      </c>
      <c r="B2320" s="23" t="str">
        <f ca="1">IFERROR(__xludf.DUMMYFUNCTION("""COMPUTED_VALUE"""),"ODPŁYW NEO &amp; PURE-600 MIEDŹ SZCZOTKOWANA PRO")</f>
        <v>ODPŁYW NEO &amp; PURE-600 MIEDŹ SZCZOTKOWANA PRO</v>
      </c>
      <c r="C2320" s="23"/>
      <c r="D2320" s="24">
        <f ca="1">IFERROR(__xludf.DUMMYFUNCTION("""COMPUTED_VALUE"""),379)</f>
        <v>379</v>
      </c>
      <c r="E2320" s="25" t="str">
        <f ca="1">IFERROR(__xludf.DUMMYFUNCTION("""COMPUTED_VALUE"""),"REA-G8020")</f>
        <v>REA-G8020</v>
      </c>
    </row>
    <row r="2321" spans="1:5" x14ac:dyDescent="0.2">
      <c r="A2321" s="22">
        <f ca="1">IFERROR(__xludf.DUMMYFUNCTION("""COMPUTED_VALUE"""),44818)</f>
        <v>44818</v>
      </c>
      <c r="B2321" s="23" t="str">
        <f ca="1">IFERROR(__xludf.DUMMYFUNCTION("""COMPUTED_VALUE"""),"ODPŁYW NEO &amp; PURE-700 MIEDŹ SZCZOTKOWANA PRO")</f>
        <v>ODPŁYW NEO &amp; PURE-700 MIEDŹ SZCZOTKOWANA PRO</v>
      </c>
      <c r="C2321" s="23"/>
      <c r="D2321" s="24">
        <f ca="1">IFERROR(__xludf.DUMMYFUNCTION("""COMPUTED_VALUE"""),419)</f>
        <v>419</v>
      </c>
      <c r="E2321" s="25" t="str">
        <f ca="1">IFERROR(__xludf.DUMMYFUNCTION("""COMPUTED_VALUE"""),"REA-G8021")</f>
        <v>REA-G8021</v>
      </c>
    </row>
    <row r="2322" spans="1:5" x14ac:dyDescent="0.2">
      <c r="A2322" s="22">
        <f ca="1">IFERROR(__xludf.DUMMYFUNCTION("""COMPUTED_VALUE"""),44818)</f>
        <v>44818</v>
      </c>
      <c r="B2322" s="23" t="str">
        <f ca="1">IFERROR(__xludf.DUMMYFUNCTION("""COMPUTED_VALUE"""),"ODPŁYW NEO &amp; PURE-800 MIEDŹ SZCZOTKOWANA PRO")</f>
        <v>ODPŁYW NEO &amp; PURE-800 MIEDŹ SZCZOTKOWANA PRO</v>
      </c>
      <c r="C2322" s="23"/>
      <c r="D2322" s="24">
        <f ca="1">IFERROR(__xludf.DUMMYFUNCTION("""COMPUTED_VALUE"""),449)</f>
        <v>449</v>
      </c>
      <c r="E2322" s="25" t="str">
        <f ca="1">IFERROR(__xludf.DUMMYFUNCTION("""COMPUTED_VALUE"""),"REA-G8022")</f>
        <v>REA-G8022</v>
      </c>
    </row>
    <row r="2323" spans="1:5" x14ac:dyDescent="0.2">
      <c r="A2323" s="22">
        <f ca="1">IFERROR(__xludf.DUMMYFUNCTION("""COMPUTED_VALUE"""),44818)</f>
        <v>44818</v>
      </c>
      <c r="B2323" s="23" t="str">
        <f ca="1">IFERROR(__xludf.DUMMYFUNCTION("""COMPUTED_VALUE"""),"ODPŁYW GREEK- 600 BLACK PRO")</f>
        <v>ODPŁYW GREEK- 600 BLACK PRO</v>
      </c>
      <c r="C2323" s="23"/>
      <c r="D2323" s="24">
        <f ca="1">IFERROR(__xludf.DUMMYFUNCTION("""COMPUTED_VALUE"""),319)</f>
        <v>319</v>
      </c>
      <c r="E2323" s="27" t="str">
        <f ca="1">IFERROR(__xludf.DUMMYFUNCTION("""COMPUTED_VALUE"""),"REA-G8023")</f>
        <v>REA-G8023</v>
      </c>
    </row>
    <row r="2324" spans="1:5" x14ac:dyDescent="0.2">
      <c r="A2324" s="22">
        <f ca="1">IFERROR(__xludf.DUMMYFUNCTION("""COMPUTED_VALUE"""),44818)</f>
        <v>44818</v>
      </c>
      <c r="B2324" s="23" t="str">
        <f ca="1">IFERROR(__xludf.DUMMYFUNCTION("""COMPUTED_VALUE"""),"ODPŁYW GREEK- 700 BLACK PRO")</f>
        <v>ODPŁYW GREEK- 700 BLACK PRO</v>
      </c>
      <c r="C2324" s="23"/>
      <c r="D2324" s="24">
        <f ca="1">IFERROR(__xludf.DUMMYFUNCTION("""COMPUTED_VALUE"""),349)</f>
        <v>349</v>
      </c>
      <c r="E2324" s="27" t="str">
        <f ca="1">IFERROR(__xludf.DUMMYFUNCTION("""COMPUTED_VALUE"""),"REA-G8024")</f>
        <v>REA-G8024</v>
      </c>
    </row>
    <row r="2325" spans="1:5" x14ac:dyDescent="0.2">
      <c r="A2325" s="22">
        <f ca="1">IFERROR(__xludf.DUMMYFUNCTION("""COMPUTED_VALUE"""),44818)</f>
        <v>44818</v>
      </c>
      <c r="B2325" s="23" t="str">
        <f ca="1">IFERROR(__xludf.DUMMYFUNCTION("""COMPUTED_VALUE"""),"ODPŁYW GREEK- 800 BLACK PRO")</f>
        <v>ODPŁYW GREEK- 800 BLACK PRO</v>
      </c>
      <c r="C2325" s="23"/>
      <c r="D2325" s="24">
        <f ca="1">IFERROR(__xludf.DUMMYFUNCTION("""COMPUTED_VALUE"""),389)</f>
        <v>389</v>
      </c>
      <c r="E2325" s="27" t="str">
        <f ca="1">IFERROR(__xludf.DUMMYFUNCTION("""COMPUTED_VALUE"""),"REA-G8025")</f>
        <v>REA-G8025</v>
      </c>
    </row>
    <row r="2326" spans="1:5" x14ac:dyDescent="0.2">
      <c r="A2326" s="22">
        <f ca="1">IFERROR(__xludf.DUMMYFUNCTION("""COMPUTED_VALUE"""),44818)</f>
        <v>44818</v>
      </c>
      <c r="B2326" s="23" t="str">
        <f ca="1">IFERROR(__xludf.DUMMYFUNCTION("""COMPUTED_VALUE"""),"ODPŁYW GREEK- 900 BLACK PRO")</f>
        <v>ODPŁYW GREEK- 900 BLACK PRO</v>
      </c>
      <c r="C2326" s="23"/>
      <c r="D2326" s="24">
        <f ca="1">IFERROR(__xludf.DUMMYFUNCTION("""COMPUTED_VALUE"""),409)</f>
        <v>409</v>
      </c>
      <c r="E2326" s="27" t="str">
        <f ca="1">IFERROR(__xludf.DUMMYFUNCTION("""COMPUTED_VALUE"""),"REA-G8026")</f>
        <v>REA-G8026</v>
      </c>
    </row>
    <row r="2327" spans="1:5" x14ac:dyDescent="0.2">
      <c r="A2327" s="22">
        <f ca="1">IFERROR(__xludf.DUMMYFUNCTION("""COMPUTED_VALUE"""),44818)</f>
        <v>44818</v>
      </c>
      <c r="B2327" s="23" t="str">
        <f ca="1">IFERROR(__xludf.DUMMYFUNCTION("""COMPUTED_VALUE"""),"ODPŁYW GREEK- 600 MIRROR GOLD PRO")</f>
        <v>ODPŁYW GREEK- 600 MIRROR GOLD PRO</v>
      </c>
      <c r="C2327" s="23"/>
      <c r="D2327" s="24">
        <f ca="1">IFERROR(__xludf.DUMMYFUNCTION("""COMPUTED_VALUE"""),319)</f>
        <v>319</v>
      </c>
      <c r="E2327" s="27" t="str">
        <f ca="1">IFERROR(__xludf.DUMMYFUNCTION("""COMPUTED_VALUE"""),"REA-G8027")</f>
        <v>REA-G8027</v>
      </c>
    </row>
    <row r="2328" spans="1:5" x14ac:dyDescent="0.2">
      <c r="A2328" s="22">
        <f ca="1">IFERROR(__xludf.DUMMYFUNCTION("""COMPUTED_VALUE"""),44818)</f>
        <v>44818</v>
      </c>
      <c r="B2328" s="23" t="str">
        <f ca="1">IFERROR(__xludf.DUMMYFUNCTION("""COMPUTED_VALUE"""),"ODPŁYW GREEK- 700 MIRROR GOLD PRO")</f>
        <v>ODPŁYW GREEK- 700 MIRROR GOLD PRO</v>
      </c>
      <c r="C2328" s="23"/>
      <c r="D2328" s="24">
        <f ca="1">IFERROR(__xludf.DUMMYFUNCTION("""COMPUTED_VALUE"""),359)</f>
        <v>359</v>
      </c>
      <c r="E2328" s="27" t="str">
        <f ca="1">IFERROR(__xludf.DUMMYFUNCTION("""COMPUTED_VALUE"""),"REA-G8028")</f>
        <v>REA-G8028</v>
      </c>
    </row>
    <row r="2329" spans="1:5" x14ac:dyDescent="0.2">
      <c r="A2329" s="22">
        <f ca="1">IFERROR(__xludf.DUMMYFUNCTION("""COMPUTED_VALUE"""),44818)</f>
        <v>44818</v>
      </c>
      <c r="B2329" s="23" t="str">
        <f ca="1">IFERROR(__xludf.DUMMYFUNCTION("""COMPUTED_VALUE"""),"ODPŁYW GREEK- 800 MIRROR GOLD PRO")</f>
        <v>ODPŁYW GREEK- 800 MIRROR GOLD PRO</v>
      </c>
      <c r="C2329" s="23"/>
      <c r="D2329" s="24">
        <f ca="1">IFERROR(__xludf.DUMMYFUNCTION("""COMPUTED_VALUE"""),389)</f>
        <v>389</v>
      </c>
      <c r="E2329" s="27" t="str">
        <f ca="1">IFERROR(__xludf.DUMMYFUNCTION("""COMPUTED_VALUE"""),"REA-G8029")</f>
        <v>REA-G8029</v>
      </c>
    </row>
    <row r="2330" spans="1:5" x14ac:dyDescent="0.2">
      <c r="A2330" s="22">
        <f ca="1">IFERROR(__xludf.DUMMYFUNCTION("""COMPUTED_VALUE"""),44818)</f>
        <v>44818</v>
      </c>
      <c r="B2330" s="23" t="str">
        <f ca="1">IFERROR(__xludf.DUMMYFUNCTION("""COMPUTED_VALUE"""),"ODPŁYW GREEK- 900 MIRROR GOLD PRO")</f>
        <v>ODPŁYW GREEK- 900 MIRROR GOLD PRO</v>
      </c>
      <c r="C2330" s="23"/>
      <c r="D2330" s="24">
        <f ca="1">IFERROR(__xludf.DUMMYFUNCTION("""COMPUTED_VALUE"""),479)</f>
        <v>479</v>
      </c>
      <c r="E2330" s="27" t="str">
        <f ca="1">IFERROR(__xludf.DUMMYFUNCTION("""COMPUTED_VALUE"""),"REA-G8030")</f>
        <v>REA-G8030</v>
      </c>
    </row>
    <row r="2331" spans="1:5" x14ac:dyDescent="0.2">
      <c r="A2331" s="22">
        <f ca="1">IFERROR(__xludf.DUMMYFUNCTION("""COMPUTED_VALUE"""),44818)</f>
        <v>44818</v>
      </c>
      <c r="B2331" s="23" t="str">
        <f ca="1">IFERROR(__xludf.DUMMYFUNCTION("""COMPUTED_VALUE"""),"DOZOWNIK DO MYDŁA BLACK 250 ML")</f>
        <v>DOZOWNIK DO MYDŁA BLACK 250 ML</v>
      </c>
      <c r="C2331" s="23"/>
      <c r="D2331" s="24">
        <f ca="1">IFERROR(__xludf.DUMMYFUNCTION("""COMPUTED_VALUE"""),49)</f>
        <v>49</v>
      </c>
      <c r="E2331" s="25" t="str">
        <f ca="1">IFERROR(__xludf.DUMMYFUNCTION("""COMPUTED_VALUE"""),"BAT-00100")</f>
        <v>BAT-00100</v>
      </c>
    </row>
    <row r="2332" spans="1:5" x14ac:dyDescent="0.2">
      <c r="A2332" s="22">
        <f ca="1">IFERROR(__xludf.DUMMYFUNCTION("""COMPUTED_VALUE"""),44818)</f>
        <v>44818</v>
      </c>
      <c r="B2332" s="23" t="str">
        <f ca="1">IFERROR(__xludf.DUMMYFUNCTION("""COMPUTED_VALUE"""),"DOZOWNIK DO MYDŁA STAL SZCZOTKOWANA 250 ML")</f>
        <v>DOZOWNIK DO MYDŁA STAL SZCZOTKOWANA 250 ML</v>
      </c>
      <c r="C2332" s="23"/>
      <c r="D2332" s="24">
        <f ca="1">IFERROR(__xludf.DUMMYFUNCTION("""COMPUTED_VALUE"""),49)</f>
        <v>49</v>
      </c>
      <c r="E2332" s="25" t="str">
        <f ca="1">IFERROR(__xludf.DUMMYFUNCTION("""COMPUTED_VALUE"""),"BAT-00477")</f>
        <v>BAT-00477</v>
      </c>
    </row>
    <row r="2333" spans="1:5" x14ac:dyDescent="0.2">
      <c r="A2333" s="22">
        <f ca="1">IFERROR(__xludf.DUMMYFUNCTION("""COMPUTED_VALUE"""),44818)</f>
        <v>44818</v>
      </c>
      <c r="B2333" s="23" t="str">
        <f ca="1">IFERROR(__xludf.DUMMYFUNCTION("""COMPUTED_VALUE"""),"DOZOWNIK DO MYDŁA CHROM 250 ML")</f>
        <v>DOZOWNIK DO MYDŁA CHROM 250 ML</v>
      </c>
      <c r="C2333" s="23"/>
      <c r="D2333" s="24">
        <f ca="1">IFERROR(__xludf.DUMMYFUNCTION("""COMPUTED_VALUE"""),49)</f>
        <v>49</v>
      </c>
      <c r="E2333" s="25" t="str">
        <f ca="1">IFERROR(__xludf.DUMMYFUNCTION("""COMPUTED_VALUE"""),"BAT-00478")</f>
        <v>BAT-00478</v>
      </c>
    </row>
    <row r="2334" spans="1:5" x14ac:dyDescent="0.2">
      <c r="A2334" s="22">
        <f ca="1">IFERROR(__xludf.DUMMYFUNCTION("""COMPUTED_VALUE"""),44810)</f>
        <v>44810</v>
      </c>
      <c r="B2334" s="23" t="str">
        <f ca="1">IFERROR(__xludf.DUMMYFUNCTION("""COMPUTED_VALUE"""),"UMYWALKA MERYL BLACK - NABLATOWA")</f>
        <v>UMYWALKA MERYL BLACK - NABLATOWA</v>
      </c>
      <c r="C2334" s="23"/>
      <c r="D2334" s="24">
        <f ca="1">IFERROR(__xludf.DUMMYFUNCTION("""COMPUTED_VALUE"""),649)</f>
        <v>649</v>
      </c>
      <c r="E2334" s="25" t="str">
        <f ca="1">IFERROR(__xludf.DUMMYFUNCTION("""COMPUTED_VALUE"""),"REA-U8811")</f>
        <v>REA-U8811</v>
      </c>
    </row>
    <row r="2335" spans="1:5" x14ac:dyDescent="0.2">
      <c r="A2335" s="22">
        <f ca="1">IFERROR(__xludf.DUMMYFUNCTION("""COMPUTED_VALUE"""),44810)</f>
        <v>44810</v>
      </c>
      <c r="B2335" s="23" t="str">
        <f ca="1">IFERROR(__xludf.DUMMYFUNCTION("""COMPUTED_VALUE"""),"UMYWALKA ADELA - PODBLATOWA")</f>
        <v>UMYWALKA ADELA - PODBLATOWA</v>
      </c>
      <c r="C2335" s="23"/>
      <c r="D2335" s="24">
        <f ca="1">IFERROR(__xludf.DUMMYFUNCTION("""COMPUTED_VALUE"""),199)</f>
        <v>199</v>
      </c>
      <c r="E2335" s="25" t="str">
        <f ca="1">IFERROR(__xludf.DUMMYFUNCTION("""COMPUTED_VALUE"""),"REA-U6653")</f>
        <v>REA-U6653</v>
      </c>
    </row>
    <row r="2336" spans="1:5" x14ac:dyDescent="0.2">
      <c r="A2336" s="22">
        <f ca="1">IFERROR(__xludf.DUMMYFUNCTION("""COMPUTED_VALUE"""),44810)</f>
        <v>44810</v>
      </c>
      <c r="B2336" s="23" t="str">
        <f ca="1">IFERROR(__xludf.DUMMYFUNCTION("""COMPUTED_VALUE"""),"UMYWALKA GRETA 75 - NABLATOWA")</f>
        <v>UMYWALKA GRETA 75 - NABLATOWA</v>
      </c>
      <c r="C2336" s="23"/>
      <c r="D2336" s="24">
        <f ca="1">IFERROR(__xludf.DUMMYFUNCTION("""COMPUTED_VALUE"""),499)</f>
        <v>499</v>
      </c>
      <c r="E2336" s="25" t="str">
        <f ca="1">IFERROR(__xludf.DUMMYFUNCTION("""COMPUTED_VALUE"""),"REA-U1500")</f>
        <v>REA-U1500</v>
      </c>
    </row>
    <row r="2337" spans="1:5" x14ac:dyDescent="0.2">
      <c r="A2337" s="22">
        <f ca="1">IFERROR(__xludf.DUMMYFUNCTION("""COMPUTED_VALUE"""),44810)</f>
        <v>44810</v>
      </c>
      <c r="B2337" s="23" t="str">
        <f ca="1">IFERROR(__xludf.DUMMYFUNCTION("""COMPUTED_VALUE"""),"UMYWALKA MARBEL - NABLATOWA")</f>
        <v>UMYWALKA MARBEL - NABLATOWA</v>
      </c>
      <c r="C2337" s="23"/>
      <c r="D2337" s="24">
        <f ca="1">IFERROR(__xludf.DUMMYFUNCTION("""COMPUTED_VALUE"""),359)</f>
        <v>359</v>
      </c>
      <c r="E2337" s="25" t="str">
        <f ca="1">IFERROR(__xludf.DUMMYFUNCTION("""COMPUTED_VALUE"""),"REA-U8603")</f>
        <v>REA-U8603</v>
      </c>
    </row>
    <row r="2338" spans="1:5" x14ac:dyDescent="0.2">
      <c r="A2338" s="22">
        <f ca="1">IFERROR(__xludf.DUMMYFUNCTION("""COMPUTED_VALUE"""),44810)</f>
        <v>44810</v>
      </c>
      <c r="B2338" s="23" t="str">
        <f ca="1">IFERROR(__xludf.DUMMYFUNCTION("""COMPUTED_VALUE"""),"UMYWALKA ANITA MINI - NABLATOWA")</f>
        <v>UMYWALKA ANITA MINI - NABLATOWA</v>
      </c>
      <c r="C2338" s="23"/>
      <c r="D2338" s="24">
        <f ca="1">IFERROR(__xludf.DUMMYFUNCTION("""COMPUTED_VALUE"""),219)</f>
        <v>219</v>
      </c>
      <c r="E2338" s="25" t="str">
        <f ca="1">IFERROR(__xludf.DUMMYFUNCTION("""COMPUTED_VALUE"""),"REA-U0952")</f>
        <v>REA-U0952</v>
      </c>
    </row>
    <row r="2339" spans="1:5" x14ac:dyDescent="0.2">
      <c r="A2339" s="22">
        <f ca="1">IFERROR(__xludf.DUMMYFUNCTION("""COMPUTED_VALUE"""),44810)</f>
        <v>44810</v>
      </c>
      <c r="B2339" s="23" t="str">
        <f ca="1">IFERROR(__xludf.DUMMYFUNCTION("""COMPUTED_VALUE"""),"UMYWALKA BERTA 55 -NABLATOWA")</f>
        <v>UMYWALKA BERTA 55 -NABLATOWA</v>
      </c>
      <c r="C2339" s="23"/>
      <c r="D2339" s="24">
        <f ca="1">IFERROR(__xludf.DUMMYFUNCTION("""COMPUTED_VALUE"""),379)</f>
        <v>379</v>
      </c>
      <c r="E2339" s="25" t="str">
        <f ca="1">IFERROR(__xludf.DUMMYFUNCTION("""COMPUTED_VALUE"""),"REA-U5055")</f>
        <v>REA-U5055</v>
      </c>
    </row>
    <row r="2340" spans="1:5" x14ac:dyDescent="0.2">
      <c r="A2340" s="22">
        <f ca="1">IFERROR(__xludf.DUMMYFUNCTION("""COMPUTED_VALUE"""),44810)</f>
        <v>44810</v>
      </c>
      <c r="B2340" s="23" t="str">
        <f ca="1">IFERROR(__xludf.DUMMYFUNCTION("""COMPUTED_VALUE"""),"UMYWALKA ASHLEY - NABLATOWA")</f>
        <v>UMYWALKA ASHLEY - NABLATOWA</v>
      </c>
      <c r="C2340" s="23"/>
      <c r="D2340" s="24">
        <f ca="1">IFERROR(__xludf.DUMMYFUNCTION("""COMPUTED_VALUE"""),469)</f>
        <v>469</v>
      </c>
      <c r="E2340" s="25" t="str">
        <f ca="1">IFERROR(__xludf.DUMMYFUNCTION("""COMPUTED_VALUE"""),"REA-U4663")</f>
        <v>REA-U4663</v>
      </c>
    </row>
    <row r="2341" spans="1:5" x14ac:dyDescent="0.2">
      <c r="A2341" s="22">
        <f ca="1">IFERROR(__xludf.DUMMYFUNCTION("""COMPUTED_VALUE"""),44810)</f>
        <v>44810</v>
      </c>
      <c r="B2341" s="23" t="str">
        <f ca="1">IFERROR(__xludf.DUMMYFUNCTION("""COMPUTED_VALUE"""),"UMYWALKA BELINDA MINI - NABLATOWA")</f>
        <v>UMYWALKA BELINDA MINI - NABLATOWA</v>
      </c>
      <c r="C2341" s="23"/>
      <c r="D2341" s="24">
        <f ca="1">IFERROR(__xludf.DUMMYFUNCTION("""COMPUTED_VALUE"""),199)</f>
        <v>199</v>
      </c>
      <c r="E2341" s="25" t="str">
        <f ca="1">IFERROR(__xludf.DUMMYFUNCTION("""COMPUTED_VALUE"""),"REA-U5667")</f>
        <v>REA-U5667</v>
      </c>
    </row>
    <row r="2342" spans="1:5" x14ac:dyDescent="0.2">
      <c r="A2342" s="22">
        <f ca="1">IFERROR(__xludf.DUMMYFUNCTION("""COMPUTED_VALUE"""),44810)</f>
        <v>44810</v>
      </c>
      <c r="B2342" s="23" t="str">
        <f ca="1">IFERROR(__xludf.DUMMYFUNCTION("""COMPUTED_VALUE"""),"UMYWALKA BELINDA SLIM - NABLATOWA")</f>
        <v>UMYWALKA BELINDA SLIM - NABLATOWA</v>
      </c>
      <c r="C2342" s="23"/>
      <c r="D2342" s="24">
        <f ca="1">IFERROR(__xludf.DUMMYFUNCTION("""COMPUTED_VALUE"""),229)</f>
        <v>229</v>
      </c>
      <c r="E2342" s="25" t="str">
        <f ca="1">IFERROR(__xludf.DUMMYFUNCTION("""COMPUTED_VALUE"""),"REA-U6521")</f>
        <v>REA-U6521</v>
      </c>
    </row>
    <row r="2343" spans="1:5" x14ac:dyDescent="0.2">
      <c r="A2343" s="22">
        <f ca="1">IFERROR(__xludf.DUMMYFUNCTION("""COMPUTED_VALUE"""),44810)</f>
        <v>44810</v>
      </c>
      <c r="B2343" s="23" t="str">
        <f ca="1">IFERROR(__xludf.DUMMYFUNCTION("""COMPUTED_VALUE"""),"ZESTAW NATRYSK PODTYNK PARKER GOLD SZCZOTKOW + BOX")</f>
        <v>ZESTAW NATRYSK PODTYNK PARKER GOLD SZCZOTKOW + BOX</v>
      </c>
      <c r="C2343" s="23"/>
      <c r="D2343" s="24">
        <f ca="1">IFERROR(__xludf.DUMMYFUNCTION("""COMPUTED_VALUE"""),979)</f>
        <v>979</v>
      </c>
      <c r="E2343" s="25" t="str">
        <f ca="1">IFERROR(__xludf.DUMMYFUNCTION("""COMPUTED_VALUE"""),"REA-P9141")</f>
        <v>REA-P9141</v>
      </c>
    </row>
    <row r="2344" spans="1:5" x14ac:dyDescent="0.2">
      <c r="A2344" s="22">
        <f ca="1">IFERROR(__xludf.DUMMYFUNCTION("""COMPUTED_VALUE"""),44810)</f>
        <v>44810</v>
      </c>
      <c r="B2344" s="23" t="str">
        <f ca="1">IFERROR(__xludf.DUMMYFUNCTION("""COMPUTED_VALUE"""),"ZESTAW NATRYSK PODTYNK PARKER NIKIEL SZCZOTK + BOX")</f>
        <v>ZESTAW NATRYSK PODTYNK PARKER NIKIEL SZCZOTK + BOX</v>
      </c>
      <c r="C2344" s="23"/>
      <c r="D2344" s="24">
        <f ca="1">IFERROR(__xludf.DUMMYFUNCTION("""COMPUTED_VALUE"""),939)</f>
        <v>939</v>
      </c>
      <c r="E2344" s="25" t="str">
        <f ca="1">IFERROR(__xludf.DUMMYFUNCTION("""COMPUTED_VALUE"""),"REA-P9142")</f>
        <v>REA-P9142</v>
      </c>
    </row>
    <row r="2345" spans="1:5" x14ac:dyDescent="0.2">
      <c r="A2345" s="22">
        <f ca="1">IFERROR(__xludf.DUMMYFUNCTION("""COMPUTED_VALUE"""),44810)</f>
        <v>44810</v>
      </c>
      <c r="B2345" s="23" t="str">
        <f ca="1">IFERROR(__xludf.DUMMYFUNCTION("""COMPUTED_VALUE"""),"BATERIA UMYWALKOWA VERSO STAL SZCZOTKOWANA NISKA")</f>
        <v>BATERIA UMYWALKOWA VERSO STAL SZCZOTKOWANA NISKA</v>
      </c>
      <c r="C2345" s="23"/>
      <c r="D2345" s="24">
        <f ca="1">IFERROR(__xludf.DUMMYFUNCTION("""COMPUTED_VALUE"""),359)</f>
        <v>359</v>
      </c>
      <c r="E2345" s="25" t="str">
        <f ca="1">IFERROR(__xludf.DUMMYFUNCTION("""COMPUTED_VALUE"""),"REA-B9141")</f>
        <v>REA-B9141</v>
      </c>
    </row>
    <row r="2346" spans="1:5" x14ac:dyDescent="0.2">
      <c r="A2346" s="22">
        <f ca="1">IFERROR(__xludf.DUMMYFUNCTION("""COMPUTED_VALUE"""),44810)</f>
        <v>44810</v>
      </c>
      <c r="B2346" s="23" t="str">
        <f ca="1">IFERROR(__xludf.DUMMYFUNCTION("""COMPUTED_VALUE"""),"BATERIA UMYWALKOWA VERSO STAL SZCZOTKOWANA WYSOKA")</f>
        <v>BATERIA UMYWALKOWA VERSO STAL SZCZOTKOWANA WYSOKA</v>
      </c>
      <c r="C2346" s="23"/>
      <c r="D2346" s="24">
        <f ca="1">IFERROR(__xludf.DUMMYFUNCTION("""COMPUTED_VALUE"""),479)</f>
        <v>479</v>
      </c>
      <c r="E2346" s="25" t="str">
        <f ca="1">IFERROR(__xludf.DUMMYFUNCTION("""COMPUTED_VALUE"""),"REA-B9140")</f>
        <v>REA-B9140</v>
      </c>
    </row>
    <row r="2347" spans="1:5" x14ac:dyDescent="0.2">
      <c r="A2347" s="22">
        <f ca="1">IFERROR(__xludf.DUMMYFUNCTION("""COMPUTED_VALUE"""),44810)</f>
        <v>44810</v>
      </c>
      <c r="B2347" s="23" t="str">
        <f ca="1">IFERROR(__xludf.DUMMYFUNCTION("""COMPUTED_VALUE"""),"ZESTAW NATRYSKOWY PODTYNK VERSO GOLD SZCZOTKOWANY")</f>
        <v>ZESTAW NATRYSKOWY PODTYNK VERSO GOLD SZCZOTKOWANY</v>
      </c>
      <c r="C2347" s="23"/>
      <c r="D2347" s="24">
        <f ca="1">IFERROR(__xludf.DUMMYFUNCTION("""COMPUTED_VALUE"""),1099)</f>
        <v>1099</v>
      </c>
      <c r="E2347" s="25" t="str">
        <f ca="1">IFERROR(__xludf.DUMMYFUNCTION("""COMPUTED_VALUE"""),"REA-P9150")</f>
        <v>REA-P9150</v>
      </c>
    </row>
    <row r="2348" spans="1:5" x14ac:dyDescent="0.2">
      <c r="A2348" s="22">
        <f ca="1">IFERROR(__xludf.DUMMYFUNCTION("""COMPUTED_VALUE"""),44810)</f>
        <v>44810</v>
      </c>
      <c r="B2348" s="23" t="str">
        <f ca="1">IFERROR(__xludf.DUMMYFUNCTION("""COMPUTED_VALUE"""),"BATERIA KUCHENNA SPRING CHROM")</f>
        <v>BATERIA KUCHENNA SPRING CHROM</v>
      </c>
      <c r="C2348" s="23"/>
      <c r="D2348" s="24">
        <f ca="1">IFERROR(__xludf.DUMMYFUNCTION("""COMPUTED_VALUE"""),359)</f>
        <v>359</v>
      </c>
      <c r="E2348" s="25" t="str">
        <f ca="1">IFERROR(__xludf.DUMMYFUNCTION("""COMPUTED_VALUE"""),"REA-B9145")</f>
        <v>REA-B9145</v>
      </c>
    </row>
    <row r="2349" spans="1:5" x14ac:dyDescent="0.2">
      <c r="A2349" s="22">
        <f ca="1">IFERROR(__xludf.DUMMYFUNCTION("""COMPUTED_VALUE"""),44810)</f>
        <v>44810</v>
      </c>
      <c r="B2349" s="23" t="str">
        <f ca="1">IFERROR(__xludf.DUMMYFUNCTION("""COMPUTED_VALUE"""),"BATERIA KUCHENNA FRESH STAL SZCZOTKOWANA")</f>
        <v>BATERIA KUCHENNA FRESH STAL SZCZOTKOWANA</v>
      </c>
      <c r="C2349" s="23"/>
      <c r="D2349" s="24">
        <f ca="1">IFERROR(__xludf.DUMMYFUNCTION("""COMPUTED_VALUE"""),209)</f>
        <v>209</v>
      </c>
      <c r="E2349" s="25" t="str">
        <f ca="1">IFERROR(__xludf.DUMMYFUNCTION("""COMPUTED_VALUE"""),"REA-B9146")</f>
        <v>REA-B9146</v>
      </c>
    </row>
    <row r="2350" spans="1:5" x14ac:dyDescent="0.2">
      <c r="A2350" s="22">
        <f ca="1">IFERROR(__xludf.DUMMYFUNCTION("""COMPUTED_VALUE"""),44810)</f>
        <v>44810</v>
      </c>
      <c r="B2350" s="23" t="str">
        <f ca="1">IFERROR(__xludf.DUMMYFUNCTION("""COMPUTED_VALUE"""),"BATERIA KUCHENNA FRESH BLACK MATT")</f>
        <v>BATERIA KUCHENNA FRESH BLACK MATT</v>
      </c>
      <c r="C2350" s="23"/>
      <c r="D2350" s="24">
        <f ca="1">IFERROR(__xludf.DUMMYFUNCTION("""COMPUTED_VALUE"""),229)</f>
        <v>229</v>
      </c>
      <c r="E2350" s="25" t="str">
        <f ca="1">IFERROR(__xludf.DUMMYFUNCTION("""COMPUTED_VALUE"""),"REA-B9147")</f>
        <v>REA-B9147</v>
      </c>
    </row>
    <row r="2351" spans="1:5" x14ac:dyDescent="0.2">
      <c r="A2351" s="22">
        <f ca="1">IFERROR(__xludf.DUMMYFUNCTION("""COMPUTED_VALUE"""),44810)</f>
        <v>44810</v>
      </c>
      <c r="B2351" s="23" t="str">
        <f ca="1">IFERROR(__xludf.DUMMYFUNCTION("""COMPUTED_VALUE"""),"BATERIA KUCHENNA FRESH GOLD SZCZOTKOWANY")</f>
        <v>BATERIA KUCHENNA FRESH GOLD SZCZOTKOWANY</v>
      </c>
      <c r="C2351" s="23"/>
      <c r="D2351" s="24">
        <f ca="1">IFERROR(__xludf.DUMMYFUNCTION("""COMPUTED_VALUE"""),249)</f>
        <v>249</v>
      </c>
      <c r="E2351" s="25" t="str">
        <f ca="1">IFERROR(__xludf.DUMMYFUNCTION("""COMPUTED_VALUE"""),"REA-B9148")</f>
        <v>REA-B9148</v>
      </c>
    </row>
    <row r="2352" spans="1:5" x14ac:dyDescent="0.2">
      <c r="A2352" s="22">
        <f ca="1">IFERROR(__xludf.DUMMYFUNCTION("""COMPUTED_VALUE"""),44810)</f>
        <v>44810</v>
      </c>
      <c r="B2352" s="23" t="str">
        <f ca="1">IFERROR(__xludf.DUMMYFUNCTION("""COMPUTED_VALUE"""),"BATERIA PRYSZNICOWA MILD BLACK ROSE GOLD")</f>
        <v>BATERIA PRYSZNICOWA MILD BLACK ROSE GOLD</v>
      </c>
      <c r="C2352" s="23"/>
      <c r="D2352" s="24">
        <f ca="1">IFERROR(__xludf.DUMMYFUNCTION("""COMPUTED_VALUE"""),269)</f>
        <v>269</v>
      </c>
      <c r="E2352" s="25" t="str">
        <f ca="1">IFERROR(__xludf.DUMMYFUNCTION("""COMPUTED_VALUE"""),"REA-B9149")</f>
        <v>REA-B9149</v>
      </c>
    </row>
    <row r="2353" spans="1:5" x14ac:dyDescent="0.2">
      <c r="A2353" s="22">
        <f ca="1">IFERROR(__xludf.DUMMYFUNCTION("""COMPUTED_VALUE"""),44810)</f>
        <v>44810</v>
      </c>
      <c r="B2353" s="23" t="str">
        <f ca="1">IFERROR(__xludf.DUMMYFUNCTION("""COMPUTED_VALUE"""),"BATERIA KUCHENNA MILD CHROM")</f>
        <v>BATERIA KUCHENNA MILD CHROM</v>
      </c>
      <c r="C2353" s="23"/>
      <c r="D2353" s="24">
        <f ca="1">IFERROR(__xludf.DUMMYFUNCTION("""COMPUTED_VALUE"""),299)</f>
        <v>299</v>
      </c>
      <c r="E2353" s="25" t="str">
        <f ca="1">IFERROR(__xludf.DUMMYFUNCTION("""COMPUTED_VALUE"""),"REA-B9144")</f>
        <v>REA-B9144</v>
      </c>
    </row>
    <row r="2354" spans="1:5" x14ac:dyDescent="0.2">
      <c r="A2354" s="22">
        <f ca="1">IFERROR(__xludf.DUMMYFUNCTION("""COMPUTED_VALUE"""),44810)</f>
        <v>44810</v>
      </c>
      <c r="B2354" s="23" t="str">
        <f ca="1">IFERROR(__xludf.DUMMYFUNCTION("""COMPUTED_VALUE"""),"ZESTAW NATRYSKO PODTYNK MILD BLACK ROSE GOLD + BOX")</f>
        <v>ZESTAW NATRYSKO PODTYNK MILD BLACK ROSE GOLD + BOX</v>
      </c>
      <c r="C2354" s="23"/>
      <c r="D2354" s="24">
        <f ca="1">IFERROR(__xludf.DUMMYFUNCTION("""COMPUTED_VALUE"""),629)</f>
        <v>629</v>
      </c>
      <c r="E2354" s="25" t="str">
        <f ca="1">IFERROR(__xludf.DUMMYFUNCTION("""COMPUTED_VALUE"""),"REA-P9143")</f>
        <v>REA-P9143</v>
      </c>
    </row>
    <row r="2355" spans="1:5" x14ac:dyDescent="0.2">
      <c r="A2355" s="22">
        <f ca="1">IFERROR(__xludf.DUMMYFUNCTION("""COMPUTED_VALUE"""),44810)</f>
        <v>44810</v>
      </c>
      <c r="B2355" s="23" t="str">
        <f ca="1">IFERROR(__xludf.DUMMYFUNCTION("""COMPUTED_VALUE"""),"BATERIA PODTYNKOWA MILD BLACK ROSE GOLD + BOX")</f>
        <v>BATERIA PODTYNKOWA MILD BLACK ROSE GOLD + BOX</v>
      </c>
      <c r="C2355" s="23"/>
      <c r="D2355" s="24">
        <f ca="1">IFERROR(__xludf.DUMMYFUNCTION("""COMPUTED_VALUE"""),459)</f>
        <v>459</v>
      </c>
      <c r="E2355" s="25" t="str">
        <f ca="1">IFERROR(__xludf.DUMMYFUNCTION("""COMPUTED_VALUE"""),"REA-B9142")</f>
        <v>REA-B9142</v>
      </c>
    </row>
    <row r="2356" spans="1:5" x14ac:dyDescent="0.2">
      <c r="A2356" s="22">
        <f ca="1">IFERROR(__xludf.DUMMYFUNCTION("""COMPUTED_VALUE"""),44810)</f>
        <v>44810</v>
      </c>
      <c r="B2356" s="23" t="str">
        <f ca="1">IFERROR(__xludf.DUMMYFUNCTION("""COMPUTED_VALUE"""),"WANNA VICTORIA 170")</f>
        <v>WANNA VICTORIA 170</v>
      </c>
      <c r="C2356" s="23"/>
      <c r="D2356" s="24">
        <f ca="1">IFERROR(__xludf.DUMMYFUNCTION("""COMPUTED_VALUE"""),4579)</f>
        <v>4579</v>
      </c>
      <c r="E2356" s="26" t="str">
        <f ca="1">IFERROR(__xludf.DUMMYFUNCTION("""COMPUTED_VALUE"""),"REA-W0030")</f>
        <v>REA-W0030</v>
      </c>
    </row>
    <row r="2357" spans="1:5" x14ac:dyDescent="0.2">
      <c r="A2357" s="22">
        <f ca="1">IFERROR(__xludf.DUMMYFUNCTION("""COMPUTED_VALUE"""),44810)</f>
        <v>44810</v>
      </c>
      <c r="B2357" s="23" t="str">
        <f ca="1">IFERROR(__xludf.DUMMYFUNCTION("""COMPUTED_VALUE"""),"UMYWALKA STELLA ROSE GOLD EDGE - NABLATOWA")</f>
        <v>UMYWALKA STELLA ROSE GOLD EDGE - NABLATOWA</v>
      </c>
      <c r="C2357" s="23"/>
      <c r="D2357" s="24">
        <f ca="1">IFERROR(__xludf.DUMMYFUNCTION("""COMPUTED_VALUE"""),329)</f>
        <v>329</v>
      </c>
      <c r="E2357" s="25" t="str">
        <f ca="1">IFERROR(__xludf.DUMMYFUNCTION("""COMPUTED_VALUE"""),"REA-U7444")</f>
        <v>REA-U7444</v>
      </c>
    </row>
    <row r="2358" spans="1:5" x14ac:dyDescent="0.2">
      <c r="A2358" s="22">
        <f ca="1">IFERROR(__xludf.DUMMYFUNCTION("""COMPUTED_VALUE"""),44803)</f>
        <v>44803</v>
      </c>
      <c r="B2358" s="23" t="str">
        <f ca="1">IFERROR(__xludf.DUMMYFUNCTION("""COMPUTED_VALUE"""),"WANNA FERRANO 170")</f>
        <v>WANNA FERRANO 170</v>
      </c>
      <c r="C2358" s="23"/>
      <c r="D2358" s="24">
        <f ca="1">IFERROR(__xludf.DUMMYFUNCTION("""COMPUTED_VALUE"""),2869)</f>
        <v>2869</v>
      </c>
      <c r="E2358" s="26" t="str">
        <f ca="1">IFERROR(__xludf.DUMMYFUNCTION("""COMPUTED_VALUE"""),"REA-W0106")</f>
        <v>REA-W0106</v>
      </c>
    </row>
    <row r="2359" spans="1:5" x14ac:dyDescent="0.2">
      <c r="A2359" s="22">
        <f ca="1">IFERROR(__xludf.DUMMYFUNCTION("""COMPUTED_VALUE"""),44803)</f>
        <v>44803</v>
      </c>
      <c r="B2359" s="23" t="str">
        <f ca="1">IFERROR(__xludf.DUMMYFUNCTION("""COMPUTED_VALUE"""),"KABINA CALANI ORION 80*80 CHROM")</f>
        <v>KABINA CALANI ORION 80*80 CHROM</v>
      </c>
      <c r="C2359" s="23"/>
      <c r="D2359" s="24">
        <f ca="1">IFERROR(__xludf.DUMMYFUNCTION("""COMPUTED_VALUE"""),999)</f>
        <v>999</v>
      </c>
      <c r="E2359" s="26" t="str">
        <f ca="1">IFERROR(__xludf.DUMMYFUNCTION("""COMPUTED_VALUE"""),"CAL-K0200")</f>
        <v>CAL-K0200</v>
      </c>
    </row>
    <row r="2360" spans="1:5" x14ac:dyDescent="0.2">
      <c r="A2360" s="22">
        <f ca="1">IFERROR(__xludf.DUMMYFUNCTION("""COMPUTED_VALUE"""),44803)</f>
        <v>44803</v>
      </c>
      <c r="B2360" s="23" t="str">
        <f ca="1">IFERROR(__xludf.DUMMYFUNCTION("""COMPUTED_VALUE"""),"KABINA CALANI ORION 90*90 CHROM ")</f>
        <v xml:space="preserve">KABINA CALANI ORION 90*90 CHROM </v>
      </c>
      <c r="C2360" s="23"/>
      <c r="D2360" s="24">
        <f ca="1">IFERROR(__xludf.DUMMYFUNCTION("""COMPUTED_VALUE"""),999)</f>
        <v>999</v>
      </c>
      <c r="E2360" s="26" t="str">
        <f ca="1">IFERROR(__xludf.DUMMYFUNCTION("""COMPUTED_VALUE"""),"CAL-K0201")</f>
        <v>CAL-K0201</v>
      </c>
    </row>
    <row r="2361" spans="1:5" x14ac:dyDescent="0.2">
      <c r="A2361" s="22">
        <f ca="1">IFERROR(__xludf.DUMMYFUNCTION("""COMPUTED_VALUE"""),44803)</f>
        <v>44803</v>
      </c>
      <c r="B2361" s="23" t="str">
        <f ca="1">IFERROR(__xludf.DUMMYFUNCTION("""COMPUTED_VALUE"""),"KABINA VITO 90*90 BLACK")</f>
        <v>KABINA VITO 90*90 BLACK</v>
      </c>
      <c r="C2361" s="23"/>
      <c r="D2361" s="24">
        <f ca="1">IFERROR(__xludf.DUMMYFUNCTION("""COMPUTED_VALUE"""),1019)</f>
        <v>1019</v>
      </c>
      <c r="E2361" s="26" t="str">
        <f ca="1">IFERROR(__xludf.DUMMYFUNCTION("""COMPUTED_VALUE"""),"CAL-K6003")</f>
        <v>CAL-K6003</v>
      </c>
    </row>
    <row r="2362" spans="1:5" x14ac:dyDescent="0.2">
      <c r="A2362" s="22">
        <f ca="1">IFERROR(__xludf.DUMMYFUNCTION("""COMPUTED_VALUE"""),44803)</f>
        <v>44803</v>
      </c>
      <c r="B2362" s="23" t="str">
        <f ca="1">IFERROR(__xludf.DUMMYFUNCTION("""COMPUTED_VALUE"""),"KABINA VITO 80*80 BLACK")</f>
        <v>KABINA VITO 80*80 BLACK</v>
      </c>
      <c r="C2362" s="23"/>
      <c r="D2362" s="24">
        <f ca="1">IFERROR(__xludf.DUMMYFUNCTION("""COMPUTED_VALUE"""),699)</f>
        <v>699</v>
      </c>
      <c r="E2362" s="26" t="str">
        <f ca="1">IFERROR(__xludf.DUMMYFUNCTION("""COMPUTED_VALUE"""),"CAL-K6002")</f>
        <v>CAL-K6002</v>
      </c>
    </row>
    <row r="2363" spans="1:5" x14ac:dyDescent="0.2">
      <c r="A2363" s="22">
        <f ca="1">IFERROR(__xludf.DUMMYFUNCTION("""COMPUTED_VALUE"""),44803)</f>
        <v>44803</v>
      </c>
      <c r="B2363" s="23" t="str">
        <f ca="1">IFERROR(__xludf.DUMMYFUNCTION("""COMPUTED_VALUE"""),"KABINA VITO 80*100 BLACK")</f>
        <v>KABINA VITO 80*100 BLACK</v>
      </c>
      <c r="C2363" s="23"/>
      <c r="D2363" s="24">
        <f ca="1">IFERROR(__xludf.DUMMYFUNCTION("""COMPUTED_VALUE"""),899)</f>
        <v>899</v>
      </c>
      <c r="E2363" s="26" t="str">
        <f ca="1">IFERROR(__xludf.DUMMYFUNCTION("""COMPUTED_VALUE"""),"CAL-K6004")</f>
        <v>CAL-K6004</v>
      </c>
    </row>
    <row r="2364" spans="1:5" x14ac:dyDescent="0.2">
      <c r="A2364" s="22">
        <f ca="1">IFERROR(__xludf.DUMMYFUNCTION("""COMPUTED_VALUE"""),44803)</f>
        <v>44803</v>
      </c>
      <c r="B2364" s="23" t="str">
        <f ca="1">IFERROR(__xludf.DUMMYFUNCTION("""COMPUTED_VALUE"""),"KABINA CALANI DELTA 90*90 ")</f>
        <v xml:space="preserve">KABINA CALANI DELTA 90*90 </v>
      </c>
      <c r="C2364" s="23"/>
      <c r="D2364" s="24">
        <f ca="1">IFERROR(__xludf.DUMMYFUNCTION("""COMPUTED_VALUE"""),799)</f>
        <v>799</v>
      </c>
      <c r="E2364" s="26" t="str">
        <f ca="1">IFERROR(__xludf.DUMMYFUNCTION("""COMPUTED_VALUE"""),"CAL-K6521")</f>
        <v>CAL-K6521</v>
      </c>
    </row>
    <row r="2365" spans="1:5" x14ac:dyDescent="0.2">
      <c r="A2365" s="22">
        <f ca="1">IFERROR(__xludf.DUMMYFUNCTION("""COMPUTED_VALUE"""),44803)</f>
        <v>44803</v>
      </c>
      <c r="B2365" s="23" t="str">
        <f ca="1">IFERROR(__xludf.DUMMYFUNCTION("""COMPUTED_VALUE"""),"KOREK KLIK-KLAK UNIWERSALNY CHROME")</f>
        <v>KOREK KLIK-KLAK UNIWERSALNY CHROME</v>
      </c>
      <c r="C2365" s="23"/>
      <c r="D2365" s="24">
        <f ca="1">IFERROR(__xludf.DUMMYFUNCTION("""COMPUTED_VALUE"""),69)</f>
        <v>69</v>
      </c>
      <c r="E2365" s="25" t="str">
        <f ca="1">IFERROR(__xludf.DUMMYFUNCTION("""COMPUTED_VALUE"""),"REA-A5217")</f>
        <v>REA-A5217</v>
      </c>
    </row>
    <row r="2366" spans="1:5" x14ac:dyDescent="0.2">
      <c r="A2366" s="22">
        <f ca="1">IFERROR(__xludf.DUMMYFUNCTION("""COMPUTED_VALUE"""),44803)</f>
        <v>44803</v>
      </c>
      <c r="B2366" s="23" t="str">
        <f ca="1">IFERROR(__xludf.DUMMYFUNCTION("""COMPUTED_VALUE"""),"BATERIA CALANI UMYWALKOWA NEXOS WYSOKA H BLACK")</f>
        <v>BATERIA CALANI UMYWALKOWA NEXOS WYSOKA H BLACK</v>
      </c>
      <c r="C2366" s="23"/>
      <c r="D2366" s="24">
        <f ca="1">IFERROR(__xludf.DUMMYFUNCTION("""COMPUTED_VALUE"""),199)</f>
        <v>199</v>
      </c>
      <c r="E2366" s="25" t="str">
        <f ca="1">IFERROR(__xludf.DUMMYFUNCTION("""COMPUTED_VALUE"""),"CAL-B0004")</f>
        <v>CAL-B0004</v>
      </c>
    </row>
    <row r="2367" spans="1:5" x14ac:dyDescent="0.2">
      <c r="A2367" s="22">
        <f ca="1">IFERROR(__xludf.DUMMYFUNCTION("""COMPUTED_VALUE"""),44803)</f>
        <v>44803</v>
      </c>
      <c r="B2367" s="23" t="str">
        <f ca="1">IFERROR(__xludf.DUMMYFUNCTION("""COMPUTED_VALUE"""),"BATERIA UMYWALKOWA KENT BLACK")</f>
        <v>BATERIA UMYWALKOWA KENT BLACK</v>
      </c>
      <c r="C2367" s="23"/>
      <c r="D2367" s="24">
        <f ca="1">IFERROR(__xludf.DUMMYFUNCTION("""COMPUTED_VALUE"""),339)</f>
        <v>339</v>
      </c>
      <c r="E2367" s="25" t="str">
        <f ca="1">IFERROR(__xludf.DUMMYFUNCTION("""COMPUTED_VALUE"""),"REA-B8012")</f>
        <v>REA-B8012</v>
      </c>
    </row>
    <row r="2368" spans="1:5" x14ac:dyDescent="0.2">
      <c r="A2368" s="22">
        <f ca="1">IFERROR(__xludf.DUMMYFUNCTION("""COMPUTED_VALUE"""),44803)</f>
        <v>44803</v>
      </c>
      <c r="B2368" s="23" t="str">
        <f ca="1">IFERROR(__xludf.DUMMYFUNCTION("""COMPUTED_VALUE"""),"BATERIA UMYWALKOWA LUGANO BLACK WYSOKA")</f>
        <v>BATERIA UMYWALKOWA LUGANO BLACK WYSOKA</v>
      </c>
      <c r="C2368" s="23"/>
      <c r="D2368" s="24">
        <f ca="1">IFERROR(__xludf.DUMMYFUNCTION("""COMPUTED_VALUE"""),339)</f>
        <v>339</v>
      </c>
      <c r="E2368" s="25" t="str">
        <f ca="1">IFERROR(__xludf.DUMMYFUNCTION("""COMPUTED_VALUE"""),"REA-B5001")</f>
        <v>REA-B5001</v>
      </c>
    </row>
    <row r="2369" spans="1:5" x14ac:dyDescent="0.2">
      <c r="A2369" s="22">
        <f ca="1">IFERROR(__xludf.DUMMYFUNCTION("""COMPUTED_VALUE"""),44803)</f>
        <v>44803</v>
      </c>
      <c r="B2369" s="23" t="str">
        <f ca="1">IFERROR(__xludf.DUMMYFUNCTION("""COMPUTED_VALUE"""),"BATERIA UMYWALKOWA LUGANO L.GOLD WYSOKA")</f>
        <v>BATERIA UMYWALKOWA LUGANO L.GOLD WYSOKA</v>
      </c>
      <c r="C2369" s="23"/>
      <c r="D2369" s="24">
        <f ca="1">IFERROR(__xludf.DUMMYFUNCTION("""COMPUTED_VALUE"""),389)</f>
        <v>389</v>
      </c>
      <c r="E2369" s="25" t="str">
        <f ca="1">IFERROR(__xludf.DUMMYFUNCTION("""COMPUTED_VALUE"""),"REA-B5002")</f>
        <v>REA-B5002</v>
      </c>
    </row>
    <row r="2370" spans="1:5" x14ac:dyDescent="0.2">
      <c r="A2370" s="22">
        <f ca="1">IFERROR(__xludf.DUMMYFUNCTION("""COMPUTED_VALUE"""),44803)</f>
        <v>44803</v>
      </c>
      <c r="B2370" s="23" t="str">
        <f ca="1">IFERROR(__xludf.DUMMYFUNCTION("""COMPUTED_VALUE"""),"BATERIA CALANI UMYWALKOWA PODTYNKOWA NEXOS C BLACK")</f>
        <v>BATERIA CALANI UMYWALKOWA PODTYNKOWA NEXOS C BLACK</v>
      </c>
      <c r="C2370" s="23"/>
      <c r="D2370" s="24">
        <f ca="1">IFERROR(__xludf.DUMMYFUNCTION("""COMPUTED_VALUE"""),229)</f>
        <v>229</v>
      </c>
      <c r="E2370" s="25" t="str">
        <f ca="1">IFERROR(__xludf.DUMMYFUNCTION("""COMPUTED_VALUE"""),"CAL-B0005")</f>
        <v>CAL-B0005</v>
      </c>
    </row>
    <row r="2371" spans="1:5" x14ac:dyDescent="0.2">
      <c r="A2371" s="22">
        <f ca="1">IFERROR(__xludf.DUMMYFUNCTION("""COMPUTED_VALUE"""),44803)</f>
        <v>44803</v>
      </c>
      <c r="B2371" s="23" t="str">
        <f ca="1">IFERROR(__xludf.DUMMYFUNCTION("""COMPUTED_VALUE"""),"BATERIA WANNOWA MAYSON L.GOLD")</f>
        <v>BATERIA WANNOWA MAYSON L.GOLD</v>
      </c>
      <c r="C2371" s="23"/>
      <c r="D2371" s="24">
        <f ca="1">IFERROR(__xludf.DUMMYFUNCTION("""COMPUTED_VALUE"""),419)</f>
        <v>419</v>
      </c>
      <c r="E2371" s="25" t="str">
        <f ca="1">IFERROR(__xludf.DUMMYFUNCTION("""COMPUTED_VALUE"""),"REA-B5662")</f>
        <v>REA-B5662</v>
      </c>
    </row>
    <row r="2372" spans="1:5" x14ac:dyDescent="0.2">
      <c r="A2372" s="22">
        <f ca="1">IFERROR(__xludf.DUMMYFUNCTION("""COMPUTED_VALUE"""),44803)</f>
        <v>44803</v>
      </c>
      <c r="B2372" s="23" t="str">
        <f ca="1">IFERROR(__xludf.DUMMYFUNCTION("""COMPUTED_VALUE"""),"BATERIA UMYWALKOWA VINTAGE OLD BLACK WYSOKA")</f>
        <v>BATERIA UMYWALKOWA VINTAGE OLD BLACK WYSOKA</v>
      </c>
      <c r="C2372" s="23"/>
      <c r="D2372" s="24">
        <f ca="1">IFERROR(__xludf.DUMMYFUNCTION("""COMPUTED_VALUE"""),369)</f>
        <v>369</v>
      </c>
      <c r="E2372" s="25" t="str">
        <f ca="1">IFERROR(__xludf.DUMMYFUNCTION("""COMPUTED_VALUE"""),"REA-B0227")</f>
        <v>REA-B0227</v>
      </c>
    </row>
    <row r="2373" spans="1:5" x14ac:dyDescent="0.2">
      <c r="A2373" s="22">
        <f ca="1">IFERROR(__xludf.DUMMYFUNCTION("""COMPUTED_VALUE"""),44803)</f>
        <v>44803</v>
      </c>
      <c r="B2373" s="23" t="str">
        <f ca="1">IFERROR(__xludf.DUMMYFUNCTION("""COMPUTED_VALUE"""),"BATERIA PODTYNKOWA VIVA BLACK+ BOX")</f>
        <v>BATERIA PODTYNKOWA VIVA BLACK+ BOX</v>
      </c>
      <c r="C2373" s="23"/>
      <c r="D2373" s="24">
        <f ca="1">IFERROR(__xludf.DUMMYFUNCTION("""COMPUTED_VALUE"""),399)</f>
        <v>399</v>
      </c>
      <c r="E2373" s="25" t="str">
        <f ca="1">IFERROR(__xludf.DUMMYFUNCTION("""COMPUTED_VALUE"""),"REA-B0231")</f>
        <v>REA-B0231</v>
      </c>
    </row>
    <row r="2374" spans="1:5" x14ac:dyDescent="0.2">
      <c r="A2374" s="22">
        <f ca="1">IFERROR(__xludf.DUMMYFUNCTION("""COMPUTED_VALUE"""),44803)</f>
        <v>44803</v>
      </c>
      <c r="B2374" s="23" t="str">
        <f ca="1">IFERROR(__xludf.DUMMYFUNCTION("""COMPUTED_VALUE"""),"BATERIA WANNOWA CARAT BLACK MATT")</f>
        <v>BATERIA WANNOWA CARAT BLACK MATT</v>
      </c>
      <c r="C2374" s="23"/>
      <c r="D2374" s="24">
        <f ca="1">IFERROR(__xludf.DUMMYFUNCTION("""COMPUTED_VALUE"""),1369)</f>
        <v>1369</v>
      </c>
      <c r="E2374" s="25" t="str">
        <f ca="1">IFERROR(__xludf.DUMMYFUNCTION("""COMPUTED_VALUE"""),"REA-B5423")</f>
        <v>REA-B5423</v>
      </c>
    </row>
    <row r="2375" spans="1:5" x14ac:dyDescent="0.2">
      <c r="A2375" s="22">
        <f ca="1">IFERROR(__xludf.DUMMYFUNCTION("""COMPUTED_VALUE"""),44803)</f>
        <v>44803</v>
      </c>
      <c r="B2375" s="23" t="str">
        <f ca="1">IFERROR(__xludf.DUMMYFUNCTION("""COMPUTED_VALUE"""),"BATERIA UMYWALKOWA FENIX BLACK NISKA")</f>
        <v>BATERIA UMYWALKOWA FENIX BLACK NISKA</v>
      </c>
      <c r="C2375" s="23"/>
      <c r="D2375" s="24">
        <f ca="1">IFERROR(__xludf.DUMMYFUNCTION("""COMPUTED_VALUE"""),299)</f>
        <v>299</v>
      </c>
      <c r="E2375" s="25" t="str">
        <f ca="1">IFERROR(__xludf.DUMMYFUNCTION("""COMPUTED_VALUE"""),"REA-B7894")</f>
        <v>REA-B7894</v>
      </c>
    </row>
    <row r="2376" spans="1:5" x14ac:dyDescent="0.2">
      <c r="A2376" s="22">
        <f ca="1">IFERROR(__xludf.DUMMYFUNCTION("""COMPUTED_VALUE"""),44803)</f>
        <v>44803</v>
      </c>
      <c r="B2376" s="23" t="str">
        <f ca="1">IFERROR(__xludf.DUMMYFUNCTION("""COMPUTED_VALUE"""),"ZESTAW WANNOWY PODTYNKOWY LUNGO BLACK")</f>
        <v>ZESTAW WANNOWY PODTYNKOWY LUNGO BLACK</v>
      </c>
      <c r="C2376" s="23"/>
      <c r="D2376" s="24">
        <f ca="1">IFERROR(__xludf.DUMMYFUNCTION("""COMPUTED_VALUE"""),759)</f>
        <v>759</v>
      </c>
      <c r="E2376" s="25" t="str">
        <f ca="1">IFERROR(__xludf.DUMMYFUNCTION("""COMPUTED_VALUE"""),"REA-P6300")</f>
        <v>REA-P6300</v>
      </c>
    </row>
    <row r="2377" spans="1:5" x14ac:dyDescent="0.2">
      <c r="A2377" s="22">
        <f ca="1">IFERROR(__xludf.DUMMYFUNCTION("""COMPUTED_VALUE"""),44803)</f>
        <v>44803</v>
      </c>
      <c r="B2377" s="23" t="str">
        <f ca="1">IFERROR(__xludf.DUMMYFUNCTION("""COMPUTED_VALUE"""),"ZESTAW NATRYSKOWY PODTYNKOWY LUNGO BLACK + BOX")</f>
        <v>ZESTAW NATRYSKOWY PODTYNKOWY LUNGO BLACK + BOX</v>
      </c>
      <c r="C2377" s="23"/>
      <c r="D2377" s="24">
        <f ca="1">IFERROR(__xludf.DUMMYFUNCTION("""COMPUTED_VALUE"""),899)</f>
        <v>899</v>
      </c>
      <c r="E2377" s="25" t="str">
        <f ca="1">IFERROR(__xludf.DUMMYFUNCTION("""COMPUTED_VALUE"""),"REA-P4100")</f>
        <v>REA-P4100</v>
      </c>
    </row>
    <row r="2378" spans="1:5" x14ac:dyDescent="0.2">
      <c r="A2378" s="22">
        <f ca="1">IFERROR(__xludf.DUMMYFUNCTION("""COMPUTED_VALUE"""),44803)</f>
        <v>44803</v>
      </c>
      <c r="B2378" s="23" t="str">
        <f ca="1">IFERROR(__xludf.DUMMYFUNCTION("""COMPUTED_VALUE"""),"BATERIA WANNOWA LUNGO ROSE GOLD")</f>
        <v>BATERIA WANNOWA LUNGO ROSE GOLD</v>
      </c>
      <c r="C2378" s="23"/>
      <c r="D2378" s="24">
        <f ca="1">IFERROR(__xludf.DUMMYFUNCTION("""COMPUTED_VALUE"""),669)</f>
        <v>669</v>
      </c>
      <c r="E2378" s="25" t="str">
        <f ca="1">IFERROR(__xludf.DUMMYFUNCTION("""COMPUTED_VALUE"""),"REA-B6695")</f>
        <v>REA-B6695</v>
      </c>
    </row>
    <row r="2379" spans="1:5" x14ac:dyDescent="0.2">
      <c r="A2379" s="22">
        <f ca="1">IFERROR(__xludf.DUMMYFUNCTION("""COMPUTED_VALUE"""),44803)</f>
        <v>44803</v>
      </c>
      <c r="B2379" s="23" t="str">
        <f ca="1">IFERROR(__xludf.DUMMYFUNCTION("""COMPUTED_VALUE"""),"BATERIA WANNOWA LUNGO L.GOLD")</f>
        <v>BATERIA WANNOWA LUNGO L.GOLD</v>
      </c>
      <c r="C2379" s="23"/>
      <c r="D2379" s="24">
        <f ca="1">IFERROR(__xludf.DUMMYFUNCTION("""COMPUTED_VALUE"""),669)</f>
        <v>669</v>
      </c>
      <c r="E2379" s="25" t="str">
        <f ca="1">IFERROR(__xludf.DUMMYFUNCTION("""COMPUTED_VALUE"""),"REA-B6635")</f>
        <v>REA-B6635</v>
      </c>
    </row>
    <row r="2380" spans="1:5" x14ac:dyDescent="0.2">
      <c r="A2380" s="22">
        <f ca="1">IFERROR(__xludf.DUMMYFUNCTION("""COMPUTED_VALUE"""),44803)</f>
        <v>44803</v>
      </c>
      <c r="B2380" s="23" t="str">
        <f ca="1">IFERROR(__xludf.DUMMYFUNCTION("""COMPUTED_VALUE"""),"UMYWALKA ANDREA - NABLATOWA")</f>
        <v>UMYWALKA ANDREA - NABLATOWA</v>
      </c>
      <c r="C2380" s="23"/>
      <c r="D2380" s="24">
        <f ca="1">IFERROR(__xludf.DUMMYFUNCTION("""COMPUTED_VALUE"""),289)</f>
        <v>289</v>
      </c>
      <c r="E2380" s="25" t="str">
        <f ca="1">IFERROR(__xludf.DUMMYFUNCTION("""COMPUTED_VALUE"""),"REA-U6333")</f>
        <v>REA-U6333</v>
      </c>
    </row>
    <row r="2381" spans="1:5" x14ac:dyDescent="0.2">
      <c r="A2381" s="22">
        <f ca="1">IFERROR(__xludf.DUMMYFUNCTION("""COMPUTED_VALUE"""),44803)</f>
        <v>44803</v>
      </c>
      <c r="B2381" s="23" t="str">
        <f ca="1">IFERROR(__xludf.DUMMYFUNCTION("""COMPUTED_VALUE"""),"UMYWALKA QUEEN CARRARA SHINY - NABLATOWA")</f>
        <v>UMYWALKA QUEEN CARRARA SHINY - NABLATOWA</v>
      </c>
      <c r="C2381" s="23"/>
      <c r="D2381" s="24">
        <f ca="1">IFERROR(__xludf.DUMMYFUNCTION("""COMPUTED_VALUE"""),459)</f>
        <v>459</v>
      </c>
      <c r="E2381" s="25" t="str">
        <f ca="1">IFERROR(__xludf.DUMMYFUNCTION("""COMPUTED_VALUE"""),"REA-U1232")</f>
        <v>REA-U1232</v>
      </c>
    </row>
    <row r="2382" spans="1:5" x14ac:dyDescent="0.2">
      <c r="A2382" s="22">
        <f ca="1">IFERROR(__xludf.DUMMYFUNCTION("""COMPUTED_VALUE"""),44803)</f>
        <v>44803</v>
      </c>
      <c r="B2382" s="23" t="str">
        <f ca="1">IFERROR(__xludf.DUMMYFUNCTION("""COMPUTED_VALUE"""),"UMYWALKA SOFIA STONE - NABLATOWA")</f>
        <v>UMYWALKA SOFIA STONE - NABLATOWA</v>
      </c>
      <c r="C2382" s="23"/>
      <c r="D2382" s="24">
        <f ca="1">IFERROR(__xludf.DUMMYFUNCTION("""COMPUTED_VALUE"""),349)</f>
        <v>349</v>
      </c>
      <c r="E2382" s="25" t="str">
        <f ca="1">IFERROR(__xludf.DUMMYFUNCTION("""COMPUTED_VALUE"""),"REA-U9908")</f>
        <v>REA-U9908</v>
      </c>
    </row>
    <row r="2383" spans="1:5" x14ac:dyDescent="0.2">
      <c r="A2383" s="22">
        <f ca="1">IFERROR(__xludf.DUMMYFUNCTION("""COMPUTED_VALUE"""),44803)</f>
        <v>44803</v>
      </c>
      <c r="B2383" s="23" t="str">
        <f ca="1">IFERROR(__xludf.DUMMYFUNCTION("""COMPUTED_VALUE"""),"UMYWALKA SOFIA LIGHT STONE - NABLATOWA")</f>
        <v>UMYWALKA SOFIA LIGHT STONE - NABLATOWA</v>
      </c>
      <c r="C2383" s="23"/>
      <c r="D2383" s="24">
        <f ca="1">IFERROR(__xludf.DUMMYFUNCTION("""COMPUTED_VALUE"""),349)</f>
        <v>349</v>
      </c>
      <c r="E2383" s="25" t="str">
        <f ca="1">IFERROR(__xludf.DUMMYFUNCTION("""COMPUTED_VALUE"""),"REA-U0165")</f>
        <v>REA-U0165</v>
      </c>
    </row>
    <row r="2384" spans="1:5" x14ac:dyDescent="0.2">
      <c r="A2384" s="22">
        <f ca="1">IFERROR(__xludf.DUMMYFUNCTION("""COMPUTED_VALUE"""),44803)</f>
        <v>44803</v>
      </c>
      <c r="B2384" s="23" t="str">
        <f ca="1">IFERROR(__xludf.DUMMYFUNCTION("""COMPUTED_VALUE"""),"BATERIA UMYWALKOWA LEVI BLACK ")</f>
        <v xml:space="preserve">BATERIA UMYWALKOWA LEVI BLACK </v>
      </c>
      <c r="C2384" s="23"/>
      <c r="D2384" s="24">
        <f ca="1">IFERROR(__xludf.DUMMYFUNCTION("""COMPUTED_VALUE"""),399)</f>
        <v>399</v>
      </c>
      <c r="E2384" s="25" t="str">
        <f ca="1">IFERROR(__xludf.DUMMYFUNCTION("""COMPUTED_VALUE"""),"REA-B5136")</f>
        <v>REA-B5136</v>
      </c>
    </row>
    <row r="2385" spans="1:5" x14ac:dyDescent="0.2">
      <c r="A2385" s="22">
        <f ca="1">IFERROR(__xludf.DUMMYFUNCTION("""COMPUTED_VALUE"""),44792)</f>
        <v>44792</v>
      </c>
      <c r="B2385" s="23" t="str">
        <f ca="1">IFERROR(__xludf.DUMMYFUNCTION("""COMPUTED_VALUE"""),"KABINA RUBIK 90X90")</f>
        <v>KABINA RUBIK 90X90</v>
      </c>
      <c r="C2385" s="23"/>
      <c r="D2385" s="24">
        <f ca="1">IFERROR(__xludf.DUMMYFUNCTION("""COMPUTED_VALUE"""),1599)</f>
        <v>1599</v>
      </c>
      <c r="E2385" s="25" t="str">
        <f ca="1">IFERROR(__xludf.DUMMYFUNCTION("""COMPUTED_VALUE"""),"REA-K9231")</f>
        <v>REA-K9231</v>
      </c>
    </row>
    <row r="2386" spans="1:5" x14ac:dyDescent="0.2">
      <c r="A2386" s="22">
        <f ca="1">IFERROR(__xludf.DUMMYFUNCTION("""COMPUTED_VALUE"""),44792)</f>
        <v>44792</v>
      </c>
      <c r="B2386" s="23" t="str">
        <f ca="1">IFERROR(__xludf.DUMMYFUNCTION("""COMPUTED_VALUE"""),"KABINA DIAMOND BLACK 100X100")</f>
        <v>KABINA DIAMOND BLACK 100X100</v>
      </c>
      <c r="C2386" s="23"/>
      <c r="D2386" s="24">
        <f ca="1">IFERROR(__xludf.DUMMYFUNCTION("""COMPUTED_VALUE"""),1849)</f>
        <v>1849</v>
      </c>
      <c r="E2386" s="25" t="str">
        <f ca="1">IFERROR(__xludf.DUMMYFUNCTION("""COMPUTED_VALUE"""),"REA-K5623")</f>
        <v>REA-K5623</v>
      </c>
    </row>
    <row r="2387" spans="1:5" x14ac:dyDescent="0.2">
      <c r="A2387" s="22">
        <f ca="1">IFERROR(__xludf.DUMMYFUNCTION("""COMPUTED_VALUE"""),44792)</f>
        <v>44792</v>
      </c>
      <c r="B2387" s="23" t="str">
        <f ca="1">IFERROR(__xludf.DUMMYFUNCTION("""COMPUTED_VALUE"""),"DRZWI PRYSZNICOWE SOLAR BLACK 150")</f>
        <v>DRZWI PRYSZNICOWE SOLAR BLACK 150</v>
      </c>
      <c r="C2387" s="23"/>
      <c r="D2387" s="24">
        <f ca="1">IFERROR(__xludf.DUMMYFUNCTION("""COMPUTED_VALUE"""),1099)</f>
        <v>1099</v>
      </c>
      <c r="E2387" s="25" t="str">
        <f ca="1">IFERROR(__xludf.DUMMYFUNCTION("""COMPUTED_VALUE"""),"REA-K6360")</f>
        <v>REA-K6360</v>
      </c>
    </row>
    <row r="2388" spans="1:5" x14ac:dyDescent="0.2">
      <c r="A2388" s="22">
        <f ca="1">IFERROR(__xludf.DUMMYFUNCTION("""COMPUTED_VALUE"""),44792)</f>
        <v>44792</v>
      </c>
      <c r="B2388" s="23" t="str">
        <f ca="1">IFERROR(__xludf.DUMMYFUNCTION("""COMPUTED_VALUE"""),"DRZWI WESTERN SPACE N2 90 TR")</f>
        <v>DRZWI WESTERN SPACE N2 90 TR</v>
      </c>
      <c r="C2388" s="23"/>
      <c r="D2388" s="24">
        <f ca="1">IFERROR(__xludf.DUMMYFUNCTION("""COMPUTED_VALUE"""),760)</f>
        <v>760</v>
      </c>
      <c r="E2388" s="25" t="str">
        <f ca="1">IFERROR(__xludf.DUMMYFUNCTION("""COMPUTED_VALUE"""),"REA-K9993")</f>
        <v>REA-K9993</v>
      </c>
    </row>
    <row r="2389" spans="1:5" x14ac:dyDescent="0.2">
      <c r="A2389" s="22">
        <f ca="1">IFERROR(__xludf.DUMMYFUNCTION("""COMPUTED_VALUE"""),44792)</f>
        <v>44792</v>
      </c>
      <c r="B2389" s="23" t="str">
        <f ca="1">IFERROR(__xludf.DUMMYFUNCTION("""COMPUTED_VALUE"""),"DRZWI PRYSZNICOWE ALEX-805  130")</f>
        <v>DRZWI PRYSZNICOWE ALEX-805  130</v>
      </c>
      <c r="C2389" s="23"/>
      <c r="D2389" s="24">
        <f ca="1">IFERROR(__xludf.DUMMYFUNCTION("""COMPUTED_VALUE"""),1059)</f>
        <v>1059</v>
      </c>
      <c r="E2389" s="25" t="str">
        <f ca="1">IFERROR(__xludf.DUMMYFUNCTION("""COMPUTED_VALUE"""),"REA-K0923")</f>
        <v>REA-K0923</v>
      </c>
    </row>
    <row r="2390" spans="1:5" x14ac:dyDescent="0.2">
      <c r="A2390" s="22">
        <f ca="1">IFERROR(__xludf.DUMMYFUNCTION("""COMPUTED_VALUE"""),44792)</f>
        <v>44792</v>
      </c>
      <c r="B2390" s="23" t="str">
        <f ca="1">IFERROR(__xludf.DUMMYFUNCTION("""COMPUTED_VALUE"""),"ODPŁYW NEO &amp; PURE-500 N  PRO BRUSH")</f>
        <v>ODPŁYW NEO &amp; PURE-500 N  PRO BRUSH</v>
      </c>
      <c r="C2390" s="23"/>
      <c r="D2390" s="24">
        <f ca="1">IFERROR(__xludf.DUMMYFUNCTION("""COMPUTED_VALUE"""),219)</f>
        <v>219</v>
      </c>
      <c r="E2390" s="25" t="str">
        <f ca="1">IFERROR(__xludf.DUMMYFUNCTION("""COMPUTED_VALUE"""),"REA-G0988")</f>
        <v>REA-G0988</v>
      </c>
    </row>
    <row r="2391" spans="1:5" x14ac:dyDescent="0.2">
      <c r="A2391" s="22">
        <f ca="1">IFERROR(__xludf.DUMMYFUNCTION("""COMPUTED_VALUE"""),44792)</f>
        <v>44792</v>
      </c>
      <c r="B2391" s="23" t="str">
        <f ca="1">IFERROR(__xludf.DUMMYFUNCTION("""COMPUTED_VALUE"""),"ODPŁYW NEO &amp; PURE-600 N PRO BRUSH")</f>
        <v>ODPŁYW NEO &amp; PURE-600 N PRO BRUSH</v>
      </c>
      <c r="C2391" s="23"/>
      <c r="D2391" s="24">
        <f ca="1">IFERROR(__xludf.DUMMYFUNCTION("""COMPUTED_VALUE"""),235)</f>
        <v>235</v>
      </c>
      <c r="E2391" s="25" t="str">
        <f ca="1">IFERROR(__xludf.DUMMYFUNCTION("""COMPUTED_VALUE"""),"REA-G0900")</f>
        <v>REA-G0900</v>
      </c>
    </row>
    <row r="2392" spans="1:5" x14ac:dyDescent="0.2">
      <c r="A2392" s="22">
        <f ca="1">IFERROR(__xludf.DUMMYFUNCTION("""COMPUTED_VALUE"""),44792)</f>
        <v>44792</v>
      </c>
      <c r="B2392" s="23" t="str">
        <f ca="1">IFERROR(__xludf.DUMMYFUNCTION("""COMPUTED_VALUE"""),"ODPŁYW NEO &amp; PURE-700 N PRO BRUSH")</f>
        <v>ODPŁYW NEO &amp; PURE-700 N PRO BRUSH</v>
      </c>
      <c r="C2392" s="23"/>
      <c r="D2392" s="24">
        <f ca="1">IFERROR(__xludf.DUMMYFUNCTION("""COMPUTED_VALUE"""),249)</f>
        <v>249</v>
      </c>
      <c r="E2392" s="25" t="str">
        <f ca="1">IFERROR(__xludf.DUMMYFUNCTION("""COMPUTED_VALUE"""),"REA-G0901")</f>
        <v>REA-G0901</v>
      </c>
    </row>
    <row r="2393" spans="1:5" x14ac:dyDescent="0.2">
      <c r="A2393" s="22">
        <f ca="1">IFERROR(__xludf.DUMMYFUNCTION("""COMPUTED_VALUE"""),44792)</f>
        <v>44792</v>
      </c>
      <c r="B2393" s="23" t="str">
        <f ca="1">IFERROR(__xludf.DUMMYFUNCTION("""COMPUTED_VALUE"""),"ODPŁYW NEO &amp; PURE-800 N PRO BRUSH")</f>
        <v>ODPŁYW NEO &amp; PURE-800 N PRO BRUSH</v>
      </c>
      <c r="C2393" s="23"/>
      <c r="D2393" s="24">
        <f ca="1">IFERROR(__xludf.DUMMYFUNCTION("""COMPUTED_VALUE"""),269)</f>
        <v>269</v>
      </c>
      <c r="E2393" s="25" t="str">
        <f ca="1">IFERROR(__xludf.DUMMYFUNCTION("""COMPUTED_VALUE"""),"REA-G0902")</f>
        <v>REA-G0902</v>
      </c>
    </row>
    <row r="2394" spans="1:5" x14ac:dyDescent="0.2">
      <c r="A2394" s="22">
        <f ca="1">IFERROR(__xludf.DUMMYFUNCTION("""COMPUTED_VALUE"""),44792)</f>
        <v>44792</v>
      </c>
      <c r="B2394" s="23" t="str">
        <f ca="1">IFERROR(__xludf.DUMMYFUNCTION("""COMPUTED_VALUE"""),"ODPŁYW NEO &amp; PURE-900 N PRO BRUSH")</f>
        <v>ODPŁYW NEO &amp; PURE-900 N PRO BRUSH</v>
      </c>
      <c r="C2394" s="23"/>
      <c r="D2394" s="24">
        <f ca="1">IFERROR(__xludf.DUMMYFUNCTION("""COMPUTED_VALUE"""),289)</f>
        <v>289</v>
      </c>
      <c r="E2394" s="25" t="str">
        <f ca="1">IFERROR(__xludf.DUMMYFUNCTION("""COMPUTED_VALUE"""),"REA-G0903")</f>
        <v>REA-G0903</v>
      </c>
    </row>
    <row r="2395" spans="1:5" x14ac:dyDescent="0.2">
      <c r="A2395" s="22">
        <f ca="1">IFERROR(__xludf.DUMMYFUNCTION("""COMPUTED_VALUE"""),44792)</f>
        <v>44792</v>
      </c>
      <c r="B2395" s="23" t="str">
        <f ca="1">IFERROR(__xludf.DUMMYFUNCTION("""COMPUTED_VALUE"""),"ODPŁYW NEO &amp; PURE-1000 N PRO BRUSH")</f>
        <v>ODPŁYW NEO &amp; PURE-1000 N PRO BRUSH</v>
      </c>
      <c r="C2395" s="23"/>
      <c r="D2395" s="24">
        <f ca="1">IFERROR(__xludf.DUMMYFUNCTION("""COMPUTED_VALUE"""),299)</f>
        <v>299</v>
      </c>
      <c r="E2395" s="25" t="str">
        <f ca="1">IFERROR(__xludf.DUMMYFUNCTION("""COMPUTED_VALUE"""),"REA-G0989")</f>
        <v>REA-G0989</v>
      </c>
    </row>
    <row r="2396" spans="1:5" x14ac:dyDescent="0.2">
      <c r="A2396" s="22">
        <f ca="1">IFERROR(__xludf.DUMMYFUNCTION("""COMPUTED_VALUE"""),44792)</f>
        <v>44792</v>
      </c>
      <c r="B2396" s="23" t="str">
        <f ca="1">IFERROR(__xludf.DUMMYFUNCTION("""COMPUTED_VALUE"""),"ODPŁYW NEO &amp; PURE-800 N BRUSH")</f>
        <v>ODPŁYW NEO &amp; PURE-800 N BRUSH</v>
      </c>
      <c r="C2396" s="23"/>
      <c r="D2396" s="24">
        <f ca="1">IFERROR(__xludf.DUMMYFUNCTION("""COMPUTED_VALUE"""),259)</f>
        <v>259</v>
      </c>
      <c r="E2396" s="25" t="str">
        <f ca="1">IFERROR(__xludf.DUMMYFUNCTION("""COMPUTED_VALUE"""),"REA-G0093")</f>
        <v>REA-G0093</v>
      </c>
    </row>
    <row r="2397" spans="1:5" x14ac:dyDescent="0.2">
      <c r="A2397" s="22">
        <f ca="1">IFERROR(__xludf.DUMMYFUNCTION("""COMPUTED_VALUE"""),44792)</f>
        <v>44792</v>
      </c>
      <c r="B2397" s="23" t="str">
        <f ca="1">IFERROR(__xludf.DUMMYFUNCTION("""COMPUTED_VALUE"""),"ODPŁYW NEO &amp; PURE-900 N BRUSH")</f>
        <v>ODPŁYW NEO &amp; PURE-900 N BRUSH</v>
      </c>
      <c r="C2397" s="23"/>
      <c r="D2397" s="24">
        <f ca="1">IFERROR(__xludf.DUMMYFUNCTION("""COMPUTED_VALUE"""),279)</f>
        <v>279</v>
      </c>
      <c r="E2397" s="25" t="str">
        <f ca="1">IFERROR(__xludf.DUMMYFUNCTION("""COMPUTED_VALUE"""),"REA-G0094")</f>
        <v>REA-G0094</v>
      </c>
    </row>
    <row r="2398" spans="1:5" x14ac:dyDescent="0.2">
      <c r="A2398" s="22">
        <f ca="1">IFERROR(__xludf.DUMMYFUNCTION("""COMPUTED_VALUE"""),44792)</f>
        <v>44792</v>
      </c>
      <c r="B2398" s="23" t="str">
        <f ca="1">IFERROR(__xludf.DUMMYFUNCTION("""COMPUTED_VALUE"""),"ODPŁYW NEO &amp; PURE-1000 N BRUSH")</f>
        <v>ODPŁYW NEO &amp; PURE-1000 N BRUSH</v>
      </c>
      <c r="C2398" s="23"/>
      <c r="D2398" s="24">
        <f ca="1">IFERROR(__xludf.DUMMYFUNCTION("""COMPUTED_VALUE"""),299)</f>
        <v>299</v>
      </c>
      <c r="E2398" s="25" t="str">
        <f ca="1">IFERROR(__xludf.DUMMYFUNCTION("""COMPUTED_VALUE"""),"REA-G0095")</f>
        <v>REA-G0095</v>
      </c>
    </row>
    <row r="2399" spans="1:5" x14ac:dyDescent="0.2">
      <c r="A2399" s="22">
        <f ca="1">IFERROR(__xludf.DUMMYFUNCTION("""COMPUTED_VALUE"""),44792)</f>
        <v>44792</v>
      </c>
      <c r="B2399" s="23" t="str">
        <f ca="1">IFERROR(__xludf.DUMMYFUNCTION("""COMPUTED_VALUE"""),"ODPŁYW NEO &amp; PURE-600 N BRUSH")</f>
        <v>ODPŁYW NEO &amp; PURE-600 N BRUSH</v>
      </c>
      <c r="C2399" s="23"/>
      <c r="D2399" s="24">
        <f ca="1">IFERROR(__xludf.DUMMYFUNCTION("""COMPUTED_VALUE"""),219)</f>
        <v>219</v>
      </c>
      <c r="E2399" s="25" t="str">
        <f ca="1">IFERROR(__xludf.DUMMYFUNCTION("""COMPUTED_VALUE"""),"REA-G0091")</f>
        <v>REA-G0091</v>
      </c>
    </row>
    <row r="2400" spans="1:5" x14ac:dyDescent="0.2">
      <c r="A2400" s="22">
        <f ca="1">IFERROR(__xludf.DUMMYFUNCTION("""COMPUTED_VALUE"""),44784)</f>
        <v>44784</v>
      </c>
      <c r="B2400" s="23" t="str">
        <f ca="1">IFERROR(__xludf.DUMMYFUNCTION("""COMPUTED_VALUE"""),"ZESTAW NATRYSKOWY MILAN BLACK")</f>
        <v>ZESTAW NATRYSKOWY MILAN BLACK</v>
      </c>
      <c r="C2400" s="23"/>
      <c r="D2400" s="24">
        <f ca="1">IFERROR(__xludf.DUMMYFUNCTION("""COMPUTED_VALUE"""),919)</f>
        <v>919</v>
      </c>
      <c r="E2400" s="25" t="str">
        <f ca="1">IFERROR(__xludf.DUMMYFUNCTION("""COMPUTED_VALUE"""),"REA-P7000")</f>
        <v>REA-P7000</v>
      </c>
    </row>
    <row r="2401" spans="1:5" x14ac:dyDescent="0.2">
      <c r="A2401" s="22">
        <f ca="1">IFERROR(__xludf.DUMMYFUNCTION("""COMPUTED_VALUE"""),44783)</f>
        <v>44783</v>
      </c>
      <c r="B2401" s="23" t="str">
        <f ca="1">IFERROR(__xludf.DUMMYFUNCTION("""COMPUTED_VALUE"""),"UMYWALKA PAMELA GOLD/WHITE - NABLATOWA")</f>
        <v>UMYWALKA PAMELA GOLD/WHITE - NABLATOWA</v>
      </c>
      <c r="C2401" s="23"/>
      <c r="D2401" s="24">
        <f ca="1">IFERROR(__xludf.DUMMYFUNCTION("""COMPUTED_VALUE"""),389)</f>
        <v>389</v>
      </c>
      <c r="E2401" s="25" t="str">
        <f ca="1">IFERROR(__xludf.DUMMYFUNCTION("""COMPUTED_VALUE"""),"REA-U6345")</f>
        <v>REA-U6345</v>
      </c>
    </row>
    <row r="2402" spans="1:5" x14ac:dyDescent="0.2">
      <c r="A2402" s="22">
        <f ca="1">IFERROR(__xludf.DUMMYFUNCTION("""COMPUTED_VALUE"""),44783)</f>
        <v>44783</v>
      </c>
      <c r="B2402" s="23" t="str">
        <f ca="1">IFERROR(__xludf.DUMMYFUNCTION("""COMPUTED_VALUE"""),"UMYWALKA CLEO BLACK MATT - NABLATOWA")</f>
        <v>UMYWALKA CLEO BLACK MATT - NABLATOWA</v>
      </c>
      <c r="C2402" s="23"/>
      <c r="D2402" s="24">
        <f ca="1">IFERROR(__xludf.DUMMYFUNCTION("""COMPUTED_VALUE"""),479)</f>
        <v>479</v>
      </c>
      <c r="E2402" s="25" t="str">
        <f ca="1">IFERROR(__xludf.DUMMYFUNCTION("""COMPUTED_VALUE"""),"REA-U0035")</f>
        <v>REA-U0035</v>
      </c>
    </row>
    <row r="2403" spans="1:5" x14ac:dyDescent="0.2">
      <c r="A2403" s="22">
        <f ca="1">IFERROR(__xludf.DUMMYFUNCTION("""COMPUTED_VALUE"""),44783)</f>
        <v>44783</v>
      </c>
      <c r="B2403" s="23" t="str">
        <f ca="1">IFERROR(__xludf.DUMMYFUNCTION("""COMPUTED_VALUE"""),"UMYWALKA CLEO 61 BLACK - NABLATOWA")</f>
        <v>UMYWALKA CLEO 61 BLACK - NABLATOWA</v>
      </c>
      <c r="C2403" s="23"/>
      <c r="D2403" s="24">
        <f ca="1">IFERROR(__xludf.DUMMYFUNCTION("""COMPUTED_VALUE"""),399)</f>
        <v>399</v>
      </c>
      <c r="E2403" s="25" t="str">
        <f ca="1">IFERROR(__xludf.DUMMYFUNCTION("""COMPUTED_VALUE"""),"REA-U6757")</f>
        <v>REA-U6757</v>
      </c>
    </row>
    <row r="2404" spans="1:5" x14ac:dyDescent="0.2">
      <c r="A2404" s="22">
        <f ca="1">IFERROR(__xludf.DUMMYFUNCTION("""COMPUTED_VALUE"""),44783)</f>
        <v>44783</v>
      </c>
      <c r="B2404" s="23" t="str">
        <f ca="1">IFERROR(__xludf.DUMMYFUNCTION("""COMPUTED_VALUE"""),"UMYWALKA ADELA - PODBLATOWA")</f>
        <v>UMYWALKA ADELA - PODBLATOWA</v>
      </c>
      <c r="C2404" s="23"/>
      <c r="D2404" s="24">
        <f ca="1">IFERROR(__xludf.DUMMYFUNCTION("""COMPUTED_VALUE"""),199)</f>
        <v>199</v>
      </c>
      <c r="E2404" s="25" t="str">
        <f ca="1">IFERROR(__xludf.DUMMYFUNCTION("""COMPUTED_VALUE"""),"REA-U6653")</f>
        <v>REA-U6653</v>
      </c>
    </row>
    <row r="2405" spans="1:5" x14ac:dyDescent="0.2">
      <c r="A2405" s="22">
        <f ca="1">IFERROR(__xludf.DUMMYFUNCTION("""COMPUTED_VALUE"""),44783)</f>
        <v>44783</v>
      </c>
      <c r="B2405" s="23" t="str">
        <f ca="1">IFERROR(__xludf.DUMMYFUNCTION("""COMPUTED_VALUE"""),"UMYWALKA BELINDA MINI - NABLATOWA")</f>
        <v>UMYWALKA BELINDA MINI - NABLATOWA</v>
      </c>
      <c r="C2405" s="23"/>
      <c r="D2405" s="24">
        <f ca="1">IFERROR(__xludf.DUMMYFUNCTION("""COMPUTED_VALUE"""),199)</f>
        <v>199</v>
      </c>
      <c r="E2405" s="25" t="str">
        <f ca="1">IFERROR(__xludf.DUMMYFUNCTION("""COMPUTED_VALUE"""),"REA-U5667")</f>
        <v>REA-U5667</v>
      </c>
    </row>
    <row r="2406" spans="1:5" x14ac:dyDescent="0.2">
      <c r="A2406" s="22">
        <f ca="1">IFERROR(__xludf.DUMMYFUNCTION("""COMPUTED_VALUE"""),44778)</f>
        <v>44778</v>
      </c>
      <c r="B2406" s="23" t="str">
        <f ca="1">IFERROR(__xludf.DUMMYFUNCTION("""COMPUTED_VALUE"""),"BRODZIK GREY ROCK 80 X 120")</f>
        <v>BRODZIK GREY ROCK 80 X 120</v>
      </c>
      <c r="C2406" s="23"/>
      <c r="D2406" s="24">
        <f ca="1">IFERROR(__xludf.DUMMYFUNCTION("""COMPUTED_VALUE"""),899)</f>
        <v>899</v>
      </c>
      <c r="E2406" s="25" t="str">
        <f ca="1">IFERROR(__xludf.DUMMYFUNCTION("""COMPUTED_VALUE"""),"REA-K4583")</f>
        <v>REA-K4583</v>
      </c>
    </row>
    <row r="2407" spans="1:5" x14ac:dyDescent="0.2">
      <c r="A2407" s="22">
        <f ca="1">IFERROR(__xludf.DUMMYFUNCTION("""COMPUTED_VALUE"""),44778)</f>
        <v>44778</v>
      </c>
      <c r="B2407" s="23" t="str">
        <f ca="1">IFERROR(__xludf.DUMMYFUNCTION("""COMPUTED_VALUE"""),"BRODZIK BLACK ROCK 80 X 120")</f>
        <v>BRODZIK BLACK ROCK 80 X 120</v>
      </c>
      <c r="C2407" s="23"/>
      <c r="D2407" s="24">
        <f ca="1">IFERROR(__xludf.DUMMYFUNCTION("""COMPUTED_VALUE"""),799)</f>
        <v>799</v>
      </c>
      <c r="E2407" s="25" t="str">
        <f ca="1">IFERROR(__xludf.DUMMYFUNCTION("""COMPUTED_VALUE"""),"REA-K4579")</f>
        <v>REA-K4579</v>
      </c>
    </row>
    <row r="2408" spans="1:5" x14ac:dyDescent="0.2">
      <c r="A2408" s="22">
        <f ca="1">IFERROR(__xludf.DUMMYFUNCTION("""COMPUTED_VALUE"""),44778)</f>
        <v>44778</v>
      </c>
      <c r="B2408" s="23" t="str">
        <f ca="1">IFERROR(__xludf.DUMMYFUNCTION("""COMPUTED_VALUE"""),"BATERIA CALANI UMYWALKOWA SIENA NISKA L BLACK")</f>
        <v>BATERIA CALANI UMYWALKOWA SIENA NISKA L BLACK</v>
      </c>
      <c r="C2408" s="23"/>
      <c r="D2408" s="24">
        <f ca="1">IFERROR(__xludf.DUMMYFUNCTION("""COMPUTED_VALUE"""),199)</f>
        <v>199</v>
      </c>
      <c r="E2408" s="25" t="str">
        <f ca="1">IFERROR(__xludf.DUMMYFUNCTION("""COMPUTED_VALUE"""),"CAL-B0040")</f>
        <v>CAL-B0040</v>
      </c>
    </row>
    <row r="2409" spans="1:5" x14ac:dyDescent="0.2">
      <c r="A2409" s="22">
        <f ca="1">IFERROR(__xludf.DUMMYFUNCTION("""COMPUTED_VALUE"""),44778)</f>
        <v>44778</v>
      </c>
      <c r="B2409" s="23" t="str">
        <f ca="1">IFERROR(__xludf.DUMMYFUNCTION("""COMPUTED_VALUE"""),"KABINA ABRA 90X90")</f>
        <v>KABINA ABRA 90X90</v>
      </c>
      <c r="C2409" s="23"/>
      <c r="D2409" s="24">
        <f ca="1">IFERROR(__xludf.DUMMYFUNCTION("""COMPUTED_VALUE"""),1479)</f>
        <v>1479</v>
      </c>
      <c r="E2409" s="25" t="str">
        <f ca="1">IFERROR(__xludf.DUMMYFUNCTION("""COMPUTED_VALUE"""),"REA-K5502")</f>
        <v>REA-K5502</v>
      </c>
    </row>
    <row r="2410" spans="1:5" x14ac:dyDescent="0.2">
      <c r="A2410" s="22">
        <f ca="1">IFERROR(__xludf.DUMMYFUNCTION("""COMPUTED_VALUE"""),44778)</f>
        <v>44778</v>
      </c>
      <c r="B2410" s="23" t="str">
        <f ca="1">IFERROR(__xludf.DUMMYFUNCTION("""COMPUTED_VALUE"""),"KABINA DIAMOND BLACK 80X80")</f>
        <v>KABINA DIAMOND BLACK 80X80</v>
      </c>
      <c r="C2410" s="23"/>
      <c r="D2410" s="24">
        <f ca="1">IFERROR(__xludf.DUMMYFUNCTION("""COMPUTED_VALUE"""),1459)</f>
        <v>1459</v>
      </c>
      <c r="E2410" s="25" t="str">
        <f ca="1">IFERROR(__xludf.DUMMYFUNCTION("""COMPUTED_VALUE"""),"REA-K6900")</f>
        <v>REA-K6900</v>
      </c>
    </row>
    <row r="2411" spans="1:5" x14ac:dyDescent="0.2">
      <c r="A2411" s="22">
        <f ca="1">IFERROR(__xludf.DUMMYFUNCTION("""COMPUTED_VALUE"""),44778)</f>
        <v>44778</v>
      </c>
      <c r="B2411" s="23" t="str">
        <f ca="1">IFERROR(__xludf.DUMMYFUNCTION("""COMPUTED_VALUE"""),"DRZWI PRYSZNICOWE FARGO 100")</f>
        <v>DRZWI PRYSZNICOWE FARGO 100</v>
      </c>
      <c r="C2411" s="23"/>
      <c r="D2411" s="24">
        <f ca="1">IFERROR(__xludf.DUMMYFUNCTION("""COMPUTED_VALUE"""),1059)</f>
        <v>1059</v>
      </c>
      <c r="E2411" s="25" t="str">
        <f ca="1">IFERROR(__xludf.DUMMYFUNCTION("""COMPUTED_VALUE"""),"REA-K6330")</f>
        <v>REA-K6330</v>
      </c>
    </row>
    <row r="2412" spans="1:5" x14ac:dyDescent="0.2">
      <c r="A2412" s="22">
        <f ca="1">IFERROR(__xludf.DUMMYFUNCTION("""COMPUTED_VALUE"""),44778)</f>
        <v>44778</v>
      </c>
      <c r="B2412" s="23" t="str">
        <f ca="1">IFERROR(__xludf.DUMMYFUNCTION("""COMPUTED_VALUE"""),"DRZWI PRYSZNICOWE FARGO 110")</f>
        <v>DRZWI PRYSZNICOWE FARGO 110</v>
      </c>
      <c r="C2412" s="23"/>
      <c r="D2412" s="24">
        <f ca="1">IFERROR(__xludf.DUMMYFUNCTION("""COMPUTED_VALUE"""),1099)</f>
        <v>1099</v>
      </c>
      <c r="E2412" s="25" t="str">
        <f ca="1">IFERROR(__xludf.DUMMYFUNCTION("""COMPUTED_VALUE"""),"REA-K6325")</f>
        <v>REA-K6325</v>
      </c>
    </row>
    <row r="2413" spans="1:5" x14ac:dyDescent="0.2">
      <c r="A2413" s="22">
        <f ca="1">IFERROR(__xludf.DUMMYFUNCTION("""COMPUTED_VALUE"""),44778)</f>
        <v>44778</v>
      </c>
      <c r="B2413" s="23" t="str">
        <f ca="1">IFERROR(__xludf.DUMMYFUNCTION("""COMPUTED_VALUE"""),"DRZWI PRYSZNICOWE FARGO 120")</f>
        <v>DRZWI PRYSZNICOWE FARGO 120</v>
      </c>
      <c r="C2413" s="23"/>
      <c r="D2413" s="24">
        <f ca="1">IFERROR(__xludf.DUMMYFUNCTION("""COMPUTED_VALUE"""),1159)</f>
        <v>1159</v>
      </c>
      <c r="E2413" s="25" t="str">
        <f ca="1">IFERROR(__xludf.DUMMYFUNCTION("""COMPUTED_VALUE"""),"REA-K6328")</f>
        <v>REA-K6328</v>
      </c>
    </row>
    <row r="2414" spans="1:5" x14ac:dyDescent="0.2">
      <c r="A2414" s="22">
        <f ca="1">IFERROR(__xludf.DUMMYFUNCTION("""COMPUTED_VALUE"""),44778)</f>
        <v>44778</v>
      </c>
      <c r="B2414" s="23" t="str">
        <f ca="1">IFERROR(__xludf.DUMMYFUNCTION("""COMPUTED_VALUE"""),"PARAWAN TOPAZ 700 BEZ UCHWYTU")</f>
        <v>PARAWAN TOPAZ 700 BEZ UCHWYTU</v>
      </c>
      <c r="C2414" s="23"/>
      <c r="D2414" s="24">
        <f ca="1">IFERROR(__xludf.DUMMYFUNCTION("""COMPUTED_VALUE"""),499)</f>
        <v>499</v>
      </c>
      <c r="E2414" s="25" t="str">
        <f ca="1">IFERROR(__xludf.DUMMYFUNCTION("""COMPUTED_VALUE"""),"REA-W0087")</f>
        <v>REA-W0087</v>
      </c>
    </row>
    <row r="2415" spans="1:5" x14ac:dyDescent="0.2">
      <c r="A2415" s="22">
        <f ca="1">IFERROR(__xludf.DUMMYFUNCTION("""COMPUTED_VALUE"""),44778)</f>
        <v>44778</v>
      </c>
      <c r="B2415" s="23" t="str">
        <f ca="1">IFERROR(__xludf.DUMMYFUNCTION("""COMPUTED_VALUE"""),"PARAWAN WANNOWY AGAT 80")</f>
        <v>PARAWAN WANNOWY AGAT 80</v>
      </c>
      <c r="C2415" s="23"/>
      <c r="D2415" s="24">
        <f ca="1">IFERROR(__xludf.DUMMYFUNCTION("""COMPUTED_VALUE"""),599)</f>
        <v>599</v>
      </c>
      <c r="E2415" s="25" t="str">
        <f ca="1">IFERROR(__xludf.DUMMYFUNCTION("""COMPUTED_VALUE"""),"REA-W0700")</f>
        <v>REA-W0700</v>
      </c>
    </row>
    <row r="2416" spans="1:5" x14ac:dyDescent="0.2">
      <c r="A2416" s="22">
        <f ca="1">IFERROR(__xludf.DUMMYFUNCTION("""COMPUTED_VALUE"""),44778)</f>
        <v>44778</v>
      </c>
      <c r="B2416" s="23" t="str">
        <f ca="1">IFERROR(__xludf.DUMMYFUNCTION("""COMPUTED_VALUE"""),"KABINA DIAMOND L.GOLD 90X90")</f>
        <v>KABINA DIAMOND L.GOLD 90X90</v>
      </c>
      <c r="C2416" s="23"/>
      <c r="D2416" s="24">
        <f ca="1">IFERROR(__xludf.DUMMYFUNCTION("""COMPUTED_VALUE"""),1899)</f>
        <v>1899</v>
      </c>
      <c r="E2416" s="25" t="str">
        <f ca="1">IFERROR(__xludf.DUMMYFUNCTION("""COMPUTED_VALUE"""),"REA-K4904")</f>
        <v>REA-K4904</v>
      </c>
    </row>
    <row r="2417" spans="1:5" x14ac:dyDescent="0.2">
      <c r="A2417" s="22">
        <f ca="1">IFERROR(__xludf.DUMMYFUNCTION("""COMPUTED_VALUE"""),44778)</f>
        <v>44778</v>
      </c>
      <c r="B2417" s="23" t="str">
        <f ca="1">IFERROR(__xludf.DUMMYFUNCTION("""COMPUTED_VALUE"""),"KABINA FARGO L.GOLD 90X90 U")</f>
        <v>KABINA FARGO L.GOLD 90X90 U</v>
      </c>
      <c r="C2417" s="23"/>
      <c r="D2417" s="24">
        <f ca="1">IFERROR(__xludf.DUMMYFUNCTION("""COMPUTED_VALUE"""),1969)</f>
        <v>1969</v>
      </c>
      <c r="E2417" s="25" t="str">
        <f ca="1">IFERROR(__xludf.DUMMYFUNCTION("""COMPUTED_VALUE"""),"REA-K4903")</f>
        <v>REA-K4903</v>
      </c>
    </row>
    <row r="2418" spans="1:5" x14ac:dyDescent="0.2">
      <c r="A2418" s="22">
        <f ca="1">IFERROR(__xludf.DUMMYFUNCTION("""COMPUTED_VALUE"""),44778)</f>
        <v>44778</v>
      </c>
      <c r="B2418" s="23" t="str">
        <f ca="1">IFERROR(__xludf.DUMMYFUNCTION("""COMPUTED_VALUE"""),"DRZWI PRYSZNICOWE SOLAR L.GOLD 120")</f>
        <v>DRZWI PRYSZNICOWE SOLAR L.GOLD 120</v>
      </c>
      <c r="C2418" s="23"/>
      <c r="D2418" s="24">
        <f ca="1">IFERROR(__xludf.DUMMYFUNCTION("""COMPUTED_VALUE"""),999)</f>
        <v>999</v>
      </c>
      <c r="E2418" s="25" t="str">
        <f ca="1">IFERROR(__xludf.DUMMYFUNCTION("""COMPUTED_VALUE"""),"REA-K6548")</f>
        <v>REA-K6548</v>
      </c>
    </row>
    <row r="2419" spans="1:5" x14ac:dyDescent="0.2">
      <c r="A2419" s="22">
        <f ca="1">IFERROR(__xludf.DUMMYFUNCTION("""COMPUTED_VALUE"""),44778)</f>
        <v>44778</v>
      </c>
      <c r="B2419" s="23" t="str">
        <f ca="1">IFERROR(__xludf.DUMMYFUNCTION("""COMPUTED_VALUE"""),"KABINA SOLAR L.GOLD 90X90")</f>
        <v>KABINA SOLAR L.GOLD 90X90</v>
      </c>
      <c r="C2419" s="23"/>
      <c r="D2419" s="24">
        <f ca="1">IFERROR(__xludf.DUMMYFUNCTION("""COMPUTED_VALUE"""),1299)</f>
        <v>1299</v>
      </c>
      <c r="E2419" s="25" t="str">
        <f ca="1">IFERROR(__xludf.DUMMYFUNCTION("""COMPUTED_VALUE"""),"REA-K4900")</f>
        <v>REA-K4900</v>
      </c>
    </row>
    <row r="2420" spans="1:5" x14ac:dyDescent="0.2">
      <c r="A2420" s="22">
        <f ca="1">IFERROR(__xludf.DUMMYFUNCTION("""COMPUTED_VALUE"""),44778)</f>
        <v>44778</v>
      </c>
      <c r="B2420" s="23" t="str">
        <f ca="1">IFERROR(__xludf.DUMMYFUNCTION("""COMPUTED_VALUE"""),"ŚCIANKA PRYSZNICOWA AERO 70 CHROM ""N""")</f>
        <v>ŚCIANKA PRYSZNICOWA AERO 70 CHROM "N"</v>
      </c>
      <c r="C2420" s="23"/>
      <c r="D2420" s="24">
        <f ca="1">IFERROR(__xludf.DUMMYFUNCTION("""COMPUTED_VALUE"""),819)</f>
        <v>819</v>
      </c>
      <c r="E2420" s="25" t="str">
        <f ca="1">IFERROR(__xludf.DUMMYFUNCTION("""COMPUTED_VALUE"""),"REA-K7840")</f>
        <v>REA-K7840</v>
      </c>
    </row>
    <row r="2421" spans="1:5" x14ac:dyDescent="0.2">
      <c r="A2421" s="22">
        <f ca="1">IFERROR(__xludf.DUMMYFUNCTION("""COMPUTED_VALUE"""),44778)</f>
        <v>44778</v>
      </c>
      <c r="B2421" s="23" t="str">
        <f ca="1">IFERROR(__xludf.DUMMYFUNCTION("""COMPUTED_VALUE"""),"DRZWI PRYSZNICOWE MOLIER 100 CHROM")</f>
        <v>DRZWI PRYSZNICOWE MOLIER 100 CHROM</v>
      </c>
      <c r="C2421" s="23"/>
      <c r="D2421" s="24">
        <f ca="1">IFERROR(__xludf.DUMMYFUNCTION("""COMPUTED_VALUE"""),929)</f>
        <v>929</v>
      </c>
      <c r="E2421" s="25" t="str">
        <f ca="1">IFERROR(__xludf.DUMMYFUNCTION("""COMPUTED_VALUE"""),"REA-K6371")</f>
        <v>REA-K6371</v>
      </c>
    </row>
    <row r="2422" spans="1:5" x14ac:dyDescent="0.2">
      <c r="A2422" s="22">
        <f ca="1">IFERROR(__xludf.DUMMYFUNCTION("""COMPUTED_VALUE"""),44778)</f>
        <v>44778</v>
      </c>
      <c r="B2422" s="23" t="str">
        <f ca="1">IFERROR(__xludf.DUMMYFUNCTION("""COMPUTED_VALUE"""),"ŚCIANKA PRYSZNICOWA MOLIER 80 CHROM")</f>
        <v>ŚCIANKA PRYSZNICOWA MOLIER 80 CHROM</v>
      </c>
      <c r="C2422" s="23"/>
      <c r="D2422" s="24">
        <f ca="1">IFERROR(__xludf.DUMMYFUNCTION("""COMPUTED_VALUE"""),460)</f>
        <v>460</v>
      </c>
      <c r="E2422" s="25" t="str">
        <f ca="1">IFERROR(__xludf.DUMMYFUNCTION("""COMPUTED_VALUE"""),"REA-K8534")</f>
        <v>REA-K8534</v>
      </c>
    </row>
    <row r="2423" spans="1:5" x14ac:dyDescent="0.2">
      <c r="A2423" s="22">
        <f ca="1">IFERROR(__xludf.DUMMYFUNCTION("""COMPUTED_VALUE"""),44775)</f>
        <v>44775</v>
      </c>
      <c r="B2423" s="23" t="str">
        <f ca="1">IFERROR(__xludf.DUMMYFUNCTION("""COMPUTED_VALUE"""),"BATERIA UMYWALKOWA VERSO GOLD SZCZOTKOWANA NISKA")</f>
        <v>BATERIA UMYWALKOWA VERSO GOLD SZCZOTKOWANA NISKA</v>
      </c>
      <c r="C2423" s="23"/>
      <c r="D2423" s="24">
        <f ca="1">IFERROR(__xludf.DUMMYFUNCTION("""COMPUTED_VALUE"""),329)</f>
        <v>329</v>
      </c>
      <c r="E2423" s="25" t="str">
        <f ca="1">IFERROR(__xludf.DUMMYFUNCTION("""COMPUTED_VALUE"""),"REA-B6555")</f>
        <v>REA-B6555</v>
      </c>
    </row>
    <row r="2424" spans="1:5" x14ac:dyDescent="0.2">
      <c r="A2424" s="22">
        <f ca="1">IFERROR(__xludf.DUMMYFUNCTION("""COMPUTED_VALUE"""),44775)</f>
        <v>44775</v>
      </c>
      <c r="B2424" s="23" t="str">
        <f ca="1">IFERROR(__xludf.DUMMYFUNCTION("""COMPUTED_VALUE"""),"BATERIA UMYWALKOWA VERSO GOLD SZCZOTKOWANA WYSOKA")</f>
        <v>BATERIA UMYWALKOWA VERSO GOLD SZCZOTKOWANA WYSOKA</v>
      </c>
      <c r="C2424" s="23"/>
      <c r="D2424" s="24">
        <f ca="1">IFERROR(__xludf.DUMMYFUNCTION("""COMPUTED_VALUE"""),439)</f>
        <v>439</v>
      </c>
      <c r="E2424" s="25" t="str">
        <f ca="1">IFERROR(__xludf.DUMMYFUNCTION("""COMPUTED_VALUE"""),"REA-B6564")</f>
        <v>REA-B6564</v>
      </c>
    </row>
    <row r="2425" spans="1:5" x14ac:dyDescent="0.2">
      <c r="A2425" s="22">
        <f ca="1">IFERROR(__xludf.DUMMYFUNCTION("""COMPUTED_VALUE"""),44775)</f>
        <v>44775</v>
      </c>
      <c r="B2425" s="23" t="str">
        <f ca="1">IFERROR(__xludf.DUMMYFUNCTION("""COMPUTED_VALUE"""),"BATERIA WANNOWA VERSO GOLD SZCZOTKOWANA ")</f>
        <v xml:space="preserve">BATERIA WANNOWA VERSO GOLD SZCZOTKOWANA </v>
      </c>
      <c r="C2425" s="23"/>
      <c r="D2425" s="24">
        <f ca="1">IFERROR(__xludf.DUMMYFUNCTION("""COMPUTED_VALUE"""),519)</f>
        <v>519</v>
      </c>
      <c r="E2425" s="25" t="str">
        <f ca="1">IFERROR(__xludf.DUMMYFUNCTION("""COMPUTED_VALUE"""),"REA-B6565")</f>
        <v>REA-B6565</v>
      </c>
    </row>
    <row r="2426" spans="1:5" x14ac:dyDescent="0.2">
      <c r="A2426" s="22">
        <f ca="1">IFERROR(__xludf.DUMMYFUNCTION("""COMPUTED_VALUE"""),44775)</f>
        <v>44775</v>
      </c>
      <c r="B2426" s="23" t="str">
        <f ca="1">IFERROR(__xludf.DUMMYFUNCTION("""COMPUTED_VALUE"""),"BATERIA PRYSZNICOWA VERSO GOLD SZCZOTKOWANA ")</f>
        <v xml:space="preserve">BATERIA PRYSZNICOWA VERSO GOLD SZCZOTKOWANA </v>
      </c>
      <c r="C2426" s="23"/>
      <c r="D2426" s="24">
        <f ca="1">IFERROR(__xludf.DUMMYFUNCTION("""COMPUTED_VALUE"""),399)</f>
        <v>399</v>
      </c>
      <c r="E2426" s="25" t="str">
        <f ca="1">IFERROR(__xludf.DUMMYFUNCTION("""COMPUTED_VALUE"""),"REA-B6566")</f>
        <v>REA-B6566</v>
      </c>
    </row>
    <row r="2427" spans="1:5" x14ac:dyDescent="0.2">
      <c r="A2427" s="22">
        <f ca="1">IFERROR(__xludf.DUMMYFUNCTION("""COMPUTED_VALUE"""),44775)</f>
        <v>44775</v>
      </c>
      <c r="B2427" s="23" t="str">
        <f ca="1">IFERROR(__xludf.DUMMYFUNCTION("""COMPUTED_VALUE"""),"BATERIA UMYWALKOWA PODTYNKOWA LUNGO LONG GOLD ")</f>
        <v xml:space="preserve">BATERIA UMYWALKOWA PODTYNKOWA LUNGO LONG GOLD </v>
      </c>
      <c r="C2427" s="23"/>
      <c r="D2427" s="24">
        <f ca="1">IFERROR(__xludf.DUMMYFUNCTION("""COMPUTED_VALUE"""),499)</f>
        <v>499</v>
      </c>
      <c r="E2427" s="25" t="str">
        <f ca="1">IFERROR(__xludf.DUMMYFUNCTION("""COMPUTED_VALUE"""),"REA-B0370")</f>
        <v>REA-B0370</v>
      </c>
    </row>
    <row r="2428" spans="1:5" x14ac:dyDescent="0.2">
      <c r="A2428" s="22">
        <f ca="1">IFERROR(__xludf.DUMMYFUNCTION("""COMPUTED_VALUE"""),44775)</f>
        <v>44775</v>
      </c>
      <c r="B2428" s="23" t="str">
        <f ca="1">IFERROR(__xludf.DUMMYFUNCTION("""COMPUTED_VALUE"""),"BATERIA UMYWALKOWA PODTYNKOWA LUNGO LONG BLACK")</f>
        <v>BATERIA UMYWALKOWA PODTYNKOWA LUNGO LONG BLACK</v>
      </c>
      <c r="C2428" s="23"/>
      <c r="D2428" s="24">
        <f ca="1">IFERROR(__xludf.DUMMYFUNCTION("""COMPUTED_VALUE"""),479)</f>
        <v>479</v>
      </c>
      <c r="E2428" s="25" t="str">
        <f ca="1">IFERROR(__xludf.DUMMYFUNCTION("""COMPUTED_VALUE"""),"REA-B0371")</f>
        <v>REA-B0371</v>
      </c>
    </row>
    <row r="2429" spans="1:5" x14ac:dyDescent="0.2">
      <c r="A2429" s="22">
        <f ca="1">IFERROR(__xludf.DUMMYFUNCTION("""COMPUTED_VALUE"""),44775)</f>
        <v>44775</v>
      </c>
      <c r="B2429" s="23" t="str">
        <f ca="1">IFERROR(__xludf.DUMMYFUNCTION("""COMPUTED_VALUE"""),"BATERIA UMYWALKOWA PODTYNKOWA LUNGO LONG CHROM")</f>
        <v>BATERIA UMYWALKOWA PODTYNKOWA LUNGO LONG CHROM</v>
      </c>
      <c r="C2429" s="23"/>
      <c r="D2429" s="24">
        <f ca="1">IFERROR(__xludf.DUMMYFUNCTION("""COMPUTED_VALUE"""),449)</f>
        <v>449</v>
      </c>
      <c r="E2429" s="25" t="str">
        <f ca="1">IFERROR(__xludf.DUMMYFUNCTION("""COMPUTED_VALUE"""),"REA-B0369")</f>
        <v>REA-B0369</v>
      </c>
    </row>
    <row r="2430" spans="1:5" x14ac:dyDescent="0.2">
      <c r="A2430" s="22">
        <f ca="1">IFERROR(__xludf.DUMMYFUNCTION("""COMPUTED_VALUE"""),44775)</f>
        <v>44775</v>
      </c>
      <c r="B2430" s="23" t="str">
        <f ca="1">IFERROR(__xludf.DUMMYFUNCTION("""COMPUTED_VALUE"""),"BATERIA BIDETOWA LOOP LUNGO WHITE")</f>
        <v>BATERIA BIDETOWA LOOP LUNGO WHITE</v>
      </c>
      <c r="C2430" s="23"/>
      <c r="D2430" s="24">
        <f ca="1">IFERROR(__xludf.DUMMYFUNCTION("""COMPUTED_VALUE"""),399)</f>
        <v>399</v>
      </c>
      <c r="E2430" s="25" t="str">
        <f ca="1">IFERROR(__xludf.DUMMYFUNCTION("""COMPUTED_VALUE"""),"REA-B0255")</f>
        <v>REA-B0255</v>
      </c>
    </row>
    <row r="2431" spans="1:5" x14ac:dyDescent="0.2">
      <c r="A2431" s="22">
        <f ca="1">IFERROR(__xludf.DUMMYFUNCTION("""COMPUTED_VALUE"""),44775)</f>
        <v>44775</v>
      </c>
      <c r="B2431" s="23" t="str">
        <f ca="1">IFERROR(__xludf.DUMMYFUNCTION("""COMPUTED_VALUE"""),"BRODZIK BLACK GRAND 80 X 100")</f>
        <v>BRODZIK BLACK GRAND 80 X 100</v>
      </c>
      <c r="C2431" s="23"/>
      <c r="D2431" s="24">
        <f ca="1">IFERROR(__xludf.DUMMYFUNCTION("""COMPUTED_VALUE"""),829)</f>
        <v>829</v>
      </c>
      <c r="E2431" s="25" t="str">
        <f ca="1">IFERROR(__xludf.DUMMYFUNCTION("""COMPUTED_VALUE"""),"REA-K4593")</f>
        <v>REA-K4593</v>
      </c>
    </row>
    <row r="2432" spans="1:5" x14ac:dyDescent="0.2">
      <c r="A2432" s="22">
        <f ca="1">IFERROR(__xludf.DUMMYFUNCTION("""COMPUTED_VALUE"""),44775)</f>
        <v>44775</v>
      </c>
      <c r="B2432" s="23" t="str">
        <f ca="1">IFERROR(__xludf.DUMMYFUNCTION("""COMPUTED_VALUE"""),"BRODZIK BLACK GRAND 90 X 120")</f>
        <v>BRODZIK BLACK GRAND 90 X 120</v>
      </c>
      <c r="C2432" s="23"/>
      <c r="D2432" s="24">
        <f ca="1">IFERROR(__xludf.DUMMYFUNCTION("""COMPUTED_VALUE"""),1139)</f>
        <v>1139</v>
      </c>
      <c r="E2432" s="25" t="str">
        <f ca="1">IFERROR(__xludf.DUMMYFUNCTION("""COMPUTED_VALUE"""),"REA-K4594")</f>
        <v>REA-K4594</v>
      </c>
    </row>
    <row r="2433" spans="1:5" x14ac:dyDescent="0.2">
      <c r="A2433" s="22">
        <f ca="1">IFERROR(__xludf.DUMMYFUNCTION("""COMPUTED_VALUE"""),44775)</f>
        <v>44775</v>
      </c>
      <c r="B2433" s="23" t="str">
        <f ca="1">IFERROR(__xludf.DUMMYFUNCTION("""COMPUTED_VALUE"""),"BRODZIK BLACK GRAND 90 X 90")</f>
        <v>BRODZIK BLACK GRAND 90 X 90</v>
      </c>
      <c r="C2433" s="23"/>
      <c r="D2433" s="24">
        <f ca="1">IFERROR(__xludf.DUMMYFUNCTION("""COMPUTED_VALUE"""),899)</f>
        <v>899</v>
      </c>
      <c r="E2433" s="25" t="str">
        <f ca="1">IFERROR(__xludf.DUMMYFUNCTION("""COMPUTED_VALUE"""),"REA-K4595")</f>
        <v>REA-K4595</v>
      </c>
    </row>
    <row r="2434" spans="1:5" x14ac:dyDescent="0.2">
      <c r="A2434" s="22">
        <f ca="1">IFERROR(__xludf.DUMMYFUNCTION("""COMPUTED_VALUE"""),44775)</f>
        <v>44775</v>
      </c>
      <c r="B2434" s="23" t="str">
        <f ca="1">IFERROR(__xludf.DUMMYFUNCTION("""COMPUTED_VALUE"""),"BRODZIK WHITE GRAND 80 X 100")</f>
        <v>BRODZIK WHITE GRAND 80 X 100</v>
      </c>
      <c r="C2434" s="23"/>
      <c r="D2434" s="24">
        <f ca="1">IFERROR(__xludf.DUMMYFUNCTION("""COMPUTED_VALUE"""),819)</f>
        <v>819</v>
      </c>
      <c r="E2434" s="25" t="str">
        <f ca="1">IFERROR(__xludf.DUMMYFUNCTION("""COMPUTED_VALUE"""),"REA-K4590")</f>
        <v>REA-K4590</v>
      </c>
    </row>
    <row r="2435" spans="1:5" x14ac:dyDescent="0.2">
      <c r="A2435" s="22">
        <f ca="1">IFERROR(__xludf.DUMMYFUNCTION("""COMPUTED_VALUE"""),44775)</f>
        <v>44775</v>
      </c>
      <c r="B2435" s="23" t="str">
        <f ca="1">IFERROR(__xludf.DUMMYFUNCTION("""COMPUTED_VALUE"""),"BRODZIK WHITE GRAND 90 X 120")</f>
        <v>BRODZIK WHITE GRAND 90 X 120</v>
      </c>
      <c r="C2435" s="23"/>
      <c r="D2435" s="24">
        <f ca="1">IFERROR(__xludf.DUMMYFUNCTION("""COMPUTED_VALUE"""),1109)</f>
        <v>1109</v>
      </c>
      <c r="E2435" s="25" t="str">
        <f ca="1">IFERROR(__xludf.DUMMYFUNCTION("""COMPUTED_VALUE"""),"REA-K4591")</f>
        <v>REA-K4591</v>
      </c>
    </row>
    <row r="2436" spans="1:5" x14ac:dyDescent="0.2">
      <c r="A2436" s="22">
        <f ca="1">IFERROR(__xludf.DUMMYFUNCTION("""COMPUTED_VALUE"""),44775)</f>
        <v>44775</v>
      </c>
      <c r="B2436" s="23" t="str">
        <f ca="1">IFERROR(__xludf.DUMMYFUNCTION("""COMPUTED_VALUE"""),"BRODZIK BLACK STONE 80 X 120")</f>
        <v>BRODZIK BLACK STONE 80 X 120</v>
      </c>
      <c r="C2436" s="23"/>
      <c r="D2436" s="24">
        <f ca="1">IFERROR(__xludf.DUMMYFUNCTION("""COMPUTED_VALUE"""),1289)</f>
        <v>1289</v>
      </c>
      <c r="E2436" s="25" t="str">
        <f ca="1">IFERROR(__xludf.DUMMYFUNCTION("""COMPUTED_VALUE"""),"REA-K9602")</f>
        <v>REA-K9602</v>
      </c>
    </row>
    <row r="2437" spans="1:5" x14ac:dyDescent="0.2">
      <c r="A2437" s="22">
        <f ca="1">IFERROR(__xludf.DUMMYFUNCTION("""COMPUTED_VALUE"""),44775)</f>
        <v>44775</v>
      </c>
      <c r="B2437" s="23" t="str">
        <f ca="1">IFERROR(__xludf.DUMMYFUNCTION("""COMPUTED_VALUE"""),"BRODZIK BLACK STONE 90 X 120")</f>
        <v>BRODZIK BLACK STONE 90 X 120</v>
      </c>
      <c r="C2437" s="23"/>
      <c r="D2437" s="24">
        <f ca="1">IFERROR(__xludf.DUMMYFUNCTION("""COMPUTED_VALUE"""),1439)</f>
        <v>1439</v>
      </c>
      <c r="E2437" s="25" t="str">
        <f ca="1">IFERROR(__xludf.DUMMYFUNCTION("""COMPUTED_VALUE"""),"REA-K9603")</f>
        <v>REA-K9603</v>
      </c>
    </row>
    <row r="2438" spans="1:5" x14ac:dyDescent="0.2">
      <c r="A2438" s="22">
        <f ca="1">IFERROR(__xludf.DUMMYFUNCTION("""COMPUTED_VALUE"""),44775)</f>
        <v>44775</v>
      </c>
      <c r="B2438" s="23" t="str">
        <f ca="1">IFERROR(__xludf.DUMMYFUNCTION("""COMPUTED_VALUE"""),"PRZYCISK DO STELAŻA PODTYNKOWEGO F CHROM")</f>
        <v>PRZYCISK DO STELAŻA PODTYNKOWEGO F CHROM</v>
      </c>
      <c r="C2438" s="23"/>
      <c r="D2438" s="24">
        <f ca="1">IFERROR(__xludf.DUMMYFUNCTION("""COMPUTED_VALUE"""),129)</f>
        <v>129</v>
      </c>
      <c r="E2438" s="25" t="str">
        <f ca="1">IFERROR(__xludf.DUMMYFUNCTION("""COMPUTED_VALUE"""),"REA-E019A")</f>
        <v>REA-E019A</v>
      </c>
    </row>
    <row r="2439" spans="1:5" x14ac:dyDescent="0.2">
      <c r="A2439" s="22">
        <f ca="1">IFERROR(__xludf.DUMMYFUNCTION("""COMPUTED_VALUE"""),44775)</f>
        <v>44775</v>
      </c>
      <c r="B2439" s="23" t="str">
        <f ca="1">IFERROR(__xludf.DUMMYFUNCTION("""COMPUTED_VALUE"""),"PRZYCISK DO STELAŻA PODTYNKOWEGO F GOLD")</f>
        <v>PRZYCISK DO STELAŻA PODTYNKOWEGO F GOLD</v>
      </c>
      <c r="C2439" s="23"/>
      <c r="D2439" s="24">
        <f ca="1">IFERROR(__xludf.DUMMYFUNCTION("""COMPUTED_VALUE"""),229)</f>
        <v>229</v>
      </c>
      <c r="E2439" s="25" t="str">
        <f ca="1">IFERROR(__xludf.DUMMYFUNCTION("""COMPUTED_VALUE"""),"REA-E9853")</f>
        <v>REA-E9853</v>
      </c>
    </row>
    <row r="2440" spans="1:5" x14ac:dyDescent="0.2">
      <c r="A2440" s="22">
        <f ca="1">IFERROR(__xludf.DUMMYFUNCTION("""COMPUTED_VALUE"""),44775)</f>
        <v>44775</v>
      </c>
      <c r="B2440" s="23" t="str">
        <f ca="1">IFERROR(__xludf.DUMMYFUNCTION("""COMPUTED_VALUE"""),"PRZYCISK DO STELAŻA PODTYNKOWEGO H GOLD")</f>
        <v>PRZYCISK DO STELAŻA PODTYNKOWEGO H GOLD</v>
      </c>
      <c r="C2440" s="23"/>
      <c r="D2440" s="24">
        <f ca="1">IFERROR(__xludf.DUMMYFUNCTION("""COMPUTED_VALUE"""),229)</f>
        <v>229</v>
      </c>
      <c r="E2440" s="25" t="str">
        <f ca="1">IFERROR(__xludf.DUMMYFUNCTION("""COMPUTED_VALUE"""),"REA-E5692")</f>
        <v>REA-E5692</v>
      </c>
    </row>
    <row r="2441" spans="1:5" x14ac:dyDescent="0.2">
      <c r="A2441" s="22">
        <f ca="1">IFERROR(__xludf.DUMMYFUNCTION("""COMPUTED_VALUE"""),44775)</f>
        <v>44775</v>
      </c>
      <c r="B2441" s="23" t="str">
        <f ca="1">IFERROR(__xludf.DUMMYFUNCTION("""COMPUTED_VALUE"""),"STELAŻ PODTYNKOWY WC F GOLD")</f>
        <v>STELAŻ PODTYNKOWY WC F GOLD</v>
      </c>
      <c r="C2441" s="23"/>
      <c r="D2441" s="24">
        <f ca="1">IFERROR(__xludf.DUMMYFUNCTION("""COMPUTED_VALUE"""),899)</f>
        <v>899</v>
      </c>
      <c r="E2441" s="25" t="str">
        <f ca="1">IFERROR(__xludf.DUMMYFUNCTION("""COMPUTED_VALUE"""),"REA-E9851")</f>
        <v>REA-E9851</v>
      </c>
    </row>
    <row r="2442" spans="1:5" x14ac:dyDescent="0.2">
      <c r="A2442" s="22">
        <f ca="1">IFERROR(__xludf.DUMMYFUNCTION("""COMPUTED_VALUE"""),44775)</f>
        <v>44775</v>
      </c>
      <c r="B2442" s="23" t="str">
        <f ca="1">IFERROR(__xludf.DUMMYFUNCTION("""COMPUTED_VALUE"""),"STELAŻ PODTYNKOWY WC H GOLD")</f>
        <v>STELAŻ PODTYNKOWY WC H GOLD</v>
      </c>
      <c r="C2442" s="23"/>
      <c r="D2442" s="24">
        <f ca="1">IFERROR(__xludf.DUMMYFUNCTION("""COMPUTED_VALUE"""),899)</f>
        <v>899</v>
      </c>
      <c r="E2442" s="25" t="str">
        <f ca="1">IFERROR(__xludf.DUMMYFUNCTION("""COMPUTED_VALUE"""),"REA-E9863")</f>
        <v>REA-E9863</v>
      </c>
    </row>
    <row r="2443" spans="1:5" x14ac:dyDescent="0.2">
      <c r="A2443" s="22">
        <f ca="1">IFERROR(__xludf.DUMMYFUNCTION("""COMPUTED_VALUE"""),44775)</f>
        <v>44775</v>
      </c>
      <c r="B2443" s="23" t="str">
        <f ca="1">IFERROR(__xludf.DUMMYFUNCTION("""COMPUTED_VALUE"""),"STELAŻ PODTYNKOWY WC F BLACK")</f>
        <v>STELAŻ PODTYNKOWY WC F BLACK</v>
      </c>
      <c r="C2443" s="23"/>
      <c r="D2443" s="24">
        <f ca="1">IFERROR(__xludf.DUMMYFUNCTION("""COMPUTED_VALUE"""),799)</f>
        <v>799</v>
      </c>
      <c r="E2443" s="25" t="str">
        <f ca="1">IFERROR(__xludf.DUMMYFUNCTION("""COMPUTED_VALUE"""),"REA-E3652")</f>
        <v>REA-E3652</v>
      </c>
    </row>
    <row r="2444" spans="1:5" x14ac:dyDescent="0.2">
      <c r="A2444" s="22">
        <f ca="1">IFERROR(__xludf.DUMMYFUNCTION("""COMPUTED_VALUE"""),44775)</f>
        <v>44775</v>
      </c>
      <c r="B2444" s="23" t="str">
        <f ca="1">IFERROR(__xludf.DUMMYFUNCTION("""COMPUTED_VALUE"""),"STELAŻ PODTYNKOWY WC H BLACK")</f>
        <v>STELAŻ PODTYNKOWY WC H BLACK</v>
      </c>
      <c r="C2444" s="23"/>
      <c r="D2444" s="24">
        <f ca="1">IFERROR(__xludf.DUMMYFUNCTION("""COMPUTED_VALUE"""),799)</f>
        <v>799</v>
      </c>
      <c r="E2444" s="25" t="str">
        <f ca="1">IFERROR(__xludf.DUMMYFUNCTION("""COMPUTED_VALUE"""),"REA-E3650")</f>
        <v>REA-E3650</v>
      </c>
    </row>
    <row r="2445" spans="1:5" x14ac:dyDescent="0.2">
      <c r="A2445" s="22">
        <f ca="1">IFERROR(__xludf.DUMMYFUNCTION("""COMPUTED_VALUE"""),44775)</f>
        <v>44775</v>
      </c>
      <c r="B2445" s="23" t="str">
        <f ca="1">IFERROR(__xludf.DUMMYFUNCTION("""COMPUTED_VALUE"""),"DRZWI PRYSZNICOWE NIXON-2  100 L")</f>
        <v>DRZWI PRYSZNICOWE NIXON-2  100 L</v>
      </c>
      <c r="C2445" s="23"/>
      <c r="D2445" s="24">
        <f ca="1">IFERROR(__xludf.DUMMYFUNCTION("""COMPUTED_VALUE"""),1359)</f>
        <v>1359</v>
      </c>
      <c r="E2445" s="25" t="str">
        <f ca="1">IFERROR(__xludf.DUMMYFUNCTION("""COMPUTED_VALUE"""),"REA-K5012")</f>
        <v>REA-K5012</v>
      </c>
    </row>
    <row r="2446" spans="1:5" x14ac:dyDescent="0.2">
      <c r="A2446" s="22">
        <f ca="1">IFERROR(__xludf.DUMMYFUNCTION("""COMPUTED_VALUE"""),44771)</f>
        <v>44771</v>
      </c>
      <c r="B2446" s="23" t="str">
        <f ca="1">IFERROR(__xludf.DUMMYFUNCTION("""COMPUTED_VALUE"""),"BATERIA CALANI UMYWALKOWA SIENA WYSOKA H BLACK")</f>
        <v>BATERIA CALANI UMYWALKOWA SIENA WYSOKA H BLACK</v>
      </c>
      <c r="C2446" s="23"/>
      <c r="D2446" s="24">
        <f ca="1">IFERROR(__xludf.DUMMYFUNCTION("""COMPUTED_VALUE"""),269)</f>
        <v>269</v>
      </c>
      <c r="E2446" s="25" t="str">
        <f ca="1">IFERROR(__xludf.DUMMYFUNCTION("""COMPUTED_VALUE"""),"CAL-B0042")</f>
        <v>CAL-B0042</v>
      </c>
    </row>
    <row r="2447" spans="1:5" x14ac:dyDescent="0.2">
      <c r="A2447" s="22">
        <f ca="1">IFERROR(__xludf.DUMMYFUNCTION("""COMPUTED_VALUE"""),44771)</f>
        <v>44771</v>
      </c>
      <c r="B2447" s="23" t="str">
        <f ca="1">IFERROR(__xludf.DUMMYFUNCTION("""COMPUTED_VALUE"""),"ŚCIANKA PRYSZNICOWA CORTIS 120")</f>
        <v>ŚCIANKA PRYSZNICOWA CORTIS 120</v>
      </c>
      <c r="C2447" s="23"/>
      <c r="D2447" s="24">
        <f ca="1">IFERROR(__xludf.DUMMYFUNCTION("""COMPUTED_VALUE"""),1099)</f>
        <v>1099</v>
      </c>
      <c r="E2447" s="25" t="str">
        <f ca="1">IFERROR(__xludf.DUMMYFUNCTION("""COMPUTED_VALUE"""),"REA-K7211")</f>
        <v>REA-K7211</v>
      </c>
    </row>
    <row r="2448" spans="1:5" x14ac:dyDescent="0.2">
      <c r="A2448" s="22">
        <f ca="1">IFERROR(__xludf.DUMMYFUNCTION("""COMPUTED_VALUE"""),44771)</f>
        <v>44771</v>
      </c>
      <c r="B2448" s="23" t="str">
        <f ca="1">IFERROR(__xludf.DUMMYFUNCTION("""COMPUTED_VALUE"""),"ŚCIANKA PRYSZNICOWA CORTIS 120 BLACK")</f>
        <v>ŚCIANKA PRYSZNICOWA CORTIS 120 BLACK</v>
      </c>
      <c r="C2448" s="23"/>
      <c r="D2448" s="24">
        <f ca="1">IFERROR(__xludf.DUMMYFUNCTION("""COMPUTED_VALUE"""),1119)</f>
        <v>1119</v>
      </c>
      <c r="E2448" s="25" t="str">
        <f ca="1">IFERROR(__xludf.DUMMYFUNCTION("""COMPUTED_VALUE"""),"REA-K8880")</f>
        <v>REA-K8880</v>
      </c>
    </row>
    <row r="2449" spans="1:5" x14ac:dyDescent="0.2">
      <c r="A2449" s="22">
        <f ca="1">IFERROR(__xludf.DUMMYFUNCTION("""COMPUTED_VALUE"""),44771)</f>
        <v>44771</v>
      </c>
      <c r="B2449" s="23" t="str">
        <f ca="1">IFERROR(__xludf.DUMMYFUNCTION("""COMPUTED_VALUE"""),"DRZWI PRYSZNICOWE NIXON-2  100 P")</f>
        <v>DRZWI PRYSZNICOWE NIXON-2  100 P</v>
      </c>
      <c r="C2449" s="23"/>
      <c r="D2449" s="24">
        <f ca="1">IFERROR(__xludf.DUMMYFUNCTION("""COMPUTED_VALUE"""),1359)</f>
        <v>1359</v>
      </c>
      <c r="E2449" s="25" t="str">
        <f ca="1">IFERROR(__xludf.DUMMYFUNCTION("""COMPUTED_VALUE"""),"REA-K7440")</f>
        <v>REA-K7440</v>
      </c>
    </row>
    <row r="2450" spans="1:5" x14ac:dyDescent="0.2">
      <c r="A2450" s="22">
        <f ca="1">IFERROR(__xludf.DUMMYFUNCTION("""COMPUTED_VALUE"""),44771)</f>
        <v>44771</v>
      </c>
      <c r="B2450" s="23" t="str">
        <f ca="1">IFERROR(__xludf.DUMMYFUNCTION("""COMPUTED_VALUE"""),"ŚCIANKA PRYSZNICOWA AERO 100 BLACK")</f>
        <v>ŚCIANKA PRYSZNICOWA AERO 100 BLACK</v>
      </c>
      <c r="C2450" s="23"/>
      <c r="D2450" s="24">
        <f ca="1">IFERROR(__xludf.DUMMYFUNCTION("""COMPUTED_VALUE"""),829)</f>
        <v>829</v>
      </c>
      <c r="E2450" s="25" t="str">
        <f ca="1">IFERROR(__xludf.DUMMYFUNCTION("""COMPUTED_VALUE"""),"REA-K6596")</f>
        <v>REA-K6596</v>
      </c>
    </row>
    <row r="2451" spans="1:5" x14ac:dyDescent="0.2">
      <c r="A2451" s="22">
        <f ca="1">IFERROR(__xludf.DUMMYFUNCTION("""COMPUTED_VALUE"""),44771)</f>
        <v>44771</v>
      </c>
      <c r="B2451" s="23" t="str">
        <f ca="1">IFERROR(__xludf.DUMMYFUNCTION("""COMPUTED_VALUE"""),"DRZWI PRYSZNICOWE ALEX-805   80")</f>
        <v>DRZWI PRYSZNICOWE ALEX-805   80</v>
      </c>
      <c r="C2451" s="23"/>
      <c r="D2451" s="24">
        <f ca="1">IFERROR(__xludf.DUMMYFUNCTION("""COMPUTED_VALUE"""),839)</f>
        <v>839</v>
      </c>
      <c r="E2451" s="25" t="str">
        <f ca="1">IFERROR(__xludf.DUMMYFUNCTION("""COMPUTED_VALUE"""),"REA-K0287")</f>
        <v>REA-K0287</v>
      </c>
    </row>
    <row r="2452" spans="1:5" x14ac:dyDescent="0.2">
      <c r="A2452" s="22">
        <f ca="1">IFERROR(__xludf.DUMMYFUNCTION("""COMPUTED_VALUE"""),44771)</f>
        <v>44771</v>
      </c>
      <c r="B2452" s="23" t="str">
        <f ca="1">IFERROR(__xludf.DUMMYFUNCTION("""COMPUTED_VALUE"""),"ŚCIANKA PRYSZNICOWA CORTIS 100 BLACK")</f>
        <v>ŚCIANKA PRYSZNICOWA CORTIS 100 BLACK</v>
      </c>
      <c r="C2452" s="23"/>
      <c r="D2452" s="24">
        <f ca="1">IFERROR(__xludf.DUMMYFUNCTION("""COMPUTED_VALUE"""),1099)</f>
        <v>1099</v>
      </c>
      <c r="E2452" s="25" t="str">
        <f ca="1">IFERROR(__xludf.DUMMYFUNCTION("""COMPUTED_VALUE"""),"REA-K7740")</f>
        <v>REA-K7740</v>
      </c>
    </row>
    <row r="2453" spans="1:5" x14ac:dyDescent="0.2">
      <c r="A2453" s="22">
        <f ca="1">IFERROR(__xludf.DUMMYFUNCTION("""COMPUTED_VALUE"""),44771)</f>
        <v>44771</v>
      </c>
      <c r="B2453" s="23" t="str">
        <f ca="1">IFERROR(__xludf.DUMMYFUNCTION("""COMPUTED_VALUE"""),"DRZWI PRYSZNICOWE ALEX-805 BLACK  90")</f>
        <v>DRZWI PRYSZNICOWE ALEX-805 BLACK  90</v>
      </c>
      <c r="C2453" s="23"/>
      <c r="D2453" s="24">
        <f ca="1">IFERROR(__xludf.DUMMYFUNCTION("""COMPUTED_VALUE"""),939)</f>
        <v>939</v>
      </c>
      <c r="E2453" s="25" t="str">
        <f ca="1">IFERROR(__xludf.DUMMYFUNCTION("""COMPUTED_VALUE"""),"REA-K9638")</f>
        <v>REA-K9638</v>
      </c>
    </row>
    <row r="2454" spans="1:5" x14ac:dyDescent="0.2">
      <c r="A2454" s="22">
        <f ca="1">IFERROR(__xludf.DUMMYFUNCTION("""COMPUTED_VALUE"""),44771)</f>
        <v>44771</v>
      </c>
      <c r="B2454" s="23" t="str">
        <f ca="1">IFERROR(__xludf.DUMMYFUNCTION("""COMPUTED_VALUE"""),"DRZWI PRYSZNICOWE ALEX-805   90")</f>
        <v>DRZWI PRYSZNICOWE ALEX-805   90</v>
      </c>
      <c r="C2454" s="23"/>
      <c r="D2454" s="24">
        <f ca="1">IFERROR(__xludf.DUMMYFUNCTION("""COMPUTED_VALUE"""),869)</f>
        <v>869</v>
      </c>
      <c r="E2454" s="25" t="str">
        <f ca="1">IFERROR(__xludf.DUMMYFUNCTION("""COMPUTED_VALUE"""),"REA-K0549")</f>
        <v>REA-K0549</v>
      </c>
    </row>
    <row r="2455" spans="1:5" x14ac:dyDescent="0.2">
      <c r="A2455" s="22">
        <f ca="1">IFERROR(__xludf.DUMMYFUNCTION("""COMPUTED_VALUE"""),44771)</f>
        <v>44771</v>
      </c>
      <c r="B2455" s="23" t="str">
        <f ca="1">IFERROR(__xludf.DUMMYFUNCTION("""COMPUTED_VALUE"""),"DRZWI PRYSZNICOWE ALEX-805  100")</f>
        <v>DRZWI PRYSZNICOWE ALEX-805  100</v>
      </c>
      <c r="C2455" s="23"/>
      <c r="D2455" s="24">
        <f ca="1">IFERROR(__xludf.DUMMYFUNCTION("""COMPUTED_VALUE"""),899)</f>
        <v>899</v>
      </c>
      <c r="E2455" s="25" t="str">
        <f ca="1">IFERROR(__xludf.DUMMYFUNCTION("""COMPUTED_VALUE"""),"REA-K0546")</f>
        <v>REA-K0546</v>
      </c>
    </row>
    <row r="2456" spans="1:5" x14ac:dyDescent="0.2">
      <c r="A2456" s="22">
        <f ca="1">IFERROR(__xludf.DUMMYFUNCTION("""COMPUTED_VALUE"""),44771)</f>
        <v>44771</v>
      </c>
      <c r="B2456" s="23" t="str">
        <f ca="1">IFERROR(__xludf.DUMMYFUNCTION("""COMPUTED_VALUE"""),"BRODZIK DIAMOND 90*90*5cm WHITE")</f>
        <v>BRODZIK DIAMOND 90*90*5cm WHITE</v>
      </c>
      <c r="C2456" s="23"/>
      <c r="D2456" s="24">
        <f ca="1">IFERROR(__xludf.DUMMYFUNCTION("""COMPUTED_VALUE"""),629)</f>
        <v>629</v>
      </c>
      <c r="E2456" s="25" t="str">
        <f ca="1">IFERROR(__xludf.DUMMYFUNCTION("""COMPUTED_VALUE"""),"REA-K6522")</f>
        <v>REA-K6522</v>
      </c>
    </row>
    <row r="2457" spans="1:5" x14ac:dyDescent="0.2">
      <c r="A2457" s="22">
        <f ca="1">IFERROR(__xludf.DUMMYFUNCTION("""COMPUTED_VALUE"""),44771)</f>
        <v>44771</v>
      </c>
      <c r="B2457" s="23" t="str">
        <f ca="1">IFERROR(__xludf.DUMMYFUNCTION("""COMPUTED_VALUE"""),"BRODZIK DIAMOND 80*80*5cm WHITE")</f>
        <v>BRODZIK DIAMOND 80*80*5cm WHITE</v>
      </c>
      <c r="C2457" s="23"/>
      <c r="D2457" s="24">
        <f ca="1">IFERROR(__xludf.DUMMYFUNCTION("""COMPUTED_VALUE"""),599)</f>
        <v>599</v>
      </c>
      <c r="E2457" s="25" t="str">
        <f ca="1">IFERROR(__xludf.DUMMYFUNCTION("""COMPUTED_VALUE"""),"REA-K8544")</f>
        <v>REA-K8544</v>
      </c>
    </row>
    <row r="2458" spans="1:5" x14ac:dyDescent="0.2">
      <c r="A2458" s="22">
        <f ca="1">IFERROR(__xludf.DUMMYFUNCTION("""COMPUTED_VALUE"""),44771)</f>
        <v>44771</v>
      </c>
      <c r="B2458" s="23" t="str">
        <f ca="1">IFERROR(__xludf.DUMMYFUNCTION("""COMPUTED_VALUE"""),"DRZWI PRYSZNICOWE ALEX-805 BLACK  100")</f>
        <v>DRZWI PRYSZNICOWE ALEX-805 BLACK  100</v>
      </c>
      <c r="C2458" s="23"/>
      <c r="D2458" s="24">
        <f ca="1">IFERROR(__xludf.DUMMYFUNCTION("""COMPUTED_VALUE"""),999)</f>
        <v>999</v>
      </c>
      <c r="E2458" s="25" t="str">
        <f ca="1">IFERROR(__xludf.DUMMYFUNCTION("""COMPUTED_VALUE"""),"REA-K9639")</f>
        <v>REA-K9639</v>
      </c>
    </row>
    <row r="2459" spans="1:5" x14ac:dyDescent="0.2">
      <c r="A2459" s="22">
        <f ca="1">IFERROR(__xludf.DUMMYFUNCTION("""COMPUTED_VALUE"""),44770)</f>
        <v>44770</v>
      </c>
      <c r="B2459" s="23" t="str">
        <f ca="1">IFERROR(__xludf.DUMMYFUNCTION("""COMPUTED_VALUE"""),"BATERIA WANNOWA ORIX L.GOLD")</f>
        <v>BATERIA WANNOWA ORIX L.GOLD</v>
      </c>
      <c r="C2459" s="23"/>
      <c r="D2459" s="24">
        <f ca="1">IFERROR(__xludf.DUMMYFUNCTION("""COMPUTED_VALUE"""),549)</f>
        <v>549</v>
      </c>
      <c r="E2459" s="25" t="str">
        <f ca="1">IFERROR(__xludf.DUMMYFUNCTION("""COMPUTED_VALUE"""),"REA-B5134")</f>
        <v>REA-B5134</v>
      </c>
    </row>
    <row r="2460" spans="1:5" x14ac:dyDescent="0.2">
      <c r="A2460" s="22">
        <f ca="1">IFERROR(__xludf.DUMMYFUNCTION("""COMPUTED_VALUE"""),44770)</f>
        <v>44770</v>
      </c>
      <c r="B2460" s="23" t="str">
        <f ca="1">IFERROR(__xludf.DUMMYFUNCTION("""COMPUTED_VALUE"""),"BATERIA UMYWALKOWA LEVI Gold")</f>
        <v>BATERIA UMYWALKOWA LEVI Gold</v>
      </c>
      <c r="C2460" s="23"/>
      <c r="D2460" s="24">
        <f ca="1">IFERROR(__xludf.DUMMYFUNCTION("""COMPUTED_VALUE"""),429)</f>
        <v>429</v>
      </c>
      <c r="E2460" s="25" t="str">
        <f ca="1">IFERROR(__xludf.DUMMYFUNCTION("""COMPUTED_VALUE"""),"REA-B5137")</f>
        <v>REA-B5137</v>
      </c>
    </row>
    <row r="2461" spans="1:5" x14ac:dyDescent="0.2">
      <c r="A2461" s="22">
        <f ca="1">IFERROR(__xludf.DUMMYFUNCTION("""COMPUTED_VALUE"""),44770)</f>
        <v>44770</v>
      </c>
      <c r="B2461" s="23" t="str">
        <f ca="1">IFERROR(__xludf.DUMMYFUNCTION("""COMPUTED_VALUE"""),"BATERIA CALANI UMYWALKOWA NEXOS NISKA L GOLD")</f>
        <v>BATERIA CALANI UMYWALKOWA NEXOS NISKA L GOLD</v>
      </c>
      <c r="C2461" s="23"/>
      <c r="D2461" s="24">
        <f ca="1">IFERROR(__xludf.DUMMYFUNCTION("""COMPUTED_VALUE"""),139)</f>
        <v>139</v>
      </c>
      <c r="E2461" s="25" t="str">
        <f ca="1">IFERROR(__xludf.DUMMYFUNCTION("""COMPUTED_VALUE"""),"CAL-B0026")</f>
        <v>CAL-B0026</v>
      </c>
    </row>
    <row r="2462" spans="1:5" x14ac:dyDescent="0.2">
      <c r="A2462" s="22">
        <f ca="1">IFERROR(__xludf.DUMMYFUNCTION("""COMPUTED_VALUE"""),44770)</f>
        <v>44770</v>
      </c>
      <c r="B2462" s="23" t="str">
        <f ca="1">IFERROR(__xludf.DUMMYFUNCTION("""COMPUTED_VALUE"""),"BATERIA CALANI UMYWALKOWA NEXOS WYSOKA H GOLD")</f>
        <v>BATERIA CALANI UMYWALKOWA NEXOS WYSOKA H GOLD</v>
      </c>
      <c r="C2462" s="23"/>
      <c r="D2462" s="24">
        <f ca="1">IFERROR(__xludf.DUMMYFUNCTION("""COMPUTED_VALUE"""),169)</f>
        <v>169</v>
      </c>
      <c r="E2462" s="25" t="str">
        <f ca="1">IFERROR(__xludf.DUMMYFUNCTION("""COMPUTED_VALUE"""),"CAL-B0025")</f>
        <v>CAL-B0025</v>
      </c>
    </row>
    <row r="2463" spans="1:5" x14ac:dyDescent="0.2">
      <c r="A2463" s="22">
        <f ca="1">IFERROR(__xludf.DUMMYFUNCTION("""COMPUTED_VALUE"""),44770)</f>
        <v>44770</v>
      </c>
      <c r="B2463" s="23" t="str">
        <f ca="1">IFERROR(__xludf.DUMMYFUNCTION("""COMPUTED_VALUE"""),"BATERIA UMYWALKOWA GRAF")</f>
        <v>BATERIA UMYWALKOWA GRAF</v>
      </c>
      <c r="C2463" s="23"/>
      <c r="D2463" s="24">
        <f ca="1">IFERROR(__xludf.DUMMYFUNCTION("""COMPUTED_VALUE"""),149)</f>
        <v>149</v>
      </c>
      <c r="E2463" s="25" t="str">
        <f ca="1">IFERROR(__xludf.DUMMYFUNCTION("""COMPUTED_VALUE"""),"REA-B0027")</f>
        <v>REA-B0027</v>
      </c>
    </row>
    <row r="2464" spans="1:5" x14ac:dyDescent="0.2">
      <c r="A2464" s="22">
        <f ca="1">IFERROR(__xludf.DUMMYFUNCTION("""COMPUTED_VALUE"""),44770)</f>
        <v>44770</v>
      </c>
      <c r="B2464" s="23" t="str">
        <f ca="1">IFERROR(__xludf.DUMMYFUNCTION("""COMPUTED_VALUE"""),"BATERIA WANNOWA LUPPO BLACK")</f>
        <v>BATERIA WANNOWA LUPPO BLACK</v>
      </c>
      <c r="C2464" s="23"/>
      <c r="D2464" s="24">
        <f ca="1">IFERROR(__xludf.DUMMYFUNCTION("""COMPUTED_VALUE"""),369)</f>
        <v>369</v>
      </c>
      <c r="E2464" s="25" t="str">
        <f ca="1">IFERROR(__xludf.DUMMYFUNCTION("""COMPUTED_VALUE"""),"REA-B5770")</f>
        <v>REA-B5770</v>
      </c>
    </row>
    <row r="2465" spans="1:5" x14ac:dyDescent="0.2">
      <c r="A2465" s="22">
        <f ca="1">IFERROR(__xludf.DUMMYFUNCTION("""COMPUTED_VALUE"""),44770)</f>
        <v>44770</v>
      </c>
      <c r="B2465" s="23" t="str">
        <f ca="1">IFERROR(__xludf.DUMMYFUNCTION("""COMPUTED_VALUE"""),"BATERIA CALANI UMYWALKOWA SIENA NISKA L CHROM")</f>
        <v>BATERIA CALANI UMYWALKOWA SIENA NISKA L CHROM</v>
      </c>
      <c r="C2465" s="23"/>
      <c r="D2465" s="24">
        <f ca="1">IFERROR(__xludf.DUMMYFUNCTION("""COMPUTED_VALUE"""),169)</f>
        <v>169</v>
      </c>
      <c r="E2465" s="25" t="str">
        <f ca="1">IFERROR(__xludf.DUMMYFUNCTION("""COMPUTED_VALUE"""),"CAL-B0016")</f>
        <v>CAL-B0016</v>
      </c>
    </row>
    <row r="2466" spans="1:5" x14ac:dyDescent="0.2">
      <c r="A2466" s="22">
        <f ca="1">IFERROR(__xludf.DUMMYFUNCTION("""COMPUTED_VALUE"""),44770)</f>
        <v>44770</v>
      </c>
      <c r="B2466" s="23" t="str">
        <f ca="1">IFERROR(__xludf.DUMMYFUNCTION("""COMPUTED_VALUE"""),"BATERIA CALANI LUPI BLACK")</f>
        <v>BATERIA CALANI LUPI BLACK</v>
      </c>
      <c r="C2466" s="23"/>
      <c r="D2466" s="24">
        <f ca="1">IFERROR(__xludf.DUMMYFUNCTION("""COMPUTED_VALUE"""),89)</f>
        <v>89</v>
      </c>
      <c r="E2466" s="25" t="str">
        <f ca="1">IFERROR(__xludf.DUMMYFUNCTION("""COMPUTED_VALUE"""),"CAL-B0015")</f>
        <v>CAL-B0015</v>
      </c>
    </row>
    <row r="2467" spans="1:5" x14ac:dyDescent="0.2">
      <c r="A2467" s="22">
        <f ca="1">IFERROR(__xludf.DUMMYFUNCTION("""COMPUTED_VALUE"""),44770)</f>
        <v>44770</v>
      </c>
      <c r="B2467" s="23" t="str">
        <f ca="1">IFERROR(__xludf.DUMMYFUNCTION("""COMPUTED_VALUE"""),"KOREK KLIK-KLAK UNIWERSALNY ROSE GOLD")</f>
        <v>KOREK KLIK-KLAK UNIWERSALNY ROSE GOLD</v>
      </c>
      <c r="C2467" s="23"/>
      <c r="D2467" s="24">
        <f ca="1">IFERROR(__xludf.DUMMYFUNCTION("""COMPUTED_VALUE"""),99)</f>
        <v>99</v>
      </c>
      <c r="E2467" s="25" t="str">
        <f ca="1">IFERROR(__xludf.DUMMYFUNCTION("""COMPUTED_VALUE"""),"REA-A533A")</f>
        <v>REA-A533A</v>
      </c>
    </row>
    <row r="2468" spans="1:5" x14ac:dyDescent="0.2">
      <c r="A2468" s="22">
        <f ca="1">IFERROR(__xludf.DUMMYFUNCTION("""COMPUTED_VALUE"""),44770)</f>
        <v>44770</v>
      </c>
      <c r="B2468" s="23" t="str">
        <f ca="1">IFERROR(__xludf.DUMMYFUNCTION("""COMPUTED_VALUE"""),"BATERIA WANNOWA RETRO OLD BLACK")</f>
        <v>BATERIA WANNOWA RETRO OLD BLACK</v>
      </c>
      <c r="C2468" s="23"/>
      <c r="D2468" s="24">
        <f ca="1">IFERROR(__xludf.DUMMYFUNCTION("""COMPUTED_VALUE"""),579)</f>
        <v>579</v>
      </c>
      <c r="E2468" s="25" t="str">
        <f ca="1">IFERROR(__xludf.DUMMYFUNCTION("""COMPUTED_VALUE"""),"REA-B0224")</f>
        <v>REA-B0224</v>
      </c>
    </row>
    <row r="2469" spans="1:5" x14ac:dyDescent="0.2">
      <c r="A2469" s="22">
        <f ca="1">IFERROR(__xludf.DUMMYFUNCTION("""COMPUTED_VALUE"""),44770)</f>
        <v>44770</v>
      </c>
      <c r="B2469" s="23" t="str">
        <f ca="1">IFERROR(__xludf.DUMMYFUNCTION("""COMPUTED_VALUE"""),"BATERIA PODŁOGOWA WANNOWA ORTIS L.GOLD")</f>
        <v>BATERIA PODŁOGOWA WANNOWA ORTIS L.GOLD</v>
      </c>
      <c r="C2469" s="23"/>
      <c r="D2469" s="24">
        <f ca="1">IFERROR(__xludf.DUMMYFUNCTION("""COMPUTED_VALUE"""),1099)</f>
        <v>1099</v>
      </c>
      <c r="E2469" s="25" t="str">
        <f ca="1">IFERROR(__xludf.DUMMYFUNCTION("""COMPUTED_VALUE"""),"REA-B7430")</f>
        <v>REA-B7430</v>
      </c>
    </row>
    <row r="2470" spans="1:5" x14ac:dyDescent="0.2">
      <c r="A2470" s="22">
        <f ca="1">IFERROR(__xludf.DUMMYFUNCTION("""COMPUTED_VALUE"""),44770)</f>
        <v>44770</v>
      </c>
      <c r="B2470" s="23" t="str">
        <f ca="1">IFERROR(__xludf.DUMMYFUNCTION("""COMPUTED_VALUE"""),"BATERIA PODŁOGOWA WANNOWA ORTIS BLACK")</f>
        <v>BATERIA PODŁOGOWA WANNOWA ORTIS BLACK</v>
      </c>
      <c r="C2470" s="23"/>
      <c r="D2470" s="24">
        <f ca="1">IFERROR(__xludf.DUMMYFUNCTION("""COMPUTED_VALUE"""),1099)</f>
        <v>1099</v>
      </c>
      <c r="E2470" s="25" t="str">
        <f ca="1">IFERROR(__xludf.DUMMYFUNCTION("""COMPUTED_VALUE"""),"REA-B0232")</f>
        <v>REA-B0232</v>
      </c>
    </row>
    <row r="2471" spans="1:5" x14ac:dyDescent="0.2">
      <c r="A2471" s="22">
        <f ca="1">IFERROR(__xludf.DUMMYFUNCTION("""COMPUTED_VALUE"""),44770)</f>
        <v>44770</v>
      </c>
      <c r="B2471" s="23" t="str">
        <f ca="1">IFERROR(__xludf.DUMMYFUNCTION("""COMPUTED_VALUE"""),"BATERIA UMYWALKOWA FENIX BLACK WYSOKA")</f>
        <v>BATERIA UMYWALKOWA FENIX BLACK WYSOKA</v>
      </c>
      <c r="C2471" s="23"/>
      <c r="D2471" s="24">
        <f ca="1">IFERROR(__xludf.DUMMYFUNCTION("""COMPUTED_VALUE"""),439)</f>
        <v>439</v>
      </c>
      <c r="E2471" s="25" t="str">
        <f ca="1">IFERROR(__xludf.DUMMYFUNCTION("""COMPUTED_VALUE"""),"REA-B7849")</f>
        <v>REA-B7849</v>
      </c>
    </row>
    <row r="2472" spans="1:5" x14ac:dyDescent="0.2">
      <c r="A2472" s="22">
        <f ca="1">IFERROR(__xludf.DUMMYFUNCTION("""COMPUTED_VALUE"""),44770)</f>
        <v>44770</v>
      </c>
      <c r="B2472" s="23" t="str">
        <f ca="1">IFERROR(__xludf.DUMMYFUNCTION("""COMPUTED_VALUE"""),"ZESTAW NATRYSKOWO-WANNOWY Z WYLEWKĄ LUNGO BLACK")</f>
        <v>ZESTAW NATRYSKOWO-WANNOWY Z WYLEWKĄ LUNGO BLACK</v>
      </c>
      <c r="C2472" s="23"/>
      <c r="D2472" s="24">
        <f ca="1">IFERROR(__xludf.DUMMYFUNCTION("""COMPUTED_VALUE"""),1119)</f>
        <v>1119</v>
      </c>
      <c r="E2472" s="25" t="str">
        <f ca="1">IFERROR(__xludf.DUMMYFUNCTION("""COMPUTED_VALUE"""),"REA-P4112")</f>
        <v>REA-P4112</v>
      </c>
    </row>
    <row r="2473" spans="1:5" x14ac:dyDescent="0.2">
      <c r="A2473" s="22">
        <f ca="1">IFERROR(__xludf.DUMMYFUNCTION("""COMPUTED_VALUE"""),44770)</f>
        <v>44770</v>
      </c>
      <c r="B2473" s="23" t="str">
        <f ca="1">IFERROR(__xludf.DUMMYFUNCTION("""COMPUTED_VALUE"""),"SYFON KLIK-KLAK UNIWERSALNY L.GOLD SZCZOTKOWANY")</f>
        <v>SYFON KLIK-KLAK UNIWERSALNY L.GOLD SZCZOTKOWANY</v>
      </c>
      <c r="C2473" s="23"/>
      <c r="D2473" s="24">
        <f ca="1">IFERROR(__xludf.DUMMYFUNCTION("""COMPUTED_VALUE"""),299)</f>
        <v>299</v>
      </c>
      <c r="E2473" s="25" t="str">
        <f ca="1">IFERROR(__xludf.DUMMYFUNCTION("""COMPUTED_VALUE"""),"REA-A8586")</f>
        <v>REA-A8586</v>
      </c>
    </row>
    <row r="2474" spans="1:5" x14ac:dyDescent="0.2">
      <c r="A2474" s="22">
        <f ca="1">IFERROR(__xludf.DUMMYFUNCTION("""COMPUTED_VALUE"""),44770)</f>
        <v>44770</v>
      </c>
      <c r="B2474" s="23" t="str">
        <f ca="1">IFERROR(__xludf.DUMMYFUNCTION("""COMPUTED_VALUE"""),"KOREK KLIK-KLAK UNIWERSALNY L.GOLD SZCZOTKOWANY")</f>
        <v>KOREK KLIK-KLAK UNIWERSALNY L.GOLD SZCZOTKOWANY</v>
      </c>
      <c r="C2474" s="23"/>
      <c r="D2474" s="24">
        <f ca="1">IFERROR(__xludf.DUMMYFUNCTION("""COMPUTED_VALUE"""),99)</f>
        <v>99</v>
      </c>
      <c r="E2474" s="25" t="str">
        <f ca="1">IFERROR(__xludf.DUMMYFUNCTION("""COMPUTED_VALUE"""),"REA-A8585")</f>
        <v>REA-A8585</v>
      </c>
    </row>
    <row r="2475" spans="1:5" x14ac:dyDescent="0.2">
      <c r="A2475" s="22">
        <f ca="1">IFERROR(__xludf.DUMMYFUNCTION("""COMPUTED_VALUE"""),44770)</f>
        <v>44770</v>
      </c>
      <c r="B2475" s="23" t="str">
        <f ca="1">IFERROR(__xludf.DUMMYFUNCTION("""COMPUTED_VALUE"""),"KOREK KLIK-KLAK UNIWERSALNY L.GOLD")</f>
        <v>KOREK KLIK-KLAK UNIWERSALNY L.GOLD</v>
      </c>
      <c r="C2475" s="23"/>
      <c r="D2475" s="24">
        <f ca="1">IFERROR(__xludf.DUMMYFUNCTION("""COMPUTED_VALUE"""),99)</f>
        <v>99</v>
      </c>
      <c r="E2475" s="25" t="str">
        <f ca="1">IFERROR(__xludf.DUMMYFUNCTION("""COMPUTED_VALUE"""),"REA-A2360")</f>
        <v>REA-A2360</v>
      </c>
    </row>
    <row r="2476" spans="1:5" x14ac:dyDescent="0.2">
      <c r="A2476" s="22">
        <f ca="1">IFERROR(__xludf.DUMMYFUNCTION("""COMPUTED_VALUE"""),44770)</f>
        <v>44770</v>
      </c>
      <c r="B2476" s="23" t="str">
        <f ca="1">IFERROR(__xludf.DUMMYFUNCTION("""COMPUTED_VALUE"""),"ZESTAW NATRYSKOWY FENIX BLACK MAT")</f>
        <v>ZESTAW NATRYSKOWY FENIX BLACK MAT</v>
      </c>
      <c r="C2476" s="23"/>
      <c r="D2476" s="24">
        <f ca="1">IFERROR(__xludf.DUMMYFUNCTION("""COMPUTED_VALUE"""),939)</f>
        <v>939</v>
      </c>
      <c r="E2476" s="25" t="str">
        <f ca="1">IFERROR(__xludf.DUMMYFUNCTION("""COMPUTED_VALUE"""),"REA-P6920")</f>
        <v>REA-P6920</v>
      </c>
    </row>
    <row r="2477" spans="1:5" x14ac:dyDescent="0.2">
      <c r="A2477" s="22">
        <f ca="1">IFERROR(__xludf.DUMMYFUNCTION("""COMPUTED_VALUE"""),44770)</f>
        <v>44770</v>
      </c>
      <c r="B2477" s="23" t="str">
        <f ca="1">IFERROR(__xludf.DUMMYFUNCTION("""COMPUTED_VALUE"""),"ZESTAW NATRYSKOWY PODTYNKOWY LUNGO ROSE GOLD + BOX")</f>
        <v>ZESTAW NATRYSKOWY PODTYNKOWY LUNGO ROSE GOLD + BOX</v>
      </c>
      <c r="C2477" s="23"/>
      <c r="D2477" s="24">
        <f ca="1">IFERROR(__xludf.DUMMYFUNCTION("""COMPUTED_VALUE"""),1119)</f>
        <v>1119</v>
      </c>
      <c r="E2477" s="25" t="str">
        <f ca="1">IFERROR(__xludf.DUMMYFUNCTION("""COMPUTED_VALUE"""),"REA-P4111")</f>
        <v>REA-P4111</v>
      </c>
    </row>
    <row r="2478" spans="1:5" x14ac:dyDescent="0.2">
      <c r="A2478" s="22">
        <f ca="1">IFERROR(__xludf.DUMMYFUNCTION("""COMPUTED_VALUE"""),44770)</f>
        <v>44770</v>
      </c>
      <c r="B2478" s="23" t="str">
        <f ca="1">IFERROR(__xludf.DUMMYFUNCTION("""COMPUTED_VALUE"""),"ZESTAW NATRYSKOWY PODTYNKOWY LUNGO L.GOLD + BOX")</f>
        <v>ZESTAW NATRYSKOWY PODTYNKOWY LUNGO L.GOLD + BOX</v>
      </c>
      <c r="C2478" s="23"/>
      <c r="D2478" s="24">
        <f ca="1">IFERROR(__xludf.DUMMYFUNCTION("""COMPUTED_VALUE"""),999)</f>
        <v>999</v>
      </c>
      <c r="E2478" s="25" t="str">
        <f ca="1">IFERROR(__xludf.DUMMYFUNCTION("""COMPUTED_VALUE"""),"REA-P4110")</f>
        <v>REA-P4110</v>
      </c>
    </row>
    <row r="2479" spans="1:5" x14ac:dyDescent="0.2">
      <c r="A2479" s="22">
        <f ca="1">IFERROR(__xludf.DUMMYFUNCTION("""COMPUTED_VALUE"""),44770)</f>
        <v>44770</v>
      </c>
      <c r="B2479" s="23" t="str">
        <f ca="1">IFERROR(__xludf.DUMMYFUNCTION("""COMPUTED_VALUE"""),"BATERIA UMYWALKOWA LUNGO BLACK WYSOKA")</f>
        <v>BATERIA UMYWALKOWA LUNGO BLACK WYSOKA</v>
      </c>
      <c r="C2479" s="23"/>
      <c r="D2479" s="24">
        <f ca="1">IFERROR(__xludf.DUMMYFUNCTION("""COMPUTED_VALUE"""),259)</f>
        <v>259</v>
      </c>
      <c r="E2479" s="25" t="str">
        <f ca="1">IFERROR(__xludf.DUMMYFUNCTION("""COMPUTED_VALUE"""),"REA-B4103")</f>
        <v>REA-B4103</v>
      </c>
    </row>
    <row r="2480" spans="1:5" x14ac:dyDescent="0.2">
      <c r="A2480" s="22">
        <f ca="1">IFERROR(__xludf.DUMMYFUNCTION("""COMPUTED_VALUE"""),44770)</f>
        <v>44770</v>
      </c>
      <c r="B2480" s="23" t="str">
        <f ca="1">IFERROR(__xludf.DUMMYFUNCTION("""COMPUTED_VALUE"""),"BATERIA UMYWALKOWA KENT GOLD")</f>
        <v>BATERIA UMYWALKOWA KENT GOLD</v>
      </c>
      <c r="C2480" s="23"/>
      <c r="D2480" s="24">
        <f ca="1">IFERROR(__xludf.DUMMYFUNCTION("""COMPUTED_VALUE"""),399)</f>
        <v>399</v>
      </c>
      <c r="E2480" s="25" t="str">
        <f ca="1">IFERROR(__xludf.DUMMYFUNCTION("""COMPUTED_VALUE"""),"REA-B8014")</f>
        <v>REA-B8014</v>
      </c>
    </row>
    <row r="2481" spans="1:5" x14ac:dyDescent="0.2">
      <c r="A2481" s="22">
        <f ca="1">IFERROR(__xludf.DUMMYFUNCTION("""COMPUTED_VALUE"""),44770)</f>
        <v>44770</v>
      </c>
      <c r="B2481" s="23" t="str">
        <f ca="1">IFERROR(__xludf.DUMMYFUNCTION("""COMPUTED_VALUE"""),"BATERIA UMYWALKOWA GRAF BLACK WYSOKA")</f>
        <v>BATERIA UMYWALKOWA GRAF BLACK WYSOKA</v>
      </c>
      <c r="C2481" s="23"/>
      <c r="D2481" s="24">
        <f ca="1">IFERROR(__xludf.DUMMYFUNCTION("""COMPUTED_VALUE"""),149)</f>
        <v>149</v>
      </c>
      <c r="E2481" s="25" t="str">
        <f ca="1">IFERROR(__xludf.DUMMYFUNCTION("""COMPUTED_VALUE"""),"REA-B8665")</f>
        <v>REA-B8665</v>
      </c>
    </row>
    <row r="2482" spans="1:5" x14ac:dyDescent="0.2">
      <c r="A2482" s="22">
        <f ca="1">IFERROR(__xludf.DUMMYFUNCTION("""COMPUTED_VALUE"""),44770)</f>
        <v>44770</v>
      </c>
      <c r="B2482" s="23" t="str">
        <f ca="1">IFERROR(__xludf.DUMMYFUNCTION("""COMPUTED_VALUE"""),"BATERIA WANNOWA 5-OTWOROWA ICON BLACK")</f>
        <v>BATERIA WANNOWA 5-OTWOROWA ICON BLACK</v>
      </c>
      <c r="C2482" s="23"/>
      <c r="D2482" s="24">
        <f ca="1">IFERROR(__xludf.DUMMYFUNCTION("""COMPUTED_VALUE"""),799)</f>
        <v>799</v>
      </c>
      <c r="E2482" s="25" t="str">
        <f ca="1">IFERROR(__xludf.DUMMYFUNCTION("""COMPUTED_VALUE"""),"REA-B3622")</f>
        <v>REA-B3622</v>
      </c>
    </row>
    <row r="2483" spans="1:5" x14ac:dyDescent="0.2">
      <c r="A2483" s="22">
        <f ca="1">IFERROR(__xludf.DUMMYFUNCTION("""COMPUTED_VALUE"""),44770)</f>
        <v>44770</v>
      </c>
      <c r="B2483" s="23" t="str">
        <f ca="1">IFERROR(__xludf.DUMMYFUNCTION("""COMPUTED_VALUE"""),"BATERIA BIDETOWA LOOP BLACK")</f>
        <v>BATERIA BIDETOWA LOOP BLACK</v>
      </c>
      <c r="C2483" s="23"/>
      <c r="D2483" s="24">
        <f ca="1">IFERROR(__xludf.DUMMYFUNCTION("""COMPUTED_VALUE"""),399)</f>
        <v>399</v>
      </c>
      <c r="E2483" s="25" t="str">
        <f ca="1">IFERROR(__xludf.DUMMYFUNCTION("""COMPUTED_VALUE"""),"REA-B8978")</f>
        <v>REA-B8978</v>
      </c>
    </row>
    <row r="2484" spans="1:5" x14ac:dyDescent="0.2">
      <c r="A2484" s="22">
        <f ca="1">IFERROR(__xludf.DUMMYFUNCTION("""COMPUTED_VALUE"""),44770)</f>
        <v>44770</v>
      </c>
      <c r="B2484" s="23" t="str">
        <f ca="1">IFERROR(__xludf.DUMMYFUNCTION("""COMPUTED_VALUE"""),"ZESTAW NATRYSKOWY NAVARO")</f>
        <v>ZESTAW NATRYSKOWY NAVARO</v>
      </c>
      <c r="C2484" s="23"/>
      <c r="D2484" s="24">
        <f ca="1">IFERROR(__xludf.DUMMYFUNCTION("""COMPUTED_VALUE"""),759)</f>
        <v>759</v>
      </c>
      <c r="E2484" s="25" t="str">
        <f ca="1">IFERROR(__xludf.DUMMYFUNCTION("""COMPUTED_VALUE"""),"REA-P0802")</f>
        <v>REA-P0802</v>
      </c>
    </row>
    <row r="2485" spans="1:5" x14ac:dyDescent="0.2">
      <c r="A2485" s="22">
        <f ca="1">IFERROR(__xludf.DUMMYFUNCTION("""COMPUTED_VALUE"""),44770)</f>
        <v>44770</v>
      </c>
      <c r="B2485" s="23" t="str">
        <f ca="1">IFERROR(__xludf.DUMMYFUNCTION("""COMPUTED_VALUE"""),"BATERIA WANNOWA RIVEN GOLD")</f>
        <v>BATERIA WANNOWA RIVEN GOLD</v>
      </c>
      <c r="C2485" s="23"/>
      <c r="D2485" s="24">
        <f ca="1">IFERROR(__xludf.DUMMYFUNCTION("""COMPUTED_VALUE"""),499)</f>
        <v>499</v>
      </c>
      <c r="E2485" s="25" t="str">
        <f ca="1">IFERROR(__xludf.DUMMYFUNCTION("""COMPUTED_VALUE"""),"REA-B0497")</f>
        <v>REA-B0497</v>
      </c>
    </row>
    <row r="2486" spans="1:5" x14ac:dyDescent="0.2">
      <c r="A2486" s="22">
        <f ca="1">IFERROR(__xludf.DUMMYFUNCTION("""COMPUTED_VALUE"""),44770)</f>
        <v>44770</v>
      </c>
      <c r="B2486" s="23" t="str">
        <f ca="1">IFERROR(__xludf.DUMMYFUNCTION("""COMPUTED_VALUE"""),"BATERIA WANNOWA RIVEN CHROM")</f>
        <v>BATERIA WANNOWA RIVEN CHROM</v>
      </c>
      <c r="C2486" s="23"/>
      <c r="D2486" s="24">
        <f ca="1">IFERROR(__xludf.DUMMYFUNCTION("""COMPUTED_VALUE"""),519)</f>
        <v>519</v>
      </c>
      <c r="E2486" s="25" t="str">
        <f ca="1">IFERROR(__xludf.DUMMYFUNCTION("""COMPUTED_VALUE"""),"REA-B0457")</f>
        <v>REA-B0457</v>
      </c>
    </row>
    <row r="2487" spans="1:5" x14ac:dyDescent="0.2">
      <c r="A2487" s="22">
        <f ca="1">IFERROR(__xludf.DUMMYFUNCTION("""COMPUTED_VALUE"""),44770)</f>
        <v>44770</v>
      </c>
      <c r="B2487" s="23" t="str">
        <f ca="1">IFERROR(__xludf.DUMMYFUNCTION("""COMPUTED_VALUE"""),"BATERIA KUCHENNA CASTOR BLACK L.GOLD")</f>
        <v>BATERIA KUCHENNA CASTOR BLACK L.GOLD</v>
      </c>
      <c r="C2487" s="23"/>
      <c r="D2487" s="24">
        <f ca="1">IFERROR(__xludf.DUMMYFUNCTION("""COMPUTED_VALUE"""),599)</f>
        <v>599</v>
      </c>
      <c r="E2487" s="25" t="str">
        <f ca="1">IFERROR(__xludf.DUMMYFUNCTION("""COMPUTED_VALUE"""),"REA-B6936")</f>
        <v>REA-B6936</v>
      </c>
    </row>
    <row r="2488" spans="1:5" x14ac:dyDescent="0.2">
      <c r="A2488" s="22">
        <f ca="1">IFERROR(__xludf.DUMMYFUNCTION("""COMPUTED_VALUE"""),44770)</f>
        <v>44770</v>
      </c>
      <c r="B2488" s="23" t="str">
        <f ca="1">IFERROR(__xludf.DUMMYFUNCTION("""COMPUTED_VALUE"""),"BATERIA UMYWALKOWA LUNGO ART L.GOLD NISKA")</f>
        <v>BATERIA UMYWALKOWA LUNGO ART L.GOLD NISKA</v>
      </c>
      <c r="C2488" s="23"/>
      <c r="D2488" s="24">
        <f ca="1">IFERROR(__xludf.DUMMYFUNCTION("""COMPUTED_VALUE"""),299)</f>
        <v>299</v>
      </c>
      <c r="E2488" s="25" t="str">
        <f ca="1">IFERROR(__xludf.DUMMYFUNCTION("""COMPUTED_VALUE"""),"REA-B6322")</f>
        <v>REA-B6322</v>
      </c>
    </row>
    <row r="2489" spans="1:5" x14ac:dyDescent="0.2">
      <c r="A2489" s="22">
        <f ca="1">IFERROR(__xludf.DUMMYFUNCTION("""COMPUTED_VALUE"""),44770)</f>
        <v>44770</v>
      </c>
      <c r="B2489" s="23" t="str">
        <f ca="1">IFERROR(__xludf.DUMMYFUNCTION("""COMPUTED_VALUE"""),"BATERIA UMYWALKOWA LUNGO ART L.GOLD WYSOKA")</f>
        <v>BATERIA UMYWALKOWA LUNGO ART L.GOLD WYSOKA</v>
      </c>
      <c r="C2489" s="23"/>
      <c r="D2489" s="24">
        <f ca="1">IFERROR(__xludf.DUMMYFUNCTION("""COMPUTED_VALUE"""),359)</f>
        <v>359</v>
      </c>
      <c r="E2489" s="25" t="str">
        <f ca="1">IFERROR(__xludf.DUMMYFUNCTION("""COMPUTED_VALUE"""),"REA-B8821")</f>
        <v>REA-B8821</v>
      </c>
    </row>
    <row r="2490" spans="1:5" x14ac:dyDescent="0.2">
      <c r="A2490" s="22">
        <f ca="1">IFERROR(__xludf.DUMMYFUNCTION("""COMPUTED_VALUE"""),44770)</f>
        <v>44770</v>
      </c>
      <c r="B2490" s="23" t="str">
        <f ca="1">IFERROR(__xludf.DUMMYFUNCTION("""COMPUTED_VALUE"""),"BATERIA UMYWALKOWA LUGANO CHROM WYSOKA")</f>
        <v>BATERIA UMYWALKOWA LUGANO CHROM WYSOKA</v>
      </c>
      <c r="C2490" s="23"/>
      <c r="D2490" s="24">
        <f ca="1">IFERROR(__xludf.DUMMYFUNCTION("""COMPUTED_VALUE"""),319)</f>
        <v>319</v>
      </c>
      <c r="E2490" s="25" t="str">
        <f ca="1">IFERROR(__xludf.DUMMYFUNCTION("""COMPUTED_VALUE"""),"REA-B5000")</f>
        <v>REA-B5000</v>
      </c>
    </row>
    <row r="2491" spans="1:5" x14ac:dyDescent="0.2">
      <c r="A2491" s="22">
        <f ca="1">IFERROR(__xludf.DUMMYFUNCTION("""COMPUTED_VALUE"""),44770)</f>
        <v>44770</v>
      </c>
      <c r="B2491" s="23" t="str">
        <f ca="1">IFERROR(__xludf.DUMMYFUNCTION("""COMPUTED_VALUE"""),"BATERIA UMYWALKOWA LUGANO L.GOLD WYSOKA")</f>
        <v>BATERIA UMYWALKOWA LUGANO L.GOLD WYSOKA</v>
      </c>
      <c r="C2491" s="23"/>
      <c r="D2491" s="24">
        <f ca="1">IFERROR(__xludf.DUMMYFUNCTION("""COMPUTED_VALUE"""),389)</f>
        <v>389</v>
      </c>
      <c r="E2491" s="25" t="str">
        <f ca="1">IFERROR(__xludf.DUMMYFUNCTION("""COMPUTED_VALUE"""),"REA-B5002")</f>
        <v>REA-B5002</v>
      </c>
    </row>
    <row r="2492" spans="1:5" x14ac:dyDescent="0.2">
      <c r="A2492" s="22">
        <f ca="1">IFERROR(__xludf.DUMMYFUNCTION("""COMPUTED_VALUE"""),44770)</f>
        <v>44770</v>
      </c>
      <c r="B2492" s="23" t="str">
        <f ca="1">IFERROR(__xludf.DUMMYFUNCTION("""COMPUTED_VALUE"""),"BATERIA WANNOWA CARAT L.GOLD")</f>
        <v>BATERIA WANNOWA CARAT L.GOLD</v>
      </c>
      <c r="C2492" s="23"/>
      <c r="D2492" s="24">
        <f ca="1">IFERROR(__xludf.DUMMYFUNCTION("""COMPUTED_VALUE"""),1499)</f>
        <v>1499</v>
      </c>
      <c r="E2492" s="25" t="str">
        <f ca="1">IFERROR(__xludf.DUMMYFUNCTION("""COMPUTED_VALUE"""),"REA-B5231")</f>
        <v>REA-B5231</v>
      </c>
    </row>
    <row r="2493" spans="1:5" x14ac:dyDescent="0.2">
      <c r="A2493" s="22">
        <f ca="1">IFERROR(__xludf.DUMMYFUNCTION("""COMPUTED_VALUE"""),44770)</f>
        <v>44770</v>
      </c>
      <c r="B2493" s="23" t="str">
        <f ca="1">IFERROR(__xludf.DUMMYFUNCTION("""COMPUTED_VALUE"""),"BATERIA WANNOWA 3-OTWOROWA SONIC BLACK")</f>
        <v>BATERIA WANNOWA 3-OTWOROWA SONIC BLACK</v>
      </c>
      <c r="C2493" s="23"/>
      <c r="D2493" s="24">
        <f ca="1">IFERROR(__xludf.DUMMYFUNCTION("""COMPUTED_VALUE"""),499)</f>
        <v>499</v>
      </c>
      <c r="E2493" s="25" t="str">
        <f ca="1">IFERROR(__xludf.DUMMYFUNCTION("""COMPUTED_VALUE"""),"REA-B0185")</f>
        <v>REA-B0185</v>
      </c>
    </row>
    <row r="2494" spans="1:5" x14ac:dyDescent="0.2">
      <c r="A2494" s="22">
        <f ca="1">IFERROR(__xludf.DUMMYFUNCTION("""COMPUTED_VALUE"""),44770)</f>
        <v>44770</v>
      </c>
      <c r="B2494" s="23" t="str">
        <f ca="1">IFERROR(__xludf.DUMMYFUNCTION("""COMPUTED_VALUE"""),"ZESTAW NATRYSKOWY FENIX L.GOLD")</f>
        <v>ZESTAW NATRYSKOWY FENIX L.GOLD</v>
      </c>
      <c r="C2494" s="23"/>
      <c r="D2494" s="24">
        <f ca="1">IFERROR(__xludf.DUMMYFUNCTION("""COMPUTED_VALUE"""),1079)</f>
        <v>1079</v>
      </c>
      <c r="E2494" s="25" t="str">
        <f ca="1">IFERROR(__xludf.DUMMYFUNCTION("""COMPUTED_VALUE"""),"REA-P8401")</f>
        <v>REA-P8401</v>
      </c>
    </row>
    <row r="2495" spans="1:5" x14ac:dyDescent="0.2">
      <c r="A2495" s="22">
        <f ca="1">IFERROR(__xludf.DUMMYFUNCTION("""COMPUTED_VALUE"""),44770)</f>
        <v>44770</v>
      </c>
      <c r="B2495" s="23" t="str">
        <f ca="1">IFERROR(__xludf.DUMMYFUNCTION("""COMPUTED_VALUE"""),"BATERIA WYSOKA DECO OLD BLACK")</f>
        <v>BATERIA WYSOKA DECO OLD BLACK</v>
      </c>
      <c r="C2495" s="23"/>
      <c r="D2495" s="24">
        <f ca="1">IFERROR(__xludf.DUMMYFUNCTION("""COMPUTED_VALUE"""),499)</f>
        <v>499</v>
      </c>
      <c r="E2495" s="25" t="str">
        <f ca="1">IFERROR(__xludf.DUMMYFUNCTION("""COMPUTED_VALUE"""),"REA-B0182")</f>
        <v>REA-B0182</v>
      </c>
    </row>
    <row r="2496" spans="1:5" x14ac:dyDescent="0.2">
      <c r="A2496" s="22">
        <f ca="1">IFERROR(__xludf.DUMMYFUNCTION("""COMPUTED_VALUE"""),44770)</f>
        <v>44770</v>
      </c>
      <c r="B2496" s="23" t="str">
        <f ca="1">IFERROR(__xludf.DUMMYFUNCTION("""COMPUTED_VALUE"""),"UMYWALKA CRISTAL 35 BLACK - NABLATOWA")</f>
        <v>UMYWALKA CRISTAL 35 BLACK - NABLATOWA</v>
      </c>
      <c r="C2496" s="23"/>
      <c r="D2496" s="24">
        <f ca="1">IFERROR(__xludf.DUMMYFUNCTION("""COMPUTED_VALUE"""),629)</f>
        <v>629</v>
      </c>
      <c r="E2496" s="25" t="str">
        <f ca="1">IFERROR(__xludf.DUMMYFUNCTION("""COMPUTED_VALUE"""),"REA-U9671")</f>
        <v>REA-U9671</v>
      </c>
    </row>
    <row r="2497" spans="1:5" x14ac:dyDescent="0.2">
      <c r="A2497" s="22">
        <f ca="1">IFERROR(__xludf.DUMMYFUNCTION("""COMPUTED_VALUE"""),44770)</f>
        <v>44770</v>
      </c>
      <c r="B2497" s="23" t="str">
        <f ca="1">IFERROR(__xludf.DUMMYFUNCTION("""COMPUTED_VALUE"""),"UMYWALKA CRISTAL TRANSPARENT - NABLATOWA")</f>
        <v>UMYWALKA CRISTAL TRANSPARENT - NABLATOWA</v>
      </c>
      <c r="C2497" s="23"/>
      <c r="D2497" s="24">
        <f ca="1">IFERROR(__xludf.DUMMYFUNCTION("""COMPUTED_VALUE"""),599)</f>
        <v>599</v>
      </c>
      <c r="E2497" s="25" t="str">
        <f ca="1">IFERROR(__xludf.DUMMYFUNCTION("""COMPUTED_VALUE"""),"REA-U9670")</f>
        <v>REA-U9670</v>
      </c>
    </row>
    <row r="2498" spans="1:5" x14ac:dyDescent="0.2">
      <c r="A2498" s="22">
        <f ca="1">IFERROR(__xludf.DUMMYFUNCTION("""COMPUTED_VALUE"""),44770)</f>
        <v>44770</v>
      </c>
      <c r="B2498" s="23" t="str">
        <f ca="1">IFERROR(__xludf.DUMMYFUNCTION("""COMPUTED_VALUE"""),"UMYWALKA VILLA OLD GOLD - NABLATOWA")</f>
        <v>UMYWALKA VILLA OLD GOLD - NABLATOWA</v>
      </c>
      <c r="C2498" s="23"/>
      <c r="D2498" s="24">
        <f ca="1">IFERROR(__xludf.DUMMYFUNCTION("""COMPUTED_VALUE"""),499)</f>
        <v>499</v>
      </c>
      <c r="E2498" s="25" t="str">
        <f ca="1">IFERROR(__xludf.DUMMYFUNCTION("""COMPUTED_VALUE"""),"REA-U9669")</f>
        <v>REA-U9669</v>
      </c>
    </row>
    <row r="2499" spans="1:5" x14ac:dyDescent="0.2">
      <c r="A2499" s="22">
        <f ca="1">IFERROR(__xludf.DUMMYFUNCTION("""COMPUTED_VALUE"""),44770)</f>
        <v>44770</v>
      </c>
      <c r="B2499" s="23" t="str">
        <f ca="1">IFERROR(__xludf.DUMMYFUNCTION("""COMPUTED_VALUE"""),"UMYWALKA VILLA COPPER - NABLATOWA")</f>
        <v>UMYWALKA VILLA COPPER - NABLATOWA</v>
      </c>
      <c r="C2499" s="23"/>
      <c r="D2499" s="24">
        <f ca="1">IFERROR(__xludf.DUMMYFUNCTION("""COMPUTED_VALUE"""),499)</f>
        <v>499</v>
      </c>
      <c r="E2499" s="25" t="str">
        <f ca="1">IFERROR(__xludf.DUMMYFUNCTION("""COMPUTED_VALUE"""),"REA-U9668")</f>
        <v>REA-U9668</v>
      </c>
    </row>
    <row r="2500" spans="1:5" x14ac:dyDescent="0.2">
      <c r="A2500" s="22">
        <f ca="1">IFERROR(__xludf.DUMMYFUNCTION("""COMPUTED_VALUE"""),44770)</f>
        <v>44770</v>
      </c>
      <c r="B2500" s="23" t="str">
        <f ca="1">IFERROR(__xludf.DUMMYFUNCTION("""COMPUTED_VALUE"""),"UMYWALKA STELLA WHITE - NABLATOWA")</f>
        <v>UMYWALKA STELLA WHITE - NABLATOWA</v>
      </c>
      <c r="C2500" s="23"/>
      <c r="D2500" s="24">
        <f ca="1">IFERROR(__xludf.DUMMYFUNCTION("""COMPUTED_VALUE"""),219)</f>
        <v>219</v>
      </c>
      <c r="E2500" s="25" t="str">
        <f ca="1">IFERROR(__xludf.DUMMYFUNCTION("""COMPUTED_VALUE"""),"REA-U1878")</f>
        <v>REA-U1878</v>
      </c>
    </row>
    <row r="2501" spans="1:5" x14ac:dyDescent="0.2">
      <c r="A2501" s="22">
        <f ca="1">IFERROR(__xludf.DUMMYFUNCTION("""COMPUTED_VALUE"""),44770)</f>
        <v>44770</v>
      </c>
      <c r="B2501" s="23" t="str">
        <f ca="1">IFERROR(__xludf.DUMMYFUNCTION("""COMPUTED_VALUE"""),"UMYWALKA JOVITA - NABLATOWA")</f>
        <v>UMYWALKA JOVITA - NABLATOWA</v>
      </c>
      <c r="C2501" s="23"/>
      <c r="D2501" s="24">
        <f ca="1">IFERROR(__xludf.DUMMYFUNCTION("""COMPUTED_VALUE"""),539)</f>
        <v>539</v>
      </c>
      <c r="E2501" s="25" t="str">
        <f ca="1">IFERROR(__xludf.DUMMYFUNCTION("""COMPUTED_VALUE"""),"REA-U8606")</f>
        <v>REA-U8606</v>
      </c>
    </row>
    <row r="2502" spans="1:5" x14ac:dyDescent="0.2">
      <c r="A2502" s="22">
        <f ca="1">IFERROR(__xludf.DUMMYFUNCTION("""COMPUTED_VALUE"""),44770)</f>
        <v>44770</v>
      </c>
      <c r="B2502" s="23" t="str">
        <f ca="1">IFERROR(__xludf.DUMMYFUNCTION("""COMPUTED_VALUE"""),"UMYWALKA SELMA - ŚCIENNA")</f>
        <v>UMYWALKA SELMA - ŚCIENNA</v>
      </c>
      <c r="C2502" s="23"/>
      <c r="D2502" s="24">
        <f ca="1">IFERROR(__xludf.DUMMYFUNCTION("""COMPUTED_VALUE"""),189)</f>
        <v>189</v>
      </c>
      <c r="E2502" s="25" t="str">
        <f ca="1">IFERROR(__xludf.DUMMYFUNCTION("""COMPUTED_VALUE"""),"REA-U9667")</f>
        <v>REA-U9667</v>
      </c>
    </row>
    <row r="2503" spans="1:5" x14ac:dyDescent="0.2">
      <c r="A2503" s="22">
        <f ca="1">IFERROR(__xludf.DUMMYFUNCTION("""COMPUTED_VALUE"""),44770)</f>
        <v>44770</v>
      </c>
      <c r="B2503" s="23" t="str">
        <f ca="1">IFERROR(__xludf.DUMMYFUNCTION("""COMPUTED_VALUE"""),"UMYWALKA FIORI - NABLATOWA")</f>
        <v>UMYWALKA FIORI - NABLATOWA</v>
      </c>
      <c r="C2503" s="23"/>
      <c r="D2503" s="24">
        <f ca="1">IFERROR(__xludf.DUMMYFUNCTION("""COMPUTED_VALUE"""),499)</f>
        <v>499</v>
      </c>
      <c r="E2503" s="25" t="str">
        <f ca="1">IFERROR(__xludf.DUMMYFUNCTION("""COMPUTED_VALUE"""),"REA-U6520")</f>
        <v>REA-U6520</v>
      </c>
    </row>
    <row r="2504" spans="1:5" x14ac:dyDescent="0.2">
      <c r="A2504" s="22">
        <f ca="1">IFERROR(__xludf.DUMMYFUNCTION("""COMPUTED_VALUE"""),44770)</f>
        <v>44770</v>
      </c>
      <c r="B2504" s="23" t="str">
        <f ca="1">IFERROR(__xludf.DUMMYFUNCTION("""COMPUTED_VALUE"""),"UMYWALKA WENDY MARMO - NABLATOWA")</f>
        <v>UMYWALKA WENDY MARMO - NABLATOWA</v>
      </c>
      <c r="C2504" s="23"/>
      <c r="D2504" s="24">
        <f ca="1">IFERROR(__xludf.DUMMYFUNCTION("""COMPUTED_VALUE"""),309)</f>
        <v>309</v>
      </c>
      <c r="E2504" s="25" t="str">
        <f ca="1">IFERROR(__xludf.DUMMYFUNCTION("""COMPUTED_VALUE"""),"REA-U5053")</f>
        <v>REA-U5053</v>
      </c>
    </row>
    <row r="2505" spans="1:5" x14ac:dyDescent="0.2">
      <c r="A2505" s="22">
        <f ca="1">IFERROR(__xludf.DUMMYFUNCTION("""COMPUTED_VALUE"""),44770)</f>
        <v>44770</v>
      </c>
      <c r="B2505" s="23" t="str">
        <f ca="1">IFERROR(__xludf.DUMMYFUNCTION("""COMPUTED_VALUE"""),"UMYWALKA ROYAL 60 MARBLE BLACK MATT - NABLATOWA")</f>
        <v>UMYWALKA ROYAL 60 MARBLE BLACK MATT - NABLATOWA</v>
      </c>
      <c r="C2505" s="23"/>
      <c r="D2505" s="24">
        <f ca="1">IFERROR(__xludf.DUMMYFUNCTION("""COMPUTED_VALUE"""),499)</f>
        <v>499</v>
      </c>
      <c r="E2505" s="25" t="str">
        <f ca="1">IFERROR(__xludf.DUMMYFUNCTION("""COMPUTED_VALUE"""),"REA-U7478")</f>
        <v>REA-U7478</v>
      </c>
    </row>
    <row r="2506" spans="1:5" x14ac:dyDescent="0.2">
      <c r="A2506" s="22">
        <f ca="1">IFERROR(__xludf.DUMMYFUNCTION("""COMPUTED_VALUE"""),44770)</f>
        <v>44770</v>
      </c>
      <c r="B2506" s="23" t="str">
        <f ca="1">IFERROR(__xludf.DUMMYFUNCTION("""COMPUTED_VALUE"""),"UMYWALKA NEL WHITE - PODBLATOWA")</f>
        <v>UMYWALKA NEL WHITE - PODBLATOWA</v>
      </c>
      <c r="C2506" s="23"/>
      <c r="D2506" s="24">
        <f ca="1">IFERROR(__xludf.DUMMYFUNCTION("""COMPUTED_VALUE"""),179)</f>
        <v>179</v>
      </c>
      <c r="E2506" s="25" t="str">
        <f ca="1">IFERROR(__xludf.DUMMYFUNCTION("""COMPUTED_VALUE"""),"REA-U6330")</f>
        <v>REA-U6330</v>
      </c>
    </row>
    <row r="2507" spans="1:5" x14ac:dyDescent="0.2">
      <c r="A2507" s="22">
        <f ca="1">IFERROR(__xludf.DUMMYFUNCTION("""COMPUTED_VALUE"""),44770)</f>
        <v>44770</v>
      </c>
      <c r="B2507" s="23" t="str">
        <f ca="1">IFERROR(__xludf.DUMMYFUNCTION("""COMPUTED_VALUE"""),"UMYWALKA BLANKA BLACK - WOLNOSTOJĄCA")</f>
        <v>UMYWALKA BLANKA BLACK - WOLNOSTOJĄCA</v>
      </c>
      <c r="C2507" s="23"/>
      <c r="D2507" s="24">
        <f ca="1">IFERROR(__xludf.DUMMYFUNCTION("""COMPUTED_VALUE"""),1389)</f>
        <v>1389</v>
      </c>
      <c r="E2507" s="25" t="str">
        <f ca="1">IFERROR(__xludf.DUMMYFUNCTION("""COMPUTED_VALUE"""),"REA-U6635")</f>
        <v>REA-U6635</v>
      </c>
    </row>
    <row r="2508" spans="1:5" x14ac:dyDescent="0.2">
      <c r="A2508" s="22">
        <f ca="1">IFERROR(__xludf.DUMMYFUNCTION("""COMPUTED_VALUE"""),44770)</f>
        <v>44770</v>
      </c>
      <c r="B2508" s="23" t="str">
        <f ca="1">IFERROR(__xludf.DUMMYFUNCTION("""COMPUTED_VALUE"""),"UMYWALKA VEGAS MARBLE BLACK MAT - NABLATOWA")</f>
        <v>UMYWALKA VEGAS MARBLE BLACK MAT - NABLATOWA</v>
      </c>
      <c r="C2508" s="23"/>
      <c r="D2508" s="24">
        <f ca="1">IFERROR(__xludf.DUMMYFUNCTION("""COMPUTED_VALUE"""),299)</f>
        <v>299</v>
      </c>
      <c r="E2508" s="25" t="str">
        <f ca="1">IFERROR(__xludf.DUMMYFUNCTION("""COMPUTED_VALUE"""),"REA-U0994")</f>
        <v>REA-U0994</v>
      </c>
    </row>
    <row r="2509" spans="1:5" x14ac:dyDescent="0.2">
      <c r="A2509" s="22">
        <f ca="1">IFERROR(__xludf.DUMMYFUNCTION("""COMPUTED_VALUE"""),44770)</f>
        <v>44770</v>
      </c>
      <c r="B2509" s="23" t="str">
        <f ca="1">IFERROR(__xludf.DUMMYFUNCTION("""COMPUTED_VALUE"""),"UMYWALKA VEGAS GRANIT SHINY - NABLATOWA")</f>
        <v>UMYWALKA VEGAS GRANIT SHINY - NABLATOWA</v>
      </c>
      <c r="C2509" s="23"/>
      <c r="D2509" s="24">
        <f ca="1">IFERROR(__xludf.DUMMYFUNCTION("""COMPUTED_VALUE"""),349)</f>
        <v>349</v>
      </c>
      <c r="E2509" s="25" t="str">
        <f ca="1">IFERROR(__xludf.DUMMYFUNCTION("""COMPUTED_VALUE"""),"REA-U5602")</f>
        <v>REA-U5602</v>
      </c>
    </row>
    <row r="2510" spans="1:5" x14ac:dyDescent="0.2">
      <c r="A2510" s="22">
        <f ca="1">IFERROR(__xludf.DUMMYFUNCTION("""COMPUTED_VALUE"""),44770)</f>
        <v>44770</v>
      </c>
      <c r="B2510" s="23" t="str">
        <f ca="1">IFERROR(__xludf.DUMMYFUNCTION("""COMPUTED_VALUE"""),"UMYWALKA GRETA 65 - NABLATOWA")</f>
        <v>UMYWALKA GRETA 65 - NABLATOWA</v>
      </c>
      <c r="C2510" s="23"/>
      <c r="D2510" s="24">
        <f ca="1">IFERROR(__xludf.DUMMYFUNCTION("""COMPUTED_VALUE"""),379)</f>
        <v>379</v>
      </c>
      <c r="E2510" s="25" t="str">
        <f ca="1">IFERROR(__xludf.DUMMYFUNCTION("""COMPUTED_VALUE"""),"REA-U8537")</f>
        <v>REA-U8537</v>
      </c>
    </row>
    <row r="2511" spans="1:5" x14ac:dyDescent="0.2">
      <c r="A2511" s="22">
        <f ca="1">IFERROR(__xludf.DUMMYFUNCTION("""COMPUTED_VALUE"""),44770)</f>
        <v>44770</v>
      </c>
      <c r="B2511" s="23" t="str">
        <f ca="1">IFERROR(__xludf.DUMMYFUNCTION("""COMPUTED_VALUE"""),"UMYWALKA SOFIA GOLD EDGE - NABLATOWA")</f>
        <v>UMYWALKA SOFIA GOLD EDGE - NABLATOWA</v>
      </c>
      <c r="C2511" s="23"/>
      <c r="D2511" s="24">
        <f ca="1">IFERROR(__xludf.DUMMYFUNCTION("""COMPUTED_VALUE"""),349)</f>
        <v>349</v>
      </c>
      <c r="E2511" s="25" t="str">
        <f ca="1">IFERROR(__xludf.DUMMYFUNCTION("""COMPUTED_VALUE"""),"REA-U3287")</f>
        <v>REA-U3287</v>
      </c>
    </row>
    <row r="2512" spans="1:5" x14ac:dyDescent="0.2">
      <c r="A2512" s="22">
        <f ca="1">IFERROR(__xludf.DUMMYFUNCTION("""COMPUTED_VALUE"""),44770)</f>
        <v>44770</v>
      </c>
      <c r="B2512" s="23" t="str">
        <f ca="1">IFERROR(__xludf.DUMMYFUNCTION("""COMPUTED_VALUE"""),"UMYWALKA BERTA 55 -NABLATOWA")</f>
        <v>UMYWALKA BERTA 55 -NABLATOWA</v>
      </c>
      <c r="C2512" s="23"/>
      <c r="D2512" s="24">
        <f ca="1">IFERROR(__xludf.DUMMYFUNCTION("""COMPUTED_VALUE"""),379)</f>
        <v>379</v>
      </c>
      <c r="E2512" s="25" t="str">
        <f ca="1">IFERROR(__xludf.DUMMYFUNCTION("""COMPUTED_VALUE"""),"REA-U5055")</f>
        <v>REA-U5055</v>
      </c>
    </row>
    <row r="2513" spans="1:5" x14ac:dyDescent="0.2">
      <c r="A2513" s="22">
        <f ca="1">IFERROR(__xludf.DUMMYFUNCTION("""COMPUTED_VALUE"""),44770)</f>
        <v>44770</v>
      </c>
      <c r="B2513" s="23" t="str">
        <f ca="1">IFERROR(__xludf.DUMMYFUNCTION("""COMPUTED_VALUE"""),"UMYWALKA MARGOT BLACK GOLD  - NABLATOWA")</f>
        <v>UMYWALKA MARGOT BLACK GOLD  - NABLATOWA</v>
      </c>
      <c r="C2513" s="23"/>
      <c r="D2513" s="24">
        <f ca="1">IFERROR(__xludf.DUMMYFUNCTION("""COMPUTED_VALUE"""),619)</f>
        <v>619</v>
      </c>
      <c r="E2513" s="25" t="str">
        <f ca="1">IFERROR(__xludf.DUMMYFUNCTION("""COMPUTED_VALUE"""),"REA-U8978")</f>
        <v>REA-U8978</v>
      </c>
    </row>
    <row r="2514" spans="1:5" x14ac:dyDescent="0.2">
      <c r="A2514" s="22">
        <f ca="1">IFERROR(__xludf.DUMMYFUNCTION("""COMPUTED_VALUE"""),44770)</f>
        <v>44770</v>
      </c>
      <c r="B2514" s="23" t="str">
        <f ca="1">IFERROR(__xludf.DUMMYFUNCTION("""COMPUTED_VALUE"""),"UMYWALKA GRETA 75 - NABLATOWA")</f>
        <v>UMYWALKA GRETA 75 - NABLATOWA</v>
      </c>
      <c r="C2514" s="23"/>
      <c r="D2514" s="24">
        <f ca="1">IFERROR(__xludf.DUMMYFUNCTION("""COMPUTED_VALUE"""),499)</f>
        <v>499</v>
      </c>
      <c r="E2514" s="25" t="str">
        <f ca="1">IFERROR(__xludf.DUMMYFUNCTION("""COMPUTED_VALUE"""),"REA-U1500")</f>
        <v>REA-U1500</v>
      </c>
    </row>
    <row r="2515" spans="1:5" x14ac:dyDescent="0.2">
      <c r="A2515" s="22">
        <f ca="1">IFERROR(__xludf.DUMMYFUNCTION("""COMPUTED_VALUE"""),44770)</f>
        <v>44770</v>
      </c>
      <c r="B2515" s="23" t="str">
        <f ca="1">IFERROR(__xludf.DUMMYFUNCTION("""COMPUTED_VALUE"""),"UMYWALKA CELIA SLIM- NABLATOWA")</f>
        <v>UMYWALKA CELIA SLIM- NABLATOWA</v>
      </c>
      <c r="C2515" s="23"/>
      <c r="D2515" s="24">
        <f ca="1">IFERROR(__xludf.DUMMYFUNCTION("""COMPUTED_VALUE"""),209)</f>
        <v>209</v>
      </c>
      <c r="E2515" s="25" t="str">
        <f ca="1">IFERROR(__xludf.DUMMYFUNCTION("""COMPUTED_VALUE"""),"REA-U1952")</f>
        <v>REA-U1952</v>
      </c>
    </row>
    <row r="2516" spans="1:5" x14ac:dyDescent="0.2">
      <c r="A2516" s="22"/>
      <c r="B2516" s="23" t="str">
        <f ca="1">IFERROR(__xludf.DUMMYFUNCTION("""COMPUTED_VALUE"""),"WC - CARLO MINI RIMLES DUROPLA/FLAT/ZM BLACK GOLD ")</f>
        <v xml:space="preserve">WC - CARLO MINI RIMLES DUROPLA/FLAT/ZM BLACK GOLD </v>
      </c>
      <c r="C2516" s="23"/>
      <c r="D2516" s="24">
        <f ca="1">IFERROR(__xludf.DUMMYFUNCTION("""COMPUTED_VALUE"""),1299)</f>
        <v>1299</v>
      </c>
      <c r="E2516" s="25" t="str">
        <f ca="1">IFERROR(__xludf.DUMMYFUNCTION("""COMPUTED_VALUE"""),"REA-C8990")</f>
        <v>REA-C8990</v>
      </c>
    </row>
    <row r="2517" spans="1:5" x14ac:dyDescent="0.2">
      <c r="A2517" s="22"/>
      <c r="B2517" s="23" t="str">
        <f ca="1">IFERROR(__xludf.DUMMYFUNCTION("""COMPUTED_VALUE"""),"UMYWALKA SOFIA IN BLACK/GOLD - NABLATOWA")</f>
        <v>UMYWALKA SOFIA IN BLACK/GOLD - NABLATOWA</v>
      </c>
      <c r="C2517" s="23"/>
      <c r="D2517" s="24">
        <f ca="1">IFERROR(__xludf.DUMMYFUNCTION("""COMPUTED_VALUE"""),339)</f>
        <v>339</v>
      </c>
      <c r="E2517" s="25" t="str">
        <f ca="1">IFERROR(__xludf.DUMMYFUNCTION("""COMPUTED_VALUE"""),"REA-U4527")</f>
        <v>REA-U4527</v>
      </c>
    </row>
    <row r="2518" spans="1:5" x14ac:dyDescent="0.2">
      <c r="A2518" s="22"/>
      <c r="B2518" s="23" t="str">
        <f ca="1">IFERROR(__xludf.DUMMYFUNCTION("""COMPUTED_VALUE"""),"UMYWALKA CLEO BLACK MATT - NABLATOWA")</f>
        <v>UMYWALKA CLEO BLACK MATT - NABLATOWA</v>
      </c>
      <c r="C2518" s="23"/>
      <c r="D2518" s="24">
        <f ca="1">IFERROR(__xludf.DUMMYFUNCTION("""COMPUTED_VALUE"""),479)</f>
        <v>479</v>
      </c>
      <c r="E2518" s="25" t="str">
        <f ca="1">IFERROR(__xludf.DUMMYFUNCTION("""COMPUTED_VALUE"""),"REA-U0035")</f>
        <v>REA-U0035</v>
      </c>
    </row>
    <row r="2519" spans="1:5" x14ac:dyDescent="0.2">
      <c r="A2519" s="22"/>
      <c r="B2519" s="23" t="str">
        <f ca="1">IFERROR(__xludf.DUMMYFUNCTION("""COMPUTED_VALUE"""),"UMYWALKA PAMELA GOLD/WHITE - NABLATOWA")</f>
        <v>UMYWALKA PAMELA GOLD/WHITE - NABLATOWA</v>
      </c>
      <c r="C2519" s="23"/>
      <c r="D2519" s="24">
        <f ca="1">IFERROR(__xludf.DUMMYFUNCTION("""COMPUTED_VALUE"""),389)</f>
        <v>389</v>
      </c>
      <c r="E2519" s="25" t="str">
        <f ca="1">IFERROR(__xludf.DUMMYFUNCTION("""COMPUTED_VALUE"""),"REA-U6345")</f>
        <v>REA-U6345</v>
      </c>
    </row>
    <row r="2520" spans="1:5" x14ac:dyDescent="0.2">
      <c r="A2520" s="22"/>
      <c r="B2520" s="23" t="str">
        <f ca="1">IFERROR(__xludf.DUMMYFUNCTION("""COMPUTED_VALUE"""),"ZESTAW NATRYSKOWY TOM CHROM")</f>
        <v>ZESTAW NATRYSKOWY TOM CHROM</v>
      </c>
      <c r="C2520" s="23"/>
      <c r="D2520" s="24">
        <f ca="1">IFERROR(__xludf.DUMMYFUNCTION("""COMPUTED_VALUE"""),679)</f>
        <v>679</v>
      </c>
      <c r="E2520" s="25" t="str">
        <f ca="1">IFERROR(__xludf.DUMMYFUNCTION("""COMPUTED_VALUE"""),"REA-P7100")</f>
        <v>REA-P7100</v>
      </c>
    </row>
    <row r="2521" spans="1:5" x14ac:dyDescent="0.2">
      <c r="A2521" s="22"/>
      <c r="B2521" s="23" t="str">
        <f ca="1">IFERROR(__xludf.DUMMYFUNCTION("""COMPUTED_VALUE"""),"ZESTAW NATRYSKOWY TOM GOLD")</f>
        <v>ZESTAW NATRYSKOWY TOM GOLD</v>
      </c>
      <c r="C2521" s="23"/>
      <c r="D2521" s="24">
        <f ca="1">IFERROR(__xludf.DUMMYFUNCTION("""COMPUTED_VALUE"""),799)</f>
        <v>799</v>
      </c>
      <c r="E2521" s="25" t="str">
        <f ca="1">IFERROR(__xludf.DUMMYFUNCTION("""COMPUTED_VALUE"""),"REA-P7102")</f>
        <v>REA-P7102</v>
      </c>
    </row>
    <row r="2522" spans="1:5" x14ac:dyDescent="0.2">
      <c r="A2522" s="22"/>
      <c r="B2522" s="23" t="str">
        <f ca="1">IFERROR(__xludf.DUMMYFUNCTION("""COMPUTED_VALUE"""),"ZESTAW NATRYSKOWY TOM BLACK")</f>
        <v>ZESTAW NATRYSKOWY TOM BLACK</v>
      </c>
      <c r="C2522" s="23"/>
      <c r="D2522" s="24">
        <f ca="1">IFERROR(__xludf.DUMMYFUNCTION("""COMPUTED_VALUE"""),699)</f>
        <v>699</v>
      </c>
      <c r="E2522" s="25" t="str">
        <f ca="1">IFERROR(__xludf.DUMMYFUNCTION("""COMPUTED_VALUE"""),"REA-P7101")</f>
        <v>REA-P7101</v>
      </c>
    </row>
    <row r="2523" spans="1:5" x14ac:dyDescent="0.2">
      <c r="A2523" s="22"/>
      <c r="B2523" s="23" t="str">
        <f ca="1">IFERROR(__xludf.DUMMYFUNCTION("""COMPUTED_VALUE"""),"KOREK KLIK-KLAK UNIWERSALNY BRUSH NICKLE")</f>
        <v>KOREK KLIK-KLAK UNIWERSALNY BRUSH NICKLE</v>
      </c>
      <c r="C2523" s="23"/>
      <c r="D2523" s="24">
        <f ca="1">IFERROR(__xludf.DUMMYFUNCTION("""COMPUTED_VALUE"""),99)</f>
        <v>99</v>
      </c>
      <c r="E2523" s="25" t="str">
        <f ca="1">IFERROR(__xludf.DUMMYFUNCTION("""COMPUTED_VALUE"""),"REA-A6000")</f>
        <v>REA-A6000</v>
      </c>
    </row>
    <row r="2524" spans="1:5" x14ac:dyDescent="0.2">
      <c r="A2524" s="22"/>
      <c r="B2524" s="23" t="str">
        <f ca="1">IFERROR(__xludf.DUMMYFUNCTION("""COMPUTED_VALUE"""),"ZESTAW NATRYSKOWY LUNGO-MILER TERMOSTAT GOLD")</f>
        <v>ZESTAW NATRYSKOWY LUNGO-MILER TERMOSTAT GOLD</v>
      </c>
      <c r="C2524" s="23"/>
      <c r="D2524" s="24">
        <f ca="1">IFERROR(__xludf.DUMMYFUNCTION("""COMPUTED_VALUE"""),1399)</f>
        <v>1399</v>
      </c>
      <c r="E2524" s="25" t="str">
        <f ca="1">IFERROR(__xludf.DUMMYFUNCTION("""COMPUTED_VALUE"""),"REA-P6714")</f>
        <v>REA-P6714</v>
      </c>
    </row>
    <row r="2525" spans="1:5" x14ac:dyDescent="0.2">
      <c r="A2525" s="22"/>
      <c r="B2525" s="23" t="str">
        <f ca="1">IFERROR(__xludf.DUMMYFUNCTION("""COMPUTED_VALUE"""),"ZESTAW NATRYSKOWY LUNGO-MILER TERMOSTAT CHROME")</f>
        <v>ZESTAW NATRYSKOWY LUNGO-MILER TERMOSTAT CHROME</v>
      </c>
      <c r="C2525" s="23"/>
      <c r="D2525" s="24">
        <f ca="1">IFERROR(__xludf.DUMMYFUNCTION("""COMPUTED_VALUE"""),1289)</f>
        <v>1289</v>
      </c>
      <c r="E2525" s="25" t="str">
        <f ca="1">IFERROR(__xludf.DUMMYFUNCTION("""COMPUTED_VALUE"""),"REA-P6715")</f>
        <v>REA-P6715</v>
      </c>
    </row>
    <row r="2526" spans="1:5" x14ac:dyDescent="0.2">
      <c r="A2526" s="22"/>
      <c r="B2526" s="23" t="str">
        <f ca="1">IFERROR(__xludf.DUMMYFUNCTION("""COMPUTED_VALUE"""),"ZESTAW NATRYSKOWY LUNGO-MILER TERMOSTAT BRUSH GOLD")</f>
        <v>ZESTAW NATRYSKOWY LUNGO-MILER TERMOSTAT BRUSH GOLD</v>
      </c>
      <c r="C2526" s="23"/>
      <c r="D2526" s="24">
        <f ca="1">IFERROR(__xludf.DUMMYFUNCTION("""COMPUTED_VALUE"""),1489)</f>
        <v>1489</v>
      </c>
      <c r="E2526" s="25" t="str">
        <f ca="1">IFERROR(__xludf.DUMMYFUNCTION("""COMPUTED_VALUE"""),"REA-P6716")</f>
        <v>REA-P6716</v>
      </c>
    </row>
    <row r="2527" spans="1:5" x14ac:dyDescent="0.2">
      <c r="A2527" s="22"/>
      <c r="B2527" s="23" t="str">
        <f ca="1">IFERROR(__xludf.DUMMYFUNCTION("""COMPUTED_VALUE"""),"ZESTAW NATRYSKOWY FENIX-DAVIS TERMOSTAT BLACK")</f>
        <v>ZESTAW NATRYSKOWY FENIX-DAVIS TERMOSTAT BLACK</v>
      </c>
      <c r="C2527" s="23"/>
      <c r="D2527" s="24">
        <f ca="1">IFERROR(__xludf.DUMMYFUNCTION("""COMPUTED_VALUE"""),1399)</f>
        <v>1399</v>
      </c>
      <c r="E2527" s="25" t="str">
        <f ca="1">IFERROR(__xludf.DUMMYFUNCTION("""COMPUTED_VALUE"""),"REA-P6357")</f>
        <v>REA-P6357</v>
      </c>
    </row>
    <row r="2528" spans="1:5" x14ac:dyDescent="0.2">
      <c r="A2528" s="22"/>
      <c r="B2528" s="23" t="str">
        <f ca="1">IFERROR(__xludf.DUMMYFUNCTION("""COMPUTED_VALUE"""),"ZESTAW NATRYSKOWY FENIX-DAVIS TERMOSTAT CHROME")</f>
        <v>ZESTAW NATRYSKOWY FENIX-DAVIS TERMOSTAT CHROME</v>
      </c>
      <c r="C2528" s="23"/>
      <c r="D2528" s="24">
        <f ca="1">IFERROR(__xludf.DUMMYFUNCTION("""COMPUTED_VALUE"""),1269)</f>
        <v>1269</v>
      </c>
      <c r="E2528" s="25" t="str">
        <f ca="1">IFERROR(__xludf.DUMMYFUNCTION("""COMPUTED_VALUE"""),"REA-P6356")</f>
        <v>REA-P6356</v>
      </c>
    </row>
    <row r="2529" spans="1:5" x14ac:dyDescent="0.2">
      <c r="A2529" s="22"/>
      <c r="B2529" s="23" t="str">
        <f ca="1">IFERROR(__xludf.DUMMYFUNCTION("""COMPUTED_VALUE"""),"ZESTAW NATRYSKOWY FENIX-DAVIS TERMOSTAT BRUSH GOLD")</f>
        <v>ZESTAW NATRYSKOWY FENIX-DAVIS TERMOSTAT BRUSH GOLD</v>
      </c>
      <c r="C2529" s="23"/>
      <c r="D2529" s="24">
        <f ca="1">IFERROR(__xludf.DUMMYFUNCTION("""COMPUTED_VALUE"""),1539)</f>
        <v>1539</v>
      </c>
      <c r="E2529" s="25" t="str">
        <f ca="1">IFERROR(__xludf.DUMMYFUNCTION("""COMPUTED_VALUE"""),"REA-P6358")</f>
        <v>REA-P6358</v>
      </c>
    </row>
    <row r="2530" spans="1:5" x14ac:dyDescent="0.2">
      <c r="A2530" s="22">
        <f ca="1">IFERROR(__xludf.DUMMYFUNCTION("""COMPUTED_VALUE"""),44755)</f>
        <v>44755</v>
      </c>
      <c r="B2530" s="23" t="str">
        <f ca="1">IFERROR(__xludf.DUMMYFUNCTION("""COMPUTED_VALUE"""),"UMYWALKA KONGLOMERATOWA GOYA 50 BLACK")</f>
        <v>UMYWALKA KONGLOMERATOWA GOYA 50 BLACK</v>
      </c>
      <c r="C2530" s="23"/>
      <c r="D2530" s="24">
        <f ca="1">IFERROR(__xludf.DUMMYFUNCTION("""COMPUTED_VALUE"""),649)</f>
        <v>649</v>
      </c>
      <c r="E2530" s="25" t="str">
        <f ca="1">IFERROR(__xludf.DUMMYFUNCTION("""COMPUTED_VALUE"""),"REA-U8778")</f>
        <v>REA-U8778</v>
      </c>
    </row>
    <row r="2531" spans="1:5" x14ac:dyDescent="0.2">
      <c r="A2531" s="22">
        <f ca="1">IFERROR(__xludf.DUMMYFUNCTION("""COMPUTED_VALUE"""),44755)</f>
        <v>44755</v>
      </c>
      <c r="B2531" s="23" t="str">
        <f ca="1">IFERROR(__xludf.DUMMYFUNCTION("""COMPUTED_VALUE"""),"UMYWALKA KONGLOMERATOWA GOYA 70 BLACK")</f>
        <v>UMYWALKA KONGLOMERATOWA GOYA 70 BLACK</v>
      </c>
      <c r="C2531" s="23"/>
      <c r="D2531" s="24">
        <f ca="1">IFERROR(__xludf.DUMMYFUNCTION("""COMPUTED_VALUE"""),839)</f>
        <v>839</v>
      </c>
      <c r="E2531" s="25" t="str">
        <f ca="1">IFERROR(__xludf.DUMMYFUNCTION("""COMPUTED_VALUE"""),"REA-U8802")</f>
        <v>REA-U8802</v>
      </c>
    </row>
    <row r="2532" spans="1:5" x14ac:dyDescent="0.2">
      <c r="A2532" s="22">
        <f ca="1">IFERROR(__xludf.DUMMYFUNCTION("""COMPUTED_VALUE"""),44755)</f>
        <v>44755</v>
      </c>
      <c r="B2532" s="23" t="str">
        <f ca="1">IFERROR(__xludf.DUMMYFUNCTION("""COMPUTED_VALUE"""),"UMYWALKA KONGLOMERATOWA GOYA 60 BLACK")</f>
        <v>UMYWALKA KONGLOMERATOWA GOYA 60 BLACK</v>
      </c>
      <c r="C2532" s="23"/>
      <c r="D2532" s="24">
        <f ca="1">IFERROR(__xludf.DUMMYFUNCTION("""COMPUTED_VALUE"""),749)</f>
        <v>749</v>
      </c>
      <c r="E2532" s="25" t="str">
        <f ca="1">IFERROR(__xludf.DUMMYFUNCTION("""COMPUTED_VALUE"""),"REA-U8779")</f>
        <v>REA-U8779</v>
      </c>
    </row>
    <row r="2533" spans="1:5" x14ac:dyDescent="0.2">
      <c r="A2533" s="22">
        <f ca="1">IFERROR(__xludf.DUMMYFUNCTION("""COMPUTED_VALUE"""),44755)</f>
        <v>44755</v>
      </c>
      <c r="B2533" s="23" t="str">
        <f ca="1">IFERROR(__xludf.DUMMYFUNCTION("""COMPUTED_VALUE"""),"UMYWALKA KONGLOMERATOWA GOYA 100")</f>
        <v>UMYWALKA KONGLOMERATOWA GOYA 100</v>
      </c>
      <c r="C2533" s="23"/>
      <c r="D2533" s="24">
        <f ca="1">IFERROR(__xludf.DUMMYFUNCTION("""COMPUTED_VALUE"""),859)</f>
        <v>859</v>
      </c>
      <c r="E2533" s="25" t="str">
        <f ca="1">IFERROR(__xludf.DUMMYFUNCTION("""COMPUTED_VALUE"""),"REA-U8903")</f>
        <v>REA-U8903</v>
      </c>
    </row>
    <row r="2534" spans="1:5" x14ac:dyDescent="0.2">
      <c r="A2534" s="22">
        <f ca="1">IFERROR(__xludf.DUMMYFUNCTION("""COMPUTED_VALUE"""),44755)</f>
        <v>44755</v>
      </c>
      <c r="B2534" s="23" t="str">
        <f ca="1">IFERROR(__xludf.DUMMYFUNCTION("""COMPUTED_VALUE"""),"UMYWALKA KONGLOMERATOWA GOYA 50")</f>
        <v>UMYWALKA KONGLOMERATOWA GOYA 50</v>
      </c>
      <c r="C2534" s="23"/>
      <c r="D2534" s="24">
        <f ca="1">IFERROR(__xludf.DUMMYFUNCTION("""COMPUTED_VALUE"""),739)</f>
        <v>739</v>
      </c>
      <c r="E2534" s="25" t="str">
        <f ca="1">IFERROR(__xludf.DUMMYFUNCTION("""COMPUTED_VALUE"""),"REA-U8900")</f>
        <v>REA-U8900</v>
      </c>
    </row>
    <row r="2535" spans="1:5" x14ac:dyDescent="0.2">
      <c r="A2535" s="22">
        <f ca="1">IFERROR(__xludf.DUMMYFUNCTION("""COMPUTED_VALUE"""),44755)</f>
        <v>44755</v>
      </c>
      <c r="B2535" s="23" t="str">
        <f ca="1">IFERROR(__xludf.DUMMYFUNCTION("""COMPUTED_VALUE"""),"BRODZIK SAVOY BLACK 80*80*6cm + SYFON")</f>
        <v>BRODZIK SAVOY BLACK 80*80*6cm + SYFON</v>
      </c>
      <c r="C2535" s="23"/>
      <c r="D2535" s="24">
        <f ca="1">IFERROR(__xludf.DUMMYFUNCTION("""COMPUTED_VALUE"""),469)</f>
        <v>469</v>
      </c>
      <c r="E2535" s="25" t="str">
        <f ca="1">IFERROR(__xludf.DUMMYFUNCTION("""COMPUTED_VALUE"""),"REA-K4804")</f>
        <v>REA-K4804</v>
      </c>
    </row>
    <row r="2536" spans="1:5" x14ac:dyDescent="0.2">
      <c r="A2536" s="22">
        <f ca="1">IFERROR(__xludf.DUMMYFUNCTION("""COMPUTED_VALUE"""),44755)</f>
        <v>44755</v>
      </c>
      <c r="B2536" s="23" t="str">
        <f ca="1">IFERROR(__xludf.DUMMYFUNCTION("""COMPUTED_VALUE"""),"SYFON KLIK-KLAK UNIWERSALNY CHROM")</f>
        <v>SYFON KLIK-KLAK UNIWERSALNY CHROM</v>
      </c>
      <c r="C2536" s="23"/>
      <c r="D2536" s="24">
        <f ca="1">IFERROR(__xludf.DUMMYFUNCTION("""COMPUTED_VALUE"""),169)</f>
        <v>169</v>
      </c>
      <c r="E2536" s="25" t="str">
        <f ca="1">IFERROR(__xludf.DUMMYFUNCTION("""COMPUTED_VALUE"""),"REA-A5693")</f>
        <v>REA-A5693</v>
      </c>
    </row>
    <row r="2537" spans="1:5" x14ac:dyDescent="0.2">
      <c r="A2537" s="22">
        <f ca="1">IFERROR(__xludf.DUMMYFUNCTION("""COMPUTED_VALUE"""),44755)</f>
        <v>44755</v>
      </c>
      <c r="B2537" s="23" t="str">
        <f ca="1">IFERROR(__xludf.DUMMYFUNCTION("""COMPUTED_VALUE"""),"ZESTAW NATRYSKOWY LUNGO-MILER TERMOSTAT BLACK")</f>
        <v>ZESTAW NATRYSKOWY LUNGO-MILER TERMOSTAT BLACK</v>
      </c>
      <c r="C2537" s="23"/>
      <c r="D2537" s="24">
        <f ca="1">IFERROR(__xludf.DUMMYFUNCTION("""COMPUTED_VALUE"""),1349)</f>
        <v>1349</v>
      </c>
      <c r="E2537" s="25" t="str">
        <f ca="1">IFERROR(__xludf.DUMMYFUNCTION("""COMPUTED_VALUE"""),"REA-P6713")</f>
        <v>REA-P6713</v>
      </c>
    </row>
    <row r="2538" spans="1:5" x14ac:dyDescent="0.2">
      <c r="A2538" s="22">
        <f ca="1">IFERROR(__xludf.DUMMYFUNCTION("""COMPUTED_VALUE"""),44755)</f>
        <v>44755</v>
      </c>
      <c r="B2538" s="23" t="str">
        <f ca="1">IFERROR(__xludf.DUMMYFUNCTION("""COMPUTED_VALUE"""),"ZESTAW NATRYSKOWY FENIX-DAVIS TERMOSTAT L.GOLD")</f>
        <v>ZESTAW NATRYSKOWY FENIX-DAVIS TERMOSTAT L.GOLD</v>
      </c>
      <c r="C2538" s="23"/>
      <c r="D2538" s="24">
        <f ca="1">IFERROR(__xludf.DUMMYFUNCTION("""COMPUTED_VALUE"""),1469)</f>
        <v>1469</v>
      </c>
      <c r="E2538" s="25" t="str">
        <f ca="1">IFERROR(__xludf.DUMMYFUNCTION("""COMPUTED_VALUE"""),"REA-P6324")</f>
        <v>REA-P6324</v>
      </c>
    </row>
    <row r="2539" spans="1:5" x14ac:dyDescent="0.2">
      <c r="A2539" s="22">
        <f ca="1">IFERROR(__xludf.DUMMYFUNCTION("""COMPUTED_VALUE"""),44755)</f>
        <v>44755</v>
      </c>
      <c r="B2539" s="23" t="str">
        <f ca="1">IFERROR(__xludf.DUMMYFUNCTION("""COMPUTED_VALUE"""),"BATERIA WANNOWA LUPPO BLACK")</f>
        <v>BATERIA WANNOWA LUPPO BLACK</v>
      </c>
      <c r="C2539" s="23"/>
      <c r="D2539" s="24">
        <f ca="1">IFERROR(__xludf.DUMMYFUNCTION("""COMPUTED_VALUE"""),369)</f>
        <v>369</v>
      </c>
      <c r="E2539" s="25" t="str">
        <f ca="1">IFERROR(__xludf.DUMMYFUNCTION("""COMPUTED_VALUE"""),"REA-B5770")</f>
        <v>REA-B5770</v>
      </c>
    </row>
    <row r="2540" spans="1:5" x14ac:dyDescent="0.2">
      <c r="A2540" s="22">
        <f ca="1">IFERROR(__xludf.DUMMYFUNCTION("""COMPUTED_VALUE"""),44755)</f>
        <v>44755</v>
      </c>
      <c r="B2540" s="23" t="str">
        <f ca="1">IFERROR(__xludf.DUMMYFUNCTION("""COMPUTED_VALUE"""),"BATERIA CALANI UMYWALKOWA LOTUS NISKA L CHROM")</f>
        <v>BATERIA CALANI UMYWALKOWA LOTUS NISKA L CHROM</v>
      </c>
      <c r="C2540" s="23"/>
      <c r="D2540" s="24">
        <f ca="1">IFERROR(__xludf.DUMMYFUNCTION("""COMPUTED_VALUE"""),199)</f>
        <v>199</v>
      </c>
      <c r="E2540" s="25" t="str">
        <f ca="1">IFERROR(__xludf.DUMMYFUNCTION("""COMPUTED_VALUE"""),"CAL-B0030")</f>
        <v>CAL-B0030</v>
      </c>
    </row>
    <row r="2541" spans="1:5" x14ac:dyDescent="0.2">
      <c r="A2541" s="22">
        <f ca="1">IFERROR(__xludf.DUMMYFUNCTION("""COMPUTED_VALUE"""),44755)</f>
        <v>44755</v>
      </c>
      <c r="B2541" s="23" t="str">
        <f ca="1">IFERROR(__xludf.DUMMYFUNCTION("""COMPUTED_VALUE"""),"BATERIA BIDETOWA LOOP L.GOLD")</f>
        <v>BATERIA BIDETOWA LOOP L.GOLD</v>
      </c>
      <c r="C2541" s="23"/>
      <c r="D2541" s="24">
        <f ca="1">IFERROR(__xludf.DUMMYFUNCTION("""COMPUTED_VALUE"""),399)</f>
        <v>399</v>
      </c>
      <c r="E2541" s="25" t="str">
        <f ca="1">IFERROR(__xludf.DUMMYFUNCTION("""COMPUTED_VALUE"""),"REA-B8979")</f>
        <v>REA-B8979</v>
      </c>
    </row>
    <row r="2542" spans="1:5" x14ac:dyDescent="0.2">
      <c r="A2542" s="22">
        <f ca="1">IFERROR(__xludf.DUMMYFUNCTION("""COMPUTED_VALUE"""),44755)</f>
        <v>44755</v>
      </c>
      <c r="B2542" s="23" t="str">
        <f ca="1">IFERROR(__xludf.DUMMYFUNCTION("""COMPUTED_VALUE"""),"BATERIA BIDETOWA LOOP L.GOLD SZCZOTKOWANA")</f>
        <v>BATERIA BIDETOWA LOOP L.GOLD SZCZOTKOWANA</v>
      </c>
      <c r="C2542" s="23"/>
      <c r="D2542" s="24">
        <f ca="1">IFERROR(__xludf.DUMMYFUNCTION("""COMPUTED_VALUE"""),449)</f>
        <v>449</v>
      </c>
      <c r="E2542" s="25" t="str">
        <f ca="1">IFERROR(__xludf.DUMMYFUNCTION("""COMPUTED_VALUE"""),"REA-B6311")</f>
        <v>REA-B6311</v>
      </c>
    </row>
    <row r="2543" spans="1:5" x14ac:dyDescent="0.2">
      <c r="A2543" s="22">
        <f ca="1">IFERROR(__xludf.DUMMYFUNCTION("""COMPUTED_VALUE"""),44755)</f>
        <v>44755</v>
      </c>
      <c r="B2543" s="23" t="str">
        <f ca="1">IFERROR(__xludf.DUMMYFUNCTION("""COMPUTED_VALUE"""),"BATERIA BIDETOWA FENIX L.GOLD")</f>
        <v>BATERIA BIDETOWA FENIX L.GOLD</v>
      </c>
      <c r="C2543" s="23"/>
      <c r="D2543" s="24">
        <f ca="1">IFERROR(__xludf.DUMMYFUNCTION("""COMPUTED_VALUE"""),479)</f>
        <v>479</v>
      </c>
      <c r="E2543" s="25" t="str">
        <f ca="1">IFERROR(__xludf.DUMMYFUNCTION("""COMPUTED_VALUE"""),"REA-B5771")</f>
        <v>REA-B5771</v>
      </c>
    </row>
    <row r="2544" spans="1:5" x14ac:dyDescent="0.2">
      <c r="A2544" s="22">
        <f ca="1">IFERROR(__xludf.DUMMYFUNCTION("""COMPUTED_VALUE"""),44755)</f>
        <v>44755</v>
      </c>
      <c r="B2544" s="23" t="str">
        <f ca="1">IFERROR(__xludf.DUMMYFUNCTION("""COMPUTED_VALUE"""),"BATERIA WYSOKA TESS ROSE GOLD")</f>
        <v>BATERIA WYSOKA TESS ROSE GOLD</v>
      </c>
      <c r="C2544" s="23"/>
      <c r="D2544" s="24">
        <f ca="1">IFERROR(__xludf.DUMMYFUNCTION("""COMPUTED_VALUE"""),299)</f>
        <v>299</v>
      </c>
      <c r="E2544" s="25" t="str">
        <f ca="1">IFERROR(__xludf.DUMMYFUNCTION("""COMPUTED_VALUE"""),"REA-B8804")</f>
        <v>REA-B8804</v>
      </c>
    </row>
    <row r="2545" spans="1:5" x14ac:dyDescent="0.2">
      <c r="A2545" s="22">
        <f ca="1">IFERROR(__xludf.DUMMYFUNCTION("""COMPUTED_VALUE"""),44755)</f>
        <v>44755</v>
      </c>
      <c r="B2545" s="23" t="str">
        <f ca="1">IFERROR(__xludf.DUMMYFUNCTION("""COMPUTED_VALUE"""),"ZESTAW NATRYSKOWY BLISS GOLD")</f>
        <v>ZESTAW NATRYSKOWY BLISS GOLD</v>
      </c>
      <c r="C2545" s="23"/>
      <c r="D2545" s="24">
        <f ca="1">IFERROR(__xludf.DUMMYFUNCTION("""COMPUTED_VALUE"""),799)</f>
        <v>799</v>
      </c>
      <c r="E2545" s="25" t="str">
        <f ca="1">IFERROR(__xludf.DUMMYFUNCTION("""COMPUTED_VALUE"""),"REA-P8806")</f>
        <v>REA-P8806</v>
      </c>
    </row>
    <row r="2546" spans="1:5" x14ac:dyDescent="0.2">
      <c r="A2546" s="22">
        <f ca="1">IFERROR(__xludf.DUMMYFUNCTION("""COMPUTED_VALUE"""),44755)</f>
        <v>44755</v>
      </c>
      <c r="B2546" s="23" t="str">
        <f ca="1">IFERROR(__xludf.DUMMYFUNCTION("""COMPUTED_VALUE"""),"ZESTAW NATRYSKOWY BLISS BLACK")</f>
        <v>ZESTAW NATRYSKOWY BLISS BLACK</v>
      </c>
      <c r="C2546" s="23"/>
      <c r="D2546" s="24">
        <f ca="1">IFERROR(__xludf.DUMMYFUNCTION("""COMPUTED_VALUE"""),619)</f>
        <v>619</v>
      </c>
      <c r="E2546" s="25" t="str">
        <f ca="1">IFERROR(__xludf.DUMMYFUNCTION("""COMPUTED_VALUE"""),"REA-P8804")</f>
        <v>REA-P8804</v>
      </c>
    </row>
    <row r="2547" spans="1:5" x14ac:dyDescent="0.2">
      <c r="A2547" s="22">
        <f ca="1">IFERROR(__xludf.DUMMYFUNCTION("""COMPUTED_VALUE"""),44755)</f>
        <v>44755</v>
      </c>
      <c r="B2547" s="23" t="str">
        <f ca="1">IFERROR(__xludf.DUMMYFUNCTION("""COMPUTED_VALUE"""),"ZESTAW NATRYSKOWY BRAVO")</f>
        <v>ZESTAW NATRYSKOWY BRAVO</v>
      </c>
      <c r="C2547" s="23"/>
      <c r="D2547" s="24">
        <f ca="1">IFERROR(__xludf.DUMMYFUNCTION("""COMPUTED_VALUE"""),479)</f>
        <v>479</v>
      </c>
      <c r="E2547" s="25" t="str">
        <f ca="1">IFERROR(__xludf.DUMMYFUNCTION("""COMPUTED_VALUE"""),"REA-P0636")</f>
        <v>REA-P0636</v>
      </c>
    </row>
    <row r="2548" spans="1:5" x14ac:dyDescent="0.2">
      <c r="A2548" s="22">
        <f ca="1">IFERROR(__xludf.DUMMYFUNCTION("""COMPUTED_VALUE"""),44755)</f>
        <v>44755</v>
      </c>
      <c r="B2548" s="23" t="str">
        <f ca="1">IFERROR(__xludf.DUMMYFUNCTION("""COMPUTED_VALUE"""),"ZESTAW NATRYSKOWY MILAN")</f>
        <v>ZESTAW NATRYSKOWY MILAN</v>
      </c>
      <c r="C2548" s="23"/>
      <c r="D2548" s="24">
        <f ca="1">IFERROR(__xludf.DUMMYFUNCTION("""COMPUTED_VALUE"""),819)</f>
        <v>819</v>
      </c>
      <c r="E2548" s="25" t="str">
        <f ca="1">IFERROR(__xludf.DUMMYFUNCTION("""COMPUTED_VALUE"""),"REA-P0222")</f>
        <v>REA-P0222</v>
      </c>
    </row>
    <row r="2549" spans="1:5" x14ac:dyDescent="0.2">
      <c r="A2549" s="22">
        <f ca="1">IFERROR(__xludf.DUMMYFUNCTION("""COMPUTED_VALUE"""),44755)</f>
        <v>44755</v>
      </c>
      <c r="B2549" s="23" t="str">
        <f ca="1">IFERROR(__xludf.DUMMYFUNCTION("""COMPUTED_VALUE"""),"ZESTAW NATRYSKOWY MILAN BLACK")</f>
        <v>ZESTAW NATRYSKOWY MILAN BLACK</v>
      </c>
      <c r="C2549" s="23"/>
      <c r="D2549" s="24">
        <f ca="1">IFERROR(__xludf.DUMMYFUNCTION("""COMPUTED_VALUE"""),919)</f>
        <v>919</v>
      </c>
      <c r="E2549" s="25" t="str">
        <f ca="1">IFERROR(__xludf.DUMMYFUNCTION("""COMPUTED_VALUE"""),"REA-P7000")</f>
        <v>REA-P7000</v>
      </c>
    </row>
    <row r="2550" spans="1:5" x14ac:dyDescent="0.2">
      <c r="A2550" s="22">
        <f ca="1">IFERROR(__xludf.DUMMYFUNCTION("""COMPUTED_VALUE"""),44755)</f>
        <v>44755</v>
      </c>
      <c r="B2550" s="23" t="str">
        <f ca="1">IFERROR(__xludf.DUMMYFUNCTION("""COMPUTED_VALUE"""),"ZESTAW NATRYSKOWY JACK GOLD")</f>
        <v>ZESTAW NATRYSKOWY JACK GOLD</v>
      </c>
      <c r="C2550" s="23"/>
      <c r="D2550" s="24">
        <f ca="1">IFERROR(__xludf.DUMMYFUNCTION("""COMPUTED_VALUE"""),889)</f>
        <v>889</v>
      </c>
      <c r="E2550" s="25" t="str">
        <f ca="1">IFERROR(__xludf.DUMMYFUNCTION("""COMPUTED_VALUE"""),"REA-P7008")</f>
        <v>REA-P7008</v>
      </c>
    </row>
    <row r="2551" spans="1:5" x14ac:dyDescent="0.2">
      <c r="A2551" s="22">
        <f ca="1">IFERROR(__xludf.DUMMYFUNCTION("""COMPUTED_VALUE"""),44755)</f>
        <v>44755</v>
      </c>
      <c r="B2551" s="23" t="str">
        <f ca="1">IFERROR(__xludf.DUMMYFUNCTION("""COMPUTED_VALUE"""),"ZESTAW NATRYSKOWY LUIS GOLD")</f>
        <v>ZESTAW NATRYSKOWY LUIS GOLD</v>
      </c>
      <c r="C2551" s="23"/>
      <c r="D2551" s="24">
        <f ca="1">IFERROR(__xludf.DUMMYFUNCTION("""COMPUTED_VALUE"""),499)</f>
        <v>499</v>
      </c>
      <c r="E2551" s="25" t="str">
        <f ca="1">IFERROR(__xludf.DUMMYFUNCTION("""COMPUTED_VALUE"""),"REA-P7006")</f>
        <v>REA-P7006</v>
      </c>
    </row>
    <row r="2552" spans="1:5" x14ac:dyDescent="0.2">
      <c r="A2552" s="22">
        <f ca="1">IFERROR(__xludf.DUMMYFUNCTION("""COMPUTED_VALUE"""),44755)</f>
        <v>44755</v>
      </c>
      <c r="B2552" s="23" t="str">
        <f ca="1">IFERROR(__xludf.DUMMYFUNCTION("""COMPUTED_VALUE"""),"ZESTAW NATRYSKOWY LUIS CHROM")</f>
        <v>ZESTAW NATRYSKOWY LUIS CHROM</v>
      </c>
      <c r="C2552" s="23"/>
      <c r="D2552" s="24">
        <f ca="1">IFERROR(__xludf.DUMMYFUNCTION("""COMPUTED_VALUE"""),419)</f>
        <v>419</v>
      </c>
      <c r="E2552" s="25" t="str">
        <f ca="1">IFERROR(__xludf.DUMMYFUNCTION("""COMPUTED_VALUE"""),"REA-P7007")</f>
        <v>REA-P7007</v>
      </c>
    </row>
    <row r="2553" spans="1:5" x14ac:dyDescent="0.2">
      <c r="A2553" s="22">
        <f ca="1">IFERROR(__xludf.DUMMYFUNCTION("""COMPUTED_VALUE"""),44755)</f>
        <v>44755</v>
      </c>
      <c r="B2553" s="23" t="str">
        <f ca="1">IFERROR(__xludf.DUMMYFUNCTION("""COMPUTED_VALUE"""),"ZESTAW NATRYSKOWY LUIS BLACK")</f>
        <v>ZESTAW NATRYSKOWY LUIS BLACK</v>
      </c>
      <c r="C2553" s="23"/>
      <c r="D2553" s="24">
        <f ca="1">IFERROR(__xludf.DUMMYFUNCTION("""COMPUTED_VALUE"""),419)</f>
        <v>419</v>
      </c>
      <c r="E2553" s="25" t="str">
        <f ca="1">IFERROR(__xludf.DUMMYFUNCTION("""COMPUTED_VALUE"""),"REA-P7005")</f>
        <v>REA-P7005</v>
      </c>
    </row>
    <row r="2554" spans="1:5" x14ac:dyDescent="0.2">
      <c r="A2554" s="22">
        <f ca="1">IFERROR(__xludf.DUMMYFUNCTION("""COMPUTED_VALUE"""),44748)</f>
        <v>44748</v>
      </c>
      <c r="B2554" s="23" t="str">
        <f ca="1">IFERROR(__xludf.DUMMYFUNCTION("""COMPUTED_VALUE"""),"KABINA SOLAR L.GOLD 90X90")</f>
        <v>KABINA SOLAR L.GOLD 90X90</v>
      </c>
      <c r="C2554" s="23"/>
      <c r="D2554" s="24">
        <f ca="1">IFERROR(__xludf.DUMMYFUNCTION("""COMPUTED_VALUE"""),1299)</f>
        <v>1299</v>
      </c>
      <c r="E2554" s="25" t="str">
        <f ca="1">IFERROR(__xludf.DUMMYFUNCTION("""COMPUTED_VALUE"""),"REA-K4900")</f>
        <v>REA-K4900</v>
      </c>
    </row>
    <row r="2555" spans="1:5" x14ac:dyDescent="0.2">
      <c r="A2555" s="22">
        <f ca="1">IFERROR(__xludf.DUMMYFUNCTION("""COMPUTED_VALUE"""),44748)</f>
        <v>44748</v>
      </c>
      <c r="B2555" s="23" t="str">
        <f ca="1">IFERROR(__xludf.DUMMYFUNCTION("""COMPUTED_VALUE"""),"KABINA SOLAR L.GOLD 80X100")</f>
        <v>KABINA SOLAR L.GOLD 80X100</v>
      </c>
      <c r="C2555" s="23"/>
      <c r="D2555" s="24">
        <f ca="1">IFERROR(__xludf.DUMMYFUNCTION("""COMPUTED_VALUE"""),1299)</f>
        <v>1299</v>
      </c>
      <c r="E2555" s="25" t="str">
        <f ca="1">IFERROR(__xludf.DUMMYFUNCTION("""COMPUTED_VALUE"""),"REA-K4901")</f>
        <v>REA-K4901</v>
      </c>
    </row>
    <row r="2556" spans="1:5" x14ac:dyDescent="0.2">
      <c r="A2556" s="22">
        <f ca="1">IFERROR(__xludf.DUMMYFUNCTION("""COMPUTED_VALUE"""),44748)</f>
        <v>44748</v>
      </c>
      <c r="B2556" s="23" t="str">
        <f ca="1">IFERROR(__xludf.DUMMYFUNCTION("""COMPUTED_VALUE"""),"BRODZIK DIAMOND 80*80*5cm WHITE")</f>
        <v>BRODZIK DIAMOND 80*80*5cm WHITE</v>
      </c>
      <c r="C2556" s="23"/>
      <c r="D2556" s="24">
        <f ca="1">IFERROR(__xludf.DUMMYFUNCTION("""COMPUTED_VALUE"""),599)</f>
        <v>599</v>
      </c>
      <c r="E2556" s="25" t="str">
        <f ca="1">IFERROR(__xludf.DUMMYFUNCTION("""COMPUTED_VALUE"""),"REA-K8544")</f>
        <v>REA-K8544</v>
      </c>
    </row>
    <row r="2557" spans="1:5" x14ac:dyDescent="0.2">
      <c r="A2557" s="22">
        <f ca="1">IFERROR(__xludf.DUMMYFUNCTION("""COMPUTED_VALUE"""),44748)</f>
        <v>44748</v>
      </c>
      <c r="B2557" s="23" t="str">
        <f ca="1">IFERROR(__xludf.DUMMYFUNCTION("""COMPUTED_VALUE"""),"BRODZIK DIAMOND 90*90*5cm BLACK")</f>
        <v>BRODZIK DIAMOND 90*90*5cm BLACK</v>
      </c>
      <c r="C2557" s="23"/>
      <c r="D2557" s="24">
        <f ca="1">IFERROR(__xludf.DUMMYFUNCTION("""COMPUTED_VALUE"""),659)</f>
        <v>659</v>
      </c>
      <c r="E2557" s="25" t="str">
        <f ca="1">IFERROR(__xludf.DUMMYFUNCTION("""COMPUTED_VALUE"""),"REA-K8543")</f>
        <v>REA-K8543</v>
      </c>
    </row>
    <row r="2558" spans="1:5" x14ac:dyDescent="0.2">
      <c r="A2558" s="22">
        <f ca="1">IFERROR(__xludf.DUMMYFUNCTION("""COMPUTED_VALUE"""),44747)</f>
        <v>44747</v>
      </c>
      <c r="B2558" s="23" t="str">
        <f ca="1">IFERROR(__xludf.DUMMYFUNCTION("""COMPUTED_VALUE"""),"WC - CARLO RIMLESS DUROPLA/FLAT/ZM BLACK GOLD EDGE")</f>
        <v>WC - CARLO RIMLESS DUROPLA/FLAT/ZM BLACK GOLD EDGE</v>
      </c>
      <c r="C2558" s="23"/>
      <c r="D2558" s="24">
        <f ca="1">IFERROR(__xludf.DUMMYFUNCTION("""COMPUTED_VALUE"""),1299)</f>
        <v>1299</v>
      </c>
      <c r="E2558" s="25" t="str">
        <f ca="1">IFERROR(__xludf.DUMMYFUNCTION("""COMPUTED_VALUE"""),"REA-C8800")</f>
        <v>REA-C8800</v>
      </c>
    </row>
    <row r="2559" spans="1:5" x14ac:dyDescent="0.2">
      <c r="A2559" s="22">
        <f ca="1">IFERROR(__xludf.DUMMYFUNCTION("""COMPUTED_VALUE"""),44747)</f>
        <v>44747</v>
      </c>
      <c r="B2559" s="23" t="str">
        <f ca="1">IFERROR(__xludf.DUMMYFUNCTION("""COMPUTED_VALUE"""),"BIDET CARLO MINI WHITE GOLD EDGE")</f>
        <v>BIDET CARLO MINI WHITE GOLD EDGE</v>
      </c>
      <c r="C2559" s="23"/>
      <c r="D2559" s="24">
        <f ca="1">IFERROR(__xludf.DUMMYFUNCTION("""COMPUTED_VALUE"""),729)</f>
        <v>729</v>
      </c>
      <c r="E2559" s="25" t="str">
        <f ca="1">IFERROR(__xludf.DUMMYFUNCTION("""COMPUTED_VALUE"""),"REA-C6990")</f>
        <v>REA-C6990</v>
      </c>
    </row>
    <row r="2560" spans="1:5" x14ac:dyDescent="0.2">
      <c r="A2560" s="22">
        <f ca="1">IFERROR(__xludf.DUMMYFUNCTION("""COMPUTED_VALUE"""),44747)</f>
        <v>44747</v>
      </c>
      <c r="B2560" s="23" t="str">
        <f ca="1">IFERROR(__xludf.DUMMYFUNCTION("""COMPUTED_VALUE"""),"UMYWALKA DENIS BLACK MATT - NABLATOWA")</f>
        <v>UMYWALKA DENIS BLACK MATT - NABLATOWA</v>
      </c>
      <c r="C2560" s="23"/>
      <c r="D2560" s="24">
        <f ca="1">IFERROR(__xludf.DUMMYFUNCTION("""COMPUTED_VALUE"""),569)</f>
        <v>569</v>
      </c>
      <c r="E2560" s="25" t="str">
        <f ca="1">IFERROR(__xludf.DUMMYFUNCTION("""COMPUTED_VALUE"""),"REA-U3690")</f>
        <v>REA-U3690</v>
      </c>
    </row>
    <row r="2561" spans="1:5" x14ac:dyDescent="0.2">
      <c r="A2561" s="22">
        <f ca="1">IFERROR(__xludf.DUMMYFUNCTION("""COMPUTED_VALUE"""),44747)</f>
        <v>44747</v>
      </c>
      <c r="B2561" s="23" t="str">
        <f ca="1">IFERROR(__xludf.DUMMYFUNCTION("""COMPUTED_VALUE"""),"UMYWALKA BELINDA BLACK CALALA MAT - NABLATOWA")</f>
        <v>UMYWALKA BELINDA BLACK CALALA MAT - NABLATOWA</v>
      </c>
      <c r="C2561" s="23"/>
      <c r="D2561" s="24">
        <f ca="1">IFERROR(__xludf.DUMMYFUNCTION("""COMPUTED_VALUE"""),399)</f>
        <v>399</v>
      </c>
      <c r="E2561" s="25" t="str">
        <f ca="1">IFERROR(__xludf.DUMMYFUNCTION("""COMPUTED_VALUE"""),"REA-U6759")</f>
        <v>REA-U6759</v>
      </c>
    </row>
    <row r="2562" spans="1:5" x14ac:dyDescent="0.2">
      <c r="A2562" s="22">
        <f ca="1">IFERROR(__xludf.DUMMYFUNCTION("""COMPUTED_VALUE"""),44747)</f>
        <v>44747</v>
      </c>
      <c r="B2562" s="23" t="str">
        <f ca="1">IFERROR(__xludf.DUMMYFUNCTION("""COMPUTED_VALUE"""),"UMYWALKA CLEO 61 BLACK AIAX MATT - NABLATOWA")</f>
        <v>UMYWALKA CLEO 61 BLACK AIAX MATT - NABLATOWA</v>
      </c>
      <c r="C2562" s="23"/>
      <c r="D2562" s="24">
        <f ca="1">IFERROR(__xludf.DUMMYFUNCTION("""COMPUTED_VALUE"""),449)</f>
        <v>449</v>
      </c>
      <c r="E2562" s="25" t="str">
        <f ca="1">IFERROR(__xludf.DUMMYFUNCTION("""COMPUTED_VALUE"""),"REA-U6625")</f>
        <v>REA-U6625</v>
      </c>
    </row>
    <row r="2563" spans="1:5" x14ac:dyDescent="0.2">
      <c r="A2563" s="22">
        <f ca="1">IFERROR(__xludf.DUMMYFUNCTION("""COMPUTED_VALUE"""),44747)</f>
        <v>44747</v>
      </c>
      <c r="B2563" s="23" t="str">
        <f ca="1">IFERROR(__xludf.DUMMYFUNCTION("""COMPUTED_VALUE"""),"UMYWALKA SAMI WHITE BRUSH GOLD")</f>
        <v>UMYWALKA SAMI WHITE BRUSH GOLD</v>
      </c>
      <c r="C2563" s="23"/>
      <c r="D2563" s="24">
        <f ca="1">IFERROR(__xludf.DUMMYFUNCTION("""COMPUTED_VALUE"""),419)</f>
        <v>419</v>
      </c>
      <c r="E2563" s="25" t="str">
        <f ca="1">IFERROR(__xludf.DUMMYFUNCTION("""COMPUTED_VALUE"""),"REA-U6630")</f>
        <v>REA-U6630</v>
      </c>
    </row>
    <row r="2564" spans="1:5" x14ac:dyDescent="0.2">
      <c r="A2564" s="22">
        <f ca="1">IFERROR(__xludf.DUMMYFUNCTION("""COMPUTED_VALUE"""),44747)</f>
        <v>44747</v>
      </c>
      <c r="B2564" s="23" t="str">
        <f ca="1">IFERROR(__xludf.DUMMYFUNCTION("""COMPUTED_VALUE"""),"UMYWALKA GRETA 55 - NABLATOWA")</f>
        <v>UMYWALKA GRETA 55 - NABLATOWA</v>
      </c>
      <c r="C2564" s="23"/>
      <c r="D2564" s="24">
        <f ca="1">IFERROR(__xludf.DUMMYFUNCTION("""COMPUTED_VALUE"""),319)</f>
        <v>319</v>
      </c>
      <c r="E2564" s="25" t="str">
        <f ca="1">IFERROR(__xludf.DUMMYFUNCTION("""COMPUTED_VALUE"""),"REA-U8536")</f>
        <v>REA-U8536</v>
      </c>
    </row>
    <row r="2565" spans="1:5" x14ac:dyDescent="0.2">
      <c r="A2565" s="22">
        <f ca="1">IFERROR(__xludf.DUMMYFUNCTION("""COMPUTED_VALUE"""),44747)</f>
        <v>44747</v>
      </c>
      <c r="B2565" s="23" t="str">
        <f ca="1">IFERROR(__xludf.DUMMYFUNCTION("""COMPUTED_VALUE"""),"UMYWALKA HELEN - NABLATOWA")</f>
        <v>UMYWALKA HELEN - NABLATOWA</v>
      </c>
      <c r="C2565" s="23"/>
      <c r="D2565" s="24">
        <f ca="1">IFERROR(__xludf.DUMMYFUNCTION("""COMPUTED_VALUE"""),499)</f>
        <v>499</v>
      </c>
      <c r="E2565" s="25" t="str">
        <f ca="1">IFERROR(__xludf.DUMMYFUNCTION("""COMPUTED_VALUE"""),"REA-U6978")</f>
        <v>REA-U6978</v>
      </c>
    </row>
    <row r="2566" spans="1:5" x14ac:dyDescent="0.2">
      <c r="A2566" s="22">
        <f ca="1">IFERROR(__xludf.DUMMYFUNCTION("""COMPUTED_VALUE"""),44747)</f>
        <v>44747</v>
      </c>
      <c r="B2566" s="23" t="str">
        <f ca="1">IFERROR(__xludf.DUMMYFUNCTION("""COMPUTED_VALUE"""),"UMYWALKA ARTE BLUE - NABLATOWA")</f>
        <v>UMYWALKA ARTE BLUE - NABLATOWA</v>
      </c>
      <c r="C2566" s="23"/>
      <c r="D2566" s="24">
        <f ca="1">IFERROR(__xludf.DUMMYFUNCTION("""COMPUTED_VALUE"""),429)</f>
        <v>429</v>
      </c>
      <c r="E2566" s="25" t="str">
        <f ca="1">IFERROR(__xludf.DUMMYFUNCTION("""COMPUTED_VALUE"""),"REA-U0267")</f>
        <v>REA-U0267</v>
      </c>
    </row>
    <row r="2567" spans="1:5" x14ac:dyDescent="0.2">
      <c r="A2567" s="22">
        <f ca="1">IFERROR(__xludf.DUMMYFUNCTION("""COMPUTED_VALUE"""),44741)</f>
        <v>44741</v>
      </c>
      <c r="B2567" s="23" t="str">
        <f ca="1">IFERROR(__xludf.DUMMYFUNCTION("""COMPUTED_VALUE"""),"UMYWALKA SAMI WHITE GOLD EDGE - NABLATOWA")</f>
        <v>UMYWALKA SAMI WHITE GOLD EDGE - NABLATOWA</v>
      </c>
      <c r="C2567" s="23"/>
      <c r="D2567" s="24">
        <f ca="1">IFERROR(__xludf.DUMMYFUNCTION("""COMPUTED_VALUE"""),339)</f>
        <v>339</v>
      </c>
      <c r="E2567" s="25" t="str">
        <f ca="1">IFERROR(__xludf.DUMMYFUNCTION("""COMPUTED_VALUE"""),"REA-U6758")</f>
        <v>REA-U6758</v>
      </c>
    </row>
    <row r="2568" spans="1:5" x14ac:dyDescent="0.2">
      <c r="A2568" s="22">
        <f ca="1">IFERROR(__xludf.DUMMYFUNCTION("""COMPUTED_VALUE"""),44741)</f>
        <v>44741</v>
      </c>
      <c r="B2568" s="23" t="str">
        <f ca="1">IFERROR(__xludf.DUMMYFUNCTION("""COMPUTED_VALUE"""),"UMYWALKA BELINDA BLACK CALALA MAT - NABLATOWA")</f>
        <v>UMYWALKA BELINDA BLACK CALALA MAT - NABLATOWA</v>
      </c>
      <c r="C2568" s="23"/>
      <c r="D2568" s="24">
        <f ca="1">IFERROR(__xludf.DUMMYFUNCTION("""COMPUTED_VALUE"""),399)</f>
        <v>399</v>
      </c>
      <c r="E2568" s="25" t="str">
        <f ca="1">IFERROR(__xludf.DUMMYFUNCTION("""COMPUTED_VALUE"""),"REA-U6759")</f>
        <v>REA-U6759</v>
      </c>
    </row>
    <row r="2569" spans="1:5" x14ac:dyDescent="0.2">
      <c r="A2569" s="22">
        <f ca="1">IFERROR(__xludf.DUMMYFUNCTION("""COMPUTED_VALUE"""),44741)</f>
        <v>44741</v>
      </c>
      <c r="B2569" s="23" t="str">
        <f ca="1">IFERROR(__xludf.DUMMYFUNCTION("""COMPUTED_VALUE"""),"UMYWALKA DENIS BLACK EDGE - NABLATOWA")</f>
        <v>UMYWALKA DENIS BLACK EDGE - NABLATOWA</v>
      </c>
      <c r="C2569" s="23"/>
      <c r="D2569" s="24">
        <f ca="1">IFERROR(__xludf.DUMMYFUNCTION("""COMPUTED_VALUE"""),399)</f>
        <v>399</v>
      </c>
      <c r="E2569" s="25" t="str">
        <f ca="1">IFERROR(__xludf.DUMMYFUNCTION("""COMPUTED_VALUE"""),"REA-U6513")</f>
        <v>REA-U6513</v>
      </c>
    </row>
    <row r="2570" spans="1:5" x14ac:dyDescent="0.2">
      <c r="A2570" s="22">
        <f ca="1">IFERROR(__xludf.DUMMYFUNCTION("""COMPUTED_VALUE"""),44741)</f>
        <v>44741</v>
      </c>
      <c r="B2570" s="23" t="str">
        <f ca="1">IFERROR(__xludf.DUMMYFUNCTION("""COMPUTED_VALUE"""),"UMYWALKA CLEO WHITE/GOLD EDGE - NABLATOWA")</f>
        <v>UMYWALKA CLEO WHITE/GOLD EDGE - NABLATOWA</v>
      </c>
      <c r="C2570" s="23"/>
      <c r="D2570" s="24">
        <f ca="1">IFERROR(__xludf.DUMMYFUNCTION("""COMPUTED_VALUE"""),449)</f>
        <v>449</v>
      </c>
      <c r="E2570" s="25" t="str">
        <f ca="1">IFERROR(__xludf.DUMMYFUNCTION("""COMPUTED_VALUE"""),"REA-U6211")</f>
        <v>REA-U6211</v>
      </c>
    </row>
    <row r="2571" spans="1:5" x14ac:dyDescent="0.2">
      <c r="A2571" s="22">
        <f ca="1">IFERROR(__xludf.DUMMYFUNCTION("""COMPUTED_VALUE"""),44741)</f>
        <v>44741</v>
      </c>
      <c r="B2571" s="23" t="str">
        <f ca="1">IFERROR(__xludf.DUMMYFUNCTION("""COMPUTED_VALUE"""),"UMYWALKA ROYAL 60 BLACK EDGE - NABLATOWA")</f>
        <v>UMYWALKA ROYAL 60 BLACK EDGE - NABLATOWA</v>
      </c>
      <c r="C2571" s="23"/>
      <c r="D2571" s="24">
        <f ca="1">IFERROR(__xludf.DUMMYFUNCTION("""COMPUTED_VALUE"""),449)</f>
        <v>449</v>
      </c>
      <c r="E2571" s="25" t="str">
        <f ca="1">IFERROR(__xludf.DUMMYFUNCTION("""COMPUTED_VALUE"""),"REA-U8569")</f>
        <v>REA-U8569</v>
      </c>
    </row>
    <row r="2572" spans="1:5" x14ac:dyDescent="0.2">
      <c r="A2572" s="22">
        <f ca="1">IFERROR(__xludf.DUMMYFUNCTION("""COMPUTED_VALUE"""),44741)</f>
        <v>44741</v>
      </c>
      <c r="B2572" s="23" t="str">
        <f ca="1">IFERROR(__xludf.DUMMYFUNCTION("""COMPUTED_VALUE"""),"UMYWALKA SAMI - NABLATOWA")</f>
        <v>UMYWALKA SAMI - NABLATOWA</v>
      </c>
      <c r="C2572" s="23"/>
      <c r="D2572" s="24">
        <f ca="1">IFERROR(__xludf.DUMMYFUNCTION("""COMPUTED_VALUE"""),219)</f>
        <v>219</v>
      </c>
      <c r="E2572" s="25" t="str">
        <f ca="1">IFERROR(__xludf.DUMMYFUNCTION("""COMPUTED_VALUE"""),"REA-U1891")</f>
        <v>REA-U1891</v>
      </c>
    </row>
    <row r="2573" spans="1:5" x14ac:dyDescent="0.2">
      <c r="A2573" s="22">
        <f ca="1">IFERROR(__xludf.DUMMYFUNCTION("""COMPUTED_VALUE"""),44734)</f>
        <v>44734</v>
      </c>
      <c r="B2573" s="23" t="str">
        <f ca="1">IFERROR(__xludf.DUMMYFUNCTION("""COMPUTED_VALUE"""),"UMYWALKA CLEO WHITE/BLACK EDGE - NABLATOWA")</f>
        <v>UMYWALKA CLEO WHITE/BLACK EDGE - NABLATOWA</v>
      </c>
      <c r="C2573" s="23"/>
      <c r="D2573" s="24">
        <f ca="1">IFERROR(__xludf.DUMMYFUNCTION("""COMPUTED_VALUE"""),339)</f>
        <v>339</v>
      </c>
      <c r="E2573" s="25" t="str">
        <f ca="1">IFERROR(__xludf.DUMMYFUNCTION("""COMPUTED_VALUE"""),"REA-U6210")</f>
        <v>REA-U6210</v>
      </c>
    </row>
    <row r="2574" spans="1:5" x14ac:dyDescent="0.2">
      <c r="A2574" s="22">
        <f ca="1">IFERROR(__xludf.DUMMYFUNCTION("""COMPUTED_VALUE"""),44734)</f>
        <v>44734</v>
      </c>
      <c r="B2574" s="23" t="str">
        <f ca="1">IFERROR(__xludf.DUMMYFUNCTION("""COMPUTED_VALUE"""),"UMYWALKA SOFIA BLACK CALALA MATT - NABLATOWA")</f>
        <v>UMYWALKA SOFIA BLACK CALALA MATT - NABLATOWA</v>
      </c>
      <c r="C2574" s="23"/>
      <c r="D2574" s="24">
        <f ca="1">IFERROR(__xludf.DUMMYFUNCTION("""COMPUTED_VALUE"""),379)</f>
        <v>379</v>
      </c>
      <c r="E2574" s="25" t="str">
        <f ca="1">IFERROR(__xludf.DUMMYFUNCTION("""COMPUTED_VALUE"""),"REA-U6203")</f>
        <v>REA-U6203</v>
      </c>
    </row>
    <row r="2575" spans="1:5" x14ac:dyDescent="0.2">
      <c r="A2575" s="22">
        <f ca="1">IFERROR(__xludf.DUMMYFUNCTION("""COMPUTED_VALUE"""),44734)</f>
        <v>44734</v>
      </c>
      <c r="B2575" s="23" t="str">
        <f ca="1">IFERROR(__xludf.DUMMYFUNCTION("""COMPUTED_VALUE"""),"UMYWALKA BONITA G - NABLATOWA/ŚCIENNA")</f>
        <v>UMYWALKA BONITA G - NABLATOWA/ŚCIENNA</v>
      </c>
      <c r="C2575" s="23"/>
      <c r="D2575" s="24">
        <f ca="1">IFERROR(__xludf.DUMMYFUNCTION("""COMPUTED_VALUE"""),309)</f>
        <v>309</v>
      </c>
      <c r="E2575" s="25" t="str">
        <f ca="1">IFERROR(__xludf.DUMMYFUNCTION("""COMPUTED_VALUE"""),"REA-U5521")</f>
        <v>REA-U5521</v>
      </c>
    </row>
    <row r="2576" spans="1:5" x14ac:dyDescent="0.2">
      <c r="A2576" s="22">
        <f ca="1">IFERROR(__xludf.DUMMYFUNCTION("""COMPUTED_VALUE"""),44734)</f>
        <v>44734</v>
      </c>
      <c r="B2576" s="23" t="str">
        <f ca="1">IFERROR(__xludf.DUMMYFUNCTION("""COMPUTED_VALUE"""),"KOREK DO WANNY L.GOLD")</f>
        <v>KOREK DO WANNY L.GOLD</v>
      </c>
      <c r="C2576" s="23"/>
      <c r="D2576" s="24">
        <f ca="1">IFERROR(__xludf.DUMMYFUNCTION("""COMPUTED_VALUE"""),159)</f>
        <v>159</v>
      </c>
      <c r="E2576" s="25" t="str">
        <f ca="1">IFERROR(__xludf.DUMMYFUNCTION("""COMPUTED_VALUE"""),"REA-W2004")</f>
        <v>REA-W2004</v>
      </c>
    </row>
    <row r="2577" spans="1:5" x14ac:dyDescent="0.2">
      <c r="A2577" s="22">
        <f ca="1">IFERROR(__xludf.DUMMYFUNCTION("""COMPUTED_VALUE"""),44734)</f>
        <v>44734</v>
      </c>
      <c r="B2577" s="23" t="str">
        <f ca="1">IFERROR(__xludf.DUMMYFUNCTION("""COMPUTED_VALUE"""),"WANNA MILANO 150")</f>
        <v>WANNA MILANO 150</v>
      </c>
      <c r="C2577" s="23"/>
      <c r="D2577" s="24">
        <f ca="1">IFERROR(__xludf.DUMMYFUNCTION("""COMPUTED_VALUE"""),3299)</f>
        <v>3299</v>
      </c>
      <c r="E2577" s="25" t="str">
        <f ca="1">IFERROR(__xludf.DUMMYFUNCTION("""COMPUTED_VALUE"""),"REA-W2000")</f>
        <v>REA-W2000</v>
      </c>
    </row>
    <row r="2578" spans="1:5" x14ac:dyDescent="0.2">
      <c r="A2578" s="22">
        <f ca="1">IFERROR(__xludf.DUMMYFUNCTION("""COMPUTED_VALUE"""),44734)</f>
        <v>44734</v>
      </c>
      <c r="B2578" s="23" t="str">
        <f ca="1">IFERROR(__xludf.DUMMYFUNCTION("""COMPUTED_VALUE"""),"WANNA MILANO 170")</f>
        <v>WANNA MILANO 170</v>
      </c>
      <c r="C2578" s="23"/>
      <c r="D2578" s="24">
        <f ca="1">IFERROR(__xludf.DUMMYFUNCTION("""COMPUTED_VALUE"""),3349)</f>
        <v>3349</v>
      </c>
      <c r="E2578" s="25" t="str">
        <f ca="1">IFERROR(__xludf.DUMMYFUNCTION("""COMPUTED_VALUE"""),"REA-W2001")</f>
        <v>REA-W2001</v>
      </c>
    </row>
    <row r="2579" spans="1:5" x14ac:dyDescent="0.2">
      <c r="A2579" s="22">
        <f ca="1">IFERROR(__xludf.DUMMYFUNCTION("""COMPUTED_VALUE"""),44734)</f>
        <v>44734</v>
      </c>
      <c r="B2579" s="23" t="str">
        <f ca="1">IFERROR(__xludf.DUMMYFUNCTION("""COMPUTED_VALUE"""),"WANNA KERRANO 150")</f>
        <v>WANNA KERRANO 150</v>
      </c>
      <c r="C2579" s="23"/>
      <c r="D2579" s="24">
        <f ca="1">IFERROR(__xludf.DUMMYFUNCTION("""COMPUTED_VALUE"""),3490)</f>
        <v>3490</v>
      </c>
      <c r="E2579" s="25" t="str">
        <f ca="1">IFERROR(__xludf.DUMMYFUNCTION("""COMPUTED_VALUE"""),"REA-W2002")</f>
        <v>REA-W2002</v>
      </c>
    </row>
    <row r="2580" spans="1:5" x14ac:dyDescent="0.2">
      <c r="A2580" s="22">
        <f ca="1">IFERROR(__xludf.DUMMYFUNCTION("""COMPUTED_VALUE"""),44734)</f>
        <v>44734</v>
      </c>
      <c r="B2580" s="23" t="str">
        <f ca="1">IFERROR(__xludf.DUMMYFUNCTION("""COMPUTED_VALUE"""),"WANNA KERRANO 170")</f>
        <v>WANNA KERRANO 170</v>
      </c>
      <c r="C2580" s="23"/>
      <c r="D2580" s="24">
        <f ca="1">IFERROR(__xludf.DUMMYFUNCTION("""COMPUTED_VALUE"""),3690)</f>
        <v>3690</v>
      </c>
      <c r="E2580" s="25" t="str">
        <f ca="1">IFERROR(__xludf.DUMMYFUNCTION("""COMPUTED_VALUE"""),"REA-W2003")</f>
        <v>REA-W2003</v>
      </c>
    </row>
    <row r="2581" spans="1:5" x14ac:dyDescent="0.2">
      <c r="A2581" s="22">
        <f ca="1">IFERROR(__xludf.DUMMYFUNCTION("""COMPUTED_VALUE"""),44734)</f>
        <v>44734</v>
      </c>
      <c r="B2581" s="23" t="str">
        <f ca="1">IFERROR(__xludf.DUMMYFUNCTION("""COMPUTED_VALUE"""),"	PARAWAN WANNOWY IDEA 120")</f>
        <v xml:space="preserve">	PARAWAN WANNOWY IDEA 120</v>
      </c>
      <c r="C2581" s="23"/>
      <c r="D2581" s="24">
        <f ca="1">IFERROR(__xludf.DUMMYFUNCTION("""COMPUTED_VALUE"""),799)</f>
        <v>799</v>
      </c>
      <c r="E2581" s="25" t="str">
        <f ca="1">IFERROR(__xludf.DUMMYFUNCTION("""COMPUTED_VALUE"""),"REA-W0850")</f>
        <v>REA-W0850</v>
      </c>
    </row>
    <row r="2582" spans="1:5" x14ac:dyDescent="0.2">
      <c r="A2582" s="22">
        <f ca="1">IFERROR(__xludf.DUMMYFUNCTION("""COMPUTED_VALUE"""),44734)</f>
        <v>44734</v>
      </c>
      <c r="B2582" s="23" t="str">
        <f ca="1">IFERROR(__xludf.DUMMYFUNCTION("""COMPUTED_VALUE"""),"PARAWAN RUCHOMY LAGOS 80")</f>
        <v>PARAWAN RUCHOMY LAGOS 80</v>
      </c>
      <c r="C2582" s="23"/>
      <c r="D2582" s="24">
        <f ca="1">IFERROR(__xludf.DUMMYFUNCTION("""COMPUTED_VALUE"""),499)</f>
        <v>499</v>
      </c>
      <c r="E2582" s="25" t="str">
        <f ca="1">IFERROR(__xludf.DUMMYFUNCTION("""COMPUTED_VALUE"""),"REA-K7633")</f>
        <v>REA-K7633</v>
      </c>
    </row>
    <row r="2583" spans="1:5" x14ac:dyDescent="0.2">
      <c r="A2583" s="22">
        <f ca="1">IFERROR(__xludf.DUMMYFUNCTION("""COMPUTED_VALUE"""),44734)</f>
        <v>44734</v>
      </c>
      <c r="B2583" s="23" t="str">
        <f ca="1">IFERROR(__xludf.DUMMYFUNCTION("""COMPUTED_VALUE"""),"DRZWI PRYSZNICOWE FARGO 100")</f>
        <v>DRZWI PRYSZNICOWE FARGO 100</v>
      </c>
      <c r="C2583" s="23"/>
      <c r="D2583" s="24">
        <f ca="1">IFERROR(__xludf.DUMMYFUNCTION("""COMPUTED_VALUE"""),1059)</f>
        <v>1059</v>
      </c>
      <c r="E2583" s="25" t="str">
        <f ca="1">IFERROR(__xludf.DUMMYFUNCTION("""COMPUTED_VALUE"""),"REA-K6330")</f>
        <v>REA-K6330</v>
      </c>
    </row>
    <row r="2584" spans="1:5" x14ac:dyDescent="0.2">
      <c r="A2584" s="22">
        <f ca="1">IFERROR(__xludf.DUMMYFUNCTION("""COMPUTED_VALUE"""),44734)</f>
        <v>44734</v>
      </c>
      <c r="B2584" s="23" t="str">
        <f ca="1">IFERROR(__xludf.DUMMYFUNCTION("""COMPUTED_VALUE"""),"KABINA HEX 90X90 BLACK")</f>
        <v>KABINA HEX 90X90 BLACK</v>
      </c>
      <c r="C2584" s="23"/>
      <c r="D2584" s="24">
        <f ca="1">IFERROR(__xludf.DUMMYFUNCTION("""COMPUTED_VALUE"""),1299)</f>
        <v>1299</v>
      </c>
      <c r="E2584" s="25" t="str">
        <f ca="1">IFERROR(__xludf.DUMMYFUNCTION("""COMPUTED_VALUE"""),"REA-K8979")</f>
        <v>REA-K8979</v>
      </c>
    </row>
    <row r="2585" spans="1:5" x14ac:dyDescent="0.2">
      <c r="A2585" s="22">
        <f ca="1">IFERROR(__xludf.DUMMYFUNCTION("""COMPUTED_VALUE"""),44734)</f>
        <v>44734</v>
      </c>
      <c r="B2585" s="23" t="str">
        <f ca="1">IFERROR(__xludf.DUMMYFUNCTION("""COMPUTED_VALUE"""),"DRZWI PRYSZNICOWE RAPID FOLD 100")</f>
        <v>DRZWI PRYSZNICOWE RAPID FOLD 100</v>
      </c>
      <c r="C2585" s="23"/>
      <c r="D2585" s="24">
        <f ca="1">IFERROR(__xludf.DUMMYFUNCTION("""COMPUTED_VALUE"""),1019)</f>
        <v>1019</v>
      </c>
      <c r="E2585" s="25" t="str">
        <f ca="1">IFERROR(__xludf.DUMMYFUNCTION("""COMPUTED_VALUE"""),"REA-K6420")</f>
        <v>REA-K6420</v>
      </c>
    </row>
    <row r="2586" spans="1:5" x14ac:dyDescent="0.2">
      <c r="A2586" s="22">
        <f ca="1">IFERROR(__xludf.DUMMYFUNCTION("""COMPUTED_VALUE"""),44734)</f>
        <v>44734</v>
      </c>
      <c r="B2586" s="23" t="str">
        <f ca="1">IFERROR(__xludf.DUMMYFUNCTION("""COMPUTED_VALUE"""),"ŚCIANKA PRYSZNICOWA CORTIS 120 BLACK")</f>
        <v>ŚCIANKA PRYSZNICOWA CORTIS 120 BLACK</v>
      </c>
      <c r="C2586" s="23"/>
      <c r="D2586" s="24">
        <f ca="1">IFERROR(__xludf.DUMMYFUNCTION("""COMPUTED_VALUE"""),1119)</f>
        <v>1119</v>
      </c>
      <c r="E2586" s="25" t="str">
        <f ca="1">IFERROR(__xludf.DUMMYFUNCTION("""COMPUTED_VALUE"""),"REA-K8880")</f>
        <v>REA-K8880</v>
      </c>
    </row>
    <row r="2587" spans="1:5" x14ac:dyDescent="0.2">
      <c r="A2587" s="22">
        <f ca="1">IFERROR(__xludf.DUMMYFUNCTION("""COMPUTED_VALUE"""),44734)</f>
        <v>44734</v>
      </c>
      <c r="B2587" s="23" t="str">
        <f ca="1">IFERROR(__xludf.DUMMYFUNCTION("""COMPUTED_VALUE"""),"DRZWI PRYSZNICOWE RAPID SLIDE 120")</f>
        <v>DRZWI PRYSZNICOWE RAPID SLIDE 120</v>
      </c>
      <c r="C2587" s="23"/>
      <c r="D2587" s="24">
        <f ca="1">IFERROR(__xludf.DUMMYFUNCTION("""COMPUTED_VALUE"""),969)</f>
        <v>969</v>
      </c>
      <c r="E2587" s="25" t="str">
        <f ca="1">IFERROR(__xludf.DUMMYFUNCTION("""COMPUTED_VALUE"""),"REA-K6402")</f>
        <v>REA-K6402</v>
      </c>
    </row>
    <row r="2588" spans="1:5" x14ac:dyDescent="0.2">
      <c r="A2588" s="22">
        <f ca="1">IFERROR(__xludf.DUMMYFUNCTION("""COMPUTED_VALUE"""),44734)</f>
        <v>44734</v>
      </c>
      <c r="B2588" s="23" t="str">
        <f ca="1">IFERROR(__xludf.DUMMYFUNCTION("""COMPUTED_VALUE"""),"KABINA 80X80 CONCEPT BLACK")</f>
        <v>KABINA 80X80 CONCEPT BLACK</v>
      </c>
      <c r="C2588" s="23"/>
      <c r="D2588" s="24">
        <f ca="1">IFERROR(__xludf.DUMMYFUNCTION("""COMPUTED_VALUE"""),829)</f>
        <v>829</v>
      </c>
      <c r="E2588" s="25" t="str">
        <f ca="1">IFERROR(__xludf.DUMMYFUNCTION("""COMPUTED_VALUE"""),"REA-K5479")</f>
        <v>REA-K5479</v>
      </c>
    </row>
    <row r="2589" spans="1:5" x14ac:dyDescent="0.2">
      <c r="A2589" s="22">
        <f ca="1">IFERROR(__xludf.DUMMYFUNCTION("""COMPUTED_VALUE"""),44734)</f>
        <v>44734</v>
      </c>
      <c r="B2589" s="23" t="str">
        <f ca="1">IFERROR(__xludf.DUMMYFUNCTION("""COMPUTED_VALUE"""),"KABINA 80X100 CONCEPT BLACK")</f>
        <v>KABINA 80X100 CONCEPT BLACK</v>
      </c>
      <c r="C2589" s="23"/>
      <c r="D2589" s="24">
        <f ca="1">IFERROR(__xludf.DUMMYFUNCTION("""COMPUTED_VALUE"""),939)</f>
        <v>939</v>
      </c>
      <c r="E2589" s="25" t="str">
        <f ca="1">IFERROR(__xludf.DUMMYFUNCTION("""COMPUTED_VALUE"""),"REA-K6389")</f>
        <v>REA-K6389</v>
      </c>
    </row>
    <row r="2590" spans="1:5" x14ac:dyDescent="0.2">
      <c r="A2590" s="22">
        <f ca="1">IFERROR(__xludf.DUMMYFUNCTION("""COMPUTED_VALUE"""),44734)</f>
        <v>44734</v>
      </c>
      <c r="B2590" s="23" t="str">
        <f ca="1">IFERROR(__xludf.DUMMYFUNCTION("""COMPUTED_VALUE"""),"UMYWALKA MONA SLIM - NABLATOWA")</f>
        <v>UMYWALKA MONA SLIM - NABLATOWA</v>
      </c>
      <c r="C2590" s="23"/>
      <c r="D2590" s="24">
        <f ca="1">IFERROR(__xludf.DUMMYFUNCTION("""COMPUTED_VALUE"""),239)</f>
        <v>239</v>
      </c>
      <c r="E2590" s="25" t="str">
        <f ca="1">IFERROR(__xludf.DUMMYFUNCTION("""COMPUTED_VALUE"""),"REA-U6300")</f>
        <v>REA-U6300</v>
      </c>
    </row>
    <row r="2591" spans="1:5" x14ac:dyDescent="0.2">
      <c r="A2591" s="22">
        <f ca="1">IFERROR(__xludf.DUMMYFUNCTION("""COMPUTED_VALUE"""),44734)</f>
        <v>44734</v>
      </c>
      <c r="B2591" s="23" t="str">
        <f ca="1">IFERROR(__xludf.DUMMYFUNCTION("""COMPUTED_VALUE"""),"UMYWALKA DEMI - NABLATOWA")</f>
        <v>UMYWALKA DEMI - NABLATOWA</v>
      </c>
      <c r="C2591" s="23"/>
      <c r="D2591" s="24">
        <f ca="1">IFERROR(__xludf.DUMMYFUNCTION("""COMPUTED_VALUE"""),289)</f>
        <v>289</v>
      </c>
      <c r="E2591" s="25" t="str">
        <f ca="1">IFERROR(__xludf.DUMMYFUNCTION("""COMPUTED_VALUE"""),"REA-U1953")</f>
        <v>REA-U1953</v>
      </c>
    </row>
    <row r="2592" spans="1:5" x14ac:dyDescent="0.2">
      <c r="A2592" s="22">
        <f ca="1">IFERROR(__xludf.DUMMYFUNCTION("""COMPUTED_VALUE"""),44727)</f>
        <v>44727</v>
      </c>
      <c r="B2592" s="23" t="str">
        <f ca="1">IFERROR(__xludf.DUMMYFUNCTION("""COMPUTED_VALUE"""),"UMYWALKA MARGOT GREEN GOLD  - NABLATOWA")</f>
        <v>UMYWALKA MARGOT GREEN GOLD  - NABLATOWA</v>
      </c>
      <c r="C2592" s="23"/>
      <c r="D2592" s="24">
        <f ca="1">IFERROR(__xludf.DUMMYFUNCTION("""COMPUTED_VALUE"""),629)</f>
        <v>629</v>
      </c>
      <c r="E2592" s="25" t="str">
        <f ca="1">IFERROR(__xludf.DUMMYFUNCTION("""COMPUTED_VALUE"""),"REA-U8462")</f>
        <v>REA-U8462</v>
      </c>
    </row>
    <row r="2593" spans="1:5" x14ac:dyDescent="0.2">
      <c r="A2593" s="22">
        <f ca="1">IFERROR(__xludf.DUMMYFUNCTION("""COMPUTED_VALUE"""),44727)</f>
        <v>44727</v>
      </c>
      <c r="B2593" s="23" t="str">
        <f ca="1">IFERROR(__xludf.DUMMYFUNCTION("""COMPUTED_VALUE"""),"WC - CARLOS DUROPLAST/SLIM/ZM LAVA MATT")</f>
        <v>WC - CARLOS DUROPLAST/SLIM/ZM LAVA MATT</v>
      </c>
      <c r="C2593" s="23"/>
      <c r="D2593" s="24">
        <f ca="1">IFERROR(__xludf.DUMMYFUNCTION("""COMPUTED_VALUE"""),1099)</f>
        <v>1099</v>
      </c>
      <c r="E2593" s="25" t="str">
        <f ca="1">IFERROR(__xludf.DUMMYFUNCTION("""COMPUTED_VALUE"""),"REA-C8004")</f>
        <v>REA-C8004</v>
      </c>
    </row>
    <row r="2594" spans="1:5" x14ac:dyDescent="0.2">
      <c r="A2594" s="22">
        <f ca="1">IFERROR(__xludf.DUMMYFUNCTION("""COMPUTED_VALUE"""),44727)</f>
        <v>44727</v>
      </c>
      <c r="B2594" s="23" t="str">
        <f ca="1">IFERROR(__xludf.DUMMYFUNCTION("""COMPUTED_VALUE"""),"WC - CARLOS DUROPLAST/SLIM/ZM GRANIT MATT")</f>
        <v>WC - CARLOS DUROPLAST/SLIM/ZM GRANIT MATT</v>
      </c>
      <c r="C2594" s="23"/>
      <c r="D2594" s="24">
        <f ca="1">IFERROR(__xludf.DUMMYFUNCTION("""COMPUTED_VALUE"""),1099)</f>
        <v>1099</v>
      </c>
      <c r="E2594" s="25" t="str">
        <f ca="1">IFERROR(__xludf.DUMMYFUNCTION("""COMPUTED_VALUE"""),"REA-C8003")</f>
        <v>REA-C8003</v>
      </c>
    </row>
    <row r="2595" spans="1:5" x14ac:dyDescent="0.2">
      <c r="A2595" s="22">
        <f ca="1">IFERROR(__xludf.DUMMYFUNCTION("""COMPUTED_VALUE"""),44727)</f>
        <v>44727</v>
      </c>
      <c r="B2595" s="23" t="str">
        <f ca="1">IFERROR(__xludf.DUMMYFUNCTION("""COMPUTED_VALUE"""),"UMYWALKA KAMILA BLACK - WOLNOSTOJĄCA")</f>
        <v>UMYWALKA KAMILA BLACK - WOLNOSTOJĄCA</v>
      </c>
      <c r="C2595" s="23"/>
      <c r="D2595" s="24">
        <f ca="1">IFERROR(__xludf.DUMMYFUNCTION("""COMPUTED_VALUE"""),1059)</f>
        <v>1059</v>
      </c>
      <c r="E2595" s="25" t="str">
        <f ca="1">IFERROR(__xludf.DUMMYFUNCTION("""COMPUTED_VALUE"""),"REA-U5644")</f>
        <v>REA-U5644</v>
      </c>
    </row>
    <row r="2596" spans="1:5" x14ac:dyDescent="0.2">
      <c r="A2596" s="22">
        <f ca="1">IFERROR(__xludf.DUMMYFUNCTION("""COMPUTED_VALUE"""),44726)</f>
        <v>44726</v>
      </c>
      <c r="B2596" s="23" t="str">
        <f ca="1">IFERROR(__xludf.DUMMYFUNCTION("""COMPUTED_VALUE"""),"KABINA 80X80 PUNTO TRANSP")</f>
        <v>KABINA 80X80 PUNTO TRANSP</v>
      </c>
      <c r="C2596" s="23"/>
      <c r="D2596" s="24">
        <f ca="1">IFERROR(__xludf.DUMMYFUNCTION("""COMPUTED_VALUE"""),799)</f>
        <v>799</v>
      </c>
      <c r="E2596" s="25" t="str">
        <f ca="1">IFERROR(__xludf.DUMMYFUNCTION("""COMPUTED_VALUE"""),"REA-K0863")</f>
        <v>REA-K0863</v>
      </c>
    </row>
    <row r="2597" spans="1:5" x14ac:dyDescent="0.2">
      <c r="A2597" s="22">
        <f ca="1">IFERROR(__xludf.DUMMYFUNCTION("""COMPUTED_VALUE"""),44726)</f>
        <v>44726</v>
      </c>
      <c r="B2597" s="23" t="str">
        <f ca="1">IFERROR(__xludf.DUMMYFUNCTION("""COMPUTED_VALUE"""),"KABINA 90X90 PUNTO TRANSP")</f>
        <v>KABINA 90X90 PUNTO TRANSP</v>
      </c>
      <c r="C2597" s="23"/>
      <c r="D2597" s="24">
        <f ca="1">IFERROR(__xludf.DUMMYFUNCTION("""COMPUTED_VALUE"""),859)</f>
        <v>859</v>
      </c>
      <c r="E2597" s="25" t="str">
        <f ca="1">IFERROR(__xludf.DUMMYFUNCTION("""COMPUTED_VALUE"""),"REA-K0867")</f>
        <v>REA-K0867</v>
      </c>
    </row>
    <row r="2598" spans="1:5" x14ac:dyDescent="0.2">
      <c r="A2598" s="22">
        <f ca="1">IFERROR(__xludf.DUMMYFUNCTION("""COMPUTED_VALUE"""),44726)</f>
        <v>44726</v>
      </c>
      <c r="B2598" s="23" t="str">
        <f ca="1">IFERROR(__xludf.DUMMYFUNCTION("""COMPUTED_VALUE"""),"KABINA 80X100 PUNTO TRANSP")</f>
        <v>KABINA 80X100 PUNTO TRANSP</v>
      </c>
      <c r="C2598" s="23"/>
      <c r="D2598" s="24">
        <f ca="1">IFERROR(__xludf.DUMMYFUNCTION("""COMPUTED_VALUE"""),899)</f>
        <v>899</v>
      </c>
      <c r="E2598" s="25" t="str">
        <f ca="1">IFERROR(__xludf.DUMMYFUNCTION("""COMPUTED_VALUE"""),"REA-K1889")</f>
        <v>REA-K1889</v>
      </c>
    </row>
    <row r="2599" spans="1:5" x14ac:dyDescent="0.2">
      <c r="A2599" s="22">
        <f ca="1">IFERROR(__xludf.DUMMYFUNCTION("""COMPUTED_VALUE"""),44726)</f>
        <v>44726</v>
      </c>
      <c r="B2599" s="23" t="str">
        <f ca="1">IFERROR(__xludf.DUMMYFUNCTION("""COMPUTED_VALUE"""),"UMYWALKA ROYAL 60 GOLD EDGE - NABLATOWA")</f>
        <v>UMYWALKA ROYAL 60 GOLD EDGE - NABLATOWA</v>
      </c>
      <c r="C2599" s="23"/>
      <c r="D2599" s="24">
        <f ca="1">IFERROR(__xludf.DUMMYFUNCTION("""COMPUTED_VALUE"""),499)</f>
        <v>499</v>
      </c>
      <c r="E2599" s="25" t="str">
        <f ca="1">IFERROR(__xludf.DUMMYFUNCTION("""COMPUTED_VALUE"""),"REA-U8570")</f>
        <v>REA-U8570</v>
      </c>
    </row>
    <row r="2600" spans="1:5" x14ac:dyDescent="0.2">
      <c r="A2600" s="22">
        <f ca="1">IFERROR(__xludf.DUMMYFUNCTION("""COMPUTED_VALUE"""),44726)</f>
        <v>44726</v>
      </c>
      <c r="B2600" s="23" t="str">
        <f ca="1">IFERROR(__xludf.DUMMYFUNCTION("""COMPUTED_VALUE"""),"UMYWALKA ROYAL 60 SHINY AIAX - NABLATOWA")</f>
        <v>UMYWALKA ROYAL 60 SHINY AIAX - NABLATOWA</v>
      </c>
      <c r="C2600" s="23"/>
      <c r="D2600" s="24">
        <f ca="1">IFERROR(__xludf.DUMMYFUNCTION("""COMPUTED_VALUE"""),419)</f>
        <v>419</v>
      </c>
      <c r="E2600" s="25" t="str">
        <f ca="1">IFERROR(__xludf.DUMMYFUNCTION("""COMPUTED_VALUE"""),"REA-U8548")</f>
        <v>REA-U8548</v>
      </c>
    </row>
    <row r="2601" spans="1:5" x14ac:dyDescent="0.2">
      <c r="A2601" s="22">
        <f ca="1">IFERROR(__xludf.DUMMYFUNCTION("""COMPUTED_VALUE"""),44726)</f>
        <v>44726</v>
      </c>
      <c r="B2601" s="23" t="str">
        <f ca="1">IFERROR(__xludf.DUMMYFUNCTION("""COMPUTED_VALUE"""),"UMYWALKA ROYAL 60 LAVA - NABLATOWA")</f>
        <v>UMYWALKA ROYAL 60 LAVA - NABLATOWA</v>
      </c>
      <c r="C2601" s="23"/>
      <c r="D2601" s="24">
        <f ca="1">IFERROR(__xludf.DUMMYFUNCTION("""COMPUTED_VALUE"""),419)</f>
        <v>419</v>
      </c>
      <c r="E2601" s="25" t="str">
        <f ca="1">IFERROR(__xludf.DUMMYFUNCTION("""COMPUTED_VALUE"""),"REA-U8597")</f>
        <v>REA-U8597</v>
      </c>
    </row>
    <row r="2602" spans="1:5" x14ac:dyDescent="0.2">
      <c r="A2602" s="22">
        <f ca="1">IFERROR(__xludf.DUMMYFUNCTION("""COMPUTED_VALUE"""),44726)</f>
        <v>44726</v>
      </c>
      <c r="B2602" s="23" t="str">
        <f ca="1">IFERROR(__xludf.DUMMYFUNCTION("""COMPUTED_VALUE"""),"UMYWALKA ROYAL 60 LAVA MATT - NABLATOWA")</f>
        <v>UMYWALKA ROYAL 60 LAVA MATT - NABLATOWA</v>
      </c>
      <c r="C2602" s="23"/>
      <c r="D2602" s="24">
        <f ca="1">IFERROR(__xludf.DUMMYFUNCTION("""COMPUTED_VALUE"""),459)</f>
        <v>459</v>
      </c>
      <c r="E2602" s="25" t="str">
        <f ca="1">IFERROR(__xludf.DUMMYFUNCTION("""COMPUTED_VALUE"""),"REA-U8598")</f>
        <v>REA-U8598</v>
      </c>
    </row>
    <row r="2603" spans="1:5" x14ac:dyDescent="0.2">
      <c r="A2603" s="22">
        <f ca="1">IFERROR(__xludf.DUMMYFUNCTION("""COMPUTED_VALUE"""),44726)</f>
        <v>44726</v>
      </c>
      <c r="B2603" s="23" t="str">
        <f ca="1">IFERROR(__xludf.DUMMYFUNCTION("""COMPUTED_VALUE"""),"UMYWALKA FRIDA - WOLNOSTOJĄCA")</f>
        <v>UMYWALKA FRIDA - WOLNOSTOJĄCA</v>
      </c>
      <c r="C2603" s="23"/>
      <c r="D2603" s="24">
        <f ca="1">IFERROR(__xludf.DUMMYFUNCTION("""COMPUTED_VALUE"""),999)</f>
        <v>999</v>
      </c>
      <c r="E2603" s="25" t="str">
        <f ca="1">IFERROR(__xludf.DUMMYFUNCTION("""COMPUTED_VALUE"""),"CAL-00501")</f>
        <v>CAL-00501</v>
      </c>
    </row>
    <row r="2604" spans="1:5" x14ac:dyDescent="0.2">
      <c r="A2604" s="22">
        <f ca="1">IFERROR(__xludf.DUMMYFUNCTION("""COMPUTED_VALUE"""),44726)</f>
        <v>44726</v>
      </c>
      <c r="B2604" s="23" t="str">
        <f ca="1">IFERROR(__xludf.DUMMYFUNCTION("""COMPUTED_VALUE"""),"UMYWALKA AIDA - WOLNOSTOJĄCA")</f>
        <v>UMYWALKA AIDA - WOLNOSTOJĄCA</v>
      </c>
      <c r="C2604" s="23"/>
      <c r="D2604" s="24">
        <f ca="1">IFERROR(__xludf.DUMMYFUNCTION("""COMPUTED_VALUE"""),999)</f>
        <v>999</v>
      </c>
      <c r="E2604" s="25" t="str">
        <f ca="1">IFERROR(__xludf.DUMMYFUNCTION("""COMPUTED_VALUE"""),"CAL-00500")</f>
        <v>CAL-00500</v>
      </c>
    </row>
    <row r="2605" spans="1:5" x14ac:dyDescent="0.2">
      <c r="A2605" s="22">
        <f ca="1">IFERROR(__xludf.DUMMYFUNCTION("""COMPUTED_VALUE"""),44726)</f>
        <v>44726</v>
      </c>
      <c r="B2605" s="23" t="str">
        <f ca="1">IFERROR(__xludf.DUMMYFUNCTION("""COMPUTED_VALUE"""),"UMYWALKA RITA SLIM - WOLNOSTOJĄCA")</f>
        <v>UMYWALKA RITA SLIM - WOLNOSTOJĄCA</v>
      </c>
      <c r="C2605" s="23"/>
      <c r="D2605" s="24">
        <f ca="1">IFERROR(__xludf.DUMMYFUNCTION("""COMPUTED_VALUE"""),919)</f>
        <v>919</v>
      </c>
      <c r="E2605" s="25" t="str">
        <f ca="1">IFERROR(__xludf.DUMMYFUNCTION("""COMPUTED_VALUE"""),"REA-U9901")</f>
        <v>REA-U9901</v>
      </c>
    </row>
    <row r="2606" spans="1:5" x14ac:dyDescent="0.2">
      <c r="A2606" s="22">
        <f ca="1">IFERROR(__xludf.DUMMYFUNCTION("""COMPUTED_VALUE"""),44726)</f>
        <v>44726</v>
      </c>
      <c r="B2606" s="23" t="str">
        <f ca="1">IFERROR(__xludf.DUMMYFUNCTION("""COMPUTED_VALUE"""),"UMYWALKA ARIS - WOLNOSTOJĄCA")</f>
        <v>UMYWALKA ARIS - WOLNOSTOJĄCA</v>
      </c>
      <c r="C2606" s="23"/>
      <c r="D2606" s="24">
        <f ca="1">IFERROR(__xludf.DUMMYFUNCTION("""COMPUTED_VALUE"""),999)</f>
        <v>999</v>
      </c>
      <c r="E2606" s="25" t="str">
        <f ca="1">IFERROR(__xludf.DUMMYFUNCTION("""COMPUTED_VALUE"""),"REA-U5637")</f>
        <v>REA-U5637</v>
      </c>
    </row>
    <row r="2607" spans="1:5" x14ac:dyDescent="0.2">
      <c r="A2607" s="22">
        <f ca="1">IFERROR(__xludf.DUMMYFUNCTION("""COMPUTED_VALUE"""),44726)</f>
        <v>44726</v>
      </c>
      <c r="B2607" s="23" t="str">
        <f ca="1">IFERROR(__xludf.DUMMYFUNCTION("""COMPUTED_VALUE"""),"UMYWALKA PEARL GOLD EDGE - NABLATOWA")</f>
        <v>UMYWALKA PEARL GOLD EDGE - NABLATOWA</v>
      </c>
      <c r="C2607" s="23"/>
      <c r="D2607" s="24">
        <f ca="1">IFERROR(__xludf.DUMMYFUNCTION("""COMPUTED_VALUE"""),499)</f>
        <v>499</v>
      </c>
      <c r="E2607" s="25" t="str">
        <f ca="1">IFERROR(__xludf.DUMMYFUNCTION("""COMPUTED_VALUE"""),"REA-U0696")</f>
        <v>REA-U0696</v>
      </c>
    </row>
    <row r="2608" spans="1:5" x14ac:dyDescent="0.2">
      <c r="A2608" s="22">
        <f ca="1">IFERROR(__xludf.DUMMYFUNCTION("""COMPUTED_VALUE"""),44726)</f>
        <v>44726</v>
      </c>
      <c r="B2608" s="23" t="str">
        <f ca="1">IFERROR(__xludf.DUMMYFUNCTION("""COMPUTED_VALUE"""),"UMYWALKA PEARL - NABLATOWA")</f>
        <v>UMYWALKA PEARL - NABLATOWA</v>
      </c>
      <c r="C2608" s="23"/>
      <c r="D2608" s="24">
        <f ca="1">IFERROR(__xludf.DUMMYFUNCTION("""COMPUTED_VALUE"""),399)</f>
        <v>399</v>
      </c>
      <c r="E2608" s="25" t="str">
        <f ca="1">IFERROR(__xludf.DUMMYFUNCTION("""COMPUTED_VALUE"""),"REA-U0265")</f>
        <v>REA-U0265</v>
      </c>
    </row>
    <row r="2609" spans="1:5" x14ac:dyDescent="0.2">
      <c r="A2609" s="22">
        <f ca="1">IFERROR(__xludf.DUMMYFUNCTION("""COMPUTED_VALUE"""),44726)</f>
        <v>44726</v>
      </c>
      <c r="B2609" s="23" t="str">
        <f ca="1">IFERROR(__xludf.DUMMYFUNCTION("""COMPUTED_VALUE"""),"UMYWALKA ROSA - NABLATOWA")</f>
        <v>UMYWALKA ROSA - NABLATOWA</v>
      </c>
      <c r="C2609" s="23"/>
      <c r="D2609" s="24">
        <f ca="1">IFERROR(__xludf.DUMMYFUNCTION("""COMPUTED_VALUE"""),249)</f>
        <v>249</v>
      </c>
      <c r="E2609" s="25" t="str">
        <f ca="1">IFERROR(__xludf.DUMMYFUNCTION("""COMPUTED_VALUE"""),"REA-00692")</f>
        <v>REA-00692</v>
      </c>
    </row>
    <row r="2610" spans="1:5" x14ac:dyDescent="0.2">
      <c r="A2610" s="22">
        <f ca="1">IFERROR(__xludf.DUMMYFUNCTION("""COMPUTED_VALUE"""),44726)</f>
        <v>44726</v>
      </c>
      <c r="B2610" s="23" t="str">
        <f ca="1">IFERROR(__xludf.DUMMYFUNCTION("""COMPUTED_VALUE"""),"UMYWALKA ROSA-2 - NABLATOWA")</f>
        <v>UMYWALKA ROSA-2 - NABLATOWA</v>
      </c>
      <c r="C2610" s="23"/>
      <c r="D2610" s="24">
        <f ca="1">IFERROR(__xludf.DUMMYFUNCTION("""COMPUTED_VALUE"""),239)</f>
        <v>239</v>
      </c>
      <c r="E2610" s="25" t="str">
        <f ca="1">IFERROR(__xludf.DUMMYFUNCTION("""COMPUTED_VALUE"""),"REA-U0160")</f>
        <v>REA-U0160</v>
      </c>
    </row>
    <row r="2611" spans="1:5" x14ac:dyDescent="0.2">
      <c r="A2611" s="22">
        <f ca="1">IFERROR(__xludf.DUMMYFUNCTION("""COMPUTED_VALUE"""),44726)</f>
        <v>44726</v>
      </c>
      <c r="B2611" s="23" t="str">
        <f ca="1">IFERROR(__xludf.DUMMYFUNCTION("""COMPUTED_VALUE"""),"BIDET CARLO MINI GOLD WHITE")</f>
        <v>BIDET CARLO MINI GOLD WHITE</v>
      </c>
      <c r="C2611" s="23"/>
      <c r="D2611" s="24">
        <f ca="1">IFERROR(__xludf.DUMMYFUNCTION("""COMPUTED_VALUE"""),999)</f>
        <v>999</v>
      </c>
      <c r="E2611" s="25" t="str">
        <f ca="1">IFERROR(__xludf.DUMMYFUNCTION("""COMPUTED_VALUE"""),"REA-C2288")</f>
        <v>REA-C2288</v>
      </c>
    </row>
    <row r="2612" spans="1:5" x14ac:dyDescent="0.2">
      <c r="A2612" s="22">
        <f ca="1">IFERROR(__xludf.DUMMYFUNCTION("""COMPUTED_VALUE"""),44726)</f>
        <v>44726</v>
      </c>
      <c r="B2612" s="23" t="str">
        <f ca="1">IFERROR(__xludf.DUMMYFUNCTION("""COMPUTED_VALUE"""),"ŚCIANKA PRYSZNICOWA 110 BLER-1")</f>
        <v>ŚCIANKA PRYSZNICOWA 110 BLER-1</v>
      </c>
      <c r="C2612" s="23"/>
      <c r="D2612" s="24">
        <f ca="1">IFERROR(__xludf.DUMMYFUNCTION("""COMPUTED_VALUE"""),959)</f>
        <v>959</v>
      </c>
      <c r="E2612" s="25" t="str">
        <f ca="1">IFERROR(__xludf.DUMMYFUNCTION("""COMPUTED_VALUE"""),"REA-K7956")</f>
        <v>REA-K7956</v>
      </c>
    </row>
    <row r="2613" spans="1:5" x14ac:dyDescent="0.2">
      <c r="A2613" s="22">
        <f ca="1">IFERROR(__xludf.DUMMYFUNCTION("""COMPUTED_VALUE"""),44726)</f>
        <v>44726</v>
      </c>
      <c r="B2613" s="23" t="str">
        <f ca="1">IFERROR(__xludf.DUMMYFUNCTION("""COMPUTED_VALUE"""),"KABINA DIAMOND L.GOLD 90X90")</f>
        <v>KABINA DIAMOND L.GOLD 90X90</v>
      </c>
      <c r="C2613" s="23"/>
      <c r="D2613" s="24">
        <f ca="1">IFERROR(__xludf.DUMMYFUNCTION("""COMPUTED_VALUE"""),1899)</f>
        <v>1899</v>
      </c>
      <c r="E2613" s="25" t="str">
        <f ca="1">IFERROR(__xludf.DUMMYFUNCTION("""COMPUTED_VALUE"""),"REA-K4904")</f>
        <v>REA-K4904</v>
      </c>
    </row>
    <row r="2614" spans="1:5" x14ac:dyDescent="0.2">
      <c r="A2614" s="22">
        <f ca="1">IFERROR(__xludf.DUMMYFUNCTION("""COMPUTED_VALUE"""),44720)</f>
        <v>44720</v>
      </c>
      <c r="B2614" s="23" t="str">
        <f ca="1">IFERROR(__xludf.DUMMYFUNCTION("""COMPUTED_VALUE"""),"PARAWAN RUCHOMY LAGOS 70")</f>
        <v>PARAWAN RUCHOMY LAGOS 70</v>
      </c>
      <c r="C2614" s="23"/>
      <c r="D2614" s="24">
        <f ca="1">IFERROR(__xludf.DUMMYFUNCTION("""COMPUTED_VALUE"""),459)</f>
        <v>459</v>
      </c>
      <c r="E2614" s="25" t="str">
        <f ca="1">IFERROR(__xludf.DUMMYFUNCTION("""COMPUTED_VALUE"""),"REA-K7632")</f>
        <v>REA-K7632</v>
      </c>
    </row>
    <row r="2615" spans="1:5" x14ac:dyDescent="0.2">
      <c r="A2615" s="22">
        <f ca="1">IFERROR(__xludf.DUMMYFUNCTION("""COMPUTED_VALUE"""),44720)</f>
        <v>44720</v>
      </c>
      <c r="B2615" s="23" t="str">
        <f ca="1">IFERROR(__xludf.DUMMYFUNCTION("""COMPUTED_VALUE"""),"KABINA FARGO L.GOLD 90X90 U")</f>
        <v>KABINA FARGO L.GOLD 90X90 U</v>
      </c>
      <c r="C2615" s="23"/>
      <c r="D2615" s="24">
        <f ca="1">IFERROR(__xludf.DUMMYFUNCTION("""COMPUTED_VALUE"""),1969)</f>
        <v>1969</v>
      </c>
      <c r="E2615" s="25" t="str">
        <f ca="1">IFERROR(__xludf.DUMMYFUNCTION("""COMPUTED_VALUE"""),"REA-K4903")</f>
        <v>REA-K4903</v>
      </c>
    </row>
    <row r="2616" spans="1:5" x14ac:dyDescent="0.2">
      <c r="A2616" s="22">
        <f ca="1">IFERROR(__xludf.DUMMYFUNCTION("""COMPUTED_VALUE"""),44720)</f>
        <v>44720</v>
      </c>
      <c r="B2616" s="23" t="str">
        <f ca="1">IFERROR(__xludf.DUMMYFUNCTION("""COMPUTED_VALUE"""),"KABINA FARGO L.GOLD 80X100 U")</f>
        <v>KABINA FARGO L.GOLD 80X100 U</v>
      </c>
      <c r="C2616" s="23"/>
      <c r="D2616" s="24">
        <f ca="1">IFERROR(__xludf.DUMMYFUNCTION("""COMPUTED_VALUE"""),1999)</f>
        <v>1999</v>
      </c>
      <c r="E2616" s="25" t="str">
        <f ca="1">IFERROR(__xludf.DUMMYFUNCTION("""COMPUTED_VALUE"""),"REA-K4907")</f>
        <v>REA-K4907</v>
      </c>
    </row>
    <row r="2617" spans="1:5" x14ac:dyDescent="0.2">
      <c r="A2617" s="22">
        <f ca="1">IFERROR(__xludf.DUMMYFUNCTION("""COMPUTED_VALUE"""),44720)</f>
        <v>44720</v>
      </c>
      <c r="B2617" s="23" t="str">
        <f ca="1">IFERROR(__xludf.DUMMYFUNCTION("""COMPUTED_VALUE"""),"BATERIA UMYWALKOWA LEVI BLACK ")</f>
        <v xml:space="preserve">BATERIA UMYWALKOWA LEVI BLACK </v>
      </c>
      <c r="C2617" s="23"/>
      <c r="D2617" s="24">
        <f ca="1">IFERROR(__xludf.DUMMYFUNCTION("""COMPUTED_VALUE"""),399)</f>
        <v>399</v>
      </c>
      <c r="E2617" s="25" t="str">
        <f ca="1">IFERROR(__xludf.DUMMYFUNCTION("""COMPUTED_VALUE"""),"REA-B5136")</f>
        <v>REA-B5136</v>
      </c>
    </row>
    <row r="2618" spans="1:5" x14ac:dyDescent="0.2">
      <c r="A2618" s="22">
        <f ca="1">IFERROR(__xludf.DUMMYFUNCTION("""COMPUTED_VALUE"""),44720)</f>
        <v>44720</v>
      </c>
      <c r="B2618" s="23" t="str">
        <f ca="1">IFERROR(__xludf.DUMMYFUNCTION("""COMPUTED_VALUE"""),"BATERIA UMYWALKOWA LEVI Gold")</f>
        <v>BATERIA UMYWALKOWA LEVI Gold</v>
      </c>
      <c r="C2618" s="23"/>
      <c r="D2618" s="24">
        <f ca="1">IFERROR(__xludf.DUMMYFUNCTION("""COMPUTED_VALUE"""),429)</f>
        <v>429</v>
      </c>
      <c r="E2618" s="25" t="str">
        <f ca="1">IFERROR(__xludf.DUMMYFUNCTION("""COMPUTED_VALUE"""),"REA-B5137")</f>
        <v>REA-B5137</v>
      </c>
    </row>
    <row r="2619" spans="1:5" x14ac:dyDescent="0.2">
      <c r="A2619" s="22">
        <f ca="1">IFERROR(__xludf.DUMMYFUNCTION("""COMPUTED_VALUE"""),44720)</f>
        <v>44720</v>
      </c>
      <c r="B2619" s="23" t="str">
        <f ca="1">IFERROR(__xludf.DUMMYFUNCTION("""COMPUTED_VALUE"""),"BATERIA BIDETOWA FENIX CHROME")</f>
        <v>BATERIA BIDETOWA FENIX CHROME</v>
      </c>
      <c r="C2619" s="23"/>
      <c r="D2619" s="24">
        <f ca="1">IFERROR(__xludf.DUMMYFUNCTION("""COMPUTED_VALUE"""),399)</f>
        <v>399</v>
      </c>
      <c r="E2619" s="25" t="str">
        <f ca="1">IFERROR(__xludf.DUMMYFUNCTION("""COMPUTED_VALUE"""),"REA-B5126")</f>
        <v>REA-B5126</v>
      </c>
    </row>
    <row r="2620" spans="1:5" x14ac:dyDescent="0.2">
      <c r="A2620" s="22">
        <f ca="1">IFERROR(__xludf.DUMMYFUNCTION("""COMPUTED_VALUE"""),44720)</f>
        <v>44720</v>
      </c>
      <c r="B2620" s="23" t="str">
        <f ca="1">IFERROR(__xludf.DUMMYFUNCTION("""COMPUTED_VALUE"""),"BATERIA UMYWALKOWA PODTYNKOWA OVAL CHROME")</f>
        <v>BATERIA UMYWALKOWA PODTYNKOWA OVAL CHROME</v>
      </c>
      <c r="C2620" s="23"/>
      <c r="D2620" s="24">
        <f ca="1">IFERROR(__xludf.DUMMYFUNCTION("""COMPUTED_VALUE"""),479)</f>
        <v>479</v>
      </c>
      <c r="E2620" s="25" t="str">
        <f ca="1">IFERROR(__xludf.DUMMYFUNCTION("""COMPUTED_VALUE"""),"REA-B5124")</f>
        <v>REA-B5124</v>
      </c>
    </row>
    <row r="2621" spans="1:5" x14ac:dyDescent="0.2">
      <c r="A2621" s="22">
        <f ca="1">IFERROR(__xludf.DUMMYFUNCTION("""COMPUTED_VALUE"""),44720)</f>
        <v>44720</v>
      </c>
      <c r="B2621" s="23" t="str">
        <f ca="1">IFERROR(__xludf.DUMMYFUNCTION("""COMPUTED_VALUE"""),"BATERIA UMYWALKOWA PODTYNKOWA OVAL GOLD")</f>
        <v>BATERIA UMYWALKOWA PODTYNKOWA OVAL GOLD</v>
      </c>
      <c r="C2621" s="23"/>
      <c r="D2621" s="24">
        <f ca="1">IFERROR(__xludf.DUMMYFUNCTION("""COMPUTED_VALUE"""),529)</f>
        <v>529</v>
      </c>
      <c r="E2621" s="25" t="str">
        <f ca="1">IFERROR(__xludf.DUMMYFUNCTION("""COMPUTED_VALUE"""),"REA-B5125")</f>
        <v>REA-B5125</v>
      </c>
    </row>
    <row r="2622" spans="1:5" x14ac:dyDescent="0.2">
      <c r="A2622" s="22">
        <f ca="1">IFERROR(__xludf.DUMMYFUNCTION("""COMPUTED_VALUE"""),44720)</f>
        <v>44720</v>
      </c>
      <c r="B2622" s="23" t="str">
        <f ca="1">IFERROR(__xludf.DUMMYFUNCTION("""COMPUTED_VALUE"""),"BATERIA UMYWALKOWA JAGER BLACK NISKA")</f>
        <v>BATERIA UMYWALKOWA JAGER BLACK NISKA</v>
      </c>
      <c r="C2622" s="23"/>
      <c r="D2622" s="24">
        <f ca="1">IFERROR(__xludf.DUMMYFUNCTION("""COMPUTED_VALUE"""),299)</f>
        <v>299</v>
      </c>
      <c r="E2622" s="25" t="str">
        <f ca="1">IFERROR(__xludf.DUMMYFUNCTION("""COMPUTED_VALUE"""),"REA-B5121")</f>
        <v>REA-B5121</v>
      </c>
    </row>
    <row r="2623" spans="1:5" x14ac:dyDescent="0.2">
      <c r="A2623" s="22">
        <f ca="1">IFERROR(__xludf.DUMMYFUNCTION("""COMPUTED_VALUE"""),44720)</f>
        <v>44720</v>
      </c>
      <c r="B2623" s="23" t="str">
        <f ca="1">IFERROR(__xludf.DUMMYFUNCTION("""COMPUTED_VALUE"""),"BATERIA UMYWALKOWA JAGER GOLD NISKA")</f>
        <v>BATERIA UMYWALKOWA JAGER GOLD NISKA</v>
      </c>
      <c r="C2623" s="23"/>
      <c r="D2623" s="24">
        <f ca="1">IFERROR(__xludf.DUMMYFUNCTION("""COMPUTED_VALUE"""),359)</f>
        <v>359</v>
      </c>
      <c r="E2623" s="25" t="str">
        <f ca="1">IFERROR(__xludf.DUMMYFUNCTION("""COMPUTED_VALUE"""),"REA-B5120")</f>
        <v>REA-B5120</v>
      </c>
    </row>
    <row r="2624" spans="1:5" x14ac:dyDescent="0.2">
      <c r="A2624" s="22">
        <f ca="1">IFERROR(__xludf.DUMMYFUNCTION("""COMPUTED_VALUE"""),44720)</f>
        <v>44720</v>
      </c>
      <c r="B2624" s="23" t="str">
        <f ca="1">IFERROR(__xludf.DUMMYFUNCTION("""COMPUTED_VALUE"""),"BATERIA UMYWALKOWA JAGER BLACK WYSOKA")</f>
        <v>BATERIA UMYWALKOWA JAGER BLACK WYSOKA</v>
      </c>
      <c r="C2624" s="23"/>
      <c r="D2624" s="24">
        <f ca="1">IFERROR(__xludf.DUMMYFUNCTION("""COMPUTED_VALUE"""),399)</f>
        <v>399</v>
      </c>
      <c r="E2624" s="25" t="str">
        <f ca="1">IFERROR(__xludf.DUMMYFUNCTION("""COMPUTED_VALUE"""),"REA-B5122")</f>
        <v>REA-B5122</v>
      </c>
    </row>
    <row r="2625" spans="1:5" x14ac:dyDescent="0.2">
      <c r="A2625" s="22">
        <f ca="1">IFERROR(__xludf.DUMMYFUNCTION("""COMPUTED_VALUE"""),44720)</f>
        <v>44720</v>
      </c>
      <c r="B2625" s="23" t="str">
        <f ca="1">IFERROR(__xludf.DUMMYFUNCTION("""COMPUTED_VALUE"""),"BATERIA UMYWALKOWA JAGER GOLD WYSOKA")</f>
        <v>BATERIA UMYWALKOWA JAGER GOLD WYSOKA</v>
      </c>
      <c r="C2625" s="23"/>
      <c r="D2625" s="24">
        <f ca="1">IFERROR(__xludf.DUMMYFUNCTION("""COMPUTED_VALUE"""),439)</f>
        <v>439</v>
      </c>
      <c r="E2625" s="25" t="str">
        <f ca="1">IFERROR(__xludf.DUMMYFUNCTION("""COMPUTED_VALUE"""),"REA-B5123")</f>
        <v>REA-B5123</v>
      </c>
    </row>
    <row r="2626" spans="1:5" x14ac:dyDescent="0.2">
      <c r="A2626" s="22">
        <f ca="1">IFERROR(__xludf.DUMMYFUNCTION("""COMPUTED_VALUE"""),44720)</f>
        <v>44720</v>
      </c>
      <c r="B2626" s="23" t="str">
        <f ca="1">IFERROR(__xludf.DUMMYFUNCTION("""COMPUTED_VALUE"""),"WC - CARLO RIMLESS DUROPLAST/FLAT/ZM BRUSH GOLD")</f>
        <v>WC - CARLO RIMLESS DUROPLAST/FLAT/ZM BRUSH GOLD</v>
      </c>
      <c r="C2626" s="23"/>
      <c r="D2626" s="24">
        <f ca="1">IFERROR(__xludf.DUMMYFUNCTION("""COMPUTED_VALUE"""),1399)</f>
        <v>1399</v>
      </c>
      <c r="E2626" s="25" t="str">
        <f ca="1">IFERROR(__xludf.DUMMYFUNCTION("""COMPUTED_VALUE"""),"REA-C6942")</f>
        <v>REA-C6942</v>
      </c>
    </row>
    <row r="2627" spans="1:5" x14ac:dyDescent="0.2">
      <c r="A2627" s="22">
        <f ca="1">IFERROR(__xludf.DUMMYFUNCTION("""COMPUTED_VALUE"""),44720)</f>
        <v>44720</v>
      </c>
      <c r="B2627" s="23" t="str">
        <f ca="1">IFERROR(__xludf.DUMMYFUNCTION("""COMPUTED_VALUE"""),"WC - CARLO MINI RIMLESS DUROPLAST/FLAT/ZM")</f>
        <v>WC - CARLO MINI RIMLESS DUROPLAST/FLAT/ZM</v>
      </c>
      <c r="C2627" s="23"/>
      <c r="D2627" s="24">
        <f ca="1">IFERROR(__xludf.DUMMYFUNCTION("""COMPUTED_VALUE"""),679)</f>
        <v>679</v>
      </c>
      <c r="E2627" s="25" t="str">
        <f ca="1">IFERROR(__xludf.DUMMYFUNCTION("""COMPUTED_VALUE"""),"REA-C2760")</f>
        <v>REA-C2760</v>
      </c>
    </row>
    <row r="2628" spans="1:5" x14ac:dyDescent="0.2">
      <c r="A2628" s="22">
        <f ca="1">IFERROR(__xludf.DUMMYFUNCTION("""COMPUTED_VALUE"""),44720)</f>
        <v>44720</v>
      </c>
      <c r="B2628" s="23" t="str">
        <f ca="1">IFERROR(__xludf.DUMMYFUNCTION("""COMPUTED_VALUE"""),"BATERIA UMYWALKOWA PODTYNKOWA OVAL BLACK ")</f>
        <v xml:space="preserve">BATERIA UMYWALKOWA PODTYNKOWA OVAL BLACK </v>
      </c>
      <c r="C2628" s="23"/>
      <c r="D2628" s="24">
        <f ca="1">IFERROR(__xludf.DUMMYFUNCTION("""COMPUTED_VALUE"""),499)</f>
        <v>499</v>
      </c>
      <c r="E2628" s="25" t="str">
        <f ca="1">IFERROR(__xludf.DUMMYFUNCTION("""COMPUTED_VALUE"""),"REA-B8860")</f>
        <v>REA-B8860</v>
      </c>
    </row>
    <row r="2629" spans="1:5" x14ac:dyDescent="0.2">
      <c r="A2629" s="22">
        <f ca="1">IFERROR(__xludf.DUMMYFUNCTION("""COMPUTED_VALUE"""),44720)</f>
        <v>44720</v>
      </c>
      <c r="B2629" s="23" t="str">
        <f ca="1">IFERROR(__xludf.DUMMYFUNCTION("""COMPUTED_VALUE"""),"ZESTAW NATRYSKOWY OVAL GOLD + ECO BOX")</f>
        <v>ZESTAW NATRYSKOWY OVAL GOLD + ECO BOX</v>
      </c>
      <c r="C2629" s="23"/>
      <c r="D2629" s="24">
        <f ca="1">IFERROR(__xludf.DUMMYFUNCTION("""COMPUTED_VALUE"""),1029)</f>
        <v>1029</v>
      </c>
      <c r="E2629" s="25" t="str">
        <f ca="1">IFERROR(__xludf.DUMMYFUNCTION("""COMPUTED_VALUE"""),"REA-P8466")</f>
        <v>REA-P8466</v>
      </c>
    </row>
    <row r="2630" spans="1:5" x14ac:dyDescent="0.2">
      <c r="A2630" s="22">
        <f ca="1">IFERROR(__xludf.DUMMYFUNCTION("""COMPUTED_VALUE"""),44720)</f>
        <v>44720</v>
      </c>
      <c r="B2630" s="23" t="str">
        <f ca="1">IFERROR(__xludf.DUMMYFUNCTION("""COMPUTED_VALUE"""),"ZESTAW NATRYSKOWY OVAL CHROME + ECO BOX")</f>
        <v>ZESTAW NATRYSKOWY OVAL CHROME + ECO BOX</v>
      </c>
      <c r="C2630" s="23"/>
      <c r="D2630" s="24">
        <f ca="1">IFERROR(__xludf.DUMMYFUNCTION("""COMPUTED_VALUE"""),829)</f>
        <v>829</v>
      </c>
      <c r="E2630" s="25" t="str">
        <f ca="1">IFERROR(__xludf.DUMMYFUNCTION("""COMPUTED_VALUE"""),"REA-P8415")</f>
        <v>REA-P8415</v>
      </c>
    </row>
    <row r="2631" spans="1:5" x14ac:dyDescent="0.2">
      <c r="A2631" s="22">
        <f ca="1">IFERROR(__xludf.DUMMYFUNCTION("""COMPUTED_VALUE"""),44720)</f>
        <v>44720</v>
      </c>
      <c r="B2631" s="23" t="str">
        <f ca="1">IFERROR(__xludf.DUMMYFUNCTION("""COMPUTED_VALUE"""),"SYFON KLIK-KLAK UNIWERSALNY L.GOLD SZCZOTKOWANY")</f>
        <v>SYFON KLIK-KLAK UNIWERSALNY L.GOLD SZCZOTKOWANY</v>
      </c>
      <c r="C2631" s="23"/>
      <c r="D2631" s="24">
        <f ca="1">IFERROR(__xludf.DUMMYFUNCTION("""COMPUTED_VALUE"""),299)</f>
        <v>299</v>
      </c>
      <c r="E2631" s="25" t="str">
        <f ca="1">IFERROR(__xludf.DUMMYFUNCTION("""COMPUTED_VALUE"""),"REA-A8586")</f>
        <v>REA-A8586</v>
      </c>
    </row>
    <row r="2632" spans="1:5" x14ac:dyDescent="0.2">
      <c r="A2632" s="22">
        <f ca="1">IFERROR(__xludf.DUMMYFUNCTION("""COMPUTED_VALUE"""),44720)</f>
        <v>44720</v>
      </c>
      <c r="B2632" s="23" t="str">
        <f ca="1">IFERROR(__xludf.DUMMYFUNCTION("""COMPUTED_VALUE"""),"BATERIA WANNOWA 5-OTWOROWA ICON BLACK")</f>
        <v>BATERIA WANNOWA 5-OTWOROWA ICON BLACK</v>
      </c>
      <c r="C2632" s="23"/>
      <c r="D2632" s="24">
        <f ca="1">IFERROR(__xludf.DUMMYFUNCTION("""COMPUTED_VALUE"""),799)</f>
        <v>799</v>
      </c>
      <c r="E2632" s="25" t="str">
        <f ca="1">IFERROR(__xludf.DUMMYFUNCTION("""COMPUTED_VALUE"""),"REA-B3622")</f>
        <v>REA-B3622</v>
      </c>
    </row>
    <row r="2633" spans="1:5" x14ac:dyDescent="0.2">
      <c r="A2633" s="22">
        <f ca="1">IFERROR(__xludf.DUMMYFUNCTION("""COMPUTED_VALUE"""),44720)</f>
        <v>44720</v>
      </c>
      <c r="B2633" s="23" t="str">
        <f ca="1">IFERROR(__xludf.DUMMYFUNCTION("""COMPUTED_VALUE"""),"BATERIA UMYWALKOWA FENIX L.GOLD NISKA")</f>
        <v>BATERIA UMYWALKOWA FENIX L.GOLD NISKA</v>
      </c>
      <c r="C2633" s="23"/>
      <c r="D2633" s="24">
        <f ca="1">IFERROR(__xludf.DUMMYFUNCTION("""COMPUTED_VALUE"""),369)</f>
        <v>369</v>
      </c>
      <c r="E2633" s="25" t="str">
        <f ca="1">IFERROR(__xludf.DUMMYFUNCTION("""COMPUTED_VALUE"""),"REA-B6395")</f>
        <v>REA-B6395</v>
      </c>
    </row>
    <row r="2634" spans="1:5" x14ac:dyDescent="0.2">
      <c r="A2634" s="22">
        <f ca="1">IFERROR(__xludf.DUMMYFUNCTION("""COMPUTED_VALUE"""),44720)</f>
        <v>44720</v>
      </c>
      <c r="B2634" s="23" t="str">
        <f ca="1">IFERROR(__xludf.DUMMYFUNCTION("""COMPUTED_VALUE"""),"BATERIA UMYWALKOWA FENIX L.GOLD WYSOKA")</f>
        <v>BATERIA UMYWALKOWA FENIX L.GOLD WYSOKA</v>
      </c>
      <c r="C2634" s="23"/>
      <c r="D2634" s="24">
        <f ca="1">IFERROR(__xludf.DUMMYFUNCTION("""COMPUTED_VALUE"""),459)</f>
        <v>459</v>
      </c>
      <c r="E2634" s="25" t="str">
        <f ca="1">IFERROR(__xludf.DUMMYFUNCTION("""COMPUTED_VALUE"""),"REA-B6394")</f>
        <v>REA-B6394</v>
      </c>
    </row>
    <row r="2635" spans="1:5" x14ac:dyDescent="0.2">
      <c r="A2635" s="22">
        <f ca="1">IFERROR(__xludf.DUMMYFUNCTION("""COMPUTED_VALUE"""),44720)</f>
        <v>44720</v>
      </c>
      <c r="B2635" s="23" t="str">
        <f ca="1">IFERROR(__xludf.DUMMYFUNCTION("""COMPUTED_VALUE"""),"BATERIA UMYWALKOWA LUGANO BLACK WYSOKA")</f>
        <v>BATERIA UMYWALKOWA LUGANO BLACK WYSOKA</v>
      </c>
      <c r="C2635" s="23"/>
      <c r="D2635" s="24">
        <f ca="1">IFERROR(__xludf.DUMMYFUNCTION("""COMPUTED_VALUE"""),339)</f>
        <v>339</v>
      </c>
      <c r="E2635" s="25" t="str">
        <f ca="1">IFERROR(__xludf.DUMMYFUNCTION("""COMPUTED_VALUE"""),"REA-B5001")</f>
        <v>REA-B5001</v>
      </c>
    </row>
    <row r="2636" spans="1:5" x14ac:dyDescent="0.2">
      <c r="A2636" s="22">
        <f ca="1">IFERROR(__xludf.DUMMYFUNCTION("""COMPUTED_VALUE"""),44720)</f>
        <v>44720</v>
      </c>
      <c r="B2636" s="23" t="str">
        <f ca="1">IFERROR(__xludf.DUMMYFUNCTION("""COMPUTED_VALUE"""),"BATERIA UMYWALKOWA ORIX WYSOKA BLACK")</f>
        <v>BATERIA UMYWALKOWA ORIX WYSOKA BLACK</v>
      </c>
      <c r="C2636" s="23"/>
      <c r="D2636" s="24">
        <f ca="1">IFERROR(__xludf.DUMMYFUNCTION("""COMPUTED_VALUE"""),399)</f>
        <v>399</v>
      </c>
      <c r="E2636" s="25" t="str">
        <f ca="1">IFERROR(__xludf.DUMMYFUNCTION("""COMPUTED_VALUE"""),"REA-B8467")</f>
        <v>REA-B8467</v>
      </c>
    </row>
    <row r="2637" spans="1:5" x14ac:dyDescent="0.2">
      <c r="A2637" s="22">
        <f ca="1">IFERROR(__xludf.DUMMYFUNCTION("""COMPUTED_VALUE"""),44720)</f>
        <v>44720</v>
      </c>
      <c r="B2637" s="23" t="str">
        <f ca="1">IFERROR(__xludf.DUMMYFUNCTION("""COMPUTED_VALUE"""),"BATERIA UMYWALKOWA VERTIGO UP")</f>
        <v>BATERIA UMYWALKOWA VERTIGO UP</v>
      </c>
      <c r="C2637" s="23"/>
      <c r="D2637" s="24">
        <f ca="1">IFERROR(__xludf.DUMMYFUNCTION("""COMPUTED_VALUE"""),279)</f>
        <v>279</v>
      </c>
      <c r="E2637" s="25" t="str">
        <f ca="1">IFERROR(__xludf.DUMMYFUNCTION("""COMPUTED_VALUE"""),"REA-B3921")</f>
        <v>REA-B3921</v>
      </c>
    </row>
    <row r="2638" spans="1:5" x14ac:dyDescent="0.2">
      <c r="A2638" s="22">
        <f ca="1">IFERROR(__xludf.DUMMYFUNCTION("""COMPUTED_VALUE"""),44720)</f>
        <v>44720</v>
      </c>
      <c r="B2638" s="23" t="str">
        <f ca="1">IFERROR(__xludf.DUMMYFUNCTION("""COMPUTED_VALUE"""),"BATERIA BIDETOWA FENIX BLACK")</f>
        <v>BATERIA BIDETOWA FENIX BLACK</v>
      </c>
      <c r="C2638" s="23"/>
      <c r="D2638" s="24">
        <f ca="1">IFERROR(__xludf.DUMMYFUNCTION("""COMPUTED_VALUE"""),409)</f>
        <v>409</v>
      </c>
      <c r="E2638" s="25" t="str">
        <f ca="1">IFERROR(__xludf.DUMMYFUNCTION("""COMPUTED_VALUE"""),"REA-B5687")</f>
        <v>REA-B5687</v>
      </c>
    </row>
    <row r="2639" spans="1:5" x14ac:dyDescent="0.2">
      <c r="A2639" s="22">
        <f ca="1">IFERROR(__xludf.DUMMYFUNCTION("""COMPUTED_VALUE"""),44720)</f>
        <v>44720</v>
      </c>
      <c r="B2639" s="23" t="str">
        <f ca="1">IFERROR(__xludf.DUMMYFUNCTION("""COMPUTED_VALUE"""),"BATERIA BIDETOWA LOOP BLACK")</f>
        <v>BATERIA BIDETOWA LOOP BLACK</v>
      </c>
      <c r="C2639" s="23"/>
      <c r="D2639" s="24">
        <f ca="1">IFERROR(__xludf.DUMMYFUNCTION("""COMPUTED_VALUE"""),399)</f>
        <v>399</v>
      </c>
      <c r="E2639" s="25" t="str">
        <f ca="1">IFERROR(__xludf.DUMMYFUNCTION("""COMPUTED_VALUE"""),"REA-B8978")</f>
        <v>REA-B8978</v>
      </c>
    </row>
    <row r="2640" spans="1:5" x14ac:dyDescent="0.2">
      <c r="A2640" s="22">
        <f ca="1">IFERROR(__xludf.DUMMYFUNCTION("""COMPUTED_VALUE"""),44720)</f>
        <v>44720</v>
      </c>
      <c r="B2640" s="23" t="str">
        <f ca="1">IFERROR(__xludf.DUMMYFUNCTION("""COMPUTED_VALUE"""),"BATERIA WANNOWA LUNGO ROSE GOLD")</f>
        <v>BATERIA WANNOWA LUNGO ROSE GOLD</v>
      </c>
      <c r="C2640" s="23"/>
      <c r="D2640" s="24">
        <f ca="1">IFERROR(__xludf.DUMMYFUNCTION("""COMPUTED_VALUE"""),669)</f>
        <v>669</v>
      </c>
      <c r="E2640" s="25" t="str">
        <f ca="1">IFERROR(__xludf.DUMMYFUNCTION("""COMPUTED_VALUE"""),"REA-B6695")</f>
        <v>REA-B6695</v>
      </c>
    </row>
    <row r="2641" spans="1:5" x14ac:dyDescent="0.2">
      <c r="A2641" s="22">
        <f ca="1">IFERROR(__xludf.DUMMYFUNCTION("""COMPUTED_VALUE"""),44720)</f>
        <v>44720</v>
      </c>
      <c r="B2641" s="23" t="str">
        <f ca="1">IFERROR(__xludf.DUMMYFUNCTION("""COMPUTED_VALUE"""),"BATERIA UMYWALKOWA MAYSON L.GOLD WYSOKA")</f>
        <v>BATERIA UMYWALKOWA MAYSON L.GOLD WYSOKA</v>
      </c>
      <c r="C2641" s="23"/>
      <c r="D2641" s="24">
        <f ca="1">IFERROR(__xludf.DUMMYFUNCTION("""COMPUTED_VALUE"""),359)</f>
        <v>359</v>
      </c>
      <c r="E2641" s="25" t="str">
        <f ca="1">IFERROR(__xludf.DUMMYFUNCTION("""COMPUTED_VALUE"""),"REA-B5103")</f>
        <v>REA-B5103</v>
      </c>
    </row>
    <row r="2642" spans="1:5" x14ac:dyDescent="0.2">
      <c r="A2642" s="22">
        <f ca="1">IFERROR(__xludf.DUMMYFUNCTION("""COMPUTED_VALUE"""),44720)</f>
        <v>44720</v>
      </c>
      <c r="B2642" s="23" t="str">
        <f ca="1">IFERROR(__xludf.DUMMYFUNCTION("""COMPUTED_VALUE"""),"BATERIA WANNOWA MAYSON L.GOLD")</f>
        <v>BATERIA WANNOWA MAYSON L.GOLD</v>
      </c>
      <c r="C2642" s="23"/>
      <c r="D2642" s="24">
        <f ca="1">IFERROR(__xludf.DUMMYFUNCTION("""COMPUTED_VALUE"""),419)</f>
        <v>419</v>
      </c>
      <c r="E2642" s="25" t="str">
        <f ca="1">IFERROR(__xludf.DUMMYFUNCTION("""COMPUTED_VALUE"""),"REA-B5662")</f>
        <v>REA-B5662</v>
      </c>
    </row>
    <row r="2643" spans="1:5" x14ac:dyDescent="0.2">
      <c r="A2643" s="22">
        <f ca="1">IFERROR(__xludf.DUMMYFUNCTION("""COMPUTED_VALUE"""),44720)</f>
        <v>44720</v>
      </c>
      <c r="B2643" s="23" t="str">
        <f ca="1">IFERROR(__xludf.DUMMYFUNCTION("""COMPUTED_VALUE"""),"BATERIA UMYWALKOWA LUNGO L.GOLD SZCZOTKOWANA NISKA")</f>
        <v>BATERIA UMYWALKOWA LUNGO L.GOLD SZCZOTKOWANA NISKA</v>
      </c>
      <c r="C2643" s="23"/>
      <c r="D2643" s="24">
        <f ca="1">IFERROR(__xludf.DUMMYFUNCTION("""COMPUTED_VALUE"""),289)</f>
        <v>289</v>
      </c>
      <c r="E2643" s="25" t="str">
        <f ca="1">IFERROR(__xludf.DUMMYFUNCTION("""COMPUTED_VALUE"""),"REA-B4527")</f>
        <v>REA-B4527</v>
      </c>
    </row>
    <row r="2644" spans="1:5" x14ac:dyDescent="0.2">
      <c r="A2644" s="22">
        <f ca="1">IFERROR(__xludf.DUMMYFUNCTION("""COMPUTED_VALUE"""),44720)</f>
        <v>44720</v>
      </c>
      <c r="B2644" s="23" t="str">
        <f ca="1">IFERROR(__xludf.DUMMYFUNCTION("""COMPUTED_VALUE"""),"BATERIA CALANI UMYWALKOWA ASTRAL WYSOKA H CHROME")</f>
        <v>BATERIA CALANI UMYWALKOWA ASTRAL WYSOKA H CHROME</v>
      </c>
      <c r="C2644" s="23"/>
      <c r="D2644" s="24">
        <f ca="1">IFERROR(__xludf.DUMMYFUNCTION("""COMPUTED_VALUE"""),129)</f>
        <v>129</v>
      </c>
      <c r="E2644" s="25" t="str">
        <f ca="1">IFERROR(__xludf.DUMMYFUNCTION("""COMPUTED_VALUE"""),"CAL-B0051")</f>
        <v>CAL-B0051</v>
      </c>
    </row>
    <row r="2645" spans="1:5" x14ac:dyDescent="0.2">
      <c r="A2645" s="22">
        <f ca="1">IFERROR(__xludf.DUMMYFUNCTION("""COMPUTED_VALUE"""),44720)</f>
        <v>44720</v>
      </c>
      <c r="B2645" s="23" t="str">
        <f ca="1">IFERROR(__xludf.DUMMYFUNCTION("""COMPUTED_VALUE"""),"BATERIA WANNOWA LUNGO L.GOLD")</f>
        <v>BATERIA WANNOWA LUNGO L.GOLD</v>
      </c>
      <c r="C2645" s="23"/>
      <c r="D2645" s="24">
        <f ca="1">IFERROR(__xludf.DUMMYFUNCTION("""COMPUTED_VALUE"""),669)</f>
        <v>669</v>
      </c>
      <c r="E2645" s="25" t="str">
        <f ca="1">IFERROR(__xludf.DUMMYFUNCTION("""COMPUTED_VALUE"""),"REA-B6635")</f>
        <v>REA-B6635</v>
      </c>
    </row>
    <row r="2646" spans="1:5" x14ac:dyDescent="0.2">
      <c r="A2646" s="22">
        <f ca="1">IFERROR(__xludf.DUMMYFUNCTION("""COMPUTED_VALUE"""),44720)</f>
        <v>44720</v>
      </c>
      <c r="B2646" s="23" t="str">
        <f ca="1">IFERROR(__xludf.DUMMYFUNCTION("""COMPUTED_VALUE"""),"BATERIA TALISA BLACK MAT")</f>
        <v>BATERIA TALISA BLACK MAT</v>
      </c>
      <c r="C2646" s="23"/>
      <c r="D2646" s="24">
        <f ca="1">IFERROR(__xludf.DUMMYFUNCTION("""COMPUTED_VALUE"""),199)</f>
        <v>199</v>
      </c>
      <c r="E2646" s="25" t="str">
        <f ca="1">IFERROR(__xludf.DUMMYFUNCTION("""COMPUTED_VALUE"""),"REA-B0978")</f>
        <v>REA-B0978</v>
      </c>
    </row>
    <row r="2647" spans="1:5" x14ac:dyDescent="0.2">
      <c r="A2647" s="22">
        <f ca="1">IFERROR(__xludf.DUMMYFUNCTION("""COMPUTED_VALUE"""),44720)</f>
        <v>44720</v>
      </c>
      <c r="B2647" s="23" t="str">
        <f ca="1">IFERROR(__xludf.DUMMYFUNCTION("""COMPUTED_VALUE"""),"BATERIA WANNOWA RIVEN CHROM")</f>
        <v>BATERIA WANNOWA RIVEN CHROM</v>
      </c>
      <c r="C2647" s="23"/>
      <c r="D2647" s="24">
        <f ca="1">IFERROR(__xludf.DUMMYFUNCTION("""COMPUTED_VALUE"""),519)</f>
        <v>519</v>
      </c>
      <c r="E2647" s="25" t="str">
        <f ca="1">IFERROR(__xludf.DUMMYFUNCTION("""COMPUTED_VALUE"""),"REA-B0457")</f>
        <v>REA-B0457</v>
      </c>
    </row>
    <row r="2648" spans="1:5" x14ac:dyDescent="0.2">
      <c r="A2648" s="22">
        <f ca="1">IFERROR(__xludf.DUMMYFUNCTION("""COMPUTED_VALUE"""),44720)</f>
        <v>44720</v>
      </c>
      <c r="B2648" s="23" t="str">
        <f ca="1">IFERROR(__xludf.DUMMYFUNCTION("""COMPUTED_VALUE"""),"BATERIA ENZO")</f>
        <v>BATERIA ENZO</v>
      </c>
      <c r="C2648" s="23"/>
      <c r="D2648" s="24">
        <f ca="1">IFERROR(__xludf.DUMMYFUNCTION("""COMPUTED_VALUE"""),119)</f>
        <v>119</v>
      </c>
      <c r="E2648" s="25" t="str">
        <f ca="1">IFERROR(__xludf.DUMMYFUNCTION("""COMPUTED_VALUE"""),"REA-B0113")</f>
        <v>REA-B0113</v>
      </c>
    </row>
    <row r="2649" spans="1:5" x14ac:dyDescent="0.2">
      <c r="A2649" s="22">
        <f ca="1">IFERROR(__xludf.DUMMYFUNCTION("""COMPUTED_VALUE"""),44720)</f>
        <v>44720</v>
      </c>
      <c r="B2649" s="23" t="str">
        <f ca="1">IFERROR(__xludf.DUMMYFUNCTION("""COMPUTED_VALUE"""),"BATERIA UMYWALKOWA LUPPO BLACK NISKA")</f>
        <v>BATERIA UMYWALKOWA LUPPO BLACK NISKA</v>
      </c>
      <c r="C2649" s="23"/>
      <c r="D2649" s="24">
        <f ca="1">IFERROR(__xludf.DUMMYFUNCTION("""COMPUTED_VALUE"""),189)</f>
        <v>189</v>
      </c>
      <c r="E2649" s="25" t="str">
        <f ca="1">IFERROR(__xludf.DUMMYFUNCTION("""COMPUTED_VALUE"""),"REA-B5668")</f>
        <v>REA-B5668</v>
      </c>
    </row>
    <row r="2650" spans="1:5" x14ac:dyDescent="0.2">
      <c r="A2650" s="22">
        <f ca="1">IFERROR(__xludf.DUMMYFUNCTION("""COMPUTED_VALUE"""),44720)</f>
        <v>44720</v>
      </c>
      <c r="B2650" s="23" t="str">
        <f ca="1">IFERROR(__xludf.DUMMYFUNCTION("""COMPUTED_VALUE"""),"BATERIA UMYWALKOWA DUET L.GOLD NISKA")</f>
        <v>BATERIA UMYWALKOWA DUET L.GOLD NISKA</v>
      </c>
      <c r="C2650" s="23"/>
      <c r="D2650" s="24">
        <f ca="1">IFERROR(__xludf.DUMMYFUNCTION("""COMPUTED_VALUE"""),349)</f>
        <v>349</v>
      </c>
      <c r="E2650" s="25" t="str">
        <f ca="1">IFERROR(__xludf.DUMMYFUNCTION("""COMPUTED_VALUE"""),"REA-B4413")</f>
        <v>REA-B4413</v>
      </c>
    </row>
    <row r="2651" spans="1:5" x14ac:dyDescent="0.2">
      <c r="A2651" s="22"/>
      <c r="B2651" s="23" t="str">
        <f ca="1">IFERROR(__xludf.DUMMYFUNCTION("""COMPUTED_VALUE"""),"UMYWALKA KAMILA - WOLNOSTOJĄCA")</f>
        <v>UMYWALKA KAMILA - WOLNOSTOJĄCA</v>
      </c>
      <c r="C2651" s="23"/>
      <c r="D2651" s="24">
        <f ca="1">IFERROR(__xludf.DUMMYFUNCTION("""COMPUTED_VALUE"""),999)</f>
        <v>999</v>
      </c>
      <c r="E2651" s="25" t="str">
        <f ca="1">IFERROR(__xludf.DUMMYFUNCTION("""COMPUTED_VALUE"""),"REA-U5633")</f>
        <v>REA-U5633</v>
      </c>
    </row>
    <row r="2652" spans="1:5" x14ac:dyDescent="0.2">
      <c r="A2652" s="22"/>
      <c r="B2652" s="23" t="str">
        <f ca="1">IFERROR(__xludf.DUMMYFUNCTION("""COMPUTED_VALUE"""),"DRZWI PRYSZNICOWE ALEX-805 BLACK  100")</f>
        <v>DRZWI PRYSZNICOWE ALEX-805 BLACK  100</v>
      </c>
      <c r="C2652" s="23"/>
      <c r="D2652" s="24">
        <f ca="1">IFERROR(__xludf.DUMMYFUNCTION("""COMPUTED_VALUE"""),999)</f>
        <v>999</v>
      </c>
      <c r="E2652" s="25" t="str">
        <f ca="1">IFERROR(__xludf.DUMMYFUNCTION("""COMPUTED_VALUE"""),"REA-K9639")</f>
        <v>REA-K9639</v>
      </c>
    </row>
    <row r="2653" spans="1:5" x14ac:dyDescent="0.2">
      <c r="A2653" s="22"/>
      <c r="B2653" s="23" t="str">
        <f ca="1">IFERROR(__xludf.DUMMYFUNCTION("""COMPUTED_VALUE"""),"DRZWI PRYSZNICOWE ALEX-805 BLACK  90")</f>
        <v>DRZWI PRYSZNICOWE ALEX-805 BLACK  90</v>
      </c>
      <c r="C2653" s="23"/>
      <c r="D2653" s="24">
        <f ca="1">IFERROR(__xludf.DUMMYFUNCTION("""COMPUTED_VALUE"""),939)</f>
        <v>939</v>
      </c>
      <c r="E2653" s="25" t="str">
        <f ca="1">IFERROR(__xludf.DUMMYFUNCTION("""COMPUTED_VALUE"""),"REA-K9638")</f>
        <v>REA-K9638</v>
      </c>
    </row>
    <row r="2654" spans="1:5" x14ac:dyDescent="0.2">
      <c r="A2654" s="22"/>
      <c r="B2654" s="23" t="str">
        <f ca="1">IFERROR(__xludf.DUMMYFUNCTION("""COMPUTED_VALUE"""),"DRZWI PRYSZNICOWE ALEX-805  120")</f>
        <v>DRZWI PRYSZNICOWE ALEX-805  120</v>
      </c>
      <c r="C2654" s="23"/>
      <c r="D2654" s="24">
        <f ca="1">IFERROR(__xludf.DUMMYFUNCTION("""COMPUTED_VALUE"""),1039)</f>
        <v>1039</v>
      </c>
      <c r="E2654" s="25" t="str">
        <f ca="1">IFERROR(__xludf.DUMMYFUNCTION("""COMPUTED_VALUE"""),"REA-K0921")</f>
        <v>REA-K0921</v>
      </c>
    </row>
    <row r="2655" spans="1:5" x14ac:dyDescent="0.2">
      <c r="A2655" s="22"/>
      <c r="B2655" s="23" t="str">
        <f ca="1">IFERROR(__xludf.DUMMYFUNCTION("""COMPUTED_VALUE"""),"DRZWI PRYSZNICOWE ALEX-805  100")</f>
        <v>DRZWI PRYSZNICOWE ALEX-805  100</v>
      </c>
      <c r="C2655" s="23"/>
      <c r="D2655" s="24">
        <f ca="1">IFERROR(__xludf.DUMMYFUNCTION("""COMPUTED_VALUE"""),899)</f>
        <v>899</v>
      </c>
      <c r="E2655" s="25" t="str">
        <f ca="1">IFERROR(__xludf.DUMMYFUNCTION("""COMPUTED_VALUE"""),"REA-K0546")</f>
        <v>REA-K0546</v>
      </c>
    </row>
    <row r="2656" spans="1:5" x14ac:dyDescent="0.2">
      <c r="A2656" s="22"/>
      <c r="B2656" s="23" t="str">
        <f ca="1">IFERROR(__xludf.DUMMYFUNCTION("""COMPUTED_VALUE"""),"DRZWI PRYSZNICOWE WIKTOR 802")</f>
        <v>DRZWI PRYSZNICOWE WIKTOR 802</v>
      </c>
      <c r="C2656" s="23"/>
      <c r="D2656" s="24">
        <f ca="1">IFERROR(__xludf.DUMMYFUNCTION("""COMPUTED_VALUE"""),799)</f>
        <v>799</v>
      </c>
      <c r="E2656" s="25" t="str">
        <f ca="1">IFERROR(__xludf.DUMMYFUNCTION("""COMPUTED_VALUE"""),"REA-K0548")</f>
        <v>REA-K0548</v>
      </c>
    </row>
    <row r="2657" spans="1:5" x14ac:dyDescent="0.2">
      <c r="A2657" s="22"/>
      <c r="B2657" s="23" t="str">
        <f ca="1">IFERROR(__xludf.DUMMYFUNCTION("""COMPUTED_VALUE"""),"ŚCIANKA PRYSZNICOWA CORTIS 120 BLACK")</f>
        <v>ŚCIANKA PRYSZNICOWA CORTIS 120 BLACK</v>
      </c>
      <c r="C2657" s="23"/>
      <c r="D2657" s="24">
        <f ca="1">IFERROR(__xludf.DUMMYFUNCTION("""COMPUTED_VALUE"""),1119)</f>
        <v>1119</v>
      </c>
      <c r="E2657" s="25" t="str">
        <f ca="1">IFERROR(__xludf.DUMMYFUNCTION("""COMPUTED_VALUE"""),"REA-K8880")</f>
        <v>REA-K8880</v>
      </c>
    </row>
    <row r="2658" spans="1:5" x14ac:dyDescent="0.2">
      <c r="A2658" s="22">
        <f ca="1">IFERROR(__xludf.DUMMYFUNCTION("""COMPUTED_VALUE"""),44690)</f>
        <v>44690</v>
      </c>
      <c r="B2658" s="23" t="str">
        <f ca="1">IFERROR(__xludf.DUMMYFUNCTION("""COMPUTED_VALUE"""),"UMYWALKA CAMELIA LIGHT STONE - NABLATOWA")</f>
        <v>UMYWALKA CAMELIA LIGHT STONE - NABLATOWA</v>
      </c>
      <c r="C2658" s="23"/>
      <c r="D2658" s="24">
        <f ca="1">IFERROR(__xludf.DUMMYFUNCTION("""COMPUTED_VALUE"""),319)</f>
        <v>319</v>
      </c>
      <c r="E2658" s="25" t="str">
        <f ca="1">IFERROR(__xludf.DUMMYFUNCTION("""COMPUTED_VALUE"""),"REA-U0362")</f>
        <v>REA-U0362</v>
      </c>
    </row>
    <row r="2659" spans="1:5" x14ac:dyDescent="0.2">
      <c r="A2659" s="22">
        <f ca="1">IFERROR(__xludf.DUMMYFUNCTION("""COMPUTED_VALUE"""),44690)</f>
        <v>44690</v>
      </c>
      <c r="B2659" s="23" t="str">
        <f ca="1">IFERROR(__xludf.DUMMYFUNCTION("""COMPUTED_VALUE"""),"UMYWALKA ROMA WHITE - NABLATOWA")</f>
        <v>UMYWALKA ROMA WHITE - NABLATOWA</v>
      </c>
      <c r="C2659" s="23"/>
      <c r="D2659" s="24">
        <f ca="1">IFERROR(__xludf.DUMMYFUNCTION("""COMPUTED_VALUE"""),399)</f>
        <v>399</v>
      </c>
      <c r="E2659" s="25" t="str">
        <f ca="1">IFERROR(__xludf.DUMMYFUNCTION("""COMPUTED_VALUE"""),"REA-U5600")</f>
        <v>REA-U5600</v>
      </c>
    </row>
    <row r="2660" spans="1:5" x14ac:dyDescent="0.2">
      <c r="A2660" s="22">
        <f ca="1">IFERROR(__xludf.DUMMYFUNCTION("""COMPUTED_VALUE"""),44690)</f>
        <v>44690</v>
      </c>
      <c r="B2660" s="23" t="str">
        <f ca="1">IFERROR(__xludf.DUMMYFUNCTION("""COMPUTED_VALUE"""),"UMYWALKA QUEEN CARRARA SHINY - NABLATOWA")</f>
        <v>UMYWALKA QUEEN CARRARA SHINY - NABLATOWA</v>
      </c>
      <c r="C2660" s="23"/>
      <c r="D2660" s="24">
        <f ca="1">IFERROR(__xludf.DUMMYFUNCTION("""COMPUTED_VALUE"""),459)</f>
        <v>459</v>
      </c>
      <c r="E2660" s="25" t="str">
        <f ca="1">IFERROR(__xludf.DUMMYFUNCTION("""COMPUTED_VALUE"""),"REA-U1232")</f>
        <v>REA-U1232</v>
      </c>
    </row>
    <row r="2661" spans="1:5" x14ac:dyDescent="0.2">
      <c r="A2661" s="22">
        <f ca="1">IFERROR(__xludf.DUMMYFUNCTION("""COMPUTED_VALUE"""),44690)</f>
        <v>44690</v>
      </c>
      <c r="B2661" s="23" t="str">
        <f ca="1">IFERROR(__xludf.DUMMYFUNCTION("""COMPUTED_VALUE"""),"UMYWALKA ELMA - NABLATOWA")</f>
        <v>UMYWALKA ELMA - NABLATOWA</v>
      </c>
      <c r="C2661" s="23"/>
      <c r="D2661" s="24">
        <f ca="1">IFERROR(__xludf.DUMMYFUNCTION("""COMPUTED_VALUE"""),299)</f>
        <v>299</v>
      </c>
      <c r="E2661" s="25" t="str">
        <f ca="1">IFERROR(__xludf.DUMMYFUNCTION("""COMPUTED_VALUE"""),"REA-U8493")</f>
        <v>REA-U8493</v>
      </c>
    </row>
    <row r="2662" spans="1:5" x14ac:dyDescent="0.2">
      <c r="A2662" s="22">
        <f ca="1">IFERROR(__xludf.DUMMYFUNCTION("""COMPUTED_VALUE"""),44690)</f>
        <v>44690</v>
      </c>
      <c r="B2662" s="23" t="str">
        <f ca="1">IFERROR(__xludf.DUMMYFUNCTION("""COMPUTED_VALUE"""),"UMYWALKA CELIA SLIM- NABLATOWA")</f>
        <v>UMYWALKA CELIA SLIM- NABLATOWA</v>
      </c>
      <c r="C2662" s="23"/>
      <c r="D2662" s="24">
        <f ca="1">IFERROR(__xludf.DUMMYFUNCTION("""COMPUTED_VALUE"""),209)</f>
        <v>209</v>
      </c>
      <c r="E2662" s="25" t="str">
        <f ca="1">IFERROR(__xludf.DUMMYFUNCTION("""COMPUTED_VALUE"""),"REA-U1952")</f>
        <v>REA-U1952</v>
      </c>
    </row>
    <row r="2663" spans="1:5" x14ac:dyDescent="0.2">
      <c r="A2663" s="22">
        <f ca="1">IFERROR(__xludf.DUMMYFUNCTION("""COMPUTED_VALUE"""),44690)</f>
        <v>44690</v>
      </c>
      <c r="B2663" s="23" t="str">
        <f ca="1">IFERROR(__xludf.DUMMYFUNCTION("""COMPUTED_VALUE"""),"UMYWALKA ANITA MINI - NABLATOWA")</f>
        <v>UMYWALKA ANITA MINI - NABLATOWA</v>
      </c>
      <c r="C2663" s="23"/>
      <c r="D2663" s="24">
        <f ca="1">IFERROR(__xludf.DUMMYFUNCTION("""COMPUTED_VALUE"""),219)</f>
        <v>219</v>
      </c>
      <c r="E2663" s="25" t="str">
        <f ca="1">IFERROR(__xludf.DUMMYFUNCTION("""COMPUTED_VALUE"""),"REA-U0952")</f>
        <v>REA-U0952</v>
      </c>
    </row>
    <row r="2664" spans="1:5" x14ac:dyDescent="0.2">
      <c r="A2664" s="22">
        <f ca="1">IFERROR(__xludf.DUMMYFUNCTION("""COMPUTED_VALUE"""),44690)</f>
        <v>44690</v>
      </c>
      <c r="B2664" s="23" t="str">
        <f ca="1">IFERROR(__xludf.DUMMYFUNCTION("""COMPUTED_VALUE"""),"UMYWALKA ANITA 48 - NABLATOWA")</f>
        <v>UMYWALKA ANITA 48 - NABLATOWA</v>
      </c>
      <c r="C2664" s="23"/>
      <c r="D2664" s="24">
        <f ca="1">IFERROR(__xludf.DUMMYFUNCTION("""COMPUTED_VALUE"""),219)</f>
        <v>219</v>
      </c>
      <c r="E2664" s="25" t="str">
        <f ca="1">IFERROR(__xludf.DUMMYFUNCTION("""COMPUTED_VALUE"""),"REA-U0669")</f>
        <v>REA-U0669</v>
      </c>
    </row>
    <row r="2665" spans="1:5" x14ac:dyDescent="0.2">
      <c r="A2665" s="22">
        <f ca="1">IFERROR(__xludf.DUMMYFUNCTION("""COMPUTED_VALUE"""),44690)</f>
        <v>44690</v>
      </c>
      <c r="B2665" s="23" t="str">
        <f ca="1">IFERROR(__xludf.DUMMYFUNCTION("""COMPUTED_VALUE"""),"UMYWALKA SOFIA LIGHT STONE - NABLATOWA")</f>
        <v>UMYWALKA SOFIA LIGHT STONE - NABLATOWA</v>
      </c>
      <c r="C2665" s="23"/>
      <c r="D2665" s="24">
        <f ca="1">IFERROR(__xludf.DUMMYFUNCTION("""COMPUTED_VALUE"""),349)</f>
        <v>349</v>
      </c>
      <c r="E2665" s="25" t="str">
        <f ca="1">IFERROR(__xludf.DUMMYFUNCTION("""COMPUTED_VALUE"""),"REA-U0165")</f>
        <v>REA-U0165</v>
      </c>
    </row>
    <row r="2666" spans="1:5" x14ac:dyDescent="0.2">
      <c r="A2666" s="22"/>
      <c r="B2666" s="23" t="str">
        <f ca="1">IFERROR(__xludf.DUMMYFUNCTION("""COMPUTED_VALUE"""),"BATERIA WANNOWA ORIX L.GOLD")</f>
        <v>BATERIA WANNOWA ORIX L.GOLD</v>
      </c>
      <c r="C2666" s="23"/>
      <c r="D2666" s="24">
        <f ca="1">IFERROR(__xludf.DUMMYFUNCTION("""COMPUTED_VALUE"""),549)</f>
        <v>549</v>
      </c>
      <c r="E2666" s="25" t="str">
        <f ca="1">IFERROR(__xludf.DUMMYFUNCTION("""COMPUTED_VALUE"""),"REA-B5134")</f>
        <v>REA-B5134</v>
      </c>
    </row>
    <row r="2667" spans="1:5" x14ac:dyDescent="0.2">
      <c r="A2667" s="22"/>
      <c r="B2667" s="23" t="str">
        <f ca="1">IFERROR(__xludf.DUMMYFUNCTION("""COMPUTED_VALUE"""),"BATERIA WANNOWA ORIX BLACK")</f>
        <v>BATERIA WANNOWA ORIX BLACK</v>
      </c>
      <c r="C2667" s="23"/>
      <c r="D2667" s="24">
        <f ca="1">IFERROR(__xludf.DUMMYFUNCTION("""COMPUTED_VALUE"""),439)</f>
        <v>439</v>
      </c>
      <c r="E2667" s="25" t="str">
        <f ca="1">IFERROR(__xludf.DUMMYFUNCTION("""COMPUTED_VALUE"""),"REA-B5133")</f>
        <v>REA-B5133</v>
      </c>
    </row>
    <row r="2668" spans="1:5" x14ac:dyDescent="0.2">
      <c r="A2668" s="22"/>
      <c r="B2668" s="23" t="str">
        <f ca="1">IFERROR(__xludf.DUMMYFUNCTION("""COMPUTED_VALUE"""),"BATERIA WANNOWA ORIX CHROME")</f>
        <v>BATERIA WANNOWA ORIX CHROME</v>
      </c>
      <c r="C2668" s="23"/>
      <c r="D2668" s="24">
        <f ca="1">IFERROR(__xludf.DUMMYFUNCTION("""COMPUTED_VALUE"""),419)</f>
        <v>419</v>
      </c>
      <c r="E2668" s="25" t="str">
        <f ca="1">IFERROR(__xludf.DUMMYFUNCTION("""COMPUTED_VALUE"""),"REA-B5132")</f>
        <v>REA-B5132</v>
      </c>
    </row>
    <row r="2669" spans="1:5" x14ac:dyDescent="0.2">
      <c r="A2669" s="22"/>
      <c r="B2669" s="23" t="str">
        <f ca="1">IFERROR(__xludf.DUMMYFUNCTION("""COMPUTED_VALUE"""),"ZESTAW NATRYSKOWY OVAL CHROME + ECO BOX")</f>
        <v>ZESTAW NATRYSKOWY OVAL CHROME + ECO BOX</v>
      </c>
      <c r="C2669" s="23"/>
      <c r="D2669" s="24">
        <f ca="1">IFERROR(__xludf.DUMMYFUNCTION("""COMPUTED_VALUE"""),829)</f>
        <v>829</v>
      </c>
      <c r="E2669" s="25" t="str">
        <f ca="1">IFERROR(__xludf.DUMMYFUNCTION("""COMPUTED_VALUE"""),"REA-P8415")</f>
        <v>REA-P8415</v>
      </c>
    </row>
    <row r="2670" spans="1:5" x14ac:dyDescent="0.2">
      <c r="A2670" s="22"/>
      <c r="B2670" s="23" t="str">
        <f ca="1">IFERROR(__xludf.DUMMYFUNCTION("""COMPUTED_VALUE"""),"BATERIA WANNOWA CARAT L.GOLD")</f>
        <v>BATERIA WANNOWA CARAT L.GOLD</v>
      </c>
      <c r="C2670" s="23"/>
      <c r="D2670" s="24">
        <f ca="1">IFERROR(__xludf.DUMMYFUNCTION("""COMPUTED_VALUE"""),1499)</f>
        <v>1499</v>
      </c>
      <c r="E2670" s="25" t="str">
        <f ca="1">IFERROR(__xludf.DUMMYFUNCTION("""COMPUTED_VALUE"""),"REA-B5231")</f>
        <v>REA-B5231</v>
      </c>
    </row>
    <row r="2671" spans="1:5" x14ac:dyDescent="0.2">
      <c r="A2671" s="22"/>
      <c r="B2671" s="23" t="str">
        <f ca="1">IFERROR(__xludf.DUMMYFUNCTION("""COMPUTED_VALUE"""),"BATERIA CALANI UMYWALKOWA ASTRAL NISKA L BLACK")</f>
        <v>BATERIA CALANI UMYWALKOWA ASTRAL NISKA L BLACK</v>
      </c>
      <c r="C2671" s="23"/>
      <c r="D2671" s="24">
        <f ca="1">IFERROR(__xludf.DUMMYFUNCTION("""COMPUTED_VALUE"""),99)</f>
        <v>99</v>
      </c>
      <c r="E2671" s="25" t="str">
        <f ca="1">IFERROR(__xludf.DUMMYFUNCTION("""COMPUTED_VALUE"""),"CAL-B0002")</f>
        <v>CAL-B0002</v>
      </c>
    </row>
    <row r="2672" spans="1:5" x14ac:dyDescent="0.2">
      <c r="A2672" s="22"/>
      <c r="B2672" s="23" t="str">
        <f ca="1">IFERROR(__xludf.DUMMYFUNCTION("""COMPUTED_VALUE"""),"BATERIA CALANI UMYWALKOWA NEXOS NISKA L BLACK")</f>
        <v>BATERIA CALANI UMYWALKOWA NEXOS NISKA L BLACK</v>
      </c>
      <c r="C2672" s="23"/>
      <c r="D2672" s="24">
        <f ca="1">IFERROR(__xludf.DUMMYFUNCTION("""COMPUTED_VALUE"""),99)</f>
        <v>99</v>
      </c>
      <c r="E2672" s="25" t="str">
        <f ca="1">IFERROR(__xludf.DUMMYFUNCTION("""COMPUTED_VALUE"""),"CAL-B0362")</f>
        <v>CAL-B0362</v>
      </c>
    </row>
    <row r="2673" spans="1:5" x14ac:dyDescent="0.2">
      <c r="A2673" s="22"/>
      <c r="B2673" s="23" t="str">
        <f ca="1">IFERROR(__xludf.DUMMYFUNCTION("""COMPUTED_VALUE"""),"BATERIA CALANI UMYWALKOWA NEXOS NISKA L CHROME")</f>
        <v>BATERIA CALANI UMYWALKOWA NEXOS NISKA L CHROME</v>
      </c>
      <c r="C2673" s="23"/>
      <c r="D2673" s="24">
        <f ca="1">IFERROR(__xludf.DUMMYFUNCTION("""COMPUTED_VALUE"""),99)</f>
        <v>99</v>
      </c>
      <c r="E2673" s="25" t="str">
        <f ca="1">IFERROR(__xludf.DUMMYFUNCTION("""COMPUTED_VALUE"""),"CAL-B0050")</f>
        <v>CAL-B0050</v>
      </c>
    </row>
    <row r="2674" spans="1:5" x14ac:dyDescent="0.2">
      <c r="A2674" s="22"/>
      <c r="B2674" s="23" t="str">
        <f ca="1">IFERROR(__xludf.DUMMYFUNCTION("""COMPUTED_VALUE"""),"BATERIA CALANI UMYWALKOWA NEXOS WYSOKA CHROME")</f>
        <v>BATERIA CALANI UMYWALKOWA NEXOS WYSOKA CHROME</v>
      </c>
      <c r="C2674" s="23"/>
      <c r="D2674" s="24">
        <f ca="1">IFERROR(__xludf.DUMMYFUNCTION("""COMPUTED_VALUE"""),169)</f>
        <v>169</v>
      </c>
      <c r="E2674" s="25" t="str">
        <f ca="1">IFERROR(__xludf.DUMMYFUNCTION("""COMPUTED_VALUE"""),"CAL-B0096")</f>
        <v>CAL-B0096</v>
      </c>
    </row>
    <row r="2675" spans="1:5" x14ac:dyDescent="0.2">
      <c r="A2675" s="22"/>
      <c r="B2675" s="23" t="str">
        <f ca="1">IFERROR(__xludf.DUMMYFUNCTION("""COMPUTED_VALUE"""),"ŚCIANKA DO KABINY NIXON-2  100")</f>
        <v>ŚCIANKA DO KABINY NIXON-2  100</v>
      </c>
      <c r="C2675" s="23"/>
      <c r="D2675" s="24">
        <f ca="1">IFERROR(__xludf.DUMMYFUNCTION("""COMPUTED_VALUE"""),800)</f>
        <v>800</v>
      </c>
      <c r="E2675" s="25" t="str">
        <f ca="1">IFERROR(__xludf.DUMMYFUNCTION("""COMPUTED_VALUE"""),"REA-K5014")</f>
        <v>REA-K5014</v>
      </c>
    </row>
    <row r="2676" spans="1:5" x14ac:dyDescent="0.2">
      <c r="A2676" s="22"/>
      <c r="B2676" s="23" t="str">
        <f ca="1">IFERROR(__xludf.DUMMYFUNCTION("""COMPUTED_VALUE"""),"Drzwi Molier Black 90 + adapter")</f>
        <v>Drzwi Molier Black 90 + adapter</v>
      </c>
      <c r="C2676" s="23"/>
      <c r="D2676" s="24">
        <f ca="1">IFERROR(__xludf.DUMMYFUNCTION("""COMPUTED_VALUE"""),1140)</f>
        <v>1140</v>
      </c>
      <c r="E2676" s="26"/>
    </row>
    <row r="2677" spans="1:5" x14ac:dyDescent="0.2">
      <c r="A2677" s="22"/>
      <c r="B2677" s="23" t="str">
        <f ca="1">IFERROR(__xludf.DUMMYFUNCTION("""COMPUTED_VALUE"""),"DRZWI PRYSZNICOWE MOLIER 90 BLACK")</f>
        <v>DRZWI PRYSZNICOWE MOLIER 90 BLACK</v>
      </c>
      <c r="C2677" s="23"/>
      <c r="D2677" s="24">
        <f ca="1">IFERROR(__xludf.DUMMYFUNCTION("""COMPUTED_VALUE"""),929)</f>
        <v>929</v>
      </c>
      <c r="E2677" s="25" t="str">
        <f ca="1">IFERROR(__xludf.DUMMYFUNCTION("""COMPUTED_VALUE"""),"REA-K8538")</f>
        <v>REA-K8538</v>
      </c>
    </row>
    <row r="2678" spans="1:5" x14ac:dyDescent="0.2">
      <c r="A2678" s="22"/>
      <c r="B2678" s="23" t="str">
        <f ca="1">IFERROR(__xludf.DUMMYFUNCTION("""COMPUTED_VALUE"""),"Drzwi Molier Black 100 + adapter")</f>
        <v>Drzwi Molier Black 100 + adapter</v>
      </c>
      <c r="C2678" s="23"/>
      <c r="D2678" s="24">
        <f ca="1">IFERROR(__xludf.DUMMYFUNCTION("""COMPUTED_VALUE"""),1160)</f>
        <v>1160</v>
      </c>
      <c r="E2678" s="26"/>
    </row>
    <row r="2679" spans="1:5" x14ac:dyDescent="0.2">
      <c r="A2679" s="22"/>
      <c r="B2679" s="23" t="str">
        <f ca="1">IFERROR(__xludf.DUMMYFUNCTION("""COMPUTED_VALUE"""),"DRZWI PRYSZNICOWE MOLIER 100 BLACK")</f>
        <v>DRZWI PRYSZNICOWE MOLIER 100 BLACK</v>
      </c>
      <c r="C2679" s="23"/>
      <c r="D2679" s="24">
        <f ca="1">IFERROR(__xludf.DUMMYFUNCTION("""COMPUTED_VALUE"""),959)</f>
        <v>959</v>
      </c>
      <c r="E2679" s="25" t="str">
        <f ca="1">IFERROR(__xludf.DUMMYFUNCTION("""COMPUTED_VALUE"""),"REA-K6963")</f>
        <v>REA-K6963</v>
      </c>
    </row>
    <row r="2680" spans="1:5" x14ac:dyDescent="0.2">
      <c r="A2680" s="22"/>
      <c r="B2680" s="23" t="str">
        <f ca="1">IFERROR(__xludf.DUMMYFUNCTION("""COMPUTED_VALUE"""),"ŚCIANKA PRYSZNICOWA BLER 70")</f>
        <v>ŚCIANKA PRYSZNICOWA BLER 70</v>
      </c>
      <c r="C2680" s="23"/>
      <c r="D2680" s="24">
        <f ca="1">IFERROR(__xludf.DUMMYFUNCTION("""COMPUTED_VALUE"""),699)</f>
        <v>699</v>
      </c>
      <c r="E2680" s="25" t="str">
        <f ca="1">IFERROR(__xludf.DUMMYFUNCTION("""COMPUTED_VALUE"""),"REA-K7636")</f>
        <v>REA-K7636</v>
      </c>
    </row>
    <row r="2681" spans="1:5" x14ac:dyDescent="0.2">
      <c r="A2681" s="22"/>
      <c r="B2681" s="23" t="str">
        <f ca="1">IFERROR(__xludf.DUMMYFUNCTION("""COMPUTED_VALUE"""),"DRZWI PRYSZNICOWE RAPID FOLD 80")</f>
        <v>DRZWI PRYSZNICOWE RAPID FOLD 80</v>
      </c>
      <c r="C2681" s="23"/>
      <c r="D2681" s="24">
        <f ca="1">IFERROR(__xludf.DUMMYFUNCTION("""COMPUTED_VALUE"""),869)</f>
        <v>869</v>
      </c>
      <c r="E2681" s="25" t="str">
        <f ca="1">IFERROR(__xludf.DUMMYFUNCTION("""COMPUTED_VALUE"""),"REA-K6418")</f>
        <v>REA-K6418</v>
      </c>
    </row>
    <row r="2682" spans="1:5" x14ac:dyDescent="0.2">
      <c r="A2682" s="22"/>
      <c r="B2682" s="23" t="str">
        <f ca="1">IFERROR(__xludf.DUMMYFUNCTION("""COMPUTED_VALUE"""),"DRZWI PRYSZNICOWE RAPID FOLD 90")</f>
        <v>DRZWI PRYSZNICOWE RAPID FOLD 90</v>
      </c>
      <c r="C2682" s="23"/>
      <c r="D2682" s="24">
        <f ca="1">IFERROR(__xludf.DUMMYFUNCTION("""COMPUTED_VALUE"""),899)</f>
        <v>899</v>
      </c>
      <c r="E2682" s="25" t="str">
        <f ca="1">IFERROR(__xludf.DUMMYFUNCTION("""COMPUTED_VALUE"""),"REA-K6419")</f>
        <v>REA-K6419</v>
      </c>
    </row>
    <row r="2683" spans="1:5" x14ac:dyDescent="0.2">
      <c r="A2683" s="22">
        <f ca="1">IFERROR(__xludf.DUMMYFUNCTION("""COMPUTED_VALUE"""),44672)</f>
        <v>44672</v>
      </c>
      <c r="B2683" s="23" t="str">
        <f ca="1">IFERROR(__xludf.DUMMYFUNCTION("""COMPUTED_VALUE"""),"KABINA DIAMOND BLACK 90X90")</f>
        <v>KABINA DIAMOND BLACK 90X90</v>
      </c>
      <c r="C2683" s="23"/>
      <c r="D2683" s="24">
        <f ca="1">IFERROR(__xludf.DUMMYFUNCTION("""COMPUTED_VALUE"""),1499)</f>
        <v>1499</v>
      </c>
      <c r="E2683" s="27" t="str">
        <f ca="1">IFERROR(__xludf.DUMMYFUNCTION("""COMPUTED_VALUE"""),"REA-K5622")</f>
        <v>REA-K5622</v>
      </c>
    </row>
    <row r="2684" spans="1:5" x14ac:dyDescent="0.2">
      <c r="A2684" s="22">
        <f ca="1">IFERROR(__xludf.DUMMYFUNCTION("""COMPUTED_VALUE"""),44672)</f>
        <v>44672</v>
      </c>
      <c r="B2684" s="23" t="str">
        <f ca="1">IFERROR(__xludf.DUMMYFUNCTION("""COMPUTED_VALUE"""),"KABINA FARGO BLACK 90X90 U")</f>
        <v>KABINA FARGO BLACK 90X90 U</v>
      </c>
      <c r="C2684" s="23"/>
      <c r="D2684" s="24">
        <f ca="1">IFERROR(__xludf.DUMMYFUNCTION("""COMPUTED_VALUE"""),1599)</f>
        <v>1599</v>
      </c>
      <c r="E2684" s="27" t="str">
        <f ca="1">IFERROR(__xludf.DUMMYFUNCTION("""COMPUTED_VALUE"""),"REA-K6318")</f>
        <v>REA-K6318</v>
      </c>
    </row>
    <row r="2685" spans="1:5" x14ac:dyDescent="0.2">
      <c r="A2685" s="22">
        <f ca="1">IFERROR(__xludf.DUMMYFUNCTION("""COMPUTED_VALUE"""),44672)</f>
        <v>44672</v>
      </c>
      <c r="B2685" s="23" t="str">
        <f ca="1">IFERROR(__xludf.DUMMYFUNCTION("""COMPUTED_VALUE"""),"ŚCIANKA PRYSZNICOWA 120 BLER-1")</f>
        <v>ŚCIANKA PRYSZNICOWA 120 BLER-1</v>
      </c>
      <c r="C2685" s="23"/>
      <c r="D2685" s="24">
        <f ca="1">IFERROR(__xludf.DUMMYFUNCTION("""COMPUTED_VALUE"""),999)</f>
        <v>999</v>
      </c>
      <c r="E2685" s="27" t="str">
        <f ca="1">IFERROR(__xludf.DUMMYFUNCTION("""COMPUTED_VALUE"""),"REA-K7957")</f>
        <v>REA-K7957</v>
      </c>
    </row>
    <row r="2686" spans="1:5" x14ac:dyDescent="0.2">
      <c r="A2686" s="22">
        <f ca="1">IFERROR(__xludf.DUMMYFUNCTION("""COMPUTED_VALUE"""),44672)</f>
        <v>44672</v>
      </c>
      <c r="B2686" s="23" t="str">
        <f ca="1">IFERROR(__xludf.DUMMYFUNCTION("""COMPUTED_VALUE"""),"ŚCIANKA PRYSZNICOWA 100 BLER-1")</f>
        <v>ŚCIANKA PRYSZNICOWA 100 BLER-1</v>
      </c>
      <c r="C2686" s="23"/>
      <c r="D2686" s="24">
        <f ca="1">IFERROR(__xludf.DUMMYFUNCTION("""COMPUTED_VALUE"""),899)</f>
        <v>899</v>
      </c>
      <c r="E2686" s="27" t="str">
        <f ca="1">IFERROR(__xludf.DUMMYFUNCTION("""COMPUTED_VALUE"""),"REA-K7955")</f>
        <v>REA-K7955</v>
      </c>
    </row>
    <row r="2687" spans="1:5" x14ac:dyDescent="0.2">
      <c r="A2687" s="22">
        <f ca="1">IFERROR(__xludf.DUMMYFUNCTION("""COMPUTED_VALUE"""),44672)</f>
        <v>44672</v>
      </c>
      <c r="B2687" s="23" t="str">
        <f ca="1">IFERROR(__xludf.DUMMYFUNCTION("""COMPUTED_VALUE"""),"ŚCIANKA PRYSZNICOWA 80 BLER-1")</f>
        <v>ŚCIANKA PRYSZNICOWA 80 BLER-1</v>
      </c>
      <c r="C2687" s="23"/>
      <c r="D2687" s="24">
        <f ca="1">IFERROR(__xludf.DUMMYFUNCTION("""COMPUTED_VALUE"""),899)</f>
        <v>899</v>
      </c>
      <c r="E2687" s="27" t="str">
        <f ca="1">IFERROR(__xludf.DUMMYFUNCTION("""COMPUTED_VALUE"""),"REA-K7952")</f>
        <v>REA-K7952</v>
      </c>
    </row>
    <row r="2688" spans="1:5" x14ac:dyDescent="0.2">
      <c r="A2688" s="22">
        <f ca="1">IFERROR(__xludf.DUMMYFUNCTION("""COMPUTED_VALUE"""),44672)</f>
        <v>44672</v>
      </c>
      <c r="B2688" s="23" t="str">
        <f ca="1">IFERROR(__xludf.DUMMYFUNCTION("""COMPUTED_VALUE"""),"PARAWAN WANNOWY AGAT-7203 120")</f>
        <v>PARAWAN WANNOWY AGAT-7203 120</v>
      </c>
      <c r="C2688" s="23"/>
      <c r="D2688" s="24">
        <f ca="1">IFERROR(__xludf.DUMMYFUNCTION("""COMPUTED_VALUE"""),699)</f>
        <v>699</v>
      </c>
      <c r="E2688" s="27" t="str">
        <f ca="1">IFERROR(__xludf.DUMMYFUNCTION("""COMPUTED_VALUE"""),"REA-W0301")</f>
        <v>REA-W0301</v>
      </c>
    </row>
    <row r="2689" spans="1:5" x14ac:dyDescent="0.2">
      <c r="A2689" s="22">
        <f ca="1">IFERROR(__xludf.DUMMYFUNCTION("""COMPUTED_VALUE"""),44672)</f>
        <v>44672</v>
      </c>
      <c r="B2689" s="23" t="str">
        <f ca="1">IFERROR(__xludf.DUMMYFUNCTION("""COMPUTED_VALUE"""),"DRZWI PRYSZNICOWE RAPID SWING 80")</f>
        <v>DRZWI PRYSZNICOWE RAPID SWING 80</v>
      </c>
      <c r="C2689" s="23"/>
      <c r="D2689" s="24">
        <f ca="1">IFERROR(__xludf.DUMMYFUNCTION("""COMPUTED_VALUE"""),859)</f>
        <v>859</v>
      </c>
      <c r="E2689" s="25" t="str">
        <f ca="1">IFERROR(__xludf.DUMMYFUNCTION("""COMPUTED_VALUE"""),"REA-K6408")</f>
        <v>REA-K6408</v>
      </c>
    </row>
    <row r="2690" spans="1:5" x14ac:dyDescent="0.2">
      <c r="A2690" s="22">
        <f ca="1">IFERROR(__xludf.DUMMYFUNCTION("""COMPUTED_VALUE"""),44672)</f>
        <v>44672</v>
      </c>
      <c r="B2690" s="23" t="str">
        <f ca="1">IFERROR(__xludf.DUMMYFUNCTION("""COMPUTED_VALUE"""),"DRZWI PRYSZNICOWE RAPID SWING 90")</f>
        <v>DRZWI PRYSZNICOWE RAPID SWING 90</v>
      </c>
      <c r="C2690" s="23"/>
      <c r="D2690" s="24">
        <f ca="1">IFERROR(__xludf.DUMMYFUNCTION("""COMPUTED_VALUE"""),889)</f>
        <v>889</v>
      </c>
      <c r="E2690" s="25" t="str">
        <f ca="1">IFERROR(__xludf.DUMMYFUNCTION("""COMPUTED_VALUE"""),"REA-K6409")</f>
        <v>REA-K6409</v>
      </c>
    </row>
    <row r="2691" spans="1:5" x14ac:dyDescent="0.2">
      <c r="A2691" s="22">
        <f ca="1">IFERROR(__xludf.DUMMYFUNCTION("""COMPUTED_VALUE"""),44672)</f>
        <v>44672</v>
      </c>
      <c r="B2691" s="23" t="str">
        <f ca="1">IFERROR(__xludf.DUMMYFUNCTION("""COMPUTED_VALUE"""),"DRZWI PRYSZNICOWE RAPID SWING 100")</f>
        <v>DRZWI PRYSZNICOWE RAPID SWING 100</v>
      </c>
      <c r="C2691" s="23"/>
      <c r="D2691" s="24">
        <f ca="1">IFERROR(__xludf.DUMMYFUNCTION("""COMPUTED_VALUE"""),919)</f>
        <v>919</v>
      </c>
      <c r="E2691" s="25" t="str">
        <f ca="1">IFERROR(__xludf.DUMMYFUNCTION("""COMPUTED_VALUE"""),"REA-K6410")</f>
        <v>REA-K6410</v>
      </c>
    </row>
    <row r="2692" spans="1:5" x14ac:dyDescent="0.2">
      <c r="A2692" s="22"/>
      <c r="B2692" s="23" t="str">
        <f ca="1">IFERROR(__xludf.DUMMYFUNCTION("""COMPUTED_VALUE"""),"KABINA AXIN 80X80 CHROM")</f>
        <v>KABINA AXIN 80X80 CHROM</v>
      </c>
      <c r="C2692" s="23"/>
      <c r="D2692" s="24">
        <f ca="1">IFERROR(__xludf.DUMMYFUNCTION("""COMPUTED_VALUE"""),959)</f>
        <v>959</v>
      </c>
      <c r="E2692" s="27" t="str">
        <f ca="1">IFERROR(__xludf.DUMMYFUNCTION("""COMPUTED_VALUE"""),"REA-K8778")</f>
        <v>REA-K8778</v>
      </c>
    </row>
    <row r="2693" spans="1:5" x14ac:dyDescent="0.2">
      <c r="A2693" s="22"/>
      <c r="B2693" s="23" t="str">
        <f ca="1">IFERROR(__xludf.DUMMYFUNCTION("""COMPUTED_VALUE"""),"KABINA AXIN 90X90 CHROM")</f>
        <v>KABINA AXIN 90X90 CHROM</v>
      </c>
      <c r="C2693" s="23"/>
      <c r="D2693" s="24">
        <f ca="1">IFERROR(__xludf.DUMMYFUNCTION("""COMPUTED_VALUE"""),999)</f>
        <v>999</v>
      </c>
      <c r="E2693" s="27" t="str">
        <f ca="1">IFERROR(__xludf.DUMMYFUNCTION("""COMPUTED_VALUE"""),"REA-K8779")</f>
        <v>REA-K8779</v>
      </c>
    </row>
    <row r="2694" spans="1:5" x14ac:dyDescent="0.2">
      <c r="A2694" s="22"/>
      <c r="B2694" s="23" t="str">
        <f ca="1">IFERROR(__xludf.DUMMYFUNCTION("""COMPUTED_VALUE"""),"KABINA FARGO BLACK 90X120 U")</f>
        <v>KABINA FARGO BLACK 90X120 U</v>
      </c>
      <c r="C2694" s="23"/>
      <c r="D2694" s="24">
        <f ca="1">IFERROR(__xludf.DUMMYFUNCTION("""COMPUTED_VALUE"""),1749)</f>
        <v>1749</v>
      </c>
      <c r="E2694" s="27" t="str">
        <f ca="1">IFERROR(__xludf.DUMMYFUNCTION("""COMPUTED_VALUE"""),"REA-K3214")</f>
        <v>REA-K3214</v>
      </c>
    </row>
    <row r="2695" spans="1:5" x14ac:dyDescent="0.2">
      <c r="A2695" s="22"/>
      <c r="B2695" s="23" t="str">
        <f ca="1">IFERROR(__xludf.DUMMYFUNCTION("""COMPUTED_VALUE"""),"DRZWI PRYSZNICOWE RAPID SWING 90")</f>
        <v>DRZWI PRYSZNICOWE RAPID SWING 90</v>
      </c>
      <c r="C2695" s="23"/>
      <c r="D2695" s="24">
        <f ca="1">IFERROR(__xludf.DUMMYFUNCTION("""COMPUTED_VALUE"""),889)</f>
        <v>889</v>
      </c>
      <c r="E2695" s="27" t="str">
        <f ca="1">IFERROR(__xludf.DUMMYFUNCTION("""COMPUTED_VALUE"""),"REA-K6409")</f>
        <v>REA-K6409</v>
      </c>
    </row>
    <row r="2696" spans="1:5" x14ac:dyDescent="0.2">
      <c r="A2696" s="22"/>
      <c r="B2696" s="23" t="str">
        <f ca="1">IFERROR(__xludf.DUMMYFUNCTION("""COMPUTED_VALUE"""),"PARAWAN WANNOWY ELEGANT GOLD 80")</f>
        <v>PARAWAN WANNOWY ELEGANT GOLD 80</v>
      </c>
      <c r="C2696" s="23"/>
      <c r="D2696" s="24">
        <f ca="1">IFERROR(__xludf.DUMMYFUNCTION("""COMPUTED_VALUE"""),499)</f>
        <v>499</v>
      </c>
      <c r="E2696" s="25" t="str">
        <f ca="1">IFERROR(__xludf.DUMMYFUNCTION("""COMPUTED_VALUE"""),"REA-W5601")</f>
        <v>REA-W5601</v>
      </c>
    </row>
    <row r="2697" spans="1:5" x14ac:dyDescent="0.2">
      <c r="A2697" s="22"/>
      <c r="B2697" s="23" t="str">
        <f ca="1">IFERROR(__xludf.DUMMYFUNCTION("""COMPUTED_VALUE"""),"ŚCIANKA PRYSZNICOWA BLER 90")</f>
        <v>ŚCIANKA PRYSZNICOWA BLER 90</v>
      </c>
      <c r="C2697" s="23"/>
      <c r="D2697" s="24">
        <f ca="1">IFERROR(__xludf.DUMMYFUNCTION("""COMPUTED_VALUE"""),839)</f>
        <v>839</v>
      </c>
      <c r="E2697" s="25" t="str">
        <f ca="1">IFERROR(__xludf.DUMMYFUNCTION("""COMPUTED_VALUE"""),"REA-K7638")</f>
        <v>REA-K7638</v>
      </c>
    </row>
    <row r="2698" spans="1:5" x14ac:dyDescent="0.2">
      <c r="A2698" s="22"/>
      <c r="B2698" s="23" t="str">
        <f ca="1">IFERROR(__xludf.DUMMYFUNCTION("""COMPUTED_VALUE"""),"ŚCIANKA PRYSZNICOWA BLER 80")</f>
        <v>ŚCIANKA PRYSZNICOWA BLER 80</v>
      </c>
      <c r="C2698" s="23"/>
      <c r="D2698" s="24">
        <f ca="1">IFERROR(__xludf.DUMMYFUNCTION("""COMPUTED_VALUE"""),799)</f>
        <v>799</v>
      </c>
      <c r="E2698" s="25" t="str">
        <f ca="1">IFERROR(__xludf.DUMMYFUNCTION("""COMPUTED_VALUE"""),"REA-K7637")</f>
        <v>REA-K7637</v>
      </c>
    </row>
    <row r="2699" spans="1:5" x14ac:dyDescent="0.2">
      <c r="A2699" s="22"/>
      <c r="B2699" s="23" t="str">
        <f ca="1">IFERROR(__xludf.DUMMYFUNCTION("""COMPUTED_VALUE"""),"ŚCIANKA PRYSZNICOWA BLER 70")</f>
        <v>ŚCIANKA PRYSZNICOWA BLER 70</v>
      </c>
      <c r="C2699" s="23"/>
      <c r="D2699" s="24">
        <f ca="1">IFERROR(__xludf.DUMMYFUNCTION("""COMPUTED_VALUE"""),699)</f>
        <v>699</v>
      </c>
      <c r="E2699" s="25" t="str">
        <f ca="1">IFERROR(__xludf.DUMMYFUNCTION("""COMPUTED_VALUE"""),"REA-K7636")</f>
        <v>REA-K7636</v>
      </c>
    </row>
    <row r="2700" spans="1:5" x14ac:dyDescent="0.2">
      <c r="A2700" s="22"/>
      <c r="B2700" s="23" t="str">
        <f ca="1">IFERROR(__xludf.DUMMYFUNCTION("""COMPUTED_VALUE"""),"ŚCIANKA PRYSZNICOWA 100 BLER-1")</f>
        <v>ŚCIANKA PRYSZNICOWA 100 BLER-1</v>
      </c>
      <c r="C2700" s="23"/>
      <c r="D2700" s="24">
        <f ca="1">IFERROR(__xludf.DUMMYFUNCTION("""COMPUTED_VALUE"""),899)</f>
        <v>899</v>
      </c>
      <c r="E2700" s="25" t="str">
        <f ca="1">IFERROR(__xludf.DUMMYFUNCTION("""COMPUTED_VALUE"""),"REA-K7955")</f>
        <v>REA-K7955</v>
      </c>
    </row>
    <row r="2701" spans="1:5" x14ac:dyDescent="0.2">
      <c r="A2701" s="22"/>
      <c r="B2701" s="23" t="str">
        <f ca="1">IFERROR(__xludf.DUMMYFUNCTION("""COMPUTED_VALUE"""),"ŚCIANKA PRYSZNICOWA 90 BLER-1")</f>
        <v>ŚCIANKA PRYSZNICOWA 90 BLER-1</v>
      </c>
      <c r="C2701" s="23"/>
      <c r="D2701" s="24">
        <f ca="1">IFERROR(__xludf.DUMMYFUNCTION("""COMPUTED_VALUE"""),939)</f>
        <v>939</v>
      </c>
      <c r="E2701" s="25" t="str">
        <f ca="1">IFERROR(__xludf.DUMMYFUNCTION("""COMPUTED_VALUE"""),"REA-K7953")</f>
        <v>REA-K7953</v>
      </c>
    </row>
    <row r="2702" spans="1:5" x14ac:dyDescent="0.2">
      <c r="A2702" s="22"/>
      <c r="B2702" s="23" t="str">
        <f ca="1">IFERROR(__xludf.DUMMYFUNCTION("""COMPUTED_VALUE"""),"ZESTAW NATRYSKOWY MILAN BLACK")</f>
        <v>ZESTAW NATRYSKOWY MILAN BLACK</v>
      </c>
      <c r="C2702" s="23"/>
      <c r="D2702" s="24">
        <f ca="1">IFERROR(__xludf.DUMMYFUNCTION("""COMPUTED_VALUE"""),919)</f>
        <v>919</v>
      </c>
      <c r="E2702" s="25" t="str">
        <f ca="1">IFERROR(__xludf.DUMMYFUNCTION("""COMPUTED_VALUE"""),"REA-P7000")</f>
        <v>REA-P7000</v>
      </c>
    </row>
    <row r="2703" spans="1:5" x14ac:dyDescent="0.2">
      <c r="A2703" s="22"/>
      <c r="B2703" s="23" t="str">
        <f ca="1">IFERROR(__xludf.DUMMYFUNCTION("""COMPUTED_VALUE"""),"ŚCIANKA PRYSZNICOWA BLER 100")</f>
        <v>ŚCIANKA PRYSZNICOWA BLER 100</v>
      </c>
      <c r="C2703" s="23"/>
      <c r="D2703" s="24">
        <f ca="1">IFERROR(__xludf.DUMMYFUNCTION("""COMPUTED_VALUE"""),899)</f>
        <v>899</v>
      </c>
      <c r="E2703" s="25" t="str">
        <f ca="1">IFERROR(__xludf.DUMMYFUNCTION("""COMPUTED_VALUE"""),"REA-K7634")</f>
        <v>REA-K7634</v>
      </c>
    </row>
    <row r="2704" spans="1:5" x14ac:dyDescent="0.2">
      <c r="A2704" s="22"/>
      <c r="B2704" s="23" t="str">
        <f ca="1">IFERROR(__xludf.DUMMYFUNCTION("""COMPUTED_VALUE"""),"ŚCIANKA PRYSZNICOWA BLER 110")</f>
        <v>ŚCIANKA PRYSZNICOWA BLER 110</v>
      </c>
      <c r="C2704" s="23"/>
      <c r="D2704" s="24">
        <f ca="1">IFERROR(__xludf.DUMMYFUNCTION("""COMPUTED_VALUE"""),949)</f>
        <v>949</v>
      </c>
      <c r="E2704" s="25" t="str">
        <f ca="1">IFERROR(__xludf.DUMMYFUNCTION("""COMPUTED_VALUE"""),"REA-K7630")</f>
        <v>REA-K7630</v>
      </c>
    </row>
    <row r="2705" spans="1:5" x14ac:dyDescent="0.2">
      <c r="A2705" s="22"/>
      <c r="B2705" s="23" t="str">
        <f ca="1">IFERROR(__xludf.DUMMYFUNCTION("""COMPUTED_VALUE"""),"ŚCIANKA PRYSZNICOWA BLER 120")</f>
        <v>ŚCIANKA PRYSZNICOWA BLER 120</v>
      </c>
      <c r="C2705" s="23"/>
      <c r="D2705" s="24">
        <f ca="1">IFERROR(__xludf.DUMMYFUNCTION("""COMPUTED_VALUE"""),999)</f>
        <v>999</v>
      </c>
      <c r="E2705" s="25" t="str">
        <f ca="1">IFERROR(__xludf.DUMMYFUNCTION("""COMPUTED_VALUE"""),"REA-K7631")</f>
        <v>REA-K7631</v>
      </c>
    </row>
    <row r="2706" spans="1:5" x14ac:dyDescent="0.2">
      <c r="A2706" s="22"/>
      <c r="B2706" s="23" t="str">
        <f ca="1">IFERROR(__xludf.DUMMYFUNCTION("""COMPUTED_VALUE"""),"MODUŁ KABINY FOLD N2 70")</f>
        <v>MODUŁ KABINY FOLD N2 70</v>
      </c>
      <c r="C2706" s="23"/>
      <c r="D2706" s="24">
        <f ca="1">IFERROR(__xludf.DUMMYFUNCTION("""COMPUTED_VALUE"""),779)</f>
        <v>779</v>
      </c>
      <c r="E2706" s="25" t="str">
        <f ca="1">IFERROR(__xludf.DUMMYFUNCTION("""COMPUTED_VALUE"""),"REA-K7444")</f>
        <v>REA-K7444</v>
      </c>
    </row>
    <row r="2707" spans="1:5" x14ac:dyDescent="0.2">
      <c r="A2707" s="22"/>
      <c r="B2707" s="23" t="str">
        <f ca="1">IFERROR(__xludf.DUMMYFUNCTION("""COMPUTED_VALUE"""),"MODUŁ KABINY FOLD N2 80")</f>
        <v>MODUŁ KABINY FOLD N2 80</v>
      </c>
      <c r="C2707" s="23"/>
      <c r="D2707" s="24">
        <f ca="1">IFERROR(__xludf.DUMMYFUNCTION("""COMPUTED_VALUE"""),790)</f>
        <v>790</v>
      </c>
      <c r="E2707" s="25" t="str">
        <f ca="1">IFERROR(__xludf.DUMMYFUNCTION("""COMPUTED_VALUE"""),"REA-K7443")</f>
        <v>REA-K7443</v>
      </c>
    </row>
    <row r="2708" spans="1:5" x14ac:dyDescent="0.2">
      <c r="A2708" s="22"/>
      <c r="B2708" s="23" t="str">
        <f ca="1">IFERROR(__xludf.DUMMYFUNCTION("""COMPUTED_VALUE"""),"MODUŁ KABINY FOLD N2 90")</f>
        <v>MODUŁ KABINY FOLD N2 90</v>
      </c>
      <c r="C2708" s="23"/>
      <c r="D2708" s="24">
        <f ca="1">IFERROR(__xludf.DUMMYFUNCTION("""COMPUTED_VALUE"""),859)</f>
        <v>859</v>
      </c>
      <c r="E2708" s="25" t="str">
        <f ca="1">IFERROR(__xludf.DUMMYFUNCTION("""COMPUTED_VALUE"""),"REA-K7442")</f>
        <v>REA-K7442</v>
      </c>
    </row>
    <row r="2709" spans="1:5" x14ac:dyDescent="0.2">
      <c r="A2709" s="22"/>
      <c r="B2709" s="23" t="str">
        <f ca="1">IFERROR(__xludf.DUMMYFUNCTION("""COMPUTED_VALUE"""),"MODUŁ KABINY FOLD N2 100")</f>
        <v>MODUŁ KABINY FOLD N2 100</v>
      </c>
      <c r="C2709" s="23"/>
      <c r="D2709" s="24">
        <f ca="1">IFERROR(__xludf.DUMMYFUNCTION("""COMPUTED_VALUE"""),869)</f>
        <v>869</v>
      </c>
      <c r="E2709" s="25" t="str">
        <f ca="1">IFERROR(__xludf.DUMMYFUNCTION("""COMPUTED_VALUE"""),"REA-K7439")</f>
        <v>REA-K7439</v>
      </c>
    </row>
    <row r="2710" spans="1:5" x14ac:dyDescent="0.2">
      <c r="A2710" s="22"/>
      <c r="B2710" s="23" t="str">
        <f ca="1">IFERROR(__xludf.DUMMYFUNCTION("""COMPUTED_VALUE"""),"Drzwi Molier Black 80 + adapter")</f>
        <v>Drzwi Molier Black 80 + adapter</v>
      </c>
      <c r="C2710" s="23"/>
      <c r="D2710" s="24">
        <f ca="1">IFERROR(__xludf.DUMMYFUNCTION("""COMPUTED_VALUE"""),1258)</f>
        <v>1258</v>
      </c>
      <c r="E2710" s="26"/>
    </row>
    <row r="2711" spans="1:5" x14ac:dyDescent="0.2">
      <c r="A2711" s="22"/>
      <c r="B2711" s="23" t="str">
        <f ca="1">IFERROR(__xludf.DUMMYFUNCTION("""COMPUTED_VALUE"""),"DRZWI PRYSZNICOWE MOLIER 80 BLACK")</f>
        <v>DRZWI PRYSZNICOWE MOLIER 80 BLACK</v>
      </c>
      <c r="C2711" s="23"/>
      <c r="D2711" s="24">
        <f ca="1">IFERROR(__xludf.DUMMYFUNCTION("""COMPUTED_VALUE"""),899)</f>
        <v>899</v>
      </c>
      <c r="E2711" s="25" t="str">
        <f ca="1">IFERROR(__xludf.DUMMYFUNCTION("""COMPUTED_VALUE"""),"REA-K8537")</f>
        <v>REA-K8537</v>
      </c>
    </row>
    <row r="2712" spans="1:5" x14ac:dyDescent="0.2">
      <c r="A2712" s="22"/>
      <c r="B2712" s="23" t="str">
        <f ca="1">IFERROR(__xludf.DUMMYFUNCTION("""COMPUTED_VALUE"""),"DRZWI PRYSZNICOWE RAPID SWING 120")</f>
        <v>DRZWI PRYSZNICOWE RAPID SWING 120</v>
      </c>
      <c r="C2712" s="23"/>
      <c r="D2712" s="24">
        <f ca="1">IFERROR(__xludf.DUMMYFUNCTION("""COMPUTED_VALUE"""),999)</f>
        <v>999</v>
      </c>
      <c r="E2712" s="25" t="str">
        <f ca="1">IFERROR(__xludf.DUMMYFUNCTION("""COMPUTED_VALUE"""),"REA-K6413")</f>
        <v>REA-K6413</v>
      </c>
    </row>
    <row r="2713" spans="1:5" x14ac:dyDescent="0.2">
      <c r="A2713" s="22"/>
      <c r="B2713" s="23" t="str">
        <f ca="1">IFERROR(__xludf.DUMMYFUNCTION("""COMPUTED_VALUE"""),"KABINA SOLAR L.GOLD 90X120")</f>
        <v>KABINA SOLAR L.GOLD 90X120</v>
      </c>
      <c r="C2713" s="23"/>
      <c r="D2713" s="24">
        <f ca="1">IFERROR(__xludf.DUMMYFUNCTION("""COMPUTED_VALUE"""),1449)</f>
        <v>1449</v>
      </c>
      <c r="E2713" s="25" t="str">
        <f ca="1">IFERROR(__xludf.DUMMYFUNCTION("""COMPUTED_VALUE"""),"REA-K4902")</f>
        <v>REA-K4902</v>
      </c>
    </row>
    <row r="2714" spans="1:5" x14ac:dyDescent="0.2">
      <c r="A2714" s="22"/>
      <c r="B2714" s="23" t="str">
        <f ca="1">IFERROR(__xludf.DUMMYFUNCTION("""COMPUTED_VALUE"""),"DRZWI PRYSZNICOWE SOLAR L.GOLD 100")</f>
        <v>DRZWI PRYSZNICOWE SOLAR L.GOLD 100</v>
      </c>
      <c r="C2714" s="23"/>
      <c r="D2714" s="24">
        <f ca="1">IFERROR(__xludf.DUMMYFUNCTION("""COMPUTED_VALUE"""),959)</f>
        <v>959</v>
      </c>
      <c r="E2714" s="25" t="str">
        <f ca="1">IFERROR(__xludf.DUMMYFUNCTION("""COMPUTED_VALUE"""),"REA-K6547")</f>
        <v>REA-K6547</v>
      </c>
    </row>
    <row r="2715" spans="1:5" x14ac:dyDescent="0.2">
      <c r="A2715" s="22"/>
      <c r="B2715" s="23" t="str">
        <f ca="1">IFERROR(__xludf.DUMMYFUNCTION("""COMPUTED_VALUE"""),"KABINA SOLAR BLACK 90X120")</f>
        <v>KABINA SOLAR BLACK 90X120</v>
      </c>
      <c r="C2715" s="23"/>
      <c r="D2715" s="24">
        <f ca="1">IFERROR(__xludf.DUMMYFUNCTION("""COMPUTED_VALUE"""),1279)</f>
        <v>1279</v>
      </c>
      <c r="E2715" s="25" t="str">
        <f ca="1">IFERROR(__xludf.DUMMYFUNCTION("""COMPUTED_VALUE"""),"REA-K6311")</f>
        <v>REA-K6311</v>
      </c>
    </row>
    <row r="2716" spans="1:5" x14ac:dyDescent="0.2">
      <c r="A2716" s="22"/>
      <c r="B2716" s="23" t="str">
        <f ca="1">IFERROR(__xludf.DUMMYFUNCTION("""COMPUTED_VALUE"""),"KABINA SOLAR BLACK 90X90")</f>
        <v>KABINA SOLAR BLACK 90X90</v>
      </c>
      <c r="C2716" s="23"/>
      <c r="D2716" s="24">
        <f ca="1">IFERROR(__xludf.DUMMYFUNCTION("""COMPUTED_VALUE"""),1179)</f>
        <v>1179</v>
      </c>
      <c r="E2716" s="25" t="str">
        <f ca="1">IFERROR(__xludf.DUMMYFUNCTION("""COMPUTED_VALUE"""),"REA-K6412")</f>
        <v>REA-K6412</v>
      </c>
    </row>
    <row r="2717" spans="1:5" x14ac:dyDescent="0.2">
      <c r="A2717" s="22"/>
      <c r="B2717" s="23" t="str">
        <f ca="1">IFERROR(__xludf.DUMMYFUNCTION("""COMPUTED_VALUE"""),"DRZWI PRYSZNICOWE SOLAR BLACK 100")</f>
        <v>DRZWI PRYSZNICOWE SOLAR BLACK 100</v>
      </c>
      <c r="C2717" s="23"/>
      <c r="D2717" s="24">
        <f ca="1">IFERROR(__xludf.DUMMYFUNCTION("""COMPUTED_VALUE"""),899)</f>
        <v>899</v>
      </c>
      <c r="E2717" s="25" t="str">
        <f ca="1">IFERROR(__xludf.DUMMYFUNCTION("""COMPUTED_VALUE"""),"REA-K6512")</f>
        <v>REA-K6512</v>
      </c>
    </row>
    <row r="2718" spans="1:5" x14ac:dyDescent="0.2">
      <c r="A2718" s="22"/>
      <c r="B2718" s="23" t="str">
        <f ca="1">IFERROR(__xludf.DUMMYFUNCTION("""COMPUTED_VALUE"""),"DRZWI PRYSZNICOWE SOLAR BLACK 120")</f>
        <v>DRZWI PRYSZNICOWE SOLAR BLACK 120</v>
      </c>
      <c r="C2718" s="23"/>
      <c r="D2718" s="24">
        <f ca="1">IFERROR(__xludf.DUMMYFUNCTION("""COMPUTED_VALUE"""),969)</f>
        <v>969</v>
      </c>
      <c r="E2718" s="25" t="str">
        <f ca="1">IFERROR(__xludf.DUMMYFUNCTION("""COMPUTED_VALUE"""),"REA-K6312")</f>
        <v>REA-K6312</v>
      </c>
    </row>
    <row r="2719" spans="1:5" x14ac:dyDescent="0.2">
      <c r="A2719" s="22"/>
      <c r="B2719" s="23" t="str">
        <f ca="1">IFERROR(__xludf.DUMMYFUNCTION("""COMPUTED_VALUE"""),"DRZWI PRYSZNICOWE SOLAR BLACK 130")</f>
        <v>DRZWI PRYSZNICOWE SOLAR BLACK 130</v>
      </c>
      <c r="C2719" s="23"/>
      <c r="D2719" s="24">
        <f ca="1">IFERROR(__xludf.DUMMYFUNCTION("""COMPUTED_VALUE"""),1099)</f>
        <v>1099</v>
      </c>
      <c r="E2719" s="25" t="str">
        <f ca="1">IFERROR(__xludf.DUMMYFUNCTION("""COMPUTED_VALUE"""),"REA-K6358")</f>
        <v>REA-K6358</v>
      </c>
    </row>
    <row r="2720" spans="1:5" x14ac:dyDescent="0.2">
      <c r="A2720" s="22"/>
      <c r="B2720" s="23" t="str">
        <f ca="1">IFERROR(__xludf.DUMMYFUNCTION("""COMPUTED_VALUE"""),"DRZWI PRYSZNICOWE SOLAR BLACK 140")</f>
        <v>DRZWI PRYSZNICOWE SOLAR BLACK 140</v>
      </c>
      <c r="C2720" s="23"/>
      <c r="D2720" s="24">
        <f ca="1">IFERROR(__xludf.DUMMYFUNCTION("""COMPUTED_VALUE"""),1059)</f>
        <v>1059</v>
      </c>
      <c r="E2720" s="25" t="str">
        <f ca="1">IFERROR(__xludf.DUMMYFUNCTION("""COMPUTED_VALUE"""),"REA-K6359")</f>
        <v>REA-K6359</v>
      </c>
    </row>
    <row r="2721" spans="1:5" x14ac:dyDescent="0.2">
      <c r="A2721" s="22"/>
      <c r="B2721" s="23" t="str">
        <f ca="1">IFERROR(__xludf.DUMMYFUNCTION("""COMPUTED_VALUE"""),"DRZWI PRYSZNICOWE SOLAR BLACK 150")</f>
        <v>DRZWI PRYSZNICOWE SOLAR BLACK 150</v>
      </c>
      <c r="C2721" s="23"/>
      <c r="D2721" s="24">
        <f ca="1">IFERROR(__xludf.DUMMYFUNCTION("""COMPUTED_VALUE"""),1099)</f>
        <v>1099</v>
      </c>
      <c r="E2721" s="25" t="str">
        <f ca="1">IFERROR(__xludf.DUMMYFUNCTION("""COMPUTED_VALUE"""),"REA-K6360")</f>
        <v>REA-K6360</v>
      </c>
    </row>
    <row r="2722" spans="1:5" x14ac:dyDescent="0.2">
      <c r="A2722" s="22"/>
      <c r="B2722" s="23" t="str">
        <f ca="1">IFERROR(__xludf.DUMMYFUNCTION("""COMPUTED_VALUE"""),"UMYWALKA MAGARI - WPUSZCZANA")</f>
        <v>UMYWALKA MAGARI - WPUSZCZANA</v>
      </c>
      <c r="C2722" s="23"/>
      <c r="D2722" s="24">
        <f ca="1">IFERROR(__xludf.DUMMYFUNCTION("""COMPUTED_VALUE"""),179)</f>
        <v>179</v>
      </c>
      <c r="E2722" s="25" t="str">
        <f ca="1">IFERROR(__xludf.DUMMYFUNCTION("""COMPUTED_VALUE"""),"REA-U0064")</f>
        <v>REA-U0064</v>
      </c>
    </row>
    <row r="2723" spans="1:5" x14ac:dyDescent="0.2">
      <c r="A2723" s="22"/>
      <c r="B2723" s="23" t="str">
        <f ca="1">IFERROR(__xludf.DUMMYFUNCTION("""COMPUTED_VALUE"""),"UMYWALKA OLGA - NABLATOWA")</f>
        <v>UMYWALKA OLGA - NABLATOWA</v>
      </c>
      <c r="C2723" s="23"/>
      <c r="D2723" s="24">
        <f ca="1">IFERROR(__xludf.DUMMYFUNCTION("""COMPUTED_VALUE"""),299)</f>
        <v>299</v>
      </c>
      <c r="E2723" s="25" t="str">
        <f ca="1">IFERROR(__xludf.DUMMYFUNCTION("""COMPUTED_VALUE"""),"REA-U1060")</f>
        <v>REA-U1060</v>
      </c>
    </row>
    <row r="2724" spans="1:5" x14ac:dyDescent="0.2">
      <c r="A2724" s="22"/>
      <c r="B2724" s="23" t="str">
        <f ca="1">IFERROR(__xludf.DUMMYFUNCTION("""COMPUTED_VALUE"""),"UMYWALKA IDA SLIM ROSE/GOLD - NABLATOWA")</f>
        <v>UMYWALKA IDA SLIM ROSE/GOLD - NABLATOWA</v>
      </c>
      <c r="C2724" s="23"/>
      <c r="D2724" s="24">
        <f ca="1">IFERROR(__xludf.DUMMYFUNCTION("""COMPUTED_VALUE"""),519)</f>
        <v>519</v>
      </c>
      <c r="E2724" s="25" t="str">
        <f ca="1">IFERROR(__xludf.DUMMYFUNCTION("""COMPUTED_VALUE"""),"REA-U7401")</f>
        <v>REA-U7401</v>
      </c>
    </row>
    <row r="2725" spans="1:5" x14ac:dyDescent="0.2">
      <c r="A2725" s="22"/>
      <c r="B2725" s="23" t="str">
        <f ca="1">IFERROR(__xludf.DUMMYFUNCTION("""COMPUTED_VALUE"""),"UMYWALKA VALERIA N - NABLATOWA")</f>
        <v>UMYWALKA VALERIA N - NABLATOWA</v>
      </c>
      <c r="C2725" s="23"/>
      <c r="D2725" s="24">
        <f ca="1">IFERROR(__xludf.DUMMYFUNCTION("""COMPUTED_VALUE"""),299)</f>
        <v>299</v>
      </c>
      <c r="E2725" s="25" t="str">
        <f ca="1">IFERROR(__xludf.DUMMYFUNCTION("""COMPUTED_VALUE"""),"REA-U5000")</f>
        <v>REA-U5000</v>
      </c>
    </row>
    <row r="2726" spans="1:5" x14ac:dyDescent="0.2">
      <c r="A2726" s="22"/>
      <c r="B2726" s="23" t="str">
        <f ca="1">IFERROR(__xludf.DUMMYFUNCTION("""COMPUTED_VALUE"""),"SYFON KLIK-KLAK UNIWERSALNY CHROM")</f>
        <v>SYFON KLIK-KLAK UNIWERSALNY CHROM</v>
      </c>
      <c r="C2726" s="23"/>
      <c r="D2726" s="24">
        <f ca="1">IFERROR(__xludf.DUMMYFUNCTION("""COMPUTED_VALUE"""),169)</f>
        <v>169</v>
      </c>
      <c r="E2726" s="25" t="str">
        <f ca="1">IFERROR(__xludf.DUMMYFUNCTION("""COMPUTED_VALUE"""),"REA-A5693")</f>
        <v>REA-A5693</v>
      </c>
    </row>
    <row r="2727" spans="1:5" x14ac:dyDescent="0.2">
      <c r="A2727" s="22">
        <f ca="1">IFERROR(__xludf.DUMMYFUNCTION("""COMPUTED_VALUE"""),44651)</f>
        <v>44651</v>
      </c>
      <c r="B2727" s="23" t="str">
        <f ca="1">IFERROR(__xludf.DUMMYFUNCTION("""COMPUTED_VALUE"""),"UMYWALKA ASHLEY - NABLATOWA")</f>
        <v>UMYWALKA ASHLEY - NABLATOWA</v>
      </c>
      <c r="C2727" s="23"/>
      <c r="D2727" s="24">
        <f ca="1">IFERROR(__xludf.DUMMYFUNCTION("""COMPUTED_VALUE"""),469)</f>
        <v>469</v>
      </c>
      <c r="E2727" s="25" t="str">
        <f ca="1">IFERROR(__xludf.DUMMYFUNCTION("""COMPUTED_VALUE"""),"REA-U4663")</f>
        <v>REA-U4663</v>
      </c>
    </row>
    <row r="2728" spans="1:5" x14ac:dyDescent="0.2">
      <c r="A2728" s="22">
        <f ca="1">IFERROR(__xludf.DUMMYFUNCTION("""COMPUTED_VALUE"""),44651)</f>
        <v>44651</v>
      </c>
      <c r="B2728" s="23" t="str">
        <f ca="1">IFERROR(__xludf.DUMMYFUNCTION("""COMPUTED_VALUE"""),"UMYWALKA WENDY MARMO - NABLATOWA")</f>
        <v>UMYWALKA WENDY MARMO - NABLATOWA</v>
      </c>
      <c r="C2728" s="23"/>
      <c r="D2728" s="24">
        <f ca="1">IFERROR(__xludf.DUMMYFUNCTION("""COMPUTED_VALUE"""),309)</f>
        <v>309</v>
      </c>
      <c r="E2728" s="25" t="str">
        <f ca="1">IFERROR(__xludf.DUMMYFUNCTION("""COMPUTED_VALUE"""),"REA-U5053")</f>
        <v>REA-U5053</v>
      </c>
    </row>
    <row r="2729" spans="1:5" x14ac:dyDescent="0.2">
      <c r="A2729" s="22">
        <f ca="1">IFERROR(__xludf.DUMMYFUNCTION("""COMPUTED_VALUE"""),44651)</f>
        <v>44651</v>
      </c>
      <c r="B2729" s="23" t="str">
        <f ca="1">IFERROR(__xludf.DUMMYFUNCTION("""COMPUTED_VALUE"""),"UMYWALKA NEL BLACK - PODBLATOWA")</f>
        <v>UMYWALKA NEL BLACK - PODBLATOWA</v>
      </c>
      <c r="C2729" s="23"/>
      <c r="D2729" s="24">
        <f ca="1">IFERROR(__xludf.DUMMYFUNCTION("""COMPUTED_VALUE"""),259)</f>
        <v>259</v>
      </c>
      <c r="E2729" s="25" t="str">
        <f ca="1">IFERROR(__xludf.DUMMYFUNCTION("""COMPUTED_VALUE"""),"REA-U1023")</f>
        <v>REA-U1023</v>
      </c>
    </row>
    <row r="2730" spans="1:5" x14ac:dyDescent="0.2">
      <c r="A2730" s="22">
        <f ca="1">IFERROR(__xludf.DUMMYFUNCTION("""COMPUTED_VALUE"""),44651)</f>
        <v>44651</v>
      </c>
      <c r="B2730" s="23" t="str">
        <f ca="1">IFERROR(__xludf.DUMMYFUNCTION("""COMPUTED_VALUE"""),"UMYWALKA SAMI MARBLE MATT - NABLATOWA")</f>
        <v>UMYWALKA SAMI MARBLE MATT - NABLATOWA</v>
      </c>
      <c r="C2730" s="23"/>
      <c r="D2730" s="24">
        <f ca="1">IFERROR(__xludf.DUMMYFUNCTION("""COMPUTED_VALUE"""),369)</f>
        <v>369</v>
      </c>
      <c r="E2730" s="25" t="str">
        <f ca="1">IFERROR(__xludf.DUMMYFUNCTION("""COMPUTED_VALUE"""),"REA-U8703")</f>
        <v>REA-U8703</v>
      </c>
    </row>
    <row r="2731" spans="1:5" x14ac:dyDescent="0.2">
      <c r="A2731" s="22">
        <f ca="1">IFERROR(__xludf.DUMMYFUNCTION("""COMPUTED_VALUE"""),44651)</f>
        <v>44651</v>
      </c>
      <c r="B2731" s="23" t="str">
        <f ca="1">IFERROR(__xludf.DUMMYFUNCTION("""COMPUTED_VALUE"""),"UMYWALKA LIVIA STONE - NABLATOWA")</f>
        <v>UMYWALKA LIVIA STONE - NABLATOWA</v>
      </c>
      <c r="C2731" s="23"/>
      <c r="D2731" s="24">
        <f ca="1">IFERROR(__xludf.DUMMYFUNCTION("""COMPUTED_VALUE"""),359)</f>
        <v>359</v>
      </c>
      <c r="E2731" s="25" t="str">
        <f ca="1">IFERROR(__xludf.DUMMYFUNCTION("""COMPUTED_VALUE"""),"REA-U3800")</f>
        <v>REA-U3800</v>
      </c>
    </row>
    <row r="2732" spans="1:5" x14ac:dyDescent="0.2">
      <c r="A2732" s="22">
        <f ca="1">IFERROR(__xludf.DUMMYFUNCTION("""COMPUTED_VALUE"""),44651)</f>
        <v>44651</v>
      </c>
      <c r="B2732" s="23" t="str">
        <f ca="1">IFERROR(__xludf.DUMMYFUNCTION("""COMPUTED_VALUE"""),"UMYWALKA LIVIA GREY - NABLATOWA")</f>
        <v>UMYWALKA LIVIA GREY - NABLATOWA</v>
      </c>
      <c r="C2732" s="23"/>
      <c r="D2732" s="24">
        <f ca="1">IFERROR(__xludf.DUMMYFUNCTION("""COMPUTED_VALUE"""),349)</f>
        <v>349</v>
      </c>
      <c r="E2732" s="25" t="str">
        <f ca="1">IFERROR(__xludf.DUMMYFUNCTION("""COMPUTED_VALUE"""),"REA-U3801")</f>
        <v>REA-U3801</v>
      </c>
    </row>
    <row r="2733" spans="1:5" x14ac:dyDescent="0.2">
      <c r="A2733" s="22">
        <f ca="1">IFERROR(__xludf.DUMMYFUNCTION("""COMPUTED_VALUE"""),44651)</f>
        <v>44651</v>
      </c>
      <c r="B2733" s="23" t="str">
        <f ca="1">IFERROR(__xludf.DUMMYFUNCTION("""COMPUTED_VALUE"""),"BATERIA CALANI UMYWALKOWA ASTRAL WYSOKA H BLACK")</f>
        <v>BATERIA CALANI UMYWALKOWA ASTRAL WYSOKA H BLACK</v>
      </c>
      <c r="C2733" s="23"/>
      <c r="D2733" s="24">
        <f ca="1">IFERROR(__xludf.DUMMYFUNCTION("""COMPUTED_VALUE"""),139)</f>
        <v>139</v>
      </c>
      <c r="E2733" s="25" t="str">
        <f ca="1">IFERROR(__xludf.DUMMYFUNCTION("""COMPUTED_VALUE"""),"CAL-B0010")</f>
        <v>CAL-B0010</v>
      </c>
    </row>
    <row r="2734" spans="1:5" x14ac:dyDescent="0.2">
      <c r="A2734" s="22">
        <f ca="1">IFERROR(__xludf.DUMMYFUNCTION("""COMPUTED_VALUE"""),44643)</f>
        <v>44643</v>
      </c>
      <c r="B2734" s="23" t="str">
        <f ca="1">IFERROR(__xludf.DUMMYFUNCTION("""COMPUTED_VALUE"""),"ZESTAW NATRYSKOWY JACK GOLD")</f>
        <v>ZESTAW NATRYSKOWY JACK GOLD</v>
      </c>
      <c r="C2734" s="23"/>
      <c r="D2734" s="24">
        <f ca="1">IFERROR(__xludf.DUMMYFUNCTION("""COMPUTED_VALUE"""),889)</f>
        <v>889</v>
      </c>
      <c r="E2734" s="25" t="str">
        <f ca="1">IFERROR(__xludf.DUMMYFUNCTION("""COMPUTED_VALUE"""),"REA-P7008")</f>
        <v>REA-P7008</v>
      </c>
    </row>
    <row r="2735" spans="1:5" x14ac:dyDescent="0.2">
      <c r="A2735" s="22">
        <f ca="1">IFERROR(__xludf.DUMMYFUNCTION("""COMPUTED_VALUE"""),44643)</f>
        <v>44643</v>
      </c>
      <c r="B2735" s="23" t="str">
        <f ca="1">IFERROR(__xludf.DUMMYFUNCTION("""COMPUTED_VALUE"""),"ZESTAW NATRYSKOWY JACK BLACK")</f>
        <v>ZESTAW NATRYSKOWY JACK BLACK</v>
      </c>
      <c r="C2735" s="23"/>
      <c r="D2735" s="24">
        <f ca="1">IFERROR(__xludf.DUMMYFUNCTION("""COMPUTED_VALUE"""),739)</f>
        <v>739</v>
      </c>
      <c r="E2735" s="25" t="str">
        <f ca="1">IFERROR(__xludf.DUMMYFUNCTION("""COMPUTED_VALUE"""),"REA-P7009")</f>
        <v>REA-P7009</v>
      </c>
    </row>
    <row r="2736" spans="1:5" x14ac:dyDescent="0.2">
      <c r="A2736" s="22">
        <f ca="1">IFERROR(__xludf.DUMMYFUNCTION("""COMPUTED_VALUE"""),44643)</f>
        <v>44643</v>
      </c>
      <c r="B2736" s="23" t="str">
        <f ca="1">IFERROR(__xludf.DUMMYFUNCTION("""COMPUTED_VALUE"""),"ZESTAW NATRYSKOWY LUIS BLACK")</f>
        <v>ZESTAW NATRYSKOWY LUIS BLACK</v>
      </c>
      <c r="C2736" s="23"/>
      <c r="D2736" s="24">
        <f ca="1">IFERROR(__xludf.DUMMYFUNCTION("""COMPUTED_VALUE"""),419)</f>
        <v>419</v>
      </c>
      <c r="E2736" s="25" t="str">
        <f ca="1">IFERROR(__xludf.DUMMYFUNCTION("""COMPUTED_VALUE"""),"REA-P7005")</f>
        <v>REA-P7005</v>
      </c>
    </row>
    <row r="2737" spans="1:5" x14ac:dyDescent="0.2">
      <c r="A2737" s="22">
        <f ca="1">IFERROR(__xludf.DUMMYFUNCTION("""COMPUTED_VALUE"""),44643)</f>
        <v>44643</v>
      </c>
      <c r="B2737" s="23" t="str">
        <f ca="1">IFERROR(__xludf.DUMMYFUNCTION("""COMPUTED_VALUE"""),"ZESTAW NATRYSKOWY LUIS CHROM")</f>
        <v>ZESTAW NATRYSKOWY LUIS CHROM</v>
      </c>
      <c r="C2737" s="23"/>
      <c r="D2737" s="24">
        <f ca="1">IFERROR(__xludf.DUMMYFUNCTION("""COMPUTED_VALUE"""),419)</f>
        <v>419</v>
      </c>
      <c r="E2737" s="25" t="str">
        <f ca="1">IFERROR(__xludf.DUMMYFUNCTION("""COMPUTED_VALUE"""),"REA-P7007")</f>
        <v>REA-P7007</v>
      </c>
    </row>
    <row r="2738" spans="1:5" x14ac:dyDescent="0.2">
      <c r="A2738" s="22">
        <f ca="1">IFERROR(__xludf.DUMMYFUNCTION("""COMPUTED_VALUE"""),44643)</f>
        <v>44643</v>
      </c>
      <c r="B2738" s="23" t="str">
        <f ca="1">IFERROR(__xludf.DUMMYFUNCTION("""COMPUTED_VALUE"""),"BATERIA UMYWALKOWA PODTYNKOWA OVAL BLACK ")</f>
        <v xml:space="preserve">BATERIA UMYWALKOWA PODTYNKOWA OVAL BLACK </v>
      </c>
      <c r="C2738" s="23"/>
      <c r="D2738" s="24">
        <f ca="1">IFERROR(__xludf.DUMMYFUNCTION("""COMPUTED_VALUE"""),499)</f>
        <v>499</v>
      </c>
      <c r="E2738" s="25" t="str">
        <f ca="1">IFERROR(__xludf.DUMMYFUNCTION("""COMPUTED_VALUE"""),"REA-B8860")</f>
        <v>REA-B8860</v>
      </c>
    </row>
    <row r="2739" spans="1:5" x14ac:dyDescent="0.2">
      <c r="A2739" s="22">
        <f ca="1">IFERROR(__xludf.DUMMYFUNCTION("""COMPUTED_VALUE"""),44643)</f>
        <v>44643</v>
      </c>
      <c r="B2739" s="23" t="str">
        <f ca="1">IFERROR(__xludf.DUMMYFUNCTION("""COMPUTED_VALUE"""),"ZESTAW NATRYSKOWY OVAL GOLD + ECO BOX")</f>
        <v>ZESTAW NATRYSKOWY OVAL GOLD + ECO BOX</v>
      </c>
      <c r="C2739" s="23"/>
      <c r="D2739" s="24">
        <f ca="1">IFERROR(__xludf.DUMMYFUNCTION("""COMPUTED_VALUE"""),1029)</f>
        <v>1029</v>
      </c>
      <c r="E2739" s="25" t="str">
        <f ca="1">IFERROR(__xludf.DUMMYFUNCTION("""COMPUTED_VALUE"""),"REA-P8466")</f>
        <v>REA-P8466</v>
      </c>
    </row>
    <row r="2740" spans="1:5" x14ac:dyDescent="0.2">
      <c r="A2740" s="22">
        <f ca="1">IFERROR(__xludf.DUMMYFUNCTION("""COMPUTED_VALUE"""),44643)</f>
        <v>44643</v>
      </c>
      <c r="B2740" s="23" t="str">
        <f ca="1">IFERROR(__xludf.DUMMYFUNCTION("""COMPUTED_VALUE"""),"ZESTAW NATRYSKOWY OVAL BLACK + ECO BOX")</f>
        <v>ZESTAW NATRYSKOWY OVAL BLACK + ECO BOX</v>
      </c>
      <c r="C2740" s="23"/>
      <c r="D2740" s="24">
        <f ca="1">IFERROR(__xludf.DUMMYFUNCTION("""COMPUTED_VALUE"""),799)</f>
        <v>799</v>
      </c>
      <c r="E2740" s="25" t="str">
        <f ca="1">IFERROR(__xludf.DUMMYFUNCTION("""COMPUTED_VALUE"""),"REA-P8467")</f>
        <v>REA-P8467</v>
      </c>
    </row>
    <row r="2741" spans="1:5" x14ac:dyDescent="0.2">
      <c r="A2741" s="22">
        <f ca="1">IFERROR(__xludf.DUMMYFUNCTION("""COMPUTED_VALUE"""),44643)</f>
        <v>44643</v>
      </c>
      <c r="B2741" s="23" t="str">
        <f ca="1">IFERROR(__xludf.DUMMYFUNCTION("""COMPUTED_VALUE"""),"ZESTAW NATRYSKOWY ORIX CHROME + BOX")</f>
        <v>ZESTAW NATRYSKOWY ORIX CHROME + BOX</v>
      </c>
      <c r="C2741" s="23"/>
      <c r="D2741" s="24">
        <f ca="1">IFERROR(__xludf.DUMMYFUNCTION("""COMPUTED_VALUE"""),729)</f>
        <v>729</v>
      </c>
      <c r="E2741" s="25" t="str">
        <f ca="1">IFERROR(__xludf.DUMMYFUNCTION("""COMPUTED_VALUE"""),"REA-P8463")</f>
        <v>REA-P8463</v>
      </c>
    </row>
    <row r="2742" spans="1:5" x14ac:dyDescent="0.2">
      <c r="A2742" s="22">
        <f ca="1">IFERROR(__xludf.DUMMYFUNCTION("""COMPUTED_VALUE"""),44643)</f>
        <v>44643</v>
      </c>
      <c r="B2742" s="23" t="str">
        <f ca="1">IFERROR(__xludf.DUMMYFUNCTION("""COMPUTED_VALUE"""),"ZESTAW NATRYSKOWY ORIX GOLD+ BOX")</f>
        <v>ZESTAW NATRYSKOWY ORIX GOLD+ BOX</v>
      </c>
      <c r="C2742" s="23"/>
      <c r="D2742" s="24">
        <f ca="1">IFERROR(__xludf.DUMMYFUNCTION("""COMPUTED_VALUE"""),929)</f>
        <v>929</v>
      </c>
      <c r="E2742" s="25" t="str">
        <f ca="1">IFERROR(__xludf.DUMMYFUNCTION("""COMPUTED_VALUE"""),"REA-P8464")</f>
        <v>REA-P8464</v>
      </c>
    </row>
    <row r="2743" spans="1:5" x14ac:dyDescent="0.2">
      <c r="A2743" s="22">
        <f ca="1">IFERROR(__xludf.DUMMYFUNCTION("""COMPUTED_VALUE"""),44643)</f>
        <v>44643</v>
      </c>
      <c r="B2743" s="23" t="str">
        <f ca="1">IFERROR(__xludf.DUMMYFUNCTION("""COMPUTED_VALUE"""),"ZESTAW NATRYSKOWY ORIX BLACK+ BOX")</f>
        <v>ZESTAW NATRYSKOWY ORIX BLACK+ BOX</v>
      </c>
      <c r="C2743" s="23"/>
      <c r="D2743" s="24">
        <f ca="1">IFERROR(__xludf.DUMMYFUNCTION("""COMPUTED_VALUE"""),799)</f>
        <v>799</v>
      </c>
      <c r="E2743" s="25" t="str">
        <f ca="1">IFERROR(__xludf.DUMMYFUNCTION("""COMPUTED_VALUE"""),"REA-P8465")</f>
        <v>REA-P8465</v>
      </c>
    </row>
    <row r="2744" spans="1:5" x14ac:dyDescent="0.2">
      <c r="A2744" s="22">
        <f ca="1">IFERROR(__xludf.DUMMYFUNCTION("""COMPUTED_VALUE"""),44643)</f>
        <v>44643</v>
      </c>
      <c r="B2744" s="23" t="str">
        <f ca="1">IFERROR(__xludf.DUMMYFUNCTION("""COMPUTED_VALUE"""),"BATERIA WANNOWA AZUR")</f>
        <v>BATERIA WANNOWA AZUR</v>
      </c>
      <c r="C2744" s="23"/>
      <c r="D2744" s="24">
        <f ca="1">IFERROR(__xludf.DUMMYFUNCTION("""COMPUTED_VALUE"""),599)</f>
        <v>599</v>
      </c>
      <c r="E2744" s="25" t="str">
        <f ca="1">IFERROR(__xludf.DUMMYFUNCTION("""COMPUTED_VALUE"""),"REA-B0456")</f>
        <v>REA-B0456</v>
      </c>
    </row>
    <row r="2745" spans="1:5" x14ac:dyDescent="0.2">
      <c r="A2745" s="22">
        <f ca="1">IFERROR(__xludf.DUMMYFUNCTION("""COMPUTED_VALUE"""),44643)</f>
        <v>44643</v>
      </c>
      <c r="B2745" s="23" t="str">
        <f ca="1">IFERROR(__xludf.DUMMYFUNCTION("""COMPUTED_VALUE"""),"ZESTAW NATRYSKOWY FENIX L.GOLD")</f>
        <v>ZESTAW NATRYSKOWY FENIX L.GOLD</v>
      </c>
      <c r="C2745" s="23"/>
      <c r="D2745" s="24">
        <f ca="1">IFERROR(__xludf.DUMMYFUNCTION("""COMPUTED_VALUE"""),1079)</f>
        <v>1079</v>
      </c>
      <c r="E2745" s="25" t="str">
        <f ca="1">IFERROR(__xludf.DUMMYFUNCTION("""COMPUTED_VALUE"""),"REA-P8401")</f>
        <v>REA-P8401</v>
      </c>
    </row>
    <row r="2746" spans="1:5" x14ac:dyDescent="0.2">
      <c r="A2746" s="22">
        <f ca="1">IFERROR(__xludf.DUMMYFUNCTION("""COMPUTED_VALUE"""),44643)</f>
        <v>44643</v>
      </c>
      <c r="B2746" s="23" t="str">
        <f ca="1">IFERROR(__xludf.DUMMYFUNCTION("""COMPUTED_VALUE"""),"BATERIA BIDETOWA LOOP L.GOLD SZCZOTKOWANA")</f>
        <v>BATERIA BIDETOWA LOOP L.GOLD SZCZOTKOWANA</v>
      </c>
      <c r="C2746" s="23"/>
      <c r="D2746" s="24">
        <f ca="1">IFERROR(__xludf.DUMMYFUNCTION("""COMPUTED_VALUE"""),449)</f>
        <v>449</v>
      </c>
      <c r="E2746" s="25" t="str">
        <f ca="1">IFERROR(__xludf.DUMMYFUNCTION("""COMPUTED_VALUE"""),"REA-B6311")</f>
        <v>REA-B6311</v>
      </c>
    </row>
    <row r="2747" spans="1:5" x14ac:dyDescent="0.2">
      <c r="A2747" s="22">
        <f ca="1">IFERROR(__xludf.DUMMYFUNCTION("""COMPUTED_VALUE"""),44643)</f>
        <v>44643</v>
      </c>
      <c r="B2747" s="23" t="str">
        <f ca="1">IFERROR(__xludf.DUMMYFUNCTION("""COMPUTED_VALUE"""),"BATERIA UMYWALKOWA ORIX NISKA BLACK")</f>
        <v>BATERIA UMYWALKOWA ORIX NISKA BLACK</v>
      </c>
      <c r="C2747" s="23"/>
      <c r="D2747" s="24">
        <f ca="1">IFERROR(__xludf.DUMMYFUNCTION("""COMPUTED_VALUE"""),299)</f>
        <v>299</v>
      </c>
      <c r="E2747" s="25" t="str">
        <f ca="1">IFERROR(__xludf.DUMMYFUNCTION("""COMPUTED_VALUE"""),"REA-B5642")</f>
        <v>REA-B5642</v>
      </c>
    </row>
    <row r="2748" spans="1:5" x14ac:dyDescent="0.2">
      <c r="A2748" s="22">
        <f ca="1">IFERROR(__xludf.DUMMYFUNCTION("""COMPUTED_VALUE"""),44643)</f>
        <v>44643</v>
      </c>
      <c r="B2748" s="23" t="str">
        <f ca="1">IFERROR(__xludf.DUMMYFUNCTION("""COMPUTED_VALUE"""),"BATERIA WANNOWA LUPPO BLACK")</f>
        <v>BATERIA WANNOWA LUPPO BLACK</v>
      </c>
      <c r="C2748" s="23"/>
      <c r="D2748" s="24">
        <f ca="1">IFERROR(__xludf.DUMMYFUNCTION("""COMPUTED_VALUE"""),369)</f>
        <v>369</v>
      </c>
      <c r="E2748" s="25" t="str">
        <f ca="1">IFERROR(__xludf.DUMMYFUNCTION("""COMPUTED_VALUE"""),"REA-B5770")</f>
        <v>REA-B5770</v>
      </c>
    </row>
    <row r="2749" spans="1:5" x14ac:dyDescent="0.2">
      <c r="A2749" s="22">
        <f ca="1">IFERROR(__xludf.DUMMYFUNCTION("""COMPUTED_VALUE"""),44643)</f>
        <v>44643</v>
      </c>
      <c r="B2749" s="23" t="str">
        <f ca="1">IFERROR(__xludf.DUMMYFUNCTION("""COMPUTED_VALUE"""),"BATERIA UMYWALKOWA LUPPO BLACK WYSOKA")</f>
        <v>BATERIA UMYWALKOWA LUPPO BLACK WYSOKA</v>
      </c>
      <c r="C2749" s="23"/>
      <c r="D2749" s="24">
        <f ca="1">IFERROR(__xludf.DUMMYFUNCTION("""COMPUTED_VALUE"""),279)</f>
        <v>279</v>
      </c>
      <c r="E2749" s="25" t="str">
        <f ca="1">IFERROR(__xludf.DUMMYFUNCTION("""COMPUTED_VALUE"""),"REA-B9637")</f>
        <v>REA-B9637</v>
      </c>
    </row>
    <row r="2750" spans="1:5" x14ac:dyDescent="0.2">
      <c r="A2750" s="22">
        <f ca="1">IFERROR(__xludf.DUMMYFUNCTION("""COMPUTED_VALUE"""),44643)</f>
        <v>44643</v>
      </c>
      <c r="B2750" s="23" t="str">
        <f ca="1">IFERROR(__xludf.DUMMYFUNCTION("""COMPUTED_VALUE"""),"BATERIA UMYWALKOWA LUPPO BLACK NISKA")</f>
        <v>BATERIA UMYWALKOWA LUPPO BLACK NISKA</v>
      </c>
      <c r="C2750" s="23"/>
      <c r="D2750" s="24">
        <f ca="1">IFERROR(__xludf.DUMMYFUNCTION("""COMPUTED_VALUE"""),189)</f>
        <v>189</v>
      </c>
      <c r="E2750" s="25" t="str">
        <f ca="1">IFERROR(__xludf.DUMMYFUNCTION("""COMPUTED_VALUE"""),"REA-B5668")</f>
        <v>REA-B5668</v>
      </c>
    </row>
    <row r="2751" spans="1:5" x14ac:dyDescent="0.2">
      <c r="A2751" s="22">
        <f ca="1">IFERROR(__xludf.DUMMYFUNCTION("""COMPUTED_VALUE"""),44643)</f>
        <v>44643</v>
      </c>
      <c r="B2751" s="23" t="str">
        <f ca="1">IFERROR(__xludf.DUMMYFUNCTION("""COMPUTED_VALUE"""),"BATERIA BIDETOWA TESS BLACK")</f>
        <v>BATERIA BIDETOWA TESS BLACK</v>
      </c>
      <c r="C2751" s="23"/>
      <c r="D2751" s="24">
        <f ca="1">IFERROR(__xludf.DUMMYFUNCTION("""COMPUTED_VALUE"""),219)</f>
        <v>219</v>
      </c>
      <c r="E2751" s="25" t="str">
        <f ca="1">IFERROR(__xludf.DUMMYFUNCTION("""COMPUTED_VALUE"""),"REA-B5006")</f>
        <v>REA-B5006</v>
      </c>
    </row>
    <row r="2752" spans="1:5" x14ac:dyDescent="0.2">
      <c r="A2752" s="22">
        <f ca="1">IFERROR(__xludf.DUMMYFUNCTION("""COMPUTED_VALUE"""),44643)</f>
        <v>44643</v>
      </c>
      <c r="B2752" s="23" t="str">
        <f ca="1">IFERROR(__xludf.DUMMYFUNCTION("""COMPUTED_VALUE"""),"BATERIA NISKA TESS BLACK")</f>
        <v>BATERIA NISKA TESS BLACK</v>
      </c>
      <c r="C2752" s="23"/>
      <c r="D2752" s="24">
        <f ca="1">IFERROR(__xludf.DUMMYFUNCTION("""COMPUTED_VALUE"""),219)</f>
        <v>219</v>
      </c>
      <c r="E2752" s="25" t="str">
        <f ca="1">IFERROR(__xludf.DUMMYFUNCTION("""COMPUTED_VALUE"""),"REA-B8881")</f>
        <v>REA-B8881</v>
      </c>
    </row>
    <row r="2753" spans="1:5" x14ac:dyDescent="0.2">
      <c r="A2753" s="22">
        <f ca="1">IFERROR(__xludf.DUMMYFUNCTION("""COMPUTED_VALUE"""),44643)</f>
        <v>44643</v>
      </c>
      <c r="B2753" s="23" t="str">
        <f ca="1">IFERROR(__xludf.DUMMYFUNCTION("""COMPUTED_VALUE"""),"BATERIA PODTYNKOWA VIVA L.GOLD + BOX")</f>
        <v>BATERIA PODTYNKOWA VIVA L.GOLD + BOX</v>
      </c>
      <c r="C2753" s="23"/>
      <c r="D2753" s="24">
        <f ca="1">IFERROR(__xludf.DUMMYFUNCTION("""COMPUTED_VALUE"""),399)</f>
        <v>399</v>
      </c>
      <c r="E2753" s="25" t="str">
        <f ca="1">IFERROR(__xludf.DUMMYFUNCTION("""COMPUTED_VALUE"""),"REA-B6251")</f>
        <v>REA-B6251</v>
      </c>
    </row>
    <row r="2754" spans="1:5" x14ac:dyDescent="0.2">
      <c r="A2754" s="22">
        <f ca="1">IFERROR(__xludf.DUMMYFUNCTION("""COMPUTED_VALUE"""),44643)</f>
        <v>44643</v>
      </c>
      <c r="B2754" s="23" t="str">
        <f ca="1">IFERROR(__xludf.DUMMYFUNCTION("""COMPUTED_VALUE"""),"BATERIA UMYWALKOWA FALCON - WYSOKA")</f>
        <v>BATERIA UMYWALKOWA FALCON - WYSOKA</v>
      </c>
      <c r="C2754" s="23"/>
      <c r="D2754" s="24">
        <f ca="1">IFERROR(__xludf.DUMMYFUNCTION("""COMPUTED_VALUE"""),179)</f>
        <v>179</v>
      </c>
      <c r="E2754" s="25" t="str">
        <f ca="1">IFERROR(__xludf.DUMMYFUNCTION("""COMPUTED_VALUE"""),"BAT-00149")</f>
        <v>BAT-00149</v>
      </c>
    </row>
    <row r="2755" spans="1:5" x14ac:dyDescent="0.2">
      <c r="A2755" s="22">
        <f ca="1">IFERROR(__xludf.DUMMYFUNCTION("""COMPUTED_VALUE"""),44643)</f>
        <v>44643</v>
      </c>
      <c r="B2755" s="23" t="str">
        <f ca="1">IFERROR(__xludf.DUMMYFUNCTION("""COMPUTED_VALUE"""),"BATERIA UMYWALKOWA FALCON BLACK - WYSOKA")</f>
        <v>BATERIA UMYWALKOWA FALCON BLACK - WYSOKA</v>
      </c>
      <c r="C2755" s="23"/>
      <c r="D2755" s="24">
        <f ca="1">IFERROR(__xludf.DUMMYFUNCTION("""COMPUTED_VALUE"""),279)</f>
        <v>279</v>
      </c>
      <c r="E2755" s="25" t="str">
        <f ca="1">IFERROR(__xludf.DUMMYFUNCTION("""COMPUTED_VALUE"""),"REA-B0252")</f>
        <v>REA-B0252</v>
      </c>
    </row>
    <row r="2756" spans="1:5" x14ac:dyDescent="0.2">
      <c r="A2756" s="22">
        <f ca="1">IFERROR(__xludf.DUMMYFUNCTION("""COMPUTED_VALUE"""),44643)</f>
        <v>44643</v>
      </c>
      <c r="B2756" s="23" t="str">
        <f ca="1">IFERROR(__xludf.DUMMYFUNCTION("""COMPUTED_VALUE"""),"BATERIA SMART WHITE + GOLD")</f>
        <v>BATERIA SMART WHITE + GOLD</v>
      </c>
      <c r="C2756" s="23"/>
      <c r="D2756" s="24">
        <f ca="1">IFERROR(__xludf.DUMMYFUNCTION("""COMPUTED_VALUE"""),339)</f>
        <v>339</v>
      </c>
      <c r="E2756" s="25" t="str">
        <f ca="1">IFERROR(__xludf.DUMMYFUNCTION("""COMPUTED_VALUE"""),"REA-B8400")</f>
        <v>REA-B8400</v>
      </c>
    </row>
    <row r="2757" spans="1:5" x14ac:dyDescent="0.2">
      <c r="A2757" s="22">
        <f ca="1">IFERROR(__xludf.DUMMYFUNCTION("""COMPUTED_VALUE"""),44643)</f>
        <v>44643</v>
      </c>
      <c r="B2757" s="23" t="str">
        <f ca="1">IFERROR(__xludf.DUMMYFUNCTION("""COMPUTED_VALUE"""),"BATERIA SMART BLACK + GOLD")</f>
        <v>BATERIA SMART BLACK + GOLD</v>
      </c>
      <c r="C2757" s="23"/>
      <c r="D2757" s="24">
        <f ca="1">IFERROR(__xludf.DUMMYFUNCTION("""COMPUTED_VALUE"""),339)</f>
        <v>339</v>
      </c>
      <c r="E2757" s="25" t="str">
        <f ca="1">IFERROR(__xludf.DUMMYFUNCTION("""COMPUTED_VALUE"""),"REA-B7402")</f>
        <v>REA-B7402</v>
      </c>
    </row>
    <row r="2758" spans="1:5" x14ac:dyDescent="0.2">
      <c r="A2758" s="22">
        <f ca="1">IFERROR(__xludf.DUMMYFUNCTION("""COMPUTED_VALUE"""),44643)</f>
        <v>44643</v>
      </c>
      <c r="B2758" s="23" t="str">
        <f ca="1">IFERROR(__xludf.DUMMYFUNCTION("""COMPUTED_VALUE"""),"BATERIA UMYWALKOWA MODO L.GOLD WYSOKA")</f>
        <v>BATERIA UMYWALKOWA MODO L.GOLD WYSOKA</v>
      </c>
      <c r="C2758" s="23"/>
      <c r="D2758" s="24">
        <f ca="1">IFERROR(__xludf.DUMMYFUNCTION("""COMPUTED_VALUE"""),479)</f>
        <v>479</v>
      </c>
      <c r="E2758" s="25" t="str">
        <f ca="1">IFERROR(__xludf.DUMMYFUNCTION("""COMPUTED_VALUE"""),"REA-B5665")</f>
        <v>REA-B5665</v>
      </c>
    </row>
    <row r="2759" spans="1:5" x14ac:dyDescent="0.2">
      <c r="A2759" s="22">
        <f ca="1">IFERROR(__xludf.DUMMYFUNCTION("""COMPUTED_VALUE"""),44643)</f>
        <v>44643</v>
      </c>
      <c r="B2759" s="23" t="str">
        <f ca="1">IFERROR(__xludf.DUMMYFUNCTION("""COMPUTED_VALUE"""),"SYFON CALANI KLIK-KLAK UNIWERSALNY CHROM")</f>
        <v>SYFON CALANI KLIK-KLAK UNIWERSALNY CHROM</v>
      </c>
      <c r="C2759" s="23"/>
      <c r="D2759" s="24">
        <f ca="1">IFERROR(__xludf.DUMMYFUNCTION("""COMPUTED_VALUE"""),149)</f>
        <v>149</v>
      </c>
      <c r="E2759" s="25" t="str">
        <f ca="1">IFERROR(__xludf.DUMMYFUNCTION("""COMPUTED_VALUE"""),"CAL-A0004")</f>
        <v>CAL-A0004</v>
      </c>
    </row>
    <row r="2760" spans="1:5" x14ac:dyDescent="0.2">
      <c r="A2760" s="22">
        <f ca="1">IFERROR(__xludf.DUMMYFUNCTION("""COMPUTED_VALUE"""),44643)</f>
        <v>44643</v>
      </c>
      <c r="B2760" s="23" t="str">
        <f ca="1">IFERROR(__xludf.DUMMYFUNCTION("""COMPUTED_VALUE"""),"SYFON CALANI KLIK-KLAK UNIWERSALNY L.GOLD")</f>
        <v>SYFON CALANI KLIK-KLAK UNIWERSALNY L.GOLD</v>
      </c>
      <c r="C2760" s="23"/>
      <c r="D2760" s="24">
        <f ca="1">IFERROR(__xludf.DUMMYFUNCTION("""COMPUTED_VALUE"""),189)</f>
        <v>189</v>
      </c>
      <c r="E2760" s="25" t="str">
        <f ca="1">IFERROR(__xludf.DUMMYFUNCTION("""COMPUTED_VALUE"""),"CAL-A0001")</f>
        <v>CAL-A0001</v>
      </c>
    </row>
    <row r="2761" spans="1:5" x14ac:dyDescent="0.2">
      <c r="A2761" s="22">
        <f ca="1">IFERROR(__xludf.DUMMYFUNCTION("""COMPUTED_VALUE"""),44643)</f>
        <v>44643</v>
      </c>
      <c r="B2761" s="23" t="str">
        <f ca="1">IFERROR(__xludf.DUMMYFUNCTION("""COMPUTED_VALUE"""),"SYFON CALANI KLIK-KLAK UNIWERSALNY BLACK")</f>
        <v>SYFON CALANI KLIK-KLAK UNIWERSALNY BLACK</v>
      </c>
      <c r="C2761" s="23"/>
      <c r="D2761" s="24">
        <f ca="1">IFERROR(__xludf.DUMMYFUNCTION("""COMPUTED_VALUE"""),189)</f>
        <v>189</v>
      </c>
      <c r="E2761" s="25" t="str">
        <f ca="1">IFERROR(__xludf.DUMMYFUNCTION("""COMPUTED_VALUE"""),"CAL-A0007")</f>
        <v>CAL-A0007</v>
      </c>
    </row>
    <row r="2762" spans="1:5" x14ac:dyDescent="0.2">
      <c r="A2762" s="22">
        <f ca="1">IFERROR(__xludf.DUMMYFUNCTION("""COMPUTED_VALUE"""),44643)</f>
        <v>44643</v>
      </c>
      <c r="B2762" s="23" t="str">
        <f ca="1">IFERROR(__xludf.DUMMYFUNCTION("""COMPUTED_VALUE"""),"KOREK CALANI KLIK-KLAK UNIWERSALNY BLACK")</f>
        <v>KOREK CALANI KLIK-KLAK UNIWERSALNY BLACK</v>
      </c>
      <c r="C2762" s="23"/>
      <c r="D2762" s="24">
        <f ca="1">IFERROR(__xludf.DUMMYFUNCTION("""COMPUTED_VALUE"""),69)</f>
        <v>69</v>
      </c>
      <c r="E2762" s="25" t="str">
        <f ca="1">IFERROR(__xludf.DUMMYFUNCTION("""COMPUTED_VALUE"""),"CAL-A0006")</f>
        <v>CAL-A0006</v>
      </c>
    </row>
    <row r="2763" spans="1:5" x14ac:dyDescent="0.2">
      <c r="A2763" s="22">
        <f ca="1">IFERROR(__xludf.DUMMYFUNCTION("""COMPUTED_VALUE"""),44643)</f>
        <v>44643</v>
      </c>
      <c r="B2763" s="23" t="str">
        <f ca="1">IFERROR(__xludf.DUMMYFUNCTION("""COMPUTED_VALUE"""),"SYFON KLIK-KLAK UNIWERSALNY ROSE GOLD")</f>
        <v>SYFON KLIK-KLAK UNIWERSALNY ROSE GOLD</v>
      </c>
      <c r="C2763" s="23"/>
      <c r="D2763" s="24">
        <f ca="1">IFERROR(__xludf.DUMMYFUNCTION("""COMPUTED_VALUE"""),239)</f>
        <v>239</v>
      </c>
      <c r="E2763" s="25" t="str">
        <f ca="1">IFERROR(__xludf.DUMMYFUNCTION("""COMPUTED_VALUE"""),"REA-A8541")</f>
        <v>REA-A8541</v>
      </c>
    </row>
    <row r="2764" spans="1:5" x14ac:dyDescent="0.2">
      <c r="A2764" s="22">
        <f ca="1">IFERROR(__xludf.DUMMYFUNCTION("""COMPUTED_VALUE"""),44643)</f>
        <v>44643</v>
      </c>
      <c r="B2764" s="23" t="str">
        <f ca="1">IFERROR(__xludf.DUMMYFUNCTION("""COMPUTED_VALUE"""),"SYFON KLIK-KLAK UNIWERSALNY L.GOLD SZCZOTKOWANY")</f>
        <v>SYFON KLIK-KLAK UNIWERSALNY L.GOLD SZCZOTKOWANY</v>
      </c>
      <c r="C2764" s="23"/>
      <c r="D2764" s="24">
        <f ca="1">IFERROR(__xludf.DUMMYFUNCTION("""COMPUTED_VALUE"""),299)</f>
        <v>299</v>
      </c>
      <c r="E2764" s="25" t="str">
        <f ca="1">IFERROR(__xludf.DUMMYFUNCTION("""COMPUTED_VALUE"""),"REA-A8586")</f>
        <v>REA-A8586</v>
      </c>
    </row>
    <row r="2765" spans="1:5" x14ac:dyDescent="0.2">
      <c r="A2765" s="22">
        <f ca="1">IFERROR(__xludf.DUMMYFUNCTION("""COMPUTED_VALUE"""),44643)</f>
        <v>44643</v>
      </c>
      <c r="B2765" s="23" t="str">
        <f ca="1">IFERROR(__xludf.DUMMYFUNCTION("""COMPUTED_VALUE"""),"KOREK KLIK-KLAK UNIWERSALNY L.GOLD SZCZOTKOWANY")</f>
        <v>KOREK KLIK-KLAK UNIWERSALNY L.GOLD SZCZOTKOWANY</v>
      </c>
      <c r="C2765" s="23"/>
      <c r="D2765" s="24">
        <f ca="1">IFERROR(__xludf.DUMMYFUNCTION("""COMPUTED_VALUE"""),99)</f>
        <v>99</v>
      </c>
      <c r="E2765" s="25" t="str">
        <f ca="1">IFERROR(__xludf.DUMMYFUNCTION("""COMPUTED_VALUE"""),"REA-A8585")</f>
        <v>REA-A8585</v>
      </c>
    </row>
    <row r="2766" spans="1:5" x14ac:dyDescent="0.2">
      <c r="A2766" s="22">
        <f ca="1">IFERROR(__xludf.DUMMYFUNCTION("""COMPUTED_VALUE"""),44643)</f>
        <v>44643</v>
      </c>
      <c r="B2766" s="23" t="str">
        <f ca="1">IFERROR(__xludf.DUMMYFUNCTION("""COMPUTED_VALUE"""),"BATERIA WYSOKA DECO OLD BLACK")</f>
        <v>BATERIA WYSOKA DECO OLD BLACK</v>
      </c>
      <c r="C2766" s="23"/>
      <c r="D2766" s="24">
        <f ca="1">IFERROR(__xludf.DUMMYFUNCTION("""COMPUTED_VALUE"""),499)</f>
        <v>499</v>
      </c>
      <c r="E2766" s="25" t="str">
        <f ca="1">IFERROR(__xludf.DUMMYFUNCTION("""COMPUTED_VALUE"""),"REA-B0182")</f>
        <v>REA-B0182</v>
      </c>
    </row>
    <row r="2767" spans="1:5" x14ac:dyDescent="0.2">
      <c r="A2767" s="22">
        <f ca="1">IFERROR(__xludf.DUMMYFUNCTION("""COMPUTED_VALUE"""),44643)</f>
        <v>44643</v>
      </c>
      <c r="B2767" s="23" t="str">
        <f ca="1">IFERROR(__xludf.DUMMYFUNCTION("""COMPUTED_VALUE"""),"BATERIA WANNOWA CARAT BLACK MATT")</f>
        <v>BATERIA WANNOWA CARAT BLACK MATT</v>
      </c>
      <c r="C2767" s="23"/>
      <c r="D2767" s="24">
        <f ca="1">IFERROR(__xludf.DUMMYFUNCTION("""COMPUTED_VALUE"""),1369)</f>
        <v>1369</v>
      </c>
      <c r="E2767" s="25" t="str">
        <f ca="1">IFERROR(__xludf.DUMMYFUNCTION("""COMPUTED_VALUE"""),"REA-B5423")</f>
        <v>REA-B5423</v>
      </c>
    </row>
    <row r="2768" spans="1:5" x14ac:dyDescent="0.2">
      <c r="A2768" s="22">
        <f ca="1">IFERROR(__xludf.DUMMYFUNCTION("""COMPUTED_VALUE"""),44643)</f>
        <v>44643</v>
      </c>
      <c r="B2768" s="23" t="str">
        <f ca="1">IFERROR(__xludf.DUMMYFUNCTION("""COMPUTED_VALUE"""),"BATERIA UMYWALKOWA PODTYNKOWA SONIC BLACK + BOX")</f>
        <v>BATERIA UMYWALKOWA PODTYNKOWA SONIC BLACK + BOX</v>
      </c>
      <c r="C2768" s="23"/>
      <c r="D2768" s="24">
        <f ca="1">IFERROR(__xludf.DUMMYFUNCTION("""COMPUTED_VALUE"""),320)</f>
        <v>320</v>
      </c>
      <c r="E2768" s="25" t="str">
        <f ca="1">IFERROR(__xludf.DUMMYFUNCTION("""COMPUTED_VALUE"""),"REA-B0181")</f>
        <v>REA-B0181</v>
      </c>
    </row>
    <row r="2769" spans="1:5" x14ac:dyDescent="0.2">
      <c r="A2769" s="22">
        <f ca="1">IFERROR(__xludf.DUMMYFUNCTION("""COMPUTED_VALUE"""),44643)</f>
        <v>44643</v>
      </c>
      <c r="B2769" s="23" t="str">
        <f ca="1">IFERROR(__xludf.DUMMYFUNCTION("""COMPUTED_VALUE"""),"ZESTAW WANNOWY PODTYNKOWY LUNGO BLACK")</f>
        <v>ZESTAW WANNOWY PODTYNKOWY LUNGO BLACK</v>
      </c>
      <c r="C2769" s="23"/>
      <c r="D2769" s="24">
        <f ca="1">IFERROR(__xludf.DUMMYFUNCTION("""COMPUTED_VALUE"""),759)</f>
        <v>759</v>
      </c>
      <c r="E2769" s="25" t="str">
        <f ca="1">IFERROR(__xludf.DUMMYFUNCTION("""COMPUTED_VALUE"""),"REA-P6300")</f>
        <v>REA-P6300</v>
      </c>
    </row>
    <row r="2770" spans="1:5" x14ac:dyDescent="0.2">
      <c r="A2770" s="22">
        <f ca="1">IFERROR(__xludf.DUMMYFUNCTION("""COMPUTED_VALUE"""),44643)</f>
        <v>44643</v>
      </c>
      <c r="B2770" s="23" t="str">
        <f ca="1">IFERROR(__xludf.DUMMYFUNCTION("""COMPUTED_VALUE"""),"BATERIA WANNOWA 3-OTWOROWA GLEN BLACK")</f>
        <v>BATERIA WANNOWA 3-OTWOROWA GLEN BLACK</v>
      </c>
      <c r="C2770" s="23"/>
      <c r="D2770" s="24">
        <f ca="1">IFERROR(__xludf.DUMMYFUNCTION("""COMPUTED_VALUE"""),859)</f>
        <v>859</v>
      </c>
      <c r="E2770" s="25" t="str">
        <f ca="1">IFERROR(__xludf.DUMMYFUNCTION("""COMPUTED_VALUE"""),"REA-B6630")</f>
        <v>REA-B6630</v>
      </c>
    </row>
    <row r="2771" spans="1:5" x14ac:dyDescent="0.2">
      <c r="A2771" s="22">
        <f ca="1">IFERROR(__xludf.DUMMYFUNCTION("""COMPUTED_VALUE"""),44643)</f>
        <v>44643</v>
      </c>
      <c r="B2771" s="23" t="str">
        <f ca="1">IFERROR(__xludf.DUMMYFUNCTION("""COMPUTED_VALUE"""),"BATERIA CALANI UMYWALKOWA SIENA WYSOKA H BLACK")</f>
        <v>BATERIA CALANI UMYWALKOWA SIENA WYSOKA H BLACK</v>
      </c>
      <c r="C2771" s="23"/>
      <c r="D2771" s="24">
        <f ca="1">IFERROR(__xludf.DUMMYFUNCTION("""COMPUTED_VALUE"""),269)</f>
        <v>269</v>
      </c>
      <c r="E2771" s="25" t="str">
        <f ca="1">IFERROR(__xludf.DUMMYFUNCTION("""COMPUTED_VALUE"""),"CAL-B0042")</f>
        <v>CAL-B0042</v>
      </c>
    </row>
    <row r="2772" spans="1:5" x14ac:dyDescent="0.2">
      <c r="A2772" s="22">
        <f ca="1">IFERROR(__xludf.DUMMYFUNCTION("""COMPUTED_VALUE"""),44643)</f>
        <v>44643</v>
      </c>
      <c r="B2772" s="23" t="str">
        <f ca="1">IFERROR(__xludf.DUMMYFUNCTION("""COMPUTED_VALUE"""),"BATERIA KUCHENNA APOLLO BLACK/ROSE GOLD")</f>
        <v>BATERIA KUCHENNA APOLLO BLACK/ROSE GOLD</v>
      </c>
      <c r="C2772" s="23"/>
      <c r="D2772" s="24">
        <f ca="1">IFERROR(__xludf.DUMMYFUNCTION("""COMPUTED_VALUE"""),449)</f>
        <v>449</v>
      </c>
      <c r="E2772" s="25" t="str">
        <f ca="1">IFERROR(__xludf.DUMMYFUNCTION("""COMPUTED_VALUE"""),"REA-B9600")</f>
        <v>REA-B9600</v>
      </c>
    </row>
    <row r="2773" spans="1:5" x14ac:dyDescent="0.2">
      <c r="A2773" s="22">
        <f ca="1">IFERROR(__xludf.DUMMYFUNCTION("""COMPUTED_VALUE"""),44643)</f>
        <v>44643</v>
      </c>
      <c r="B2773" s="23" t="str">
        <f ca="1">IFERROR(__xludf.DUMMYFUNCTION("""COMPUTED_VALUE"""),"BATERIA UMYWALKOWA LUGANO L.GOLD WYSOKA")</f>
        <v>BATERIA UMYWALKOWA LUGANO L.GOLD WYSOKA</v>
      </c>
      <c r="C2773" s="23"/>
      <c r="D2773" s="24">
        <f ca="1">IFERROR(__xludf.DUMMYFUNCTION("""COMPUTED_VALUE"""),389)</f>
        <v>389</v>
      </c>
      <c r="E2773" s="25" t="str">
        <f ca="1">IFERROR(__xludf.DUMMYFUNCTION("""COMPUTED_VALUE"""),"REA-B5002")</f>
        <v>REA-B5002</v>
      </c>
    </row>
    <row r="2774" spans="1:5" x14ac:dyDescent="0.2">
      <c r="A2774" s="22">
        <f ca="1">IFERROR(__xludf.DUMMYFUNCTION("""COMPUTED_VALUE"""),44643)</f>
        <v>44643</v>
      </c>
      <c r="B2774" s="23" t="str">
        <f ca="1">IFERROR(__xludf.DUMMYFUNCTION("""COMPUTED_VALUE"""),"KABINA 80X80 PUNTO BLACK")</f>
        <v>KABINA 80X80 PUNTO BLACK</v>
      </c>
      <c r="C2774" s="23"/>
      <c r="D2774" s="24">
        <f ca="1">IFERROR(__xludf.DUMMYFUNCTION("""COMPUTED_VALUE"""),799)</f>
        <v>799</v>
      </c>
      <c r="E2774" s="25" t="str">
        <f ca="1">IFERROR(__xludf.DUMMYFUNCTION("""COMPUTED_VALUE"""),"REA-K4800")</f>
        <v>REA-K4800</v>
      </c>
    </row>
    <row r="2775" spans="1:5" x14ac:dyDescent="0.2">
      <c r="A2775" s="22">
        <f ca="1">IFERROR(__xludf.DUMMYFUNCTION("""COMPUTED_VALUE"""),44643)</f>
        <v>44643</v>
      </c>
      <c r="B2775" s="23" t="str">
        <f ca="1">IFERROR(__xludf.DUMMYFUNCTION("""COMPUTED_VALUE"""),"BRODZIK SAVOY 80*80*6cm + SYFON")</f>
        <v>BRODZIK SAVOY 80*80*6cm + SYFON</v>
      </c>
      <c r="C2775" s="23"/>
      <c r="D2775" s="24">
        <f ca="1">IFERROR(__xludf.DUMMYFUNCTION("""COMPUTED_VALUE"""),399)</f>
        <v>399</v>
      </c>
      <c r="E2775" s="25" t="str">
        <f ca="1">IFERROR(__xludf.DUMMYFUNCTION("""COMPUTED_VALUE"""),"REA-K1906")</f>
        <v>REA-K1906</v>
      </c>
    </row>
    <row r="2776" spans="1:5" x14ac:dyDescent="0.2">
      <c r="A2776" s="22">
        <f ca="1">IFERROR(__xludf.DUMMYFUNCTION("""COMPUTED_VALUE"""),44643)</f>
        <v>44643</v>
      </c>
      <c r="B2776" s="23" t="str">
        <f ca="1">IFERROR(__xludf.DUMMYFUNCTION("""COMPUTED_VALUE"""),"ODPŁYW NEO &amp; PURE-500 N  PRO BRUSH")</f>
        <v>ODPŁYW NEO &amp; PURE-500 N  PRO BRUSH</v>
      </c>
      <c r="C2776" s="23"/>
      <c r="D2776" s="24">
        <f ca="1">IFERROR(__xludf.DUMMYFUNCTION("""COMPUTED_VALUE"""),219)</f>
        <v>219</v>
      </c>
      <c r="E2776" s="25" t="str">
        <f ca="1">IFERROR(__xludf.DUMMYFUNCTION("""COMPUTED_VALUE"""),"REA-G0988")</f>
        <v>REA-G0988</v>
      </c>
    </row>
    <row r="2777" spans="1:5" x14ac:dyDescent="0.2">
      <c r="A2777" s="22">
        <f ca="1">IFERROR(__xludf.DUMMYFUNCTION("""COMPUTED_VALUE"""),44643)</f>
        <v>44643</v>
      </c>
      <c r="B2777" s="23" t="str">
        <f ca="1">IFERROR(__xludf.DUMMYFUNCTION("""COMPUTED_VALUE"""),"ODPŁYW NEO &amp; PURE-600 N PRO BRUSH")</f>
        <v>ODPŁYW NEO &amp; PURE-600 N PRO BRUSH</v>
      </c>
      <c r="C2777" s="23"/>
      <c r="D2777" s="24">
        <f ca="1">IFERROR(__xludf.DUMMYFUNCTION("""COMPUTED_VALUE"""),235)</f>
        <v>235</v>
      </c>
      <c r="E2777" s="25" t="str">
        <f ca="1">IFERROR(__xludf.DUMMYFUNCTION("""COMPUTED_VALUE"""),"REA-G0900")</f>
        <v>REA-G0900</v>
      </c>
    </row>
    <row r="2778" spans="1:5" x14ac:dyDescent="0.2">
      <c r="A2778" s="22">
        <f ca="1">IFERROR(__xludf.DUMMYFUNCTION("""COMPUTED_VALUE"""),44643)</f>
        <v>44643</v>
      </c>
      <c r="B2778" s="23" t="str">
        <f ca="1">IFERROR(__xludf.DUMMYFUNCTION("""COMPUTED_VALUE"""),"ODPŁYW NEO &amp; PURE-700 N PRO BRUSH")</f>
        <v>ODPŁYW NEO &amp; PURE-700 N PRO BRUSH</v>
      </c>
      <c r="C2778" s="23"/>
      <c r="D2778" s="24">
        <f ca="1">IFERROR(__xludf.DUMMYFUNCTION("""COMPUTED_VALUE"""),249)</f>
        <v>249</v>
      </c>
      <c r="E2778" s="25" t="str">
        <f ca="1">IFERROR(__xludf.DUMMYFUNCTION("""COMPUTED_VALUE"""),"REA-G0901")</f>
        <v>REA-G0901</v>
      </c>
    </row>
    <row r="2779" spans="1:5" x14ac:dyDescent="0.2">
      <c r="A2779" s="22">
        <f ca="1">IFERROR(__xludf.DUMMYFUNCTION("""COMPUTED_VALUE"""),44643)</f>
        <v>44643</v>
      </c>
      <c r="B2779" s="23" t="str">
        <f ca="1">IFERROR(__xludf.DUMMYFUNCTION("""COMPUTED_VALUE"""),"ODPŁYW NEO &amp; PURE-900 N PRO BRUSH")</f>
        <v>ODPŁYW NEO &amp; PURE-900 N PRO BRUSH</v>
      </c>
      <c r="C2779" s="23"/>
      <c r="D2779" s="24">
        <f ca="1">IFERROR(__xludf.DUMMYFUNCTION("""COMPUTED_VALUE"""),289)</f>
        <v>289</v>
      </c>
      <c r="E2779" s="25" t="str">
        <f ca="1">IFERROR(__xludf.DUMMYFUNCTION("""COMPUTED_VALUE"""),"REA-G0903")</f>
        <v>REA-G0903</v>
      </c>
    </row>
    <row r="2780" spans="1:5" x14ac:dyDescent="0.2">
      <c r="A2780" s="22">
        <f ca="1">IFERROR(__xludf.DUMMYFUNCTION("""COMPUTED_VALUE"""),44643)</f>
        <v>44643</v>
      </c>
      <c r="B2780" s="23" t="str">
        <f ca="1">IFERROR(__xludf.DUMMYFUNCTION("""COMPUTED_VALUE"""),"ODPŁYW NEO &amp; PURE-1000 N PRO BRUSH")</f>
        <v>ODPŁYW NEO &amp; PURE-1000 N PRO BRUSH</v>
      </c>
      <c r="C2780" s="23"/>
      <c r="D2780" s="24">
        <f ca="1">IFERROR(__xludf.DUMMYFUNCTION("""COMPUTED_VALUE"""),299)</f>
        <v>299</v>
      </c>
      <c r="E2780" s="25" t="str">
        <f ca="1">IFERROR(__xludf.DUMMYFUNCTION("""COMPUTED_VALUE"""),"REA-G0989")</f>
        <v>REA-G0989</v>
      </c>
    </row>
    <row r="2781" spans="1:5" x14ac:dyDescent="0.2">
      <c r="A2781" s="22">
        <f ca="1">IFERROR(__xludf.DUMMYFUNCTION("""COMPUTED_VALUE"""),44643)</f>
        <v>44643</v>
      </c>
      <c r="B2781" s="23" t="str">
        <f ca="1">IFERROR(__xludf.DUMMYFUNCTION("""COMPUTED_VALUE"""),"ODPŁYW NEO &amp; PURE-500 N BRUSH")</f>
        <v>ODPŁYW NEO &amp; PURE-500 N BRUSH</v>
      </c>
      <c r="C2781" s="23"/>
      <c r="D2781" s="24">
        <f ca="1">IFERROR(__xludf.DUMMYFUNCTION("""COMPUTED_VALUE"""),199)</f>
        <v>199</v>
      </c>
      <c r="E2781" s="25" t="str">
        <f ca="1">IFERROR(__xludf.DUMMYFUNCTION("""COMPUTED_VALUE"""),"REA-G0090")</f>
        <v>REA-G0090</v>
      </c>
    </row>
    <row r="2782" spans="1:5" x14ac:dyDescent="0.2">
      <c r="A2782" s="22">
        <f ca="1">IFERROR(__xludf.DUMMYFUNCTION("""COMPUTED_VALUE"""),44643)</f>
        <v>44643</v>
      </c>
      <c r="B2782" s="23" t="str">
        <f ca="1">IFERROR(__xludf.DUMMYFUNCTION("""COMPUTED_VALUE"""),"ODPŁYW NEO &amp; PURE-600 N BRUSH")</f>
        <v>ODPŁYW NEO &amp; PURE-600 N BRUSH</v>
      </c>
      <c r="C2782" s="23"/>
      <c r="D2782" s="24">
        <f ca="1">IFERROR(__xludf.DUMMYFUNCTION("""COMPUTED_VALUE"""),219)</f>
        <v>219</v>
      </c>
      <c r="E2782" s="25" t="str">
        <f ca="1">IFERROR(__xludf.DUMMYFUNCTION("""COMPUTED_VALUE"""),"REA-G0091")</f>
        <v>REA-G0091</v>
      </c>
    </row>
    <row r="2783" spans="1:5" x14ac:dyDescent="0.2">
      <c r="A2783" s="22">
        <f ca="1">IFERROR(__xludf.DUMMYFUNCTION("""COMPUTED_VALUE"""),44643)</f>
        <v>44643</v>
      </c>
      <c r="B2783" s="23" t="str">
        <f ca="1">IFERROR(__xludf.DUMMYFUNCTION("""COMPUTED_VALUE"""),"ODPŁYW NEO &amp; PURE-700 N BRUSH")</f>
        <v>ODPŁYW NEO &amp; PURE-700 N BRUSH</v>
      </c>
      <c r="C2783" s="23"/>
      <c r="D2783" s="24">
        <f ca="1">IFERROR(__xludf.DUMMYFUNCTION("""COMPUTED_VALUE"""),239)</f>
        <v>239</v>
      </c>
      <c r="E2783" s="25" t="str">
        <f ca="1">IFERROR(__xludf.DUMMYFUNCTION("""COMPUTED_VALUE"""),"REA-G0092")</f>
        <v>REA-G0092</v>
      </c>
    </row>
    <row r="2784" spans="1:5" x14ac:dyDescent="0.2">
      <c r="A2784" s="22">
        <f ca="1">IFERROR(__xludf.DUMMYFUNCTION("""COMPUTED_VALUE"""),44643)</f>
        <v>44643</v>
      </c>
      <c r="B2784" s="23" t="str">
        <f ca="1">IFERROR(__xludf.DUMMYFUNCTION("""COMPUTED_VALUE"""),"ODPŁYW NEO &amp; PURE-800 N BRUSH")</f>
        <v>ODPŁYW NEO &amp; PURE-800 N BRUSH</v>
      </c>
      <c r="C2784" s="23"/>
      <c r="D2784" s="24">
        <f ca="1">IFERROR(__xludf.DUMMYFUNCTION("""COMPUTED_VALUE"""),259)</f>
        <v>259</v>
      </c>
      <c r="E2784" s="25" t="str">
        <f ca="1">IFERROR(__xludf.DUMMYFUNCTION("""COMPUTED_VALUE"""),"REA-G0093")</f>
        <v>REA-G0093</v>
      </c>
    </row>
    <row r="2785" spans="1:5" x14ac:dyDescent="0.2">
      <c r="A2785" s="22">
        <f ca="1">IFERROR(__xludf.DUMMYFUNCTION("""COMPUTED_VALUE"""),44643)</f>
        <v>44643</v>
      </c>
      <c r="B2785" s="23" t="str">
        <f ca="1">IFERROR(__xludf.DUMMYFUNCTION("""COMPUTED_VALUE"""),"ODPŁYW NEO &amp; PURE-900 N BRUSH")</f>
        <v>ODPŁYW NEO &amp; PURE-900 N BRUSH</v>
      </c>
      <c r="C2785" s="23"/>
      <c r="D2785" s="24">
        <f ca="1">IFERROR(__xludf.DUMMYFUNCTION("""COMPUTED_VALUE"""),279)</f>
        <v>279</v>
      </c>
      <c r="E2785" s="25" t="str">
        <f ca="1">IFERROR(__xludf.DUMMYFUNCTION("""COMPUTED_VALUE"""),"REA-G0094")</f>
        <v>REA-G0094</v>
      </c>
    </row>
    <row r="2786" spans="1:5" x14ac:dyDescent="0.2">
      <c r="A2786" s="22">
        <f ca="1">IFERROR(__xludf.DUMMYFUNCTION("""COMPUTED_VALUE"""),44643)</f>
        <v>44643</v>
      </c>
      <c r="B2786" s="23" t="str">
        <f ca="1">IFERROR(__xludf.DUMMYFUNCTION("""COMPUTED_VALUE"""),"ODPŁYW NEO &amp; PURE-1000 N BRUSH")</f>
        <v>ODPŁYW NEO &amp; PURE-1000 N BRUSH</v>
      </c>
      <c r="C2786" s="23"/>
      <c r="D2786" s="24">
        <f ca="1">IFERROR(__xludf.DUMMYFUNCTION("""COMPUTED_VALUE"""),299)</f>
        <v>299</v>
      </c>
      <c r="E2786" s="25" t="str">
        <f ca="1">IFERROR(__xludf.DUMMYFUNCTION("""COMPUTED_VALUE"""),"REA-G0095")</f>
        <v>REA-G0095</v>
      </c>
    </row>
    <row r="2787" spans="1:5" x14ac:dyDescent="0.2">
      <c r="A2787" s="22">
        <f ca="1">IFERROR(__xludf.DUMMYFUNCTION("""COMPUTED_VALUE"""),44629)</f>
        <v>44629</v>
      </c>
      <c r="B2787" s="23" t="str">
        <f ca="1">IFERROR(__xludf.DUMMYFUNCTION("""COMPUTED_VALUE"""),"ZESTAW NATRYSKOWY MY2061-77GG HASS ZŁOTY SZCZOTKOW")</f>
        <v>ZESTAW NATRYSKOWY MY2061-77GG HASS ZŁOTY SZCZOTKOW</v>
      </c>
      <c r="C2787" s="23"/>
      <c r="D2787" s="24">
        <f ca="1">IFERROR(__xludf.DUMMYFUNCTION("""COMPUTED_VALUE"""),899)</f>
        <v>899</v>
      </c>
      <c r="E2787" s="25" t="str">
        <f ca="1">IFERROR(__xludf.DUMMYFUNCTION("""COMPUTED_VALUE"""),"REA-B9972")</f>
        <v>REA-B9972</v>
      </c>
    </row>
    <row r="2788" spans="1:5" x14ac:dyDescent="0.2">
      <c r="A2788" s="22">
        <f ca="1">IFERROR(__xludf.DUMMYFUNCTION("""COMPUTED_VALUE"""),44629)</f>
        <v>44629</v>
      </c>
      <c r="B2788" s="23" t="str">
        <f ca="1">IFERROR(__xludf.DUMMYFUNCTION("""COMPUTED_VALUE"""),"UCHWYT PRYSZNICOWY 01 GOLD")</f>
        <v>UCHWYT PRYSZNICOWY 01 GOLD</v>
      </c>
      <c r="C2788" s="23"/>
      <c r="D2788" s="24">
        <f ca="1">IFERROR(__xludf.DUMMYFUNCTION("""COMPUTED_VALUE"""),99)</f>
        <v>99</v>
      </c>
      <c r="E2788" s="25" t="str">
        <f ca="1">IFERROR(__xludf.DUMMYFUNCTION("""COMPUTED_VALUE"""),"REA-P5981")</f>
        <v>REA-P5981</v>
      </c>
    </row>
    <row r="2789" spans="1:5" x14ac:dyDescent="0.2">
      <c r="A2789" s="22">
        <f ca="1">IFERROR(__xludf.DUMMYFUNCTION("""COMPUTED_VALUE"""),44629)</f>
        <v>44629</v>
      </c>
      <c r="B2789" s="23" t="str">
        <f ca="1">IFERROR(__xludf.DUMMYFUNCTION("""COMPUTED_VALUE"""),"UCHWYT PRYSZNICOWY 01 CHROME")</f>
        <v>UCHWYT PRYSZNICOWY 01 CHROME</v>
      </c>
      <c r="C2789" s="23"/>
      <c r="D2789" s="24">
        <f ca="1">IFERROR(__xludf.DUMMYFUNCTION("""COMPUTED_VALUE"""),69)</f>
        <v>69</v>
      </c>
      <c r="E2789" s="25" t="str">
        <f ca="1">IFERROR(__xludf.DUMMYFUNCTION("""COMPUTED_VALUE"""),"REA-P5982")</f>
        <v>REA-P5982</v>
      </c>
    </row>
    <row r="2790" spans="1:5" x14ac:dyDescent="0.2">
      <c r="A2790" s="22">
        <f ca="1">IFERROR(__xludf.DUMMYFUNCTION("""COMPUTED_VALUE"""),44629)</f>
        <v>44629</v>
      </c>
      <c r="B2790" s="23" t="str">
        <f ca="1">IFERROR(__xludf.DUMMYFUNCTION("""COMPUTED_VALUE"""),"UCHWYT PRYSZNICOWY 01 BLACK")</f>
        <v>UCHWYT PRYSZNICOWY 01 BLACK</v>
      </c>
      <c r="C2790" s="23"/>
      <c r="D2790" s="24">
        <f ca="1">IFERROR(__xludf.DUMMYFUNCTION("""COMPUTED_VALUE"""),99)</f>
        <v>99</v>
      </c>
      <c r="E2790" s="25" t="str">
        <f ca="1">IFERROR(__xludf.DUMMYFUNCTION("""COMPUTED_VALUE"""),"REA-P5983")</f>
        <v>REA-P5983</v>
      </c>
    </row>
    <row r="2791" spans="1:5" x14ac:dyDescent="0.2">
      <c r="A2791" s="22">
        <f ca="1">IFERROR(__xludf.DUMMYFUNCTION("""COMPUTED_VALUE"""),44629)</f>
        <v>44629</v>
      </c>
      <c r="B2791" s="23" t="str">
        <f ca="1">IFERROR(__xludf.DUMMYFUNCTION("""COMPUTED_VALUE"""),"BATERIA UMYWALKOWA WYSOKA OVAL CHROM")</f>
        <v>BATERIA UMYWALKOWA WYSOKA OVAL CHROM</v>
      </c>
      <c r="C2791" s="23"/>
      <c r="D2791" s="24">
        <f ca="1">IFERROR(__xludf.DUMMYFUNCTION("""COMPUTED_VALUE"""),279)</f>
        <v>279</v>
      </c>
      <c r="E2791" s="25" t="str">
        <f ca="1">IFERROR(__xludf.DUMMYFUNCTION("""COMPUTED_VALUE"""),"REA-B6510")</f>
        <v>REA-B6510</v>
      </c>
    </row>
    <row r="2792" spans="1:5" x14ac:dyDescent="0.2">
      <c r="A2792" s="22">
        <f ca="1">IFERROR(__xludf.DUMMYFUNCTION("""COMPUTED_VALUE"""),44629)</f>
        <v>44629</v>
      </c>
      <c r="B2792" s="23" t="str">
        <f ca="1">IFERROR(__xludf.DUMMYFUNCTION("""COMPUTED_VALUE"""),"BATERIA UMYWALKOWA WYSOKA OVAL BLACK")</f>
        <v>BATERIA UMYWALKOWA WYSOKA OVAL BLACK</v>
      </c>
      <c r="C2792" s="23"/>
      <c r="D2792" s="24">
        <f ca="1">IFERROR(__xludf.DUMMYFUNCTION("""COMPUTED_VALUE"""),289)</f>
        <v>289</v>
      </c>
      <c r="E2792" s="25" t="str">
        <f ca="1">IFERROR(__xludf.DUMMYFUNCTION("""COMPUTED_VALUE"""),"REA-B6511")</f>
        <v>REA-B6511</v>
      </c>
    </row>
    <row r="2793" spans="1:5" x14ac:dyDescent="0.2">
      <c r="A2793" s="22">
        <f ca="1">IFERROR(__xludf.DUMMYFUNCTION("""COMPUTED_VALUE"""),44629)</f>
        <v>44629</v>
      </c>
      <c r="B2793" s="23" t="str">
        <f ca="1">IFERROR(__xludf.DUMMYFUNCTION("""COMPUTED_VALUE"""),"BATERIA UMYWALKOWA WYSOKA OVAL L.GOLD")</f>
        <v>BATERIA UMYWALKOWA WYSOKA OVAL L.GOLD</v>
      </c>
      <c r="C2793" s="23"/>
      <c r="D2793" s="24">
        <f ca="1">IFERROR(__xludf.DUMMYFUNCTION("""COMPUTED_VALUE"""),299)</f>
        <v>299</v>
      </c>
      <c r="E2793" s="25" t="str">
        <f ca="1">IFERROR(__xludf.DUMMYFUNCTION("""COMPUTED_VALUE"""),"REA-B6513")</f>
        <v>REA-B6513</v>
      </c>
    </row>
    <row r="2794" spans="1:5" x14ac:dyDescent="0.2">
      <c r="A2794" s="22">
        <f ca="1">IFERROR(__xludf.DUMMYFUNCTION("""COMPUTED_VALUE"""),44629)</f>
        <v>44629</v>
      </c>
      <c r="B2794" s="23" t="str">
        <f ca="1">IFERROR(__xludf.DUMMYFUNCTION("""COMPUTED_VALUE"""),"BATERIA UMYWALKOWA NISKA OVAL CHROM")</f>
        <v>BATERIA UMYWALKOWA NISKA OVAL CHROM</v>
      </c>
      <c r="C2794" s="23"/>
      <c r="D2794" s="24">
        <f ca="1">IFERROR(__xludf.DUMMYFUNCTION("""COMPUTED_VALUE"""),249)</f>
        <v>249</v>
      </c>
      <c r="E2794" s="25" t="str">
        <f ca="1">IFERROR(__xludf.DUMMYFUNCTION("""COMPUTED_VALUE"""),"REA-B6514")</f>
        <v>REA-B6514</v>
      </c>
    </row>
    <row r="2795" spans="1:5" x14ac:dyDescent="0.2">
      <c r="A2795" s="22">
        <f ca="1">IFERROR(__xludf.DUMMYFUNCTION("""COMPUTED_VALUE"""),44629)</f>
        <v>44629</v>
      </c>
      <c r="B2795" s="23" t="str">
        <f ca="1">IFERROR(__xludf.DUMMYFUNCTION("""COMPUTED_VALUE"""),"BATERIA UMYWALKOWA NISKA OVAL L.GOLD")</f>
        <v>BATERIA UMYWALKOWA NISKA OVAL L.GOLD</v>
      </c>
      <c r="C2795" s="23"/>
      <c r="D2795" s="24">
        <f ca="1">IFERROR(__xludf.DUMMYFUNCTION("""COMPUTED_VALUE"""),279)</f>
        <v>279</v>
      </c>
      <c r="E2795" s="25" t="str">
        <f ca="1">IFERROR(__xludf.DUMMYFUNCTION("""COMPUTED_VALUE"""),"REA-B6515")</f>
        <v>REA-B6515</v>
      </c>
    </row>
    <row r="2796" spans="1:5" x14ac:dyDescent="0.2">
      <c r="A2796" s="22">
        <f ca="1">IFERROR(__xludf.DUMMYFUNCTION("""COMPUTED_VALUE"""),44629)</f>
        <v>44629</v>
      </c>
      <c r="B2796" s="23" t="str">
        <f ca="1">IFERROR(__xludf.DUMMYFUNCTION("""COMPUTED_VALUE"""),"BATERIA UMYWALKOWA NISKA OVAL BLACK")</f>
        <v>BATERIA UMYWALKOWA NISKA OVAL BLACK</v>
      </c>
      <c r="C2796" s="23"/>
      <c r="D2796" s="24">
        <f ca="1">IFERROR(__xludf.DUMMYFUNCTION("""COMPUTED_VALUE"""),259)</f>
        <v>259</v>
      </c>
      <c r="E2796" s="25" t="str">
        <f ca="1">IFERROR(__xludf.DUMMYFUNCTION("""COMPUTED_VALUE"""),"REA-B6516")</f>
        <v>REA-B6516</v>
      </c>
    </row>
    <row r="2797" spans="1:5" x14ac:dyDescent="0.2">
      <c r="A2797" s="22">
        <f ca="1">IFERROR(__xludf.DUMMYFUNCTION("""COMPUTED_VALUE"""),44629)</f>
        <v>44629</v>
      </c>
      <c r="B2797" s="23" t="str">
        <f ca="1">IFERROR(__xludf.DUMMYFUNCTION("""COMPUTED_VALUE"""),"ZESTAW NATRYSKOWY FENIX CHROME")</f>
        <v>ZESTAW NATRYSKOWY FENIX CHROME</v>
      </c>
      <c r="C2797" s="23"/>
      <c r="D2797" s="24">
        <f ca="1">IFERROR(__xludf.DUMMYFUNCTION("""COMPUTED_VALUE"""),759)</f>
        <v>759</v>
      </c>
      <c r="E2797" s="26" t="str">
        <f ca="1">IFERROR(__xludf.DUMMYFUNCTION("""COMPUTED_VALUE"""),"REA-P8451")</f>
        <v>REA-P8451</v>
      </c>
    </row>
    <row r="2798" spans="1:5" x14ac:dyDescent="0.2">
      <c r="A2798" s="22">
        <f ca="1">IFERROR(__xludf.DUMMYFUNCTION("""COMPUTED_VALUE"""),44629)</f>
        <v>44629</v>
      </c>
      <c r="B2798" s="23" t="str">
        <f ca="1">IFERROR(__xludf.DUMMYFUNCTION("""COMPUTED_VALUE"""),"ZESTAW NATRYSKOWY PODTYNKOWY LUNGO L.GOLD SZCZOTKO")</f>
        <v>ZESTAW NATRYSKOWY PODTYNKOWY LUNGO L.GOLD SZCZOTKO</v>
      </c>
      <c r="C2798" s="23"/>
      <c r="D2798" s="24">
        <f ca="1">IFERROR(__xludf.DUMMYFUNCTION("""COMPUTED_VALUE"""),1099)</f>
        <v>1099</v>
      </c>
      <c r="E2798" s="26" t="str">
        <f ca="1">IFERROR(__xludf.DUMMYFUNCTION("""COMPUTED_VALUE"""),"REA-P4160")</f>
        <v>REA-P4160</v>
      </c>
    </row>
    <row r="2799" spans="1:5" x14ac:dyDescent="0.2">
      <c r="A2799" s="22">
        <f ca="1">IFERROR(__xludf.DUMMYFUNCTION("""COMPUTED_VALUE"""),44629)</f>
        <v>44629</v>
      </c>
      <c r="B2799" s="23" t="str">
        <f ca="1">IFERROR(__xludf.DUMMYFUNCTION("""COMPUTED_VALUE"""),"ZESTAW NATRYSKOWY FORT BLACK MATT")</f>
        <v>ZESTAW NATRYSKOWY FORT BLACK MATT</v>
      </c>
      <c r="C2799" s="23"/>
      <c r="D2799" s="24">
        <f ca="1">IFERROR(__xludf.DUMMYFUNCTION("""COMPUTED_VALUE"""),899)</f>
        <v>899</v>
      </c>
      <c r="E2799" s="26" t="str">
        <f ca="1">IFERROR(__xludf.DUMMYFUNCTION("""COMPUTED_VALUE"""),"REA-P9861")</f>
        <v>REA-P9861</v>
      </c>
    </row>
    <row r="2800" spans="1:5" x14ac:dyDescent="0.2">
      <c r="A2800" s="22">
        <f ca="1">IFERROR(__xludf.DUMMYFUNCTION("""COMPUTED_VALUE"""),44629)</f>
        <v>44629</v>
      </c>
      <c r="B2800" s="23" t="str">
        <f ca="1">IFERROR(__xludf.DUMMYFUNCTION("""COMPUTED_VALUE"""),"BATERIA TALISA L.GOLD")</f>
        <v>BATERIA TALISA L.GOLD</v>
      </c>
      <c r="C2800" s="23"/>
      <c r="D2800" s="24">
        <f ca="1">IFERROR(__xludf.DUMMYFUNCTION("""COMPUTED_VALUE"""),219)</f>
        <v>219</v>
      </c>
      <c r="E2800" s="26" t="str">
        <f ca="1">IFERROR(__xludf.DUMMYFUNCTION("""COMPUTED_VALUE"""),"REA-B1020")</f>
        <v>REA-B1020</v>
      </c>
    </row>
    <row r="2801" spans="1:5" x14ac:dyDescent="0.2">
      <c r="A2801" s="22">
        <f ca="1">IFERROR(__xludf.DUMMYFUNCTION("""COMPUTED_VALUE"""),44629)</f>
        <v>44629</v>
      </c>
      <c r="B2801" s="23" t="str">
        <f ca="1">IFERROR(__xludf.DUMMYFUNCTION("""COMPUTED_VALUE"""),"BATERIA WANNOWA 3-OTWOROWA GLEN L.GOLD")</f>
        <v>BATERIA WANNOWA 3-OTWOROWA GLEN L.GOLD</v>
      </c>
      <c r="C2801" s="23"/>
      <c r="D2801" s="24">
        <f ca="1">IFERROR(__xludf.DUMMYFUNCTION("""COMPUTED_VALUE"""),879)</f>
        <v>879</v>
      </c>
      <c r="E2801" s="26" t="str">
        <f ca="1">IFERROR(__xludf.DUMMYFUNCTION("""COMPUTED_VALUE"""),"REA-B6631")</f>
        <v>REA-B6631</v>
      </c>
    </row>
    <row r="2802" spans="1:5" x14ac:dyDescent="0.2">
      <c r="A2802" s="22">
        <f ca="1">IFERROR(__xludf.DUMMYFUNCTION("""COMPUTED_VALUE"""),44629)</f>
        <v>44629</v>
      </c>
      <c r="B2802" s="23" t="str">
        <f ca="1">IFERROR(__xludf.DUMMYFUNCTION("""COMPUTED_VALUE"""),"BATERIA PODŁOGOWA WANNOWA ORTIS BLACK")</f>
        <v>BATERIA PODŁOGOWA WANNOWA ORTIS BLACK</v>
      </c>
      <c r="C2802" s="23"/>
      <c r="D2802" s="24">
        <f ca="1">IFERROR(__xludf.DUMMYFUNCTION("""COMPUTED_VALUE"""),1099)</f>
        <v>1099</v>
      </c>
      <c r="E2802" s="26" t="str">
        <f ca="1">IFERROR(__xludf.DUMMYFUNCTION("""COMPUTED_VALUE"""),"REA-B0232")</f>
        <v>REA-B0232</v>
      </c>
    </row>
    <row r="2803" spans="1:5" x14ac:dyDescent="0.2">
      <c r="A2803" s="22">
        <f ca="1">IFERROR(__xludf.DUMMYFUNCTION("""COMPUTED_VALUE"""),44629)</f>
        <v>44629</v>
      </c>
      <c r="B2803" s="23" t="str">
        <f ca="1">IFERROR(__xludf.DUMMYFUNCTION("""COMPUTED_VALUE"""),"BATERIA WANNOWA LUNGO L.GOLD")</f>
        <v>BATERIA WANNOWA LUNGO L.GOLD</v>
      </c>
      <c r="C2803" s="23"/>
      <c r="D2803" s="24">
        <f ca="1">IFERROR(__xludf.DUMMYFUNCTION("""COMPUTED_VALUE"""),619)</f>
        <v>619</v>
      </c>
      <c r="E2803" s="26" t="str">
        <f ca="1">IFERROR(__xludf.DUMMYFUNCTION("""COMPUTED_VALUE"""),"REA-B6635")</f>
        <v>REA-B6635</v>
      </c>
    </row>
    <row r="2804" spans="1:5" x14ac:dyDescent="0.2">
      <c r="A2804" s="22">
        <f ca="1">IFERROR(__xludf.DUMMYFUNCTION("""COMPUTED_VALUE"""),44629)</f>
        <v>44629</v>
      </c>
      <c r="B2804" s="23" t="str">
        <f ca="1">IFERROR(__xludf.DUMMYFUNCTION("""COMPUTED_VALUE"""),"BATERIA UMYWALKOWA LUGANO CHROM WYSOKA")</f>
        <v>BATERIA UMYWALKOWA LUGANO CHROM WYSOKA</v>
      </c>
      <c r="C2804" s="23"/>
      <c r="D2804" s="24">
        <f ca="1">IFERROR(__xludf.DUMMYFUNCTION("""COMPUTED_VALUE"""),319)</f>
        <v>319</v>
      </c>
      <c r="E2804" s="26" t="str">
        <f ca="1">IFERROR(__xludf.DUMMYFUNCTION("""COMPUTED_VALUE"""),"REA-B5000")</f>
        <v>REA-B5000</v>
      </c>
    </row>
    <row r="2805" spans="1:5" x14ac:dyDescent="0.2">
      <c r="A2805" s="22">
        <f ca="1">IFERROR(__xludf.DUMMYFUNCTION("""COMPUTED_VALUE"""),44629)</f>
        <v>44629</v>
      </c>
      <c r="B2805" s="23" t="str">
        <f ca="1">IFERROR(__xludf.DUMMYFUNCTION("""COMPUTED_VALUE"""),"BATERIA UMYWALKOWA ICON BLACK L.GOLD WYSOKA")</f>
        <v>BATERIA UMYWALKOWA ICON BLACK L.GOLD WYSOKA</v>
      </c>
      <c r="C2805" s="23"/>
      <c r="D2805" s="24">
        <f ca="1">IFERROR(__xludf.DUMMYFUNCTION("""COMPUTED_VALUE"""),339)</f>
        <v>339</v>
      </c>
      <c r="E2805" s="26" t="str">
        <f ca="1">IFERROR(__xludf.DUMMYFUNCTION("""COMPUTED_VALUE"""),"REA-B5681")</f>
        <v>REA-B5681</v>
      </c>
    </row>
    <row r="2806" spans="1:5" x14ac:dyDescent="0.2">
      <c r="A2806" s="22">
        <f ca="1">IFERROR(__xludf.DUMMYFUNCTION("""COMPUTED_VALUE"""),44629)</f>
        <v>44629</v>
      </c>
      <c r="B2806" s="23" t="str">
        <f ca="1">IFERROR(__xludf.DUMMYFUNCTION("""COMPUTED_VALUE"""),"BATERIA WANNOWA RETRO OLD BLACK")</f>
        <v>BATERIA WANNOWA RETRO OLD BLACK</v>
      </c>
      <c r="C2806" s="23"/>
      <c r="D2806" s="24">
        <f ca="1">IFERROR(__xludf.DUMMYFUNCTION("""COMPUTED_VALUE"""),579)</f>
        <v>579</v>
      </c>
      <c r="E2806" s="26" t="str">
        <f ca="1">IFERROR(__xludf.DUMMYFUNCTION("""COMPUTED_VALUE"""),"REA-B0224")</f>
        <v>REA-B0224</v>
      </c>
    </row>
    <row r="2807" spans="1:5" x14ac:dyDescent="0.2">
      <c r="A2807" s="22">
        <f ca="1">IFERROR(__xludf.DUMMYFUNCTION("""COMPUTED_VALUE"""),44629)</f>
        <v>44629</v>
      </c>
      <c r="B2807" s="23" t="str">
        <f ca="1">IFERROR(__xludf.DUMMYFUNCTION("""COMPUTED_VALUE"""),"BATERIA WYSOKA BONA OLD BLACK")</f>
        <v>BATERIA WYSOKA BONA OLD BLACK</v>
      </c>
      <c r="C2807" s="23"/>
      <c r="D2807" s="24">
        <f ca="1">IFERROR(__xludf.DUMMYFUNCTION("""COMPUTED_VALUE"""),279)</f>
        <v>279</v>
      </c>
      <c r="E2807" s="26" t="str">
        <f ca="1">IFERROR(__xludf.DUMMYFUNCTION("""COMPUTED_VALUE"""),"REA-B0183")</f>
        <v>REA-B0183</v>
      </c>
    </row>
    <row r="2808" spans="1:5" x14ac:dyDescent="0.2">
      <c r="A2808" s="22">
        <f ca="1">IFERROR(__xludf.DUMMYFUNCTION("""COMPUTED_VALUE"""),44629)</f>
        <v>44629</v>
      </c>
      <c r="B2808" s="23" t="str">
        <f ca="1">IFERROR(__xludf.DUMMYFUNCTION("""COMPUTED_VALUE"""),"BATERIA UMYWALKOWA WYSOKA SONIC BLACK")</f>
        <v>BATERIA UMYWALKOWA WYSOKA SONIC BLACK</v>
      </c>
      <c r="C2808" s="23"/>
      <c r="D2808" s="24">
        <f ca="1">IFERROR(__xludf.DUMMYFUNCTION("""COMPUTED_VALUE"""),279)</f>
        <v>279</v>
      </c>
      <c r="E2808" s="25" t="str">
        <f ca="1">IFERROR(__xludf.DUMMYFUNCTION("""COMPUTED_VALUE"""),"BAT-09854")</f>
        <v>BAT-09854</v>
      </c>
    </row>
    <row r="2809" spans="1:5" x14ac:dyDescent="0.2">
      <c r="A2809" s="22">
        <f ca="1">IFERROR(__xludf.DUMMYFUNCTION("""COMPUTED_VALUE"""),44629)</f>
        <v>44629</v>
      </c>
      <c r="B2809" s="23" t="str">
        <f ca="1">IFERROR(__xludf.DUMMYFUNCTION("""COMPUTED_VALUE"""),"BATERIA UMYWALKOWA SONIC BLACK NISKA")</f>
        <v>BATERIA UMYWALKOWA SONIC BLACK NISKA</v>
      </c>
      <c r="C2809" s="23"/>
      <c r="D2809" s="24">
        <f ca="1">IFERROR(__xludf.DUMMYFUNCTION("""COMPUTED_VALUE"""),159)</f>
        <v>159</v>
      </c>
      <c r="E2809" s="25" t="str">
        <f ca="1">IFERROR(__xludf.DUMMYFUNCTION("""COMPUTED_VALUE"""),"BAT-00852")</f>
        <v>BAT-00852</v>
      </c>
    </row>
    <row r="2810" spans="1:5" x14ac:dyDescent="0.2">
      <c r="A2810" s="22">
        <f ca="1">IFERROR(__xludf.DUMMYFUNCTION("""COMPUTED_VALUE"""),44629)</f>
        <v>44629</v>
      </c>
      <c r="B2810" s="23" t="str">
        <f ca="1">IFERROR(__xludf.DUMMYFUNCTION("""COMPUTED_VALUE"""),"BATERIA UMYWALKOWA LUNGO L.GOLD NISKA")</f>
        <v>BATERIA UMYWALKOWA LUNGO L.GOLD NISKA</v>
      </c>
      <c r="C2810" s="23"/>
      <c r="D2810" s="24">
        <f ca="1">IFERROR(__xludf.DUMMYFUNCTION("""COMPUTED_VALUE"""),249)</f>
        <v>249</v>
      </c>
      <c r="E2810" s="26" t="str">
        <f ca="1">IFERROR(__xludf.DUMMYFUNCTION("""COMPUTED_VALUE"""),"REA-B4520")</f>
        <v>REA-B4520</v>
      </c>
    </row>
    <row r="2811" spans="1:5" x14ac:dyDescent="0.2">
      <c r="A2811" s="22">
        <f ca="1">IFERROR(__xludf.DUMMYFUNCTION("""COMPUTED_VALUE"""),44629)</f>
        <v>44629</v>
      </c>
      <c r="B2811" s="23" t="str">
        <f ca="1">IFERROR(__xludf.DUMMYFUNCTION("""COMPUTED_VALUE"""),"BATERIA UMYWALKOWA FENIX BLACK WYSOKA")</f>
        <v>BATERIA UMYWALKOWA FENIX BLACK WYSOKA</v>
      </c>
      <c r="C2811" s="23"/>
      <c r="D2811" s="24">
        <f ca="1">IFERROR(__xludf.DUMMYFUNCTION("""COMPUTED_VALUE"""),439)</f>
        <v>439</v>
      </c>
      <c r="E2811" s="26" t="str">
        <f ca="1">IFERROR(__xludf.DUMMYFUNCTION("""COMPUTED_VALUE"""),"REA-B7849")</f>
        <v>REA-B7849</v>
      </c>
    </row>
    <row r="2812" spans="1:5" x14ac:dyDescent="0.2">
      <c r="A2812" s="22">
        <f ca="1">IFERROR(__xludf.DUMMYFUNCTION("""COMPUTED_VALUE"""),44629)</f>
        <v>44629</v>
      </c>
      <c r="B2812" s="23" t="str">
        <f ca="1">IFERROR(__xludf.DUMMYFUNCTION("""COMPUTED_VALUE"""),"BATERIA UMYWALKOWA FENIX L.GOLD NISKA")</f>
        <v>BATERIA UMYWALKOWA FENIX L.GOLD NISKA</v>
      </c>
      <c r="C2812" s="23"/>
      <c r="D2812" s="24">
        <f ca="1">IFERROR(__xludf.DUMMYFUNCTION("""COMPUTED_VALUE"""),369)</f>
        <v>369</v>
      </c>
      <c r="E2812" s="26" t="str">
        <f ca="1">IFERROR(__xludf.DUMMYFUNCTION("""COMPUTED_VALUE"""),"REA-B6395")</f>
        <v>REA-B6395</v>
      </c>
    </row>
    <row r="2813" spans="1:5" x14ac:dyDescent="0.2">
      <c r="A2813" s="22">
        <f ca="1">IFERROR(__xludf.DUMMYFUNCTION("""COMPUTED_VALUE"""),44629)</f>
        <v>44629</v>
      </c>
      <c r="B2813" s="23" t="str">
        <f ca="1">IFERROR(__xludf.DUMMYFUNCTION("""COMPUTED_VALUE"""),"BATERIA WANNOWA SALTO BLACK GOLD")</f>
        <v>BATERIA WANNOWA SALTO BLACK GOLD</v>
      </c>
      <c r="C2813" s="23"/>
      <c r="D2813" s="24">
        <f ca="1">IFERROR(__xludf.DUMMYFUNCTION("""COMPUTED_VALUE"""),449)</f>
        <v>449</v>
      </c>
      <c r="E2813" s="26" t="str">
        <f ca="1">IFERROR(__xludf.DUMMYFUNCTION("""COMPUTED_VALUE"""),"REA-B6352")</f>
        <v>REA-B6352</v>
      </c>
    </row>
    <row r="2814" spans="1:5" x14ac:dyDescent="0.2">
      <c r="A2814" s="22">
        <f ca="1">IFERROR(__xludf.DUMMYFUNCTION("""COMPUTED_VALUE"""),44629)</f>
        <v>44629</v>
      </c>
      <c r="B2814" s="23" t="str">
        <f ca="1">IFERROR(__xludf.DUMMYFUNCTION("""COMPUTED_VALUE"""),"BATERIA UMYWALKOWA ZEN BLACK WYSOKA")</f>
        <v>BATERIA UMYWALKOWA ZEN BLACK WYSOKA</v>
      </c>
      <c r="C2814" s="23"/>
      <c r="D2814" s="24">
        <f ca="1">IFERROR(__xludf.DUMMYFUNCTION("""COMPUTED_VALUE"""),319)</f>
        <v>319</v>
      </c>
      <c r="E2814" s="26" t="str">
        <f ca="1">IFERROR(__xludf.DUMMYFUNCTION("""COMPUTED_VALUE"""),"REA-B8035")</f>
        <v>REA-B8035</v>
      </c>
    </row>
    <row r="2815" spans="1:5" x14ac:dyDescent="0.2">
      <c r="A2815" s="22">
        <f ca="1">IFERROR(__xludf.DUMMYFUNCTION("""COMPUTED_VALUE"""),44629)</f>
        <v>44629</v>
      </c>
      <c r="B2815" s="23" t="str">
        <f ca="1">IFERROR(__xludf.DUMMYFUNCTION("""COMPUTED_VALUE"""),"BATERIA UMYWALKOWA VINTAGE OLD BLACK NISKA")</f>
        <v>BATERIA UMYWALKOWA VINTAGE OLD BLACK NISKA</v>
      </c>
      <c r="C2815" s="23"/>
      <c r="D2815" s="24">
        <f ca="1">IFERROR(__xludf.DUMMYFUNCTION("""COMPUTED_VALUE"""),359)</f>
        <v>359</v>
      </c>
      <c r="E2815" s="26" t="str">
        <f ca="1">IFERROR(__xludf.DUMMYFUNCTION("""COMPUTED_VALUE"""),"REA-B0226")</f>
        <v>REA-B0226</v>
      </c>
    </row>
    <row r="2816" spans="1:5" x14ac:dyDescent="0.2">
      <c r="A2816" s="22">
        <f ca="1">IFERROR(__xludf.DUMMYFUNCTION("""COMPUTED_VALUE"""),44629)</f>
        <v>44629</v>
      </c>
      <c r="B2816" s="23" t="str">
        <f ca="1">IFERROR(__xludf.DUMMYFUNCTION("""COMPUTED_VALUE"""),"ZESTAW NATRYSKOWY ROGER BLACK MATT")</f>
        <v>ZESTAW NATRYSKOWY ROGER BLACK MATT</v>
      </c>
      <c r="C2816" s="23"/>
      <c r="D2816" s="24">
        <f ca="1">IFERROR(__xludf.DUMMYFUNCTION("""COMPUTED_VALUE"""),899)</f>
        <v>899</v>
      </c>
      <c r="E2816" s="26" t="str">
        <f ca="1">IFERROR(__xludf.DUMMYFUNCTION("""COMPUTED_VALUE"""),"REA-P8003")</f>
        <v>REA-P8003</v>
      </c>
    </row>
    <row r="2817" spans="1:5" x14ac:dyDescent="0.2">
      <c r="A2817" s="22">
        <f ca="1">IFERROR(__xludf.DUMMYFUNCTION("""COMPUTED_VALUE"""),44629)</f>
        <v>44629</v>
      </c>
      <c r="B2817" s="23" t="str">
        <f ca="1">IFERROR(__xludf.DUMMYFUNCTION("""COMPUTED_VALUE"""),"ZESTAW NATRYSKOWY JET TERMOSTAT BLACK MATT")</f>
        <v>ZESTAW NATRYSKOWY JET TERMOSTAT BLACK MATT</v>
      </c>
      <c r="C2817" s="23"/>
      <c r="D2817" s="24">
        <f ca="1">IFERROR(__xludf.DUMMYFUNCTION("""COMPUTED_VALUE"""),1039)</f>
        <v>1039</v>
      </c>
      <c r="E2817" s="26" t="str">
        <f ca="1">IFERROR(__xludf.DUMMYFUNCTION("""COMPUTED_VALUE"""),"REA-P9411")</f>
        <v>REA-P9411</v>
      </c>
    </row>
    <row r="2818" spans="1:5" x14ac:dyDescent="0.2">
      <c r="A2818" s="22">
        <f ca="1">IFERROR(__xludf.DUMMYFUNCTION("""COMPUTED_VALUE"""),44629)</f>
        <v>44629</v>
      </c>
      <c r="B2818" s="23" t="str">
        <f ca="1">IFERROR(__xludf.DUMMYFUNCTION("""COMPUTED_VALUE"""),"BATERIA CALANI UMYWALKOWA LOTUS WYSOKA H BLACK")</f>
        <v>BATERIA CALANI UMYWALKOWA LOTUS WYSOKA H BLACK</v>
      </c>
      <c r="C2818" s="23"/>
      <c r="D2818" s="24">
        <f ca="1">IFERROR(__xludf.DUMMYFUNCTION("""COMPUTED_VALUE"""),159)</f>
        <v>159</v>
      </c>
      <c r="E2818" s="26" t="str">
        <f ca="1">IFERROR(__xludf.DUMMYFUNCTION("""COMPUTED_VALUE"""),"CAL-B0001")</f>
        <v>CAL-B0001</v>
      </c>
    </row>
    <row r="2819" spans="1:5" x14ac:dyDescent="0.2">
      <c r="A2819" s="22">
        <f ca="1">IFERROR(__xludf.DUMMYFUNCTION("""COMPUTED_VALUE"""),44629)</f>
        <v>44629</v>
      </c>
      <c r="B2819" s="23" t="str">
        <f ca="1">IFERROR(__xludf.DUMMYFUNCTION("""COMPUTED_VALUE"""),"ZESTAW NATRYSKOWY SONIC BLACK PODTYNKOWY + BOX")</f>
        <v>ZESTAW NATRYSKOWY SONIC BLACK PODTYNKOWY + BOX</v>
      </c>
      <c r="C2819" s="23"/>
      <c r="D2819" s="24">
        <f ca="1">IFERROR(__xludf.DUMMYFUNCTION("""COMPUTED_VALUE"""),670)</f>
        <v>670</v>
      </c>
      <c r="E2819" s="26" t="str">
        <f ca="1">IFERROR(__xludf.DUMMYFUNCTION("""COMPUTED_VALUE"""),"REA-P0369")</f>
        <v>REA-P0369</v>
      </c>
    </row>
    <row r="2820" spans="1:5" x14ac:dyDescent="0.2">
      <c r="A2820" s="22">
        <f ca="1">IFERROR(__xludf.DUMMYFUNCTION("""COMPUTED_VALUE"""),44629)</f>
        <v>44629</v>
      </c>
      <c r="B2820" s="23" t="str">
        <f ca="1">IFERROR(__xludf.DUMMYFUNCTION("""COMPUTED_VALUE"""),"BATERIA PODŁOGOWA UMYWALKOWA ORTIS BLACK")</f>
        <v>BATERIA PODŁOGOWA UMYWALKOWA ORTIS BLACK</v>
      </c>
      <c r="C2820" s="23"/>
      <c r="D2820" s="24">
        <f ca="1">IFERROR(__xludf.DUMMYFUNCTION("""COMPUTED_VALUE"""),559)</f>
        <v>559</v>
      </c>
      <c r="E2820" s="26" t="str">
        <f ca="1">IFERROR(__xludf.DUMMYFUNCTION("""COMPUTED_VALUE"""),"REA-B4891")</f>
        <v>REA-B4891</v>
      </c>
    </row>
    <row r="2821" spans="1:5" x14ac:dyDescent="0.2">
      <c r="A2821" s="22">
        <f ca="1">IFERROR(__xludf.DUMMYFUNCTION("""COMPUTED_VALUE"""),44629)</f>
        <v>44629</v>
      </c>
      <c r="B2821" s="23" t="str">
        <f ca="1">IFERROR(__xludf.DUMMYFUNCTION("""COMPUTED_VALUE"""),"BATERIA UMYWALKOWA MORIS BLACK WYSOKA")</f>
        <v>BATERIA UMYWALKOWA MORIS BLACK WYSOKA</v>
      </c>
      <c r="C2821" s="23"/>
      <c r="D2821" s="24">
        <f ca="1">IFERROR(__xludf.DUMMYFUNCTION("""COMPUTED_VALUE"""),255)</f>
        <v>255</v>
      </c>
      <c r="E2821" s="26" t="str">
        <f ca="1">IFERROR(__xludf.DUMMYFUNCTION("""COMPUTED_VALUE"""),"REA-B4833")</f>
        <v>REA-B4833</v>
      </c>
    </row>
    <row r="2822" spans="1:5" x14ac:dyDescent="0.2">
      <c r="A2822" s="22">
        <f ca="1">IFERROR(__xludf.DUMMYFUNCTION("""COMPUTED_VALUE"""),44629)</f>
        <v>44629</v>
      </c>
      <c r="B2822" s="23" t="str">
        <f ca="1">IFERROR(__xludf.DUMMYFUNCTION("""COMPUTED_VALUE"""),"BATERIA UMYWALKOWA PODTYNKOWA MASON BLACK")</f>
        <v>BATERIA UMYWALKOWA PODTYNKOWA MASON BLACK</v>
      </c>
      <c r="C2822" s="23"/>
      <c r="D2822" s="24">
        <f ca="1">IFERROR(__xludf.DUMMYFUNCTION("""COMPUTED_VALUE"""),479)</f>
        <v>479</v>
      </c>
      <c r="E2822" s="26" t="str">
        <f ca="1">IFERROR(__xludf.DUMMYFUNCTION("""COMPUTED_VALUE"""),"REA-B0690")</f>
        <v>REA-B0690</v>
      </c>
    </row>
    <row r="2823" spans="1:5" x14ac:dyDescent="0.2">
      <c r="A2823" s="22">
        <f ca="1">IFERROR(__xludf.DUMMYFUNCTION("""COMPUTED_VALUE"""),44629)</f>
        <v>44629</v>
      </c>
      <c r="B2823" s="23" t="str">
        <f ca="1">IFERROR(__xludf.DUMMYFUNCTION("""COMPUTED_VALUE"""),"ZESTAW WANNOWY PODTYNKOWY LUNGO L.GOLD + BOX")</f>
        <v>ZESTAW WANNOWY PODTYNKOWY LUNGO L.GOLD + BOX</v>
      </c>
      <c r="C2823" s="23"/>
      <c r="D2823" s="24">
        <f ca="1">IFERROR(__xludf.DUMMYFUNCTION("""COMPUTED_VALUE"""),779)</f>
        <v>779</v>
      </c>
      <c r="E2823" s="26" t="str">
        <f ca="1">IFERROR(__xludf.DUMMYFUNCTION("""COMPUTED_VALUE"""),"REA-P4563")</f>
        <v>REA-P4563</v>
      </c>
    </row>
    <row r="2824" spans="1:5" x14ac:dyDescent="0.2">
      <c r="A2824" s="22">
        <f ca="1">IFERROR(__xludf.DUMMYFUNCTION("""COMPUTED_VALUE"""),44629)</f>
        <v>44629</v>
      </c>
      <c r="B2824" s="23" t="str">
        <f ca="1">IFERROR(__xludf.DUMMYFUNCTION("""COMPUTED_VALUE"""),"BATERIA UMYWALKOWA PODTYNKOWA LUNGO ROSE GOLD")</f>
        <v>BATERIA UMYWALKOWA PODTYNKOWA LUNGO ROSE GOLD</v>
      </c>
      <c r="C2824" s="23"/>
      <c r="D2824" s="24">
        <f ca="1">IFERROR(__xludf.DUMMYFUNCTION("""COMPUTED_VALUE"""),489)</f>
        <v>489</v>
      </c>
      <c r="E2824" s="26" t="str">
        <f ca="1">IFERROR(__xludf.DUMMYFUNCTION("""COMPUTED_VALUE"""),"REA-B8548")</f>
        <v>REA-B8548</v>
      </c>
    </row>
    <row r="2825" spans="1:5" x14ac:dyDescent="0.2">
      <c r="A2825" s="22">
        <f ca="1">IFERROR(__xludf.DUMMYFUNCTION("""COMPUTED_VALUE"""),44617)</f>
        <v>44617</v>
      </c>
      <c r="B2825" s="23" t="str">
        <f ca="1">IFERROR(__xludf.DUMMYFUNCTION("""COMPUTED_VALUE"""),"#N/A")</f>
        <v>#N/A</v>
      </c>
      <c r="C2825" s="23"/>
      <c r="D2825" s="24" t="str">
        <f ca="1">IFERROR(__xludf.DUMMYFUNCTION("""COMPUTED_VALUE"""),"#N/A")</f>
        <v>#N/A</v>
      </c>
      <c r="E2825" s="26" t="str">
        <f ca="1">IFERROR(__xludf.DUMMYFUNCTION("""COMPUTED_VALUE"""),"REA-P0650")</f>
        <v>REA-P0650</v>
      </c>
    </row>
    <row r="2826" spans="1:5" x14ac:dyDescent="0.2">
      <c r="A2826" s="22">
        <f ca="1">IFERROR(__xludf.DUMMYFUNCTION("""COMPUTED_VALUE"""),44617)</f>
        <v>44617</v>
      </c>
      <c r="B2826" s="23" t="str">
        <f ca="1">IFERROR(__xludf.DUMMYFUNCTION("""COMPUTED_VALUE"""),"UMYWALKA MERY - NABLATOWA")</f>
        <v>UMYWALKA MERY - NABLATOWA</v>
      </c>
      <c r="C2826" s="23"/>
      <c r="D2826" s="24">
        <f ca="1">IFERROR(__xludf.DUMMYFUNCTION("""COMPUTED_VALUE"""),269)</f>
        <v>269</v>
      </c>
      <c r="E2826" s="26" t="str">
        <f ca="1">IFERROR(__xludf.DUMMYFUNCTION("""COMPUTED_VALUE"""),"REA-U0699")</f>
        <v>REA-U0699</v>
      </c>
    </row>
    <row r="2827" spans="1:5" x14ac:dyDescent="0.2">
      <c r="A2827" s="22">
        <f ca="1">IFERROR(__xludf.DUMMYFUNCTION("""COMPUTED_VALUE"""),44617)</f>
        <v>44617</v>
      </c>
      <c r="B2827" s="23" t="str">
        <f ca="1">IFERROR(__xludf.DUMMYFUNCTION("""COMPUTED_VALUE"""),"BATERIA BIDETOWA LOOP L.GOLD")</f>
        <v>BATERIA BIDETOWA LOOP L.GOLD</v>
      </c>
      <c r="C2827" s="23"/>
      <c r="D2827" s="24">
        <f ca="1">IFERROR(__xludf.DUMMYFUNCTION("""COMPUTED_VALUE"""),399)</f>
        <v>399</v>
      </c>
      <c r="E2827" s="26" t="str">
        <f ca="1">IFERROR(__xludf.DUMMYFUNCTION("""COMPUTED_VALUE"""),"REA-B8979")</f>
        <v>REA-B8979</v>
      </c>
    </row>
    <row r="2828" spans="1:5" x14ac:dyDescent="0.2">
      <c r="A2828" s="22">
        <f ca="1">IFERROR(__xludf.DUMMYFUNCTION("""COMPUTED_VALUE"""),44617)</f>
        <v>44617</v>
      </c>
      <c r="B2828" s="23" t="str">
        <f ca="1">IFERROR(__xludf.DUMMYFUNCTION("""COMPUTED_VALUE"""),"BATERIA UMYWALKOWA LUNGO CHROM NISKA")</f>
        <v>BATERIA UMYWALKOWA LUNGO CHROM NISKA</v>
      </c>
      <c r="C2828" s="23"/>
      <c r="D2828" s="24">
        <f ca="1">IFERROR(__xludf.DUMMYFUNCTION("""COMPUTED_VALUE"""),189)</f>
        <v>189</v>
      </c>
      <c r="E2828" s="26" t="str">
        <f ca="1">IFERROR(__xludf.DUMMYFUNCTION("""COMPUTED_VALUE"""),"REA-B4101")</f>
        <v>REA-B4101</v>
      </c>
    </row>
    <row r="2829" spans="1:5" x14ac:dyDescent="0.2">
      <c r="A2829" s="22">
        <f ca="1">IFERROR(__xludf.DUMMYFUNCTION("""COMPUTED_VALUE"""),44617)</f>
        <v>44617</v>
      </c>
      <c r="B2829" s="23" t="str">
        <f ca="1">IFERROR(__xludf.DUMMYFUNCTION("""COMPUTED_VALUE"""),"BATERIA CALANI UMYWALKOWA ASTRAL WYSOKA H GOLD")</f>
        <v>BATERIA CALANI UMYWALKOWA ASTRAL WYSOKA H GOLD</v>
      </c>
      <c r="C2829" s="23"/>
      <c r="D2829" s="24">
        <f ca="1">IFERROR(__xludf.DUMMYFUNCTION("""COMPUTED_VALUE"""),229)</f>
        <v>229</v>
      </c>
      <c r="E2829" s="26" t="str">
        <f ca="1">IFERROR(__xludf.DUMMYFUNCTION("""COMPUTED_VALUE"""),"CAL-B0003")</f>
        <v>CAL-B0003</v>
      </c>
    </row>
    <row r="2830" spans="1:5" x14ac:dyDescent="0.2">
      <c r="A2830" s="22">
        <f ca="1">IFERROR(__xludf.DUMMYFUNCTION("""COMPUTED_VALUE"""),44617)</f>
        <v>44617</v>
      </c>
      <c r="B2830" s="23" t="str">
        <f ca="1">IFERROR(__xludf.DUMMYFUNCTION("""COMPUTED_VALUE"""),"BATERIA WANNOWA ŚCIENNA CREEK BLACK")</f>
        <v>BATERIA WANNOWA ŚCIENNA CREEK BLACK</v>
      </c>
      <c r="C2830" s="23"/>
      <c r="D2830" s="24">
        <f ca="1">IFERROR(__xludf.DUMMYFUNCTION("""COMPUTED_VALUE"""),379)</f>
        <v>379</v>
      </c>
      <c r="E2830" s="26" t="str">
        <f ca="1">IFERROR(__xludf.DUMMYFUNCTION("""COMPUTED_VALUE"""),"REA-B9667")</f>
        <v>REA-B9667</v>
      </c>
    </row>
    <row r="2831" spans="1:5" x14ac:dyDescent="0.2">
      <c r="A2831" s="22">
        <f ca="1">IFERROR(__xludf.DUMMYFUNCTION("""COMPUTED_VALUE"""),44617)</f>
        <v>44617</v>
      </c>
      <c r="B2831" s="23" t="str">
        <f ca="1">IFERROR(__xludf.DUMMYFUNCTION("""COMPUTED_VALUE"""),"BATERIA UMYWALKOWA WYSOKA SONIC BLACK")</f>
        <v>BATERIA UMYWALKOWA WYSOKA SONIC BLACK</v>
      </c>
      <c r="C2831" s="23"/>
      <c r="D2831" s="24">
        <f ca="1">IFERROR(__xludf.DUMMYFUNCTION("""COMPUTED_VALUE"""),279)</f>
        <v>279</v>
      </c>
      <c r="E2831" s="26" t="str">
        <f ca="1">IFERROR(__xludf.DUMMYFUNCTION("""COMPUTED_VALUE"""),"BAT-09854")</f>
        <v>BAT-09854</v>
      </c>
    </row>
    <row r="2832" spans="1:5" x14ac:dyDescent="0.2">
      <c r="A2832" s="22">
        <f ca="1">IFERROR(__xludf.DUMMYFUNCTION("""COMPUTED_VALUE"""),44617)</f>
        <v>44617</v>
      </c>
      <c r="B2832" s="23" t="str">
        <f ca="1">IFERROR(__xludf.DUMMYFUNCTION("""COMPUTED_VALUE"""),"BATERIA WANNOWA MAYSON L.GOLD")</f>
        <v>BATERIA WANNOWA MAYSON L.GOLD</v>
      </c>
      <c r="C2832" s="23"/>
      <c r="D2832" s="24">
        <f ca="1">IFERROR(__xludf.DUMMYFUNCTION("""COMPUTED_VALUE"""),419)</f>
        <v>419</v>
      </c>
      <c r="E2832" s="26" t="str">
        <f ca="1">IFERROR(__xludf.DUMMYFUNCTION("""COMPUTED_VALUE"""),"REA-B5662")</f>
        <v>REA-B5662</v>
      </c>
    </row>
    <row r="2833" spans="1:5" x14ac:dyDescent="0.2">
      <c r="A2833" s="22">
        <f ca="1">IFERROR(__xludf.DUMMYFUNCTION("""COMPUTED_VALUE"""),44617)</f>
        <v>44617</v>
      </c>
      <c r="B2833" s="23" t="str">
        <f ca="1">IFERROR(__xludf.DUMMYFUNCTION("""COMPUTED_VALUE"""),"BATERIA UMYWALKOWA VERTIGO SIDE BLACK")</f>
        <v>BATERIA UMYWALKOWA VERTIGO SIDE BLACK</v>
      </c>
      <c r="C2833" s="23"/>
      <c r="D2833" s="24">
        <f ca="1">IFERROR(__xludf.DUMMYFUNCTION("""COMPUTED_VALUE"""),279)</f>
        <v>279</v>
      </c>
      <c r="E2833" s="26" t="str">
        <f ca="1">IFERROR(__xludf.DUMMYFUNCTION("""COMPUTED_VALUE"""),"REA-B8767")</f>
        <v>REA-B8767</v>
      </c>
    </row>
    <row r="2834" spans="1:5" x14ac:dyDescent="0.2">
      <c r="A2834" s="22">
        <f ca="1">IFERROR(__xludf.DUMMYFUNCTION("""COMPUTED_VALUE"""),44617)</f>
        <v>44617</v>
      </c>
      <c r="B2834" s="23" t="str">
        <f ca="1">IFERROR(__xludf.DUMMYFUNCTION("""COMPUTED_VALUE"""),"BATERIA PODŁOGOWA UMYWALKOWA ORTIS BLACK")</f>
        <v>BATERIA PODŁOGOWA UMYWALKOWA ORTIS BLACK</v>
      </c>
      <c r="C2834" s="23"/>
      <c r="D2834" s="24">
        <f ca="1">IFERROR(__xludf.DUMMYFUNCTION("""COMPUTED_VALUE"""),559)</f>
        <v>559</v>
      </c>
      <c r="E2834" s="25" t="str">
        <f ca="1">IFERROR(__xludf.DUMMYFUNCTION("""COMPUTED_VALUE"""),"REA-B4891")</f>
        <v>REA-B4891</v>
      </c>
    </row>
    <row r="2835" spans="1:5" x14ac:dyDescent="0.2">
      <c r="A2835" s="22">
        <f ca="1">IFERROR(__xludf.DUMMYFUNCTION("""COMPUTED_VALUE"""),44617)</f>
        <v>44617</v>
      </c>
      <c r="B2835" s="23" t="str">
        <f ca="1">IFERROR(__xludf.DUMMYFUNCTION("""COMPUTED_VALUE"""),"BATERIA PODŁOGOWA UMYWALKOWA ORTIS L.GOLD")</f>
        <v>BATERIA PODŁOGOWA UMYWALKOWA ORTIS L.GOLD</v>
      </c>
      <c r="C2835" s="23"/>
      <c r="D2835" s="24">
        <f ca="1">IFERROR(__xludf.DUMMYFUNCTION("""COMPUTED_VALUE"""),819)</f>
        <v>819</v>
      </c>
      <c r="E2835" s="25" t="str">
        <f ca="1">IFERROR(__xludf.DUMMYFUNCTION("""COMPUTED_VALUE"""),"REA-B4890")</f>
        <v>REA-B4890</v>
      </c>
    </row>
    <row r="2836" spans="1:5" x14ac:dyDescent="0.2">
      <c r="A2836" s="22">
        <f ca="1">IFERROR(__xludf.DUMMYFUNCTION("""COMPUTED_VALUE"""),44617)</f>
        <v>44617</v>
      </c>
      <c r="B2836" s="23" t="str">
        <f ca="1">IFERROR(__xludf.DUMMYFUNCTION("""COMPUTED_VALUE"""),"BATERIA CALANI UMYWALKOWA PODTYNKOWA NEXOS C GOLD")</f>
        <v>BATERIA CALANI UMYWALKOWA PODTYNKOWA NEXOS C GOLD</v>
      </c>
      <c r="C2836" s="23"/>
      <c r="D2836" s="24">
        <f ca="1">IFERROR(__xludf.DUMMYFUNCTION("""COMPUTED_VALUE"""),299)</f>
        <v>299</v>
      </c>
      <c r="E2836" s="26" t="str">
        <f ca="1">IFERROR(__xludf.DUMMYFUNCTION("""COMPUTED_VALUE"""),"CAL-B0007")</f>
        <v>CAL-B0007</v>
      </c>
    </row>
    <row r="2837" spans="1:5" x14ac:dyDescent="0.2">
      <c r="A2837" s="22">
        <f ca="1">IFERROR(__xludf.DUMMYFUNCTION("""COMPUTED_VALUE"""),44617)</f>
        <v>44617</v>
      </c>
      <c r="B2837" s="23" t="str">
        <f ca="1">IFERROR(__xludf.DUMMYFUNCTION("""COMPUTED_VALUE"""),"BATERIA WANNOWA LUNGO BLACK")</f>
        <v>BATERIA WANNOWA LUNGO BLACK</v>
      </c>
      <c r="C2837" s="23"/>
      <c r="D2837" s="24">
        <f ca="1">IFERROR(__xludf.DUMMYFUNCTION("""COMPUTED_VALUE"""),599)</f>
        <v>599</v>
      </c>
      <c r="E2837" s="26" t="str">
        <f ca="1">IFERROR(__xludf.DUMMYFUNCTION("""COMPUTED_VALUE"""),"REA-B6634")</f>
        <v>REA-B6634</v>
      </c>
    </row>
    <row r="2838" spans="1:5" x14ac:dyDescent="0.2">
      <c r="A2838" s="22">
        <f ca="1">IFERROR(__xludf.DUMMYFUNCTION("""COMPUTED_VALUE"""),44617)</f>
        <v>44617</v>
      </c>
      <c r="B2838" s="23" t="str">
        <f ca="1">IFERROR(__xludf.DUMMYFUNCTION("""COMPUTED_VALUE"""),"BATERIA CALANI UMYWALKOWA LOTUS WYSOKA H L.GOLD")</f>
        <v>BATERIA CALANI UMYWALKOWA LOTUS WYSOKA H L.GOLD</v>
      </c>
      <c r="C2838" s="23"/>
      <c r="D2838" s="24">
        <f ca="1">IFERROR(__xludf.DUMMYFUNCTION("""COMPUTED_VALUE"""),149)</f>
        <v>149</v>
      </c>
      <c r="E2838" s="26" t="str">
        <f ca="1">IFERROR(__xludf.DUMMYFUNCTION("""COMPUTED_VALUE"""),"CAL-B0033")</f>
        <v>CAL-B0033</v>
      </c>
    </row>
    <row r="2839" spans="1:5" x14ac:dyDescent="0.2">
      <c r="A2839" s="22">
        <f ca="1">IFERROR(__xludf.DUMMYFUNCTION("""COMPUTED_VALUE"""),44617)</f>
        <v>44617</v>
      </c>
      <c r="B2839" s="23" t="str">
        <f ca="1">IFERROR(__xludf.DUMMYFUNCTION("""COMPUTED_VALUE"""),"BATERIA CALANI UMYWALKOWA LOTUS WYSOKA H CHROM")</f>
        <v>BATERIA CALANI UMYWALKOWA LOTUS WYSOKA H CHROM</v>
      </c>
      <c r="C2839" s="23"/>
      <c r="D2839" s="24">
        <f ca="1">IFERROR(__xludf.DUMMYFUNCTION("""COMPUTED_VALUE"""),209)</f>
        <v>209</v>
      </c>
      <c r="E2839" s="26" t="str">
        <f ca="1">IFERROR(__xludf.DUMMYFUNCTION("""COMPUTED_VALUE"""),"CAL-B0032")</f>
        <v>CAL-B0032</v>
      </c>
    </row>
    <row r="2840" spans="1:5" x14ac:dyDescent="0.2">
      <c r="A2840" s="22">
        <f ca="1">IFERROR(__xludf.DUMMYFUNCTION("""COMPUTED_VALUE"""),44617)</f>
        <v>44617</v>
      </c>
      <c r="B2840" s="23" t="str">
        <f ca="1">IFERROR(__xludf.DUMMYFUNCTION("""COMPUTED_VALUE"""),"BATERIA KUCHENNA GASPAR BLACK MAT")</f>
        <v>BATERIA KUCHENNA GASPAR BLACK MAT</v>
      </c>
      <c r="C2840" s="23"/>
      <c r="D2840" s="24">
        <f ca="1">IFERROR(__xludf.DUMMYFUNCTION("""COMPUTED_VALUE"""),389)</f>
        <v>389</v>
      </c>
      <c r="E2840" s="26" t="str">
        <f ca="1">IFERROR(__xludf.DUMMYFUNCTION("""COMPUTED_VALUE"""),"REA-B0233")</f>
        <v>REA-B0233</v>
      </c>
    </row>
    <row r="2841" spans="1:5" x14ac:dyDescent="0.2">
      <c r="A2841" s="22">
        <f ca="1">IFERROR(__xludf.DUMMYFUNCTION("""COMPUTED_VALUE"""),44617)</f>
        <v>44617</v>
      </c>
      <c r="B2841" s="23" t="str">
        <f ca="1">IFERROR(__xludf.DUMMYFUNCTION("""COMPUTED_VALUE"""),"SYFON KLIK-KLAK UNIWERSALNY ROSE GOLD")</f>
        <v>SYFON KLIK-KLAK UNIWERSALNY ROSE GOLD</v>
      </c>
      <c r="C2841" s="23"/>
      <c r="D2841" s="24">
        <f ca="1">IFERROR(__xludf.DUMMYFUNCTION("""COMPUTED_VALUE"""),239)</f>
        <v>239</v>
      </c>
      <c r="E2841" s="26" t="str">
        <f ca="1">IFERROR(__xludf.DUMMYFUNCTION("""COMPUTED_VALUE"""),"REA-A8541")</f>
        <v>REA-A8541</v>
      </c>
    </row>
    <row r="2842" spans="1:5" x14ac:dyDescent="0.2">
      <c r="A2842" s="22">
        <f ca="1">IFERROR(__xludf.DUMMYFUNCTION("""COMPUTED_VALUE"""),44617)</f>
        <v>44617</v>
      </c>
      <c r="B2842" s="23" t="str">
        <f ca="1">IFERROR(__xludf.DUMMYFUNCTION("""COMPUTED_VALUE"""),"KOREK KLIK-KLAK UNIWERSALNY OLD BLACK")</f>
        <v>KOREK KLIK-KLAK UNIWERSALNY OLD BLACK</v>
      </c>
      <c r="C2842" s="23"/>
      <c r="D2842" s="24">
        <f ca="1">IFERROR(__xludf.DUMMYFUNCTION("""COMPUTED_VALUE"""),99)</f>
        <v>99</v>
      </c>
      <c r="E2842" s="26" t="str">
        <f ca="1">IFERROR(__xludf.DUMMYFUNCTION("""COMPUTED_VALUE"""),"REA-A5218")</f>
        <v>REA-A5218</v>
      </c>
    </row>
    <row r="2843" spans="1:5" x14ac:dyDescent="0.2">
      <c r="A2843" s="22">
        <f ca="1">IFERROR(__xludf.DUMMYFUNCTION("""COMPUTED_VALUE"""),44617)</f>
        <v>44617</v>
      </c>
      <c r="B2843" s="23" t="str">
        <f ca="1">IFERROR(__xludf.DUMMYFUNCTION("""COMPUTED_VALUE"""),"KOREK KLIK-KLAK UNIWERSALNY WHITE")</f>
        <v>KOREK KLIK-KLAK UNIWERSALNY WHITE</v>
      </c>
      <c r="C2843" s="23"/>
      <c r="D2843" s="24">
        <f ca="1">IFERROR(__xludf.DUMMYFUNCTION("""COMPUTED_VALUE"""),99)</f>
        <v>99</v>
      </c>
      <c r="E2843" s="26" t="str">
        <f ca="1">IFERROR(__xludf.DUMMYFUNCTION("""COMPUTED_VALUE"""),"REA-A2361")</f>
        <v>REA-A2361</v>
      </c>
    </row>
    <row r="2844" spans="1:5" x14ac:dyDescent="0.2">
      <c r="A2844" s="22">
        <f ca="1">IFERROR(__xludf.DUMMYFUNCTION("""COMPUTED_VALUE"""),44617)</f>
        <v>44617</v>
      </c>
      <c r="B2844" s="23" t="str">
        <f ca="1">IFERROR(__xludf.DUMMYFUNCTION("""COMPUTED_VALUE"""),"KOREK KLIK-KLAK UNIWERSALNY ROSE GOLD")</f>
        <v>KOREK KLIK-KLAK UNIWERSALNY ROSE GOLD</v>
      </c>
      <c r="C2844" s="23"/>
      <c r="D2844" s="24">
        <f ca="1">IFERROR(__xludf.DUMMYFUNCTION("""COMPUTED_VALUE"""),99)</f>
        <v>99</v>
      </c>
      <c r="E2844" s="26" t="str">
        <f ca="1">IFERROR(__xludf.DUMMYFUNCTION("""COMPUTED_VALUE"""),"REA-A533A")</f>
        <v>REA-A533A</v>
      </c>
    </row>
    <row r="2845" spans="1:5" x14ac:dyDescent="0.2">
      <c r="A2845" s="22">
        <f ca="1">IFERROR(__xludf.DUMMYFUNCTION("""COMPUTED_VALUE"""),44617)</f>
        <v>44617</v>
      </c>
      <c r="B2845" s="23" t="str">
        <f ca="1">IFERROR(__xludf.DUMMYFUNCTION("""COMPUTED_VALUE"""),"KOREK KLIK-KLAK UNIWERSALNY L.GOLD")</f>
        <v>KOREK KLIK-KLAK UNIWERSALNY L.GOLD</v>
      </c>
      <c r="C2845" s="23"/>
      <c r="D2845" s="24">
        <f ca="1">IFERROR(__xludf.DUMMYFUNCTION("""COMPUTED_VALUE"""),99)</f>
        <v>99</v>
      </c>
      <c r="E2845" s="26" t="str">
        <f ca="1">IFERROR(__xludf.DUMMYFUNCTION("""COMPUTED_VALUE"""),"REA-A2360")</f>
        <v>REA-A2360</v>
      </c>
    </row>
    <row r="2846" spans="1:5" x14ac:dyDescent="0.2">
      <c r="A2846" s="22">
        <f ca="1">IFERROR(__xludf.DUMMYFUNCTION("""COMPUTED_VALUE"""),44617)</f>
        <v>44617</v>
      </c>
      <c r="B2846" s="23" t="str">
        <f ca="1">IFERROR(__xludf.DUMMYFUNCTION("""COMPUTED_VALUE"""),"KOREK KLIK-KLAK UNIWERSALNY BLACK")</f>
        <v>KOREK KLIK-KLAK UNIWERSALNY BLACK</v>
      </c>
      <c r="C2846" s="23"/>
      <c r="D2846" s="24">
        <f ca="1">IFERROR(__xludf.DUMMYFUNCTION("""COMPUTED_VALUE"""),99)</f>
        <v>99</v>
      </c>
      <c r="E2846" s="26" t="str">
        <f ca="1">IFERROR(__xludf.DUMMYFUNCTION("""COMPUTED_VALUE"""),"REA-A5216")</f>
        <v>REA-A5216</v>
      </c>
    </row>
    <row r="2847" spans="1:5" x14ac:dyDescent="0.2">
      <c r="A2847" s="22">
        <f ca="1">IFERROR(__xludf.DUMMYFUNCTION("""COMPUTED_VALUE"""),44617)</f>
        <v>44617</v>
      </c>
      <c r="B2847" s="23" t="str">
        <f ca="1">IFERROR(__xludf.DUMMYFUNCTION("""COMPUTED_VALUE"""),"KOREK CALANI KLIK-KLAK UNIWERSALNY CHROM")</f>
        <v>KOREK CALANI KLIK-KLAK UNIWERSALNY CHROM</v>
      </c>
      <c r="C2847" s="23"/>
      <c r="D2847" s="24">
        <f ca="1">IFERROR(__xludf.DUMMYFUNCTION("""COMPUTED_VALUE"""),49)</f>
        <v>49</v>
      </c>
      <c r="E2847" s="26" t="str">
        <f ca="1">IFERROR(__xludf.DUMMYFUNCTION("""COMPUTED_VALUE"""),"CAL-A0003")</f>
        <v>CAL-A0003</v>
      </c>
    </row>
    <row r="2848" spans="1:5" x14ac:dyDescent="0.2">
      <c r="A2848" s="22">
        <f ca="1">IFERROR(__xludf.DUMMYFUNCTION("""COMPUTED_VALUE"""),44617)</f>
        <v>44617</v>
      </c>
      <c r="B2848" s="23" t="str">
        <f ca="1">IFERROR(__xludf.DUMMYFUNCTION("""COMPUTED_VALUE"""),"KOREK CALANI KLIK-KLAK UNIWERSALNY L.GOLD")</f>
        <v>KOREK CALANI KLIK-KLAK UNIWERSALNY L.GOLD</v>
      </c>
      <c r="C2848" s="23"/>
      <c r="D2848" s="24">
        <f ca="1">IFERROR(__xludf.DUMMYFUNCTION("""COMPUTED_VALUE"""),69)</f>
        <v>69</v>
      </c>
      <c r="E2848" s="26" t="str">
        <f ca="1">IFERROR(__xludf.DUMMYFUNCTION("""COMPUTED_VALUE"""),"CAL-A0002")</f>
        <v>CAL-A0002</v>
      </c>
    </row>
    <row r="2849" spans="1:5" x14ac:dyDescent="0.2">
      <c r="A2849" s="22">
        <f ca="1">IFERROR(__xludf.DUMMYFUNCTION("""COMPUTED_VALUE"""),44617)</f>
        <v>44617</v>
      </c>
      <c r="B2849" s="23" t="str">
        <f ca="1">IFERROR(__xludf.DUMMYFUNCTION("""COMPUTED_VALUE"""),"BATERIA PODŁOGOWA WANNOWA ORTIS BLACK")</f>
        <v>BATERIA PODŁOGOWA WANNOWA ORTIS BLACK</v>
      </c>
      <c r="C2849" s="23"/>
      <c r="D2849" s="24">
        <f ca="1">IFERROR(__xludf.DUMMYFUNCTION("""COMPUTED_VALUE"""),1099)</f>
        <v>1099</v>
      </c>
      <c r="E2849" s="25" t="str">
        <f ca="1">IFERROR(__xludf.DUMMYFUNCTION("""COMPUTED_VALUE"""),"REA-B0232")</f>
        <v>REA-B0232</v>
      </c>
    </row>
    <row r="2850" spans="1:5" x14ac:dyDescent="0.2">
      <c r="A2850" s="22">
        <f ca="1">IFERROR(__xludf.DUMMYFUNCTION("""COMPUTED_VALUE"""),44617)</f>
        <v>44617</v>
      </c>
      <c r="B2850" s="23" t="str">
        <f ca="1">IFERROR(__xludf.DUMMYFUNCTION("""COMPUTED_VALUE"""),"BATERIA UMYWALKOWA MAYSON L.GOLD WYSOKA")</f>
        <v>BATERIA UMYWALKOWA MAYSON L.GOLD WYSOKA</v>
      </c>
      <c r="C2850" s="23"/>
      <c r="D2850" s="24">
        <f ca="1">IFERROR(__xludf.DUMMYFUNCTION("""COMPUTED_VALUE"""),359)</f>
        <v>359</v>
      </c>
      <c r="E2850" s="25" t="str">
        <f ca="1">IFERROR(__xludf.DUMMYFUNCTION("""COMPUTED_VALUE"""),"REA-B5103")</f>
        <v>REA-B5103</v>
      </c>
    </row>
    <row r="2851" spans="1:5" x14ac:dyDescent="0.2">
      <c r="A2851" s="22">
        <f ca="1">IFERROR(__xludf.DUMMYFUNCTION("""COMPUTED_VALUE"""),44617)</f>
        <v>44617</v>
      </c>
      <c r="B2851" s="23" t="str">
        <f ca="1">IFERROR(__xludf.DUMMYFUNCTION("""COMPUTED_VALUE"""),"BATERIA UMYWALKOWA BUZZ BLACK WYSOKA")</f>
        <v>BATERIA UMYWALKOWA BUZZ BLACK WYSOKA</v>
      </c>
      <c r="C2851" s="23"/>
      <c r="D2851" s="24">
        <f ca="1">IFERROR(__xludf.DUMMYFUNCTION("""COMPUTED_VALUE"""),279)</f>
        <v>279</v>
      </c>
      <c r="E2851" s="25" t="str">
        <f ca="1">IFERROR(__xludf.DUMMYFUNCTION("""COMPUTED_VALUE"""),"REA-B6921")</f>
        <v>REA-B6921</v>
      </c>
    </row>
    <row r="2852" spans="1:5" x14ac:dyDescent="0.2">
      <c r="A2852" s="22">
        <f ca="1">IFERROR(__xludf.DUMMYFUNCTION("""COMPUTED_VALUE"""),44617)</f>
        <v>44617</v>
      </c>
      <c r="B2852" s="23" t="str">
        <f ca="1">IFERROR(__xludf.DUMMYFUNCTION("""COMPUTED_VALUE"""),"BATERIA UMYWALKOWA LUNGO ART L.GOLD WYSOKA")</f>
        <v>BATERIA UMYWALKOWA LUNGO ART L.GOLD WYSOKA</v>
      </c>
      <c r="C2852" s="23"/>
      <c r="D2852" s="24">
        <f ca="1">IFERROR(__xludf.DUMMYFUNCTION("""COMPUTED_VALUE"""),359)</f>
        <v>359</v>
      </c>
      <c r="E2852" s="25" t="str">
        <f ca="1">IFERROR(__xludf.DUMMYFUNCTION("""COMPUTED_VALUE"""),"REA-B8821")</f>
        <v>REA-B8821</v>
      </c>
    </row>
    <row r="2853" spans="1:5" x14ac:dyDescent="0.2">
      <c r="A2853" s="22">
        <f ca="1">IFERROR(__xludf.DUMMYFUNCTION("""COMPUTED_VALUE"""),44617)</f>
        <v>44617</v>
      </c>
      <c r="B2853" s="23" t="str">
        <f ca="1">IFERROR(__xludf.DUMMYFUNCTION("""COMPUTED_VALUE"""),"BATERIA UMYWALKOWA LUNGO ART L.GOLD NISKA")</f>
        <v>BATERIA UMYWALKOWA LUNGO ART L.GOLD NISKA</v>
      </c>
      <c r="C2853" s="23"/>
      <c r="D2853" s="24">
        <f ca="1">IFERROR(__xludf.DUMMYFUNCTION("""COMPUTED_VALUE"""),299)</f>
        <v>299</v>
      </c>
      <c r="E2853" s="25" t="str">
        <f ca="1">IFERROR(__xludf.DUMMYFUNCTION("""COMPUTED_VALUE"""),"REA-B6322")</f>
        <v>REA-B6322</v>
      </c>
    </row>
    <row r="2854" spans="1:5" x14ac:dyDescent="0.2">
      <c r="A2854" s="22">
        <f ca="1">IFERROR(__xludf.DUMMYFUNCTION("""COMPUTED_VALUE"""),44617)</f>
        <v>44617</v>
      </c>
      <c r="B2854" s="23" t="str">
        <f ca="1">IFERROR(__xludf.DUMMYFUNCTION("""COMPUTED_VALUE"""),"UMYWALKA MARTINA - NABLATOWA")</f>
        <v>UMYWALKA MARTINA - NABLATOWA</v>
      </c>
      <c r="C2854" s="23"/>
      <c r="D2854" s="24">
        <f ca="1">IFERROR(__xludf.DUMMYFUNCTION("""COMPUTED_VALUE"""),349)</f>
        <v>349</v>
      </c>
      <c r="E2854" s="25" t="str">
        <f ca="1">IFERROR(__xludf.DUMMYFUNCTION("""COMPUTED_VALUE"""),"REA-U6646")</f>
        <v>REA-U6646</v>
      </c>
    </row>
    <row r="2855" spans="1:5" x14ac:dyDescent="0.2">
      <c r="A2855" s="22">
        <f ca="1">IFERROR(__xludf.DUMMYFUNCTION("""COMPUTED_VALUE"""),44617)</f>
        <v>44617</v>
      </c>
      <c r="B2855" s="23" t="str">
        <f ca="1">IFERROR(__xludf.DUMMYFUNCTION("""COMPUTED_VALUE"""),"UMYWALKA SOFIA MINI GREEN SHINY - NABLATOWA")</f>
        <v>UMYWALKA SOFIA MINI GREEN SHINY - NABLATOWA</v>
      </c>
      <c r="C2855" s="23"/>
      <c r="D2855" s="24">
        <f ca="1">IFERROR(__xludf.DUMMYFUNCTION("""COMPUTED_VALUE"""),299)</f>
        <v>299</v>
      </c>
      <c r="E2855" s="25" t="str">
        <f ca="1">IFERROR(__xludf.DUMMYFUNCTION("""COMPUTED_VALUE"""),"REA-U0961")</f>
        <v>REA-U0961</v>
      </c>
    </row>
    <row r="2856" spans="1:5" x14ac:dyDescent="0.2">
      <c r="A2856" s="22">
        <f ca="1">IFERROR(__xludf.DUMMYFUNCTION("""COMPUTED_VALUE"""),44617)</f>
        <v>44617</v>
      </c>
      <c r="B2856" s="23" t="str">
        <f ca="1">IFERROR(__xludf.DUMMYFUNCTION("""COMPUTED_VALUE"""),"UMYWALKA SHILA - NABLATOWA")</f>
        <v>UMYWALKA SHILA - NABLATOWA</v>
      </c>
      <c r="C2856" s="23"/>
      <c r="D2856" s="24">
        <f ca="1">IFERROR(__xludf.DUMMYFUNCTION("""COMPUTED_VALUE"""),329)</f>
        <v>329</v>
      </c>
      <c r="E2856" s="25" t="str">
        <f ca="1">IFERROR(__xludf.DUMMYFUNCTION("""COMPUTED_VALUE"""),"REA-U6655")</f>
        <v>REA-U6655</v>
      </c>
    </row>
    <row r="2857" spans="1:5" x14ac:dyDescent="0.2">
      <c r="A2857" s="22">
        <f ca="1">IFERROR(__xludf.DUMMYFUNCTION("""COMPUTED_VALUE"""),44617)</f>
        <v>44617</v>
      </c>
      <c r="B2857" s="23" t="str">
        <f ca="1">IFERROR(__xludf.DUMMYFUNCTION("""COMPUTED_VALUE"""),"UMYWALKA SAMI MARBLE - NABLATOWA")</f>
        <v>UMYWALKA SAMI MARBLE - NABLATOWA</v>
      </c>
      <c r="C2857" s="23"/>
      <c r="D2857" s="24">
        <f ca="1">IFERROR(__xludf.DUMMYFUNCTION("""COMPUTED_VALUE"""),319)</f>
        <v>319</v>
      </c>
      <c r="E2857" s="25" t="str">
        <f ca="1">IFERROR(__xludf.DUMMYFUNCTION("""COMPUTED_VALUE"""),"REA-U5685")</f>
        <v>REA-U5685</v>
      </c>
    </row>
    <row r="2858" spans="1:5" x14ac:dyDescent="0.2">
      <c r="A2858" s="22">
        <f ca="1">IFERROR(__xludf.DUMMYFUNCTION("""COMPUTED_VALUE"""),44617)</f>
        <v>44617</v>
      </c>
      <c r="B2858" s="23" t="str">
        <f ca="1">IFERROR(__xludf.DUMMYFUNCTION("""COMPUTED_VALUE"""),"UMYWALKA LIVIA BEIGE - NABLATOWA")</f>
        <v>UMYWALKA LIVIA BEIGE - NABLATOWA</v>
      </c>
      <c r="C2858" s="23"/>
      <c r="D2858" s="24">
        <f ca="1">IFERROR(__xludf.DUMMYFUNCTION("""COMPUTED_VALUE"""),349)</f>
        <v>349</v>
      </c>
      <c r="E2858" s="25" t="str">
        <f ca="1">IFERROR(__xludf.DUMMYFUNCTION("""COMPUTED_VALUE"""),"REA-U3802")</f>
        <v>REA-U3802</v>
      </c>
    </row>
    <row r="2859" spans="1:5" x14ac:dyDescent="0.2">
      <c r="A2859" s="22">
        <f ca="1">IFERROR(__xludf.DUMMYFUNCTION("""COMPUTED_VALUE"""),44617)</f>
        <v>44617</v>
      </c>
      <c r="B2859" s="23" t="str">
        <f ca="1">IFERROR(__xludf.DUMMYFUNCTION("""COMPUTED_VALUE"""),"UMYWALKA CINDY - NABLATOWA")</f>
        <v>UMYWALKA CINDY - NABLATOWA</v>
      </c>
      <c r="C2859" s="23"/>
      <c r="D2859" s="24">
        <f ca="1">IFERROR(__xludf.DUMMYFUNCTION("""COMPUTED_VALUE"""),279)</f>
        <v>279</v>
      </c>
      <c r="E2859" s="25" t="str">
        <f ca="1">IFERROR(__xludf.DUMMYFUNCTION("""COMPUTED_VALUE"""),"REA-U0155")</f>
        <v>REA-U0155</v>
      </c>
    </row>
    <row r="2860" spans="1:5" x14ac:dyDescent="0.2">
      <c r="A2860" s="22">
        <f ca="1">IFERROR(__xludf.DUMMYFUNCTION("""COMPUTED_VALUE"""),44617)</f>
        <v>44617</v>
      </c>
      <c r="B2860" s="23" t="str">
        <f ca="1">IFERROR(__xludf.DUMMYFUNCTION("""COMPUTED_VALUE"""),"#N/A")</f>
        <v>#N/A</v>
      </c>
      <c r="C2860" s="23"/>
      <c r="D2860" s="24" t="str">
        <f ca="1">IFERROR(__xludf.DUMMYFUNCTION("""COMPUTED_VALUE"""),"#N/A")</f>
        <v>#N/A</v>
      </c>
      <c r="E2860" s="25" t="str">
        <f ca="1">IFERROR(__xludf.DUMMYFUNCTION("""COMPUTED_VALUE"""),"REA-U0676")</f>
        <v>REA-U0676</v>
      </c>
    </row>
    <row r="2861" spans="1:5" x14ac:dyDescent="0.2">
      <c r="A2861" s="22">
        <f ca="1">IFERROR(__xludf.DUMMYFUNCTION("""COMPUTED_VALUE"""),44617)</f>
        <v>44617</v>
      </c>
      <c r="B2861" s="23" t="str">
        <f ca="1">IFERROR(__xludf.DUMMYFUNCTION("""COMPUTED_VALUE"""),"DRZWI PRYSZNICOWE RAPID SLIDE 110")</f>
        <v>DRZWI PRYSZNICOWE RAPID SLIDE 110</v>
      </c>
      <c r="C2861" s="23"/>
      <c r="D2861" s="24">
        <f ca="1">IFERROR(__xludf.DUMMYFUNCTION("""COMPUTED_VALUE"""),939)</f>
        <v>939</v>
      </c>
      <c r="E2861" s="25" t="str">
        <f ca="1">IFERROR(__xludf.DUMMYFUNCTION("""COMPUTED_VALUE"""),"REA-K6401")</f>
        <v>REA-K6401</v>
      </c>
    </row>
    <row r="2862" spans="1:5" x14ac:dyDescent="0.2">
      <c r="A2862" s="22">
        <f ca="1">IFERROR(__xludf.DUMMYFUNCTION("""COMPUTED_VALUE"""),44617)</f>
        <v>44617</v>
      </c>
      <c r="B2862" s="23" t="str">
        <f ca="1">IFERROR(__xludf.DUMMYFUNCTION("""COMPUTED_VALUE"""),"MODUŁ KABINY FOLD N2 120")</f>
        <v>MODUŁ KABINY FOLD N2 120</v>
      </c>
      <c r="C2862" s="23"/>
      <c r="D2862" s="24">
        <f ca="1">IFERROR(__xludf.DUMMYFUNCTION("""COMPUTED_VALUE"""),920)</f>
        <v>920</v>
      </c>
      <c r="E2862" s="25" t="str">
        <f ca="1">IFERROR(__xludf.DUMMYFUNCTION("""COMPUTED_VALUE"""),"REA-K7437")</f>
        <v>REA-K7437</v>
      </c>
    </row>
    <row r="2863" spans="1:5" x14ac:dyDescent="0.2">
      <c r="A2863" s="22">
        <f ca="1">IFERROR(__xludf.DUMMYFUNCTION("""COMPUTED_VALUE"""),44617)</f>
        <v>44617</v>
      </c>
      <c r="B2863" s="23" t="str">
        <f ca="1">IFERROR(__xludf.DUMMYFUNCTION("""COMPUTED_VALUE"""),"KABINA FOLD N2 80*80 TRANSP")</f>
        <v>KABINA FOLD N2 80*80 TRANSP</v>
      </c>
      <c r="C2863" s="23"/>
      <c r="D2863" s="24">
        <f ca="1">IFERROR(__xludf.DUMMYFUNCTION("""COMPUTED_VALUE"""),1499)</f>
        <v>1499</v>
      </c>
      <c r="E2863" s="25" t="str">
        <f ca="1">IFERROR(__xludf.DUMMYFUNCTION("""COMPUTED_VALUE"""),"REA-K9990")</f>
        <v>REA-K9990</v>
      </c>
    </row>
    <row r="2864" spans="1:5" x14ac:dyDescent="0.2">
      <c r="A2864" s="22">
        <f ca="1">IFERROR(__xludf.DUMMYFUNCTION("""COMPUTED_VALUE"""),44600)</f>
        <v>44600</v>
      </c>
      <c r="B2864" s="23" t="str">
        <f ca="1">IFERROR(__xludf.DUMMYFUNCTION("""COMPUTED_VALUE"""),"BATERIA NISKA TESS L.GOLD SZCZOTKOWANA")</f>
        <v>BATERIA NISKA TESS L.GOLD SZCZOTKOWANA</v>
      </c>
      <c r="C2864" s="23"/>
      <c r="D2864" s="24">
        <f ca="1">IFERROR(__xludf.DUMMYFUNCTION("""COMPUTED_VALUE"""),259)</f>
        <v>259</v>
      </c>
      <c r="E2864" s="25" t="str">
        <f ca="1">IFERROR(__xludf.DUMMYFUNCTION("""COMPUTED_VALUE"""),"REA-B5661")</f>
        <v>REA-B5661</v>
      </c>
    </row>
    <row r="2865" spans="1:5" x14ac:dyDescent="0.2">
      <c r="A2865" s="22">
        <f ca="1">IFERROR(__xludf.DUMMYFUNCTION("""COMPUTED_VALUE"""),44600)</f>
        <v>44600</v>
      </c>
      <c r="B2865" s="23" t="str">
        <f ca="1">IFERROR(__xludf.DUMMYFUNCTION("""COMPUTED_VALUE"""),"BATERIA UMYWALKOWA BUZZ BLACK NISKA")</f>
        <v>BATERIA UMYWALKOWA BUZZ BLACK NISKA</v>
      </c>
      <c r="C2865" s="23"/>
      <c r="D2865" s="24">
        <f ca="1">IFERROR(__xludf.DUMMYFUNCTION("""COMPUTED_VALUE"""),199)</f>
        <v>199</v>
      </c>
      <c r="E2865" s="25" t="str">
        <f ca="1">IFERROR(__xludf.DUMMYFUNCTION("""COMPUTED_VALUE"""),"REA-B6920")</f>
        <v>REA-B6920</v>
      </c>
    </row>
    <row r="2866" spans="1:5" x14ac:dyDescent="0.2">
      <c r="A2866" s="22">
        <f ca="1">IFERROR(__xludf.DUMMYFUNCTION("""COMPUTED_VALUE"""),44600)</f>
        <v>44600</v>
      </c>
      <c r="B2866" s="23" t="str">
        <f ca="1">IFERROR(__xludf.DUMMYFUNCTION("""COMPUTED_VALUE"""),"BATERIA UMYWALKOWA MAYSON BLACK WYSOKA")</f>
        <v>BATERIA UMYWALKOWA MAYSON BLACK WYSOKA</v>
      </c>
      <c r="C2866" s="23"/>
      <c r="D2866" s="24">
        <f ca="1">IFERROR(__xludf.DUMMYFUNCTION("""COMPUTED_VALUE"""),319)</f>
        <v>319</v>
      </c>
      <c r="E2866" s="25" t="str">
        <f ca="1">IFERROR(__xludf.DUMMYFUNCTION("""COMPUTED_VALUE"""),"REA-B5102")</f>
        <v>REA-B5102</v>
      </c>
    </row>
    <row r="2867" spans="1:5" x14ac:dyDescent="0.2">
      <c r="A2867" s="22">
        <f ca="1">IFERROR(__xludf.DUMMYFUNCTION("""COMPUTED_VALUE"""),44600)</f>
        <v>44600</v>
      </c>
      <c r="B2867" s="23" t="str">
        <f ca="1">IFERROR(__xludf.DUMMYFUNCTION("""COMPUTED_VALUE"""),"BATERIA WANNOWA BUZZ BLACK")</f>
        <v>BATERIA WANNOWA BUZZ BLACK</v>
      </c>
      <c r="C2867" s="23"/>
      <c r="D2867" s="24">
        <f ca="1">IFERROR(__xludf.DUMMYFUNCTION("""COMPUTED_VALUE"""),299)</f>
        <v>299</v>
      </c>
      <c r="E2867" s="25" t="str">
        <f ca="1">IFERROR(__xludf.DUMMYFUNCTION("""COMPUTED_VALUE"""),"REA-B3421")</f>
        <v>REA-B3421</v>
      </c>
    </row>
    <row r="2868" spans="1:5" x14ac:dyDescent="0.2">
      <c r="A2868" s="22">
        <f ca="1">IFERROR(__xludf.DUMMYFUNCTION("""COMPUTED_VALUE"""),44600)</f>
        <v>44600</v>
      </c>
      <c r="B2868" s="23" t="str">
        <f ca="1">IFERROR(__xludf.DUMMYFUNCTION("""COMPUTED_VALUE"""),"BATERIA UMYWALKOWA VINTAGE OLD BLACK WYSOKA")</f>
        <v>BATERIA UMYWALKOWA VINTAGE OLD BLACK WYSOKA</v>
      </c>
      <c r="C2868" s="23"/>
      <c r="D2868" s="24">
        <f ca="1">IFERROR(__xludf.DUMMYFUNCTION("""COMPUTED_VALUE"""),369)</f>
        <v>369</v>
      </c>
      <c r="E2868" s="25" t="str">
        <f ca="1">IFERROR(__xludf.DUMMYFUNCTION("""COMPUTED_VALUE"""),"REA-B0227")</f>
        <v>REA-B0227</v>
      </c>
    </row>
    <row r="2869" spans="1:5" x14ac:dyDescent="0.2">
      <c r="A2869" s="22">
        <f ca="1">IFERROR(__xludf.DUMMYFUNCTION("""COMPUTED_VALUE"""),44600)</f>
        <v>44600</v>
      </c>
      <c r="B2869" s="23" t="str">
        <f ca="1">IFERROR(__xludf.DUMMYFUNCTION("""COMPUTED_VALUE"""),"BATERIA WANNOWA ENZO")</f>
        <v>BATERIA WANNOWA ENZO</v>
      </c>
      <c r="C2869" s="23"/>
      <c r="D2869" s="24">
        <f ca="1">IFERROR(__xludf.DUMMYFUNCTION("""COMPUTED_VALUE"""),286)</f>
        <v>286</v>
      </c>
      <c r="E2869" s="25" t="str">
        <f ca="1">IFERROR(__xludf.DUMMYFUNCTION("""COMPUTED_VALUE"""),"REA-B0223")</f>
        <v>REA-B0223</v>
      </c>
    </row>
    <row r="2870" spans="1:5" x14ac:dyDescent="0.2">
      <c r="A2870" s="22">
        <f ca="1">IFERROR(__xludf.DUMMYFUNCTION("""COMPUTED_VALUE"""),44600)</f>
        <v>44600</v>
      </c>
      <c r="B2870" s="23" t="str">
        <f ca="1">IFERROR(__xludf.DUMMYFUNCTION("""COMPUTED_VALUE"""),"BATERIA ENZO HIGH")</f>
        <v>BATERIA ENZO HIGH</v>
      </c>
      <c r="C2870" s="23"/>
      <c r="D2870" s="24">
        <f ca="1">IFERROR(__xludf.DUMMYFUNCTION("""COMPUTED_VALUE"""),195)</f>
        <v>195</v>
      </c>
      <c r="E2870" s="25" t="str">
        <f ca="1">IFERROR(__xludf.DUMMYFUNCTION("""COMPUTED_VALUE"""),"REA-B0966")</f>
        <v>REA-B0966</v>
      </c>
    </row>
    <row r="2871" spans="1:5" x14ac:dyDescent="0.2">
      <c r="A2871" s="22">
        <f ca="1">IFERROR(__xludf.DUMMYFUNCTION("""COMPUTED_VALUE"""),44600)</f>
        <v>44600</v>
      </c>
      <c r="B2871" s="23" t="str">
        <f ca="1">IFERROR(__xludf.DUMMYFUNCTION("""COMPUTED_VALUE"""),"BATERIA UMYWALKOWA PODTYNKOWA LUNGO CHROM + BOX")</f>
        <v>BATERIA UMYWALKOWA PODTYNKOWA LUNGO CHROM + BOX</v>
      </c>
      <c r="C2871" s="23"/>
      <c r="D2871" s="24">
        <f ca="1">IFERROR(__xludf.DUMMYFUNCTION("""COMPUTED_VALUE"""),359)</f>
        <v>359</v>
      </c>
      <c r="E2871" s="25" t="str">
        <f ca="1">IFERROR(__xludf.DUMMYFUNCTION("""COMPUTED_VALUE"""),"REA-B0521")</f>
        <v>REA-B0521</v>
      </c>
    </row>
    <row r="2872" spans="1:5" x14ac:dyDescent="0.2">
      <c r="A2872" s="22">
        <f ca="1">IFERROR(__xludf.DUMMYFUNCTION("""COMPUTED_VALUE"""),44599)</f>
        <v>44599</v>
      </c>
      <c r="B2872" s="23" t="str">
        <f ca="1">IFERROR(__xludf.DUMMYFUNCTION("""COMPUTED_VALUE"""),"KABINA 90X90 PUNTO TRANSP")</f>
        <v>KABINA 90X90 PUNTO TRANSP</v>
      </c>
      <c r="C2872" s="23"/>
      <c r="D2872" s="24">
        <f ca="1">IFERROR(__xludf.DUMMYFUNCTION("""COMPUTED_VALUE"""),859)</f>
        <v>859</v>
      </c>
      <c r="E2872" s="25" t="str">
        <f ca="1">IFERROR(__xludf.DUMMYFUNCTION("""COMPUTED_VALUE"""),"REA-K0867")</f>
        <v>REA-K0867</v>
      </c>
    </row>
    <row r="2873" spans="1:5" x14ac:dyDescent="0.2">
      <c r="A2873" s="22">
        <f ca="1">IFERROR(__xludf.DUMMYFUNCTION("""COMPUTED_VALUE"""),44599)</f>
        <v>44599</v>
      </c>
      <c r="B2873" s="23" t="str">
        <f ca="1">IFERROR(__xludf.DUMMYFUNCTION("""COMPUTED_VALUE"""),"KABINA 80X100 PUNTO TRANSP")</f>
        <v>KABINA 80X100 PUNTO TRANSP</v>
      </c>
      <c r="C2873" s="23"/>
      <c r="D2873" s="24">
        <f ca="1">IFERROR(__xludf.DUMMYFUNCTION("""COMPUTED_VALUE"""),899)</f>
        <v>899</v>
      </c>
      <c r="E2873" s="25" t="str">
        <f ca="1">IFERROR(__xludf.DUMMYFUNCTION("""COMPUTED_VALUE"""),"REA-K1889")</f>
        <v>REA-K1889</v>
      </c>
    </row>
    <row r="2874" spans="1:5" x14ac:dyDescent="0.2">
      <c r="A2874" s="22">
        <f ca="1">IFERROR(__xludf.DUMMYFUNCTION("""COMPUTED_VALUE"""),44599)</f>
        <v>44599</v>
      </c>
      <c r="B2874" s="23" t="str">
        <f ca="1">IFERROR(__xludf.DUMMYFUNCTION("""COMPUTED_VALUE"""),"KABINA 80X80 PUNTO TRANSP")</f>
        <v>KABINA 80X80 PUNTO TRANSP</v>
      </c>
      <c r="C2874" s="23"/>
      <c r="D2874" s="24">
        <f ca="1">IFERROR(__xludf.DUMMYFUNCTION("""COMPUTED_VALUE"""),799)</f>
        <v>799</v>
      </c>
      <c r="E2874" s="25" t="str">
        <f ca="1">IFERROR(__xludf.DUMMYFUNCTION("""COMPUTED_VALUE"""),"REA-K0863")</f>
        <v>REA-K0863</v>
      </c>
    </row>
    <row r="2875" spans="1:5" x14ac:dyDescent="0.2">
      <c r="A2875" s="22">
        <f ca="1">IFERROR(__xludf.DUMMYFUNCTION("""COMPUTED_VALUE"""),44599)</f>
        <v>44599</v>
      </c>
      <c r="B2875" s="23" t="str">
        <f ca="1">IFERROR(__xludf.DUMMYFUNCTION("""COMPUTED_VALUE"""),"BRODZIK SAVOY BLACK 90*90*6cm + SYFON")</f>
        <v>BRODZIK SAVOY BLACK 90*90*6cm + SYFON</v>
      </c>
      <c r="C2875" s="23"/>
      <c r="D2875" s="24">
        <f ca="1">IFERROR(__xludf.DUMMYFUNCTION("""COMPUTED_VALUE"""),499)</f>
        <v>499</v>
      </c>
      <c r="E2875" s="25" t="str">
        <f ca="1">IFERROR(__xludf.DUMMYFUNCTION("""COMPUTED_VALUE"""),"REA-K4803")</f>
        <v>REA-K4803</v>
      </c>
    </row>
    <row r="2876" spans="1:5" x14ac:dyDescent="0.2">
      <c r="A2876" s="22">
        <f ca="1">IFERROR(__xludf.DUMMYFUNCTION("""COMPUTED_VALUE"""),44599)</f>
        <v>44599</v>
      </c>
      <c r="B2876" s="23" t="str">
        <f ca="1">IFERROR(__xludf.DUMMYFUNCTION("""COMPUTED_VALUE"""),"BRODZIK SAVOY 90*90*6cm + SYFON")</f>
        <v>BRODZIK SAVOY 90*90*6cm + SYFON</v>
      </c>
      <c r="C2876" s="23"/>
      <c r="D2876" s="24">
        <f ca="1">IFERROR(__xludf.DUMMYFUNCTION("""COMPUTED_VALUE"""),429)</f>
        <v>429</v>
      </c>
      <c r="E2876" s="25" t="str">
        <f ca="1">IFERROR(__xludf.DUMMYFUNCTION("""COMPUTED_VALUE"""),"REA-K1907")</f>
        <v>REA-K1907</v>
      </c>
    </row>
    <row r="2877" spans="1:5" x14ac:dyDescent="0.2">
      <c r="A2877" s="22">
        <f ca="1">IFERROR(__xludf.DUMMYFUNCTION("""COMPUTED_VALUE"""),44599)</f>
        <v>44599</v>
      </c>
      <c r="B2877" s="23" t="str">
        <f ca="1">IFERROR(__xludf.DUMMYFUNCTION("""COMPUTED_VALUE"""),"BRODZIK SAVOY BLACK 80*100*6cm + SYFON")</f>
        <v>BRODZIK SAVOY BLACK 80*100*6cm + SYFON</v>
      </c>
      <c r="C2877" s="23"/>
      <c r="D2877" s="24">
        <f ca="1">IFERROR(__xludf.DUMMYFUNCTION("""COMPUTED_VALUE"""),499)</f>
        <v>499</v>
      </c>
      <c r="E2877" s="25" t="str">
        <f ca="1">IFERROR(__xludf.DUMMYFUNCTION("""COMPUTED_VALUE"""),"REA-K4087")</f>
        <v>REA-K4087</v>
      </c>
    </row>
    <row r="2878" spans="1:5" x14ac:dyDescent="0.2">
      <c r="A2878" s="22">
        <f ca="1">IFERROR(__xludf.DUMMYFUNCTION("""COMPUTED_VALUE"""),44599)</f>
        <v>44599</v>
      </c>
      <c r="B2878" s="23" t="str">
        <f ca="1">IFERROR(__xludf.DUMMYFUNCTION("""COMPUTED_VALUE"""),"BRODZIK SAVOY 80*100*6cm + SYFON")</f>
        <v>BRODZIK SAVOY 80*100*6cm + SYFON</v>
      </c>
      <c r="C2878" s="23"/>
      <c r="D2878" s="24">
        <f ca="1">IFERROR(__xludf.DUMMYFUNCTION("""COMPUTED_VALUE"""),439)</f>
        <v>439</v>
      </c>
      <c r="E2878" s="25" t="str">
        <f ca="1">IFERROR(__xludf.DUMMYFUNCTION("""COMPUTED_VALUE"""),"REA-K5332")</f>
        <v>REA-K5332</v>
      </c>
    </row>
    <row r="2879" spans="1:5" x14ac:dyDescent="0.2">
      <c r="A2879" s="22">
        <f ca="1">IFERROR(__xludf.DUMMYFUNCTION("""COMPUTED_VALUE"""),44599)</f>
        <v>44599</v>
      </c>
      <c r="B2879" s="23" t="str">
        <f ca="1">IFERROR(__xludf.DUMMYFUNCTION("""COMPUTED_VALUE"""),"KABINA 90X90 CONCEPT BLACK")</f>
        <v>KABINA 90X90 CONCEPT BLACK</v>
      </c>
      <c r="C2879" s="23"/>
      <c r="D2879" s="24">
        <f ca="1">IFERROR(__xludf.DUMMYFUNCTION("""COMPUTED_VALUE"""),929)</f>
        <v>929</v>
      </c>
      <c r="E2879" s="25" t="str">
        <f ca="1">IFERROR(__xludf.DUMMYFUNCTION("""COMPUTED_VALUE"""),"REA-K5478")</f>
        <v>REA-K5478</v>
      </c>
    </row>
    <row r="2880" spans="1:5" x14ac:dyDescent="0.2">
      <c r="A2880" s="22">
        <f ca="1">IFERROR(__xludf.DUMMYFUNCTION("""COMPUTED_VALUE"""),44594)</f>
        <v>44594</v>
      </c>
      <c r="B2880" s="23" t="str">
        <f ca="1">IFERROR(__xludf.DUMMYFUNCTION("""COMPUTED_VALUE"""),"DRZWI PRYSZNICOWE RAPID SLIDE 100")</f>
        <v>DRZWI PRYSZNICOWE RAPID SLIDE 100</v>
      </c>
      <c r="C2880" s="23"/>
      <c r="D2880" s="24">
        <f ca="1">IFERROR(__xludf.DUMMYFUNCTION("""COMPUTED_VALUE"""),899)</f>
        <v>899</v>
      </c>
      <c r="E2880" s="25" t="str">
        <f ca="1">IFERROR(__xludf.DUMMYFUNCTION("""COMPUTED_VALUE"""),"REA-K6400")</f>
        <v>REA-K6400</v>
      </c>
    </row>
    <row r="2881" spans="1:5" x14ac:dyDescent="0.2">
      <c r="A2881" s="22">
        <f ca="1">IFERROR(__xludf.DUMMYFUNCTION("""COMPUTED_VALUE"""),44594)</f>
        <v>44594</v>
      </c>
      <c r="B2881" s="23" t="str">
        <f ca="1">IFERROR(__xludf.DUMMYFUNCTION("""COMPUTED_VALUE"""),"DRZWI PRYSZNICOWE RAPID SLIDE 110")</f>
        <v>DRZWI PRYSZNICOWE RAPID SLIDE 110</v>
      </c>
      <c r="C2881" s="23"/>
      <c r="D2881" s="24">
        <f ca="1">IFERROR(__xludf.DUMMYFUNCTION("""COMPUTED_VALUE"""),939)</f>
        <v>939</v>
      </c>
      <c r="E2881" s="25" t="str">
        <f ca="1">IFERROR(__xludf.DUMMYFUNCTION("""COMPUTED_VALUE"""),"REA-K6401")</f>
        <v>REA-K6401</v>
      </c>
    </row>
    <row r="2882" spans="1:5" x14ac:dyDescent="0.2">
      <c r="A2882" s="22">
        <f ca="1">IFERROR(__xludf.DUMMYFUNCTION("""COMPUTED_VALUE"""),44594)</f>
        <v>44594</v>
      </c>
      <c r="B2882" s="23" t="str">
        <f ca="1">IFERROR(__xludf.DUMMYFUNCTION("""COMPUTED_VALUE"""),"DRZWI PRYSZNICOWE RAPID SLIDE 120")</f>
        <v>DRZWI PRYSZNICOWE RAPID SLIDE 120</v>
      </c>
      <c r="C2882" s="23"/>
      <c r="D2882" s="24">
        <f ca="1">IFERROR(__xludf.DUMMYFUNCTION("""COMPUTED_VALUE"""),969)</f>
        <v>969</v>
      </c>
      <c r="E2882" s="25" t="str">
        <f ca="1">IFERROR(__xludf.DUMMYFUNCTION("""COMPUTED_VALUE"""),"REA-K6402")</f>
        <v>REA-K6402</v>
      </c>
    </row>
    <row r="2883" spans="1:5" x14ac:dyDescent="0.2">
      <c r="A2883" s="22">
        <f ca="1">IFERROR(__xludf.DUMMYFUNCTION("""COMPUTED_VALUE"""),44594)</f>
        <v>44594</v>
      </c>
      <c r="B2883" s="23" t="str">
        <f ca="1">IFERROR(__xludf.DUMMYFUNCTION("""COMPUTED_VALUE"""),"DRZWI PRYSZNICOWE RAPID SLIDE 130")</f>
        <v>DRZWI PRYSZNICOWE RAPID SLIDE 130</v>
      </c>
      <c r="C2883" s="23"/>
      <c r="D2883" s="24">
        <f ca="1">IFERROR(__xludf.DUMMYFUNCTION("""COMPUTED_VALUE"""),999)</f>
        <v>999</v>
      </c>
      <c r="E2883" s="25" t="str">
        <f ca="1">IFERROR(__xludf.DUMMYFUNCTION("""COMPUTED_VALUE"""),"REA-K6403")</f>
        <v>REA-K6403</v>
      </c>
    </row>
    <row r="2884" spans="1:5" x14ac:dyDescent="0.2">
      <c r="A2884" s="22">
        <f ca="1">IFERROR(__xludf.DUMMYFUNCTION("""COMPUTED_VALUE"""),44594)</f>
        <v>44594</v>
      </c>
      <c r="B2884" s="23" t="str">
        <f ca="1">IFERROR(__xludf.DUMMYFUNCTION("""COMPUTED_VALUE"""),"DRZWI PRYSZNICOWE RAPID SLIDE 140")</f>
        <v>DRZWI PRYSZNICOWE RAPID SLIDE 140</v>
      </c>
      <c r="C2884" s="23"/>
      <c r="D2884" s="24">
        <f ca="1">IFERROR(__xludf.DUMMYFUNCTION("""COMPUTED_VALUE"""),1049)</f>
        <v>1049</v>
      </c>
      <c r="E2884" s="25" t="str">
        <f ca="1">IFERROR(__xludf.DUMMYFUNCTION("""COMPUTED_VALUE"""),"REA-K6404")</f>
        <v>REA-K6404</v>
      </c>
    </row>
    <row r="2885" spans="1:5" x14ac:dyDescent="0.2">
      <c r="A2885" s="22">
        <f ca="1">IFERROR(__xludf.DUMMYFUNCTION("""COMPUTED_VALUE"""),44594)</f>
        <v>44594</v>
      </c>
      <c r="B2885" s="23" t="str">
        <f ca="1">IFERROR(__xludf.DUMMYFUNCTION("""COMPUTED_VALUE"""),"DRZWI PRYSZNICOWE RAPID SLIDE 150")</f>
        <v>DRZWI PRYSZNICOWE RAPID SLIDE 150</v>
      </c>
      <c r="C2885" s="23"/>
      <c r="D2885" s="24">
        <f ca="1">IFERROR(__xludf.DUMMYFUNCTION("""COMPUTED_VALUE"""),1069)</f>
        <v>1069</v>
      </c>
      <c r="E2885" s="25" t="str">
        <f ca="1">IFERROR(__xludf.DUMMYFUNCTION("""COMPUTED_VALUE"""),"REA-K6405")</f>
        <v>REA-K6405</v>
      </c>
    </row>
    <row r="2886" spans="1:5" x14ac:dyDescent="0.2">
      <c r="A2886" s="22">
        <f ca="1">IFERROR(__xludf.DUMMYFUNCTION("""COMPUTED_VALUE"""),44594)</f>
        <v>44594</v>
      </c>
      <c r="B2886" s="23" t="str">
        <f ca="1">IFERROR(__xludf.DUMMYFUNCTION("""COMPUTED_VALUE"""),"DRZWI PRYSZNICOWE RAPID SLIDE 160")</f>
        <v>DRZWI PRYSZNICOWE RAPID SLIDE 160</v>
      </c>
      <c r="C2886" s="23"/>
      <c r="D2886" s="24">
        <f ca="1">IFERROR(__xludf.DUMMYFUNCTION("""COMPUTED_VALUE"""),1099)</f>
        <v>1099</v>
      </c>
      <c r="E2886" s="25" t="str">
        <f ca="1">IFERROR(__xludf.DUMMYFUNCTION("""COMPUTED_VALUE"""),"REA-K6406")</f>
        <v>REA-K6406</v>
      </c>
    </row>
    <row r="2887" spans="1:5" x14ac:dyDescent="0.2">
      <c r="A2887" s="22">
        <f ca="1">IFERROR(__xludf.DUMMYFUNCTION("""COMPUTED_VALUE"""),44594)</f>
        <v>44594</v>
      </c>
      <c r="B2887" s="23" t="str">
        <f ca="1">IFERROR(__xludf.DUMMYFUNCTION("""COMPUTED_VALUE"""),"ŚCIANKA DO RAPID 80")</f>
        <v>ŚCIANKA DO RAPID 80</v>
      </c>
      <c r="C2887" s="23"/>
      <c r="D2887" s="24">
        <f ca="1">IFERROR(__xludf.DUMMYFUNCTION("""COMPUTED_VALUE"""),490)</f>
        <v>490</v>
      </c>
      <c r="E2887" s="25" t="str">
        <f ca="1">IFERROR(__xludf.DUMMYFUNCTION("""COMPUTED_VALUE"""),"REA-K6421")</f>
        <v>REA-K6421</v>
      </c>
    </row>
    <row r="2888" spans="1:5" x14ac:dyDescent="0.2">
      <c r="A2888" s="22">
        <f ca="1">IFERROR(__xludf.DUMMYFUNCTION("""COMPUTED_VALUE"""),44594)</f>
        <v>44594</v>
      </c>
      <c r="B2888" s="23" t="str">
        <f ca="1">IFERROR(__xludf.DUMMYFUNCTION("""COMPUTED_VALUE"""),"ŚCIANKA DO RAPID 90")</f>
        <v>ŚCIANKA DO RAPID 90</v>
      </c>
      <c r="C2888" s="23"/>
      <c r="D2888" s="24">
        <f ca="1">IFERROR(__xludf.DUMMYFUNCTION("""COMPUTED_VALUE"""),520)</f>
        <v>520</v>
      </c>
      <c r="E2888" s="25" t="str">
        <f ca="1">IFERROR(__xludf.DUMMYFUNCTION("""COMPUTED_VALUE"""),"REA-K6422")</f>
        <v>REA-K6422</v>
      </c>
    </row>
    <row r="2889" spans="1:5" x14ac:dyDescent="0.2">
      <c r="A2889" s="22">
        <f ca="1">IFERROR(__xludf.DUMMYFUNCTION("""COMPUTED_VALUE"""),44594)</f>
        <v>44594</v>
      </c>
      <c r="B2889" s="23" t="str">
        <f ca="1">IFERROR(__xludf.DUMMYFUNCTION("""COMPUTED_VALUE"""),"ŚCIANKA DO RAPID 100")</f>
        <v>ŚCIANKA DO RAPID 100</v>
      </c>
      <c r="C2889" s="23"/>
      <c r="D2889" s="24">
        <f ca="1">IFERROR(__xludf.DUMMYFUNCTION("""COMPUTED_VALUE"""),550)</f>
        <v>550</v>
      </c>
      <c r="E2889" s="25" t="str">
        <f ca="1">IFERROR(__xludf.DUMMYFUNCTION("""COMPUTED_VALUE"""),"REA-K6423")</f>
        <v>REA-K6423</v>
      </c>
    </row>
    <row r="2890" spans="1:5" x14ac:dyDescent="0.2">
      <c r="A2890" s="22">
        <f ca="1">IFERROR(__xludf.DUMMYFUNCTION("""COMPUTED_VALUE"""),44594)</f>
        <v>44594</v>
      </c>
      <c r="B2890" s="23" t="str">
        <f ca="1">IFERROR(__xludf.DUMMYFUNCTION("""COMPUTED_VALUE"""),"DRZWI PRYSZNICOWE NIXON-2  120 L")</f>
        <v>DRZWI PRYSZNICOWE NIXON-2  120 L</v>
      </c>
      <c r="C2890" s="23"/>
      <c r="D2890" s="24">
        <f ca="1">IFERROR(__xludf.DUMMYFUNCTION("""COMPUTED_VALUE"""),1219)</f>
        <v>1219</v>
      </c>
      <c r="E2890" s="25" t="str">
        <f ca="1">IFERROR(__xludf.DUMMYFUNCTION("""COMPUTED_VALUE"""),"REA-K5002")</f>
        <v>REA-K5002</v>
      </c>
    </row>
    <row r="2891" spans="1:5" x14ac:dyDescent="0.2">
      <c r="A2891" s="22">
        <f ca="1">IFERROR(__xludf.DUMMYFUNCTION("""COMPUTED_VALUE"""),44594)</f>
        <v>44594</v>
      </c>
      <c r="B2891" s="23" t="str">
        <f ca="1">IFERROR(__xludf.DUMMYFUNCTION("""COMPUTED_VALUE"""),"DRZWI PRYSZNICOWE NIXON-2  120 P")</f>
        <v>DRZWI PRYSZNICOWE NIXON-2  120 P</v>
      </c>
      <c r="C2891" s="23"/>
      <c r="D2891" s="24">
        <f ca="1">IFERROR(__xludf.DUMMYFUNCTION("""COMPUTED_VALUE"""),1219)</f>
        <v>1219</v>
      </c>
      <c r="E2891" s="25" t="str">
        <f ca="1">IFERROR(__xludf.DUMMYFUNCTION("""COMPUTED_VALUE"""),"REA-K5003")</f>
        <v>REA-K5003</v>
      </c>
    </row>
    <row r="2892" spans="1:5" x14ac:dyDescent="0.2">
      <c r="A2892" s="22">
        <f ca="1">IFERROR(__xludf.DUMMYFUNCTION("""COMPUTED_VALUE"""),44594)</f>
        <v>44594</v>
      </c>
      <c r="B2892" s="23" t="str">
        <f ca="1">IFERROR(__xludf.DUMMYFUNCTION("""COMPUTED_VALUE"""),"DRZWI PRYSZNICOWE NIXON-2  130 L")</f>
        <v>DRZWI PRYSZNICOWE NIXON-2  130 L</v>
      </c>
      <c r="C2892" s="23"/>
      <c r="D2892" s="24">
        <f ca="1">IFERROR(__xludf.DUMMYFUNCTION("""COMPUTED_VALUE"""),1499)</f>
        <v>1499</v>
      </c>
      <c r="E2892" s="25" t="str">
        <f ca="1">IFERROR(__xludf.DUMMYFUNCTION("""COMPUTED_VALUE"""),"REA-K5004")</f>
        <v>REA-K5004</v>
      </c>
    </row>
    <row r="2893" spans="1:5" x14ac:dyDescent="0.2">
      <c r="A2893" s="22">
        <f ca="1">IFERROR(__xludf.DUMMYFUNCTION("""COMPUTED_VALUE"""),44594)</f>
        <v>44594</v>
      </c>
      <c r="B2893" s="23" t="str">
        <f ca="1">IFERROR(__xludf.DUMMYFUNCTION("""COMPUTED_VALUE"""),"DRZWI PRYSZNICOWE NIXON-2  130 P")</f>
        <v>DRZWI PRYSZNICOWE NIXON-2  130 P</v>
      </c>
      <c r="C2893" s="23"/>
      <c r="D2893" s="24">
        <f ca="1">IFERROR(__xludf.DUMMYFUNCTION("""COMPUTED_VALUE"""),1499)</f>
        <v>1499</v>
      </c>
      <c r="E2893" s="25" t="str">
        <f ca="1">IFERROR(__xludf.DUMMYFUNCTION("""COMPUTED_VALUE"""),"REA-K5005")</f>
        <v>REA-K5005</v>
      </c>
    </row>
    <row r="2894" spans="1:5" x14ac:dyDescent="0.2">
      <c r="A2894" s="22">
        <f ca="1">IFERROR(__xludf.DUMMYFUNCTION("""COMPUTED_VALUE"""),44594)</f>
        <v>44594</v>
      </c>
      <c r="B2894" s="23" t="str">
        <f ca="1">IFERROR(__xludf.DUMMYFUNCTION("""COMPUTED_VALUE"""),"ŚCIANKA PRYSZNICOWA AERO 120 CHROM ""N""")</f>
        <v>ŚCIANKA PRYSZNICOWA AERO 120 CHROM "N"</v>
      </c>
      <c r="C2894" s="23"/>
      <c r="D2894" s="24">
        <f ca="1">IFERROR(__xludf.DUMMYFUNCTION("""COMPUTED_VALUE"""),929)</f>
        <v>929</v>
      </c>
      <c r="E2894" s="25" t="str">
        <f ca="1">IFERROR(__xludf.DUMMYFUNCTION("""COMPUTED_VALUE"""),"REA-K7550")</f>
        <v>REA-K7550</v>
      </c>
    </row>
    <row r="2895" spans="1:5" x14ac:dyDescent="0.2">
      <c r="A2895" s="22">
        <f ca="1">IFERROR(__xludf.DUMMYFUNCTION("""COMPUTED_VALUE"""),44594)</f>
        <v>44594</v>
      </c>
      <c r="B2895" s="23" t="str">
        <f ca="1">IFERROR(__xludf.DUMMYFUNCTION("""COMPUTED_VALUE"""),"ŚCIANKA PRYSZNICOWA AERO 80 BLACK")</f>
        <v>ŚCIANKA PRYSZNICOWA AERO 80 BLACK</v>
      </c>
      <c r="C2895" s="23"/>
      <c r="D2895" s="24">
        <f ca="1">IFERROR(__xludf.DUMMYFUNCTION("""COMPUTED_VALUE"""),799)</f>
        <v>799</v>
      </c>
      <c r="E2895" s="25" t="str">
        <f ca="1">IFERROR(__xludf.DUMMYFUNCTION("""COMPUTED_VALUE"""),"REA-K7580")</f>
        <v>REA-K7580</v>
      </c>
    </row>
    <row r="2896" spans="1:5" x14ac:dyDescent="0.2">
      <c r="A2896" s="22">
        <f ca="1">IFERROR(__xludf.DUMMYFUNCTION("""COMPUTED_VALUE"""),44594)</f>
        <v>44594</v>
      </c>
      <c r="B2896" s="23" t="str">
        <f ca="1">IFERROR(__xludf.DUMMYFUNCTION("""COMPUTED_VALUE"""),"ŚCIANKA PRYSZNICOWA AERO 90 BLACK")</f>
        <v>ŚCIANKA PRYSZNICOWA AERO 90 BLACK</v>
      </c>
      <c r="C2896" s="23"/>
      <c r="D2896" s="24">
        <f ca="1">IFERROR(__xludf.DUMMYFUNCTION("""COMPUTED_VALUE"""),819)</f>
        <v>819</v>
      </c>
      <c r="E2896" s="25" t="str">
        <f ca="1">IFERROR(__xludf.DUMMYFUNCTION("""COMPUTED_VALUE"""),"REA-K7581")</f>
        <v>REA-K7581</v>
      </c>
    </row>
    <row r="2897" spans="1:5" x14ac:dyDescent="0.2">
      <c r="A2897" s="22">
        <f ca="1">IFERROR(__xludf.DUMMYFUNCTION("""COMPUTED_VALUE"""),44594)</f>
        <v>44594</v>
      </c>
      <c r="B2897" s="23" t="str">
        <f ca="1">IFERROR(__xludf.DUMMYFUNCTION("""COMPUTED_VALUE"""),"ŚCIANKA PRYSZNICOWA AERO 100 BLACK")</f>
        <v>ŚCIANKA PRYSZNICOWA AERO 100 BLACK</v>
      </c>
      <c r="C2897" s="23"/>
      <c r="D2897" s="24">
        <f ca="1">IFERROR(__xludf.DUMMYFUNCTION("""COMPUTED_VALUE"""),829)</f>
        <v>829</v>
      </c>
      <c r="E2897" s="25" t="str">
        <f ca="1">IFERROR(__xludf.DUMMYFUNCTION("""COMPUTED_VALUE"""),"REA-K6596")</f>
        <v>REA-K6596</v>
      </c>
    </row>
    <row r="2898" spans="1:5" x14ac:dyDescent="0.2">
      <c r="A2898" s="22">
        <f ca="1">IFERROR(__xludf.DUMMYFUNCTION("""COMPUTED_VALUE"""),44594)</f>
        <v>44594</v>
      </c>
      <c r="B2898" s="23" t="str">
        <f ca="1">IFERROR(__xludf.DUMMYFUNCTION("""COMPUTED_VALUE"""),"ŚCIANKA PRYSZNICOWA AERO 110 BLACK")</f>
        <v>ŚCIANKA PRYSZNICOWA AERO 110 BLACK</v>
      </c>
      <c r="C2898" s="23"/>
      <c r="D2898" s="24">
        <f ca="1">IFERROR(__xludf.DUMMYFUNCTION("""COMPUTED_VALUE"""),869)</f>
        <v>869</v>
      </c>
      <c r="E2898" s="25" t="str">
        <f ca="1">IFERROR(__xludf.DUMMYFUNCTION("""COMPUTED_VALUE"""),"REA-K6597")</f>
        <v>REA-K6597</v>
      </c>
    </row>
    <row r="2899" spans="1:5" x14ac:dyDescent="0.2">
      <c r="A2899" s="22">
        <f ca="1">IFERROR(__xludf.DUMMYFUNCTION("""COMPUTED_VALUE"""),44594)</f>
        <v>44594</v>
      </c>
      <c r="B2899" s="23" t="str">
        <f ca="1">IFERROR(__xludf.DUMMYFUNCTION("""COMPUTED_VALUE"""),"ŚCIANKA PRYSZNICOWA AERO 120 BLACK")</f>
        <v>ŚCIANKA PRYSZNICOWA AERO 120 BLACK</v>
      </c>
      <c r="C2899" s="23"/>
      <c r="D2899" s="24">
        <f ca="1">IFERROR(__xludf.DUMMYFUNCTION("""COMPUTED_VALUE"""),899)</f>
        <v>899</v>
      </c>
      <c r="E2899" s="25" t="str">
        <f ca="1">IFERROR(__xludf.DUMMYFUNCTION("""COMPUTED_VALUE"""),"REA-K6599")</f>
        <v>REA-K6599</v>
      </c>
    </row>
    <row r="2900" spans="1:5" x14ac:dyDescent="0.2">
      <c r="A2900" s="22">
        <f ca="1">IFERROR(__xludf.DUMMYFUNCTION("""COMPUTED_VALUE"""),44594)</f>
        <v>44594</v>
      </c>
      <c r="B2900" s="23" t="str">
        <f ca="1">IFERROR(__xludf.DUMMYFUNCTION("""COMPUTED_VALUE"""),"MODUŁ KABINY FOLD N2 100")</f>
        <v>MODUŁ KABINY FOLD N2 100</v>
      </c>
      <c r="C2900" s="23"/>
      <c r="D2900" s="24">
        <f ca="1">IFERROR(__xludf.DUMMYFUNCTION("""COMPUTED_VALUE"""),869)</f>
        <v>869</v>
      </c>
      <c r="E2900" s="25" t="str">
        <f ca="1">IFERROR(__xludf.DUMMYFUNCTION("""COMPUTED_VALUE"""),"REA-K7439")</f>
        <v>REA-K7439</v>
      </c>
    </row>
    <row r="2901" spans="1:5" x14ac:dyDescent="0.2">
      <c r="A2901" s="22">
        <f ca="1">IFERROR(__xludf.DUMMYFUNCTION("""COMPUTED_VALUE"""),44594)</f>
        <v>44594</v>
      </c>
      <c r="B2901" s="23" t="str">
        <f ca="1">IFERROR(__xludf.DUMMYFUNCTION("""COMPUTED_VALUE"""),"KABINA FOLD N2 90*90 TRANSP")</f>
        <v>KABINA FOLD N2 90*90 TRANSP</v>
      </c>
      <c r="C2901" s="23"/>
      <c r="D2901" s="24">
        <f ca="1">IFERROR(__xludf.DUMMYFUNCTION("""COMPUTED_VALUE"""),1599)</f>
        <v>1599</v>
      </c>
      <c r="E2901" s="25" t="str">
        <f ca="1">IFERROR(__xludf.DUMMYFUNCTION("""COMPUTED_VALUE"""),"REA-K9991")</f>
        <v>REA-K9991</v>
      </c>
    </row>
    <row r="2902" spans="1:5" x14ac:dyDescent="0.2">
      <c r="A2902" s="22">
        <f ca="1">IFERROR(__xludf.DUMMYFUNCTION("""COMPUTED_VALUE"""),44594)</f>
        <v>44594</v>
      </c>
      <c r="B2902" s="23" t="str">
        <f ca="1">IFERROR(__xludf.DUMMYFUNCTION("""COMPUTED_VALUE"""),"UMYWALKA VEGAS ROSE GOLD EDGE - NABLATOWA")</f>
        <v>UMYWALKA VEGAS ROSE GOLD EDGE - NABLATOWA</v>
      </c>
      <c r="C2902" s="23"/>
      <c r="D2902" s="24">
        <f ca="1">IFERROR(__xludf.DUMMYFUNCTION("""COMPUTED_VALUE"""),519)</f>
        <v>519</v>
      </c>
      <c r="E2902" s="25" t="str">
        <f ca="1">IFERROR(__xludf.DUMMYFUNCTION("""COMPUTED_VALUE"""),"REA-U5605")</f>
        <v>REA-U5605</v>
      </c>
    </row>
    <row r="2903" spans="1:5" x14ac:dyDescent="0.2">
      <c r="A2903" s="22">
        <f ca="1">IFERROR(__xludf.DUMMYFUNCTION("""COMPUTED_VALUE"""),44594)</f>
        <v>44594</v>
      </c>
      <c r="B2903" s="23" t="str">
        <f ca="1">IFERROR(__xludf.DUMMYFUNCTION("""COMPUTED_VALUE"""),"UMYWALKA BERTA 55 -NABLATOWA")</f>
        <v>UMYWALKA BERTA 55 -NABLATOWA</v>
      </c>
      <c r="C2903" s="23"/>
      <c r="D2903" s="24">
        <f ca="1">IFERROR(__xludf.DUMMYFUNCTION("""COMPUTED_VALUE"""),379)</f>
        <v>379</v>
      </c>
      <c r="E2903" s="25" t="str">
        <f ca="1">IFERROR(__xludf.DUMMYFUNCTION("""COMPUTED_VALUE"""),"REA-U5055")</f>
        <v>REA-U5055</v>
      </c>
    </row>
    <row r="2904" spans="1:5" x14ac:dyDescent="0.2">
      <c r="A2904" s="22">
        <f ca="1">IFERROR(__xludf.DUMMYFUNCTION("""COMPUTED_VALUE"""),44594)</f>
        <v>44594</v>
      </c>
      <c r="B2904" s="23" t="str">
        <f ca="1">IFERROR(__xludf.DUMMYFUNCTION("""COMPUTED_VALUE"""),"UMYWALKA CARINA - NABLATOWA")</f>
        <v>UMYWALKA CARINA - NABLATOWA</v>
      </c>
      <c r="C2904" s="23"/>
      <c r="D2904" s="24">
        <f ca="1">IFERROR(__xludf.DUMMYFUNCTION("""COMPUTED_VALUE"""),319)</f>
        <v>319</v>
      </c>
      <c r="E2904" s="25" t="str">
        <f ca="1">IFERROR(__xludf.DUMMYFUNCTION("""COMPUTED_VALUE"""),"REA-U0568")</f>
        <v>REA-U0568</v>
      </c>
    </row>
    <row r="2905" spans="1:5" x14ac:dyDescent="0.2">
      <c r="A2905" s="22">
        <f ca="1">IFERROR(__xludf.DUMMYFUNCTION("""COMPUTED_VALUE"""),44594)</f>
        <v>44594</v>
      </c>
      <c r="B2905" s="23" t="str">
        <f ca="1">IFERROR(__xludf.DUMMYFUNCTION("""COMPUTED_VALUE"""),"UMYWALKA SOFIA STONE - NABLATOWA")</f>
        <v>UMYWALKA SOFIA STONE - NABLATOWA</v>
      </c>
      <c r="C2905" s="23"/>
      <c r="D2905" s="24">
        <f ca="1">IFERROR(__xludf.DUMMYFUNCTION("""COMPUTED_VALUE"""),349)</f>
        <v>349</v>
      </c>
      <c r="E2905" s="25" t="str">
        <f ca="1">IFERROR(__xludf.DUMMYFUNCTION("""COMPUTED_VALUE"""),"REA-U9908")</f>
        <v>REA-U9908</v>
      </c>
    </row>
    <row r="2906" spans="1:5" x14ac:dyDescent="0.2">
      <c r="A2906" s="22">
        <f ca="1">IFERROR(__xludf.DUMMYFUNCTION("""COMPUTED_VALUE"""),44594)</f>
        <v>44594</v>
      </c>
      <c r="B2906" s="23" t="str">
        <f ca="1">IFERROR(__xludf.DUMMYFUNCTION("""COMPUTED_VALUE"""),"UMYWALKA ROYAL 60 GRANIT SHINY - NABLATOWA")</f>
        <v>UMYWALKA ROYAL 60 GRANIT SHINY - NABLATOWA</v>
      </c>
      <c r="C2906" s="23"/>
      <c r="D2906" s="24">
        <f ca="1">IFERROR(__xludf.DUMMYFUNCTION("""COMPUTED_VALUE"""),419)</f>
        <v>419</v>
      </c>
      <c r="E2906" s="25" t="str">
        <f ca="1">IFERROR(__xludf.DUMMYFUNCTION("""COMPUTED_VALUE"""),"REA-U8596")</f>
        <v>REA-U8596</v>
      </c>
    </row>
    <row r="2907" spans="1:5" x14ac:dyDescent="0.2">
      <c r="A2907" s="22">
        <f ca="1">IFERROR(__xludf.DUMMYFUNCTION("""COMPUTED_VALUE"""),44594)</f>
        <v>44594</v>
      </c>
      <c r="B2907" s="23" t="str">
        <f ca="1">IFERROR(__xludf.DUMMYFUNCTION("""COMPUTED_VALUE"""),"UMYWALKA ROYAL 60 GRANIT MATT - NABLATOWA")</f>
        <v>UMYWALKA ROYAL 60 GRANIT MATT - NABLATOWA</v>
      </c>
      <c r="C2907" s="23"/>
      <c r="D2907" s="24">
        <f ca="1">IFERROR(__xludf.DUMMYFUNCTION("""COMPUTED_VALUE"""),419)</f>
        <v>419</v>
      </c>
      <c r="E2907" s="25" t="str">
        <f ca="1">IFERROR(__xludf.DUMMYFUNCTION("""COMPUTED_VALUE"""),"REA-U8742")</f>
        <v>REA-U8742</v>
      </c>
    </row>
    <row r="2908" spans="1:5" x14ac:dyDescent="0.2">
      <c r="A2908" s="22">
        <f ca="1">IFERROR(__xludf.DUMMYFUNCTION("""COMPUTED_VALUE"""),44594)</f>
        <v>44594</v>
      </c>
      <c r="B2908" s="23" t="str">
        <f ca="1">IFERROR(__xludf.DUMMYFUNCTION("""COMPUTED_VALUE"""),"UMYWALKA WENDY - NABLATOWA")</f>
        <v>UMYWALKA WENDY - NABLATOWA</v>
      </c>
      <c r="C2908" s="23"/>
      <c r="D2908" s="24">
        <f ca="1">IFERROR(__xludf.DUMMYFUNCTION("""COMPUTED_VALUE"""),289)</f>
        <v>289</v>
      </c>
      <c r="E2908" s="25" t="str">
        <f ca="1">IFERROR(__xludf.DUMMYFUNCTION("""COMPUTED_VALUE"""),"REA-U0157")</f>
        <v>REA-U0157</v>
      </c>
    </row>
    <row r="2909" spans="1:5" x14ac:dyDescent="0.2">
      <c r="A2909" s="22">
        <f ca="1">IFERROR(__xludf.DUMMYFUNCTION("""COMPUTED_VALUE"""),44594)</f>
        <v>44594</v>
      </c>
      <c r="B2909" s="23" t="str">
        <f ca="1">IFERROR(__xludf.DUMMYFUNCTION("""COMPUTED_VALUE"""),"UMYWALKA MERY - NABLATOWA")</f>
        <v>UMYWALKA MERY - NABLATOWA</v>
      </c>
      <c r="C2909" s="23"/>
      <c r="D2909" s="24">
        <f ca="1">IFERROR(__xludf.DUMMYFUNCTION("""COMPUTED_VALUE"""),269)</f>
        <v>269</v>
      </c>
      <c r="E2909" s="25" t="str">
        <f ca="1">IFERROR(__xludf.DUMMYFUNCTION("""COMPUTED_VALUE"""),"REA-U0699")</f>
        <v>REA-U0699</v>
      </c>
    </row>
    <row r="2910" spans="1:5" x14ac:dyDescent="0.2">
      <c r="A2910" s="22">
        <f ca="1">IFERROR(__xludf.DUMMYFUNCTION("""COMPUTED_VALUE"""),44594)</f>
        <v>44594</v>
      </c>
      <c r="B2910" s="23" t="str">
        <f ca="1">IFERROR(__xludf.DUMMYFUNCTION("""COMPUTED_VALUE"""),"UMYWALKA LARA GREY - NABLATOWA")</f>
        <v>UMYWALKA LARA GREY - NABLATOWA</v>
      </c>
      <c r="C2910" s="23"/>
      <c r="D2910" s="24">
        <f ca="1">IFERROR(__xludf.DUMMYFUNCTION("""COMPUTED_VALUE"""),299)</f>
        <v>299</v>
      </c>
      <c r="E2910" s="25" t="str">
        <f ca="1">IFERROR(__xludf.DUMMYFUNCTION("""COMPUTED_VALUE"""),"REA-U9889")</f>
        <v>REA-U9889</v>
      </c>
    </row>
    <row r="2911" spans="1:5" x14ac:dyDescent="0.2">
      <c r="A2911" s="22">
        <f ca="1">IFERROR(__xludf.DUMMYFUNCTION("""COMPUTED_VALUE"""),44594)</f>
        <v>44594</v>
      </c>
      <c r="B2911" s="23" t="str">
        <f ca="1">IFERROR(__xludf.DUMMYFUNCTION("""COMPUTED_VALUE"""),"UMYWALKA LARA STONE - NABLATOWA")</f>
        <v>UMYWALKA LARA STONE - NABLATOWA</v>
      </c>
      <c r="C2911" s="23"/>
      <c r="D2911" s="24">
        <f ca="1">IFERROR(__xludf.DUMMYFUNCTION("""COMPUTED_VALUE"""),349)</f>
        <v>349</v>
      </c>
      <c r="E2911" s="25" t="str">
        <f ca="1">IFERROR(__xludf.DUMMYFUNCTION("""COMPUTED_VALUE"""),"REA-U9888")</f>
        <v>REA-U9888</v>
      </c>
    </row>
    <row r="2912" spans="1:5" x14ac:dyDescent="0.2">
      <c r="A2912" s="22">
        <f ca="1">IFERROR(__xludf.DUMMYFUNCTION("""COMPUTED_VALUE"""),44594)</f>
        <v>44594</v>
      </c>
      <c r="B2912" s="23" t="str">
        <f ca="1">IFERROR(__xludf.DUMMYFUNCTION("""COMPUTED_VALUE"""),"UMYWALKA LARA BEIGE - NABLATOWA")</f>
        <v>UMYWALKA LARA BEIGE - NABLATOWA</v>
      </c>
      <c r="C2912" s="23"/>
      <c r="D2912" s="24">
        <f ca="1">IFERROR(__xludf.DUMMYFUNCTION("""COMPUTED_VALUE"""),349)</f>
        <v>349</v>
      </c>
      <c r="E2912" s="25" t="str">
        <f ca="1">IFERROR(__xludf.DUMMYFUNCTION("""COMPUTED_VALUE"""),"REA-U9887")</f>
        <v>REA-U9887</v>
      </c>
    </row>
    <row r="2913" spans="1:5" x14ac:dyDescent="0.2">
      <c r="A2913" s="22">
        <f ca="1">IFERROR(__xludf.DUMMYFUNCTION("""COMPUTED_VALUE"""),44594)</f>
        <v>44594</v>
      </c>
      <c r="B2913" s="23" t="str">
        <f ca="1">IFERROR(__xludf.DUMMYFUNCTION("""COMPUTED_VALUE"""),"UMYWALKA BONITA - NABLATOWA/ŚCIENNA")</f>
        <v>UMYWALKA BONITA - NABLATOWA/ŚCIENNA</v>
      </c>
      <c r="C2913" s="23"/>
      <c r="D2913" s="24">
        <f ca="1">IFERROR(__xludf.DUMMYFUNCTION("""COMPUTED_VALUE"""),309)</f>
        <v>309</v>
      </c>
      <c r="E2913" s="25" t="str">
        <f ca="1">IFERROR(__xludf.DUMMYFUNCTION("""COMPUTED_VALUE"""),"REA-U8701")</f>
        <v>REA-U8701</v>
      </c>
    </row>
    <row r="2914" spans="1:5" x14ac:dyDescent="0.2">
      <c r="A2914" s="22">
        <f ca="1">IFERROR(__xludf.DUMMYFUNCTION("""COMPUTED_VALUE"""),44594)</f>
        <v>44594</v>
      </c>
      <c r="B2914" s="23" t="str">
        <f ca="1">IFERROR(__xludf.DUMMYFUNCTION("""COMPUTED_VALUE"""),"UMYWALKA CLAUDIA- NABLATOWA")</f>
        <v>UMYWALKA CLAUDIA- NABLATOWA</v>
      </c>
      <c r="C2914" s="23"/>
      <c r="D2914" s="24">
        <f ca="1">IFERROR(__xludf.DUMMYFUNCTION("""COMPUTED_VALUE"""),279)</f>
        <v>279</v>
      </c>
      <c r="E2914" s="25" t="str">
        <f ca="1">IFERROR(__xludf.DUMMYFUNCTION("""COMPUTED_VALUE"""),"REA-U6644")</f>
        <v>REA-U6644</v>
      </c>
    </row>
    <row r="2915" spans="1:5" x14ac:dyDescent="0.2">
      <c r="A2915" s="22">
        <f ca="1">IFERROR(__xludf.DUMMYFUNCTION("""COMPUTED_VALUE"""),44594)</f>
        <v>44594</v>
      </c>
      <c r="B2915" s="23" t="str">
        <f ca="1">IFERROR(__xludf.DUMMYFUNCTION("""COMPUTED_VALUE"""),"UMYWALKA NEL WHITE - PODBLATOWA")</f>
        <v>UMYWALKA NEL WHITE - PODBLATOWA</v>
      </c>
      <c r="C2915" s="23"/>
      <c r="D2915" s="24">
        <f ca="1">IFERROR(__xludf.DUMMYFUNCTION("""COMPUTED_VALUE"""),179)</f>
        <v>179</v>
      </c>
      <c r="E2915" s="25" t="str">
        <f ca="1">IFERROR(__xludf.DUMMYFUNCTION("""COMPUTED_VALUE"""),"REA-U6330")</f>
        <v>REA-U6330</v>
      </c>
    </row>
    <row r="2916" spans="1:5" x14ac:dyDescent="0.2">
      <c r="A2916" s="22">
        <f ca="1">IFERROR(__xludf.DUMMYFUNCTION("""COMPUTED_VALUE"""),44594)</f>
        <v>44594</v>
      </c>
      <c r="B2916" s="23" t="str">
        <f ca="1">IFERROR(__xludf.DUMMYFUNCTION("""COMPUTED_VALUE"""),"UMYWALKA INGA - NABLATOWA")</f>
        <v>UMYWALKA INGA - NABLATOWA</v>
      </c>
      <c r="C2916" s="23"/>
      <c r="D2916" s="24">
        <f ca="1">IFERROR(__xludf.DUMMYFUNCTION("""COMPUTED_VALUE"""),329)</f>
        <v>329</v>
      </c>
      <c r="E2916" s="25" t="str">
        <f ca="1">IFERROR(__xludf.DUMMYFUNCTION("""COMPUTED_VALUE"""),"REA-U1022")</f>
        <v>REA-U1022</v>
      </c>
    </row>
    <row r="2917" spans="1:5" x14ac:dyDescent="0.2">
      <c r="A2917" s="22">
        <f ca="1">IFERROR(__xludf.DUMMYFUNCTION("""COMPUTED_VALUE"""),44594)</f>
        <v>44594</v>
      </c>
      <c r="B2917" s="23" t="str">
        <f ca="1">IFERROR(__xludf.DUMMYFUNCTION("""COMPUTED_VALUE"""),"UMYWALKA ANDREA - NABLATOWA")</f>
        <v>UMYWALKA ANDREA - NABLATOWA</v>
      </c>
      <c r="C2917" s="23"/>
      <c r="D2917" s="24">
        <f ca="1">IFERROR(__xludf.DUMMYFUNCTION("""COMPUTED_VALUE"""),289)</f>
        <v>289</v>
      </c>
      <c r="E2917" s="25" t="str">
        <f ca="1">IFERROR(__xludf.DUMMYFUNCTION("""COMPUTED_VALUE"""),"REA-U6333")</f>
        <v>REA-U6333</v>
      </c>
    </row>
    <row r="2918" spans="1:5" x14ac:dyDescent="0.2">
      <c r="A2918" s="22">
        <f ca="1">IFERROR(__xludf.DUMMYFUNCTION("""COMPUTED_VALUE"""),44594)</f>
        <v>44594</v>
      </c>
      <c r="B2918" s="23" t="str">
        <f ca="1">IFERROR(__xludf.DUMMYFUNCTION("""COMPUTED_VALUE"""),"UMYWALKA FIESTA WHITE - NABLATOWA")</f>
        <v>UMYWALKA FIESTA WHITE - NABLATOWA</v>
      </c>
      <c r="C2918" s="23"/>
      <c r="D2918" s="24">
        <f ca="1">IFERROR(__xludf.DUMMYFUNCTION("""COMPUTED_VALUE"""),129)</f>
        <v>129</v>
      </c>
      <c r="E2918" s="25" t="str">
        <f ca="1">IFERROR(__xludf.DUMMYFUNCTION("""COMPUTED_VALUE"""),"CAL-00001")</f>
        <v>CAL-00001</v>
      </c>
    </row>
    <row r="2919" spans="1:5" x14ac:dyDescent="0.2">
      <c r="A2919" s="22">
        <f ca="1">IFERROR(__xludf.DUMMYFUNCTION("""COMPUTED_VALUE"""),44594)</f>
        <v>44594</v>
      </c>
      <c r="B2919" s="23" t="str">
        <f ca="1">IFERROR(__xludf.DUMMYFUNCTION("""COMPUTED_VALUE"""),"UMYWALKA JANET - NABLATOWA")</f>
        <v>UMYWALKA JANET - NABLATOWA</v>
      </c>
      <c r="C2919" s="23"/>
      <c r="D2919" s="24">
        <f ca="1">IFERROR(__xludf.DUMMYFUNCTION("""COMPUTED_VALUE"""),199)</f>
        <v>199</v>
      </c>
      <c r="E2919" s="25" t="str">
        <f ca="1">IFERROR(__xludf.DUMMYFUNCTION("""COMPUTED_VALUE"""),"CAL-00013")</f>
        <v>CAL-00013</v>
      </c>
    </row>
    <row r="2920" spans="1:5" x14ac:dyDescent="0.2">
      <c r="A2920" s="22">
        <f ca="1">IFERROR(__xludf.DUMMYFUNCTION("""COMPUTED_VALUE"""),44594)</f>
        <v>44594</v>
      </c>
      <c r="B2920" s="23" t="str">
        <f ca="1">IFERROR(__xludf.DUMMYFUNCTION("""COMPUTED_VALUE"""),"UMYWALKA GLORIA - NABLATOWA")</f>
        <v>UMYWALKA GLORIA - NABLATOWA</v>
      </c>
      <c r="C2920" s="23"/>
      <c r="D2920" s="24">
        <f ca="1">IFERROR(__xludf.DUMMYFUNCTION("""COMPUTED_VALUE"""),129)</f>
        <v>129</v>
      </c>
      <c r="E2920" s="25" t="str">
        <f ca="1">IFERROR(__xludf.DUMMYFUNCTION("""COMPUTED_VALUE"""),"CAL-00010")</f>
        <v>CAL-00010</v>
      </c>
    </row>
    <row r="2921" spans="1:5" x14ac:dyDescent="0.2">
      <c r="A2921" s="22">
        <f ca="1">IFERROR(__xludf.DUMMYFUNCTION("""COMPUTED_VALUE"""),44594)</f>
        <v>44594</v>
      </c>
      <c r="B2921" s="23" t="str">
        <f ca="1">IFERROR(__xludf.DUMMYFUNCTION("""COMPUTED_VALUE"""),"WC- CALANI LOYD BLACK")</f>
        <v>WC- CALANI LOYD BLACK</v>
      </c>
      <c r="C2921" s="23"/>
      <c r="D2921" s="24">
        <f ca="1">IFERROR(__xludf.DUMMYFUNCTION("""COMPUTED_VALUE"""),799)</f>
        <v>799</v>
      </c>
      <c r="E2921" s="25" t="str">
        <f ca="1">IFERROR(__xludf.DUMMYFUNCTION("""COMPUTED_VALUE"""),"CAL-C0020")</f>
        <v>CAL-C0020</v>
      </c>
    </row>
    <row r="2922" spans="1:5" x14ac:dyDescent="0.2">
      <c r="A2922" s="22">
        <f ca="1">IFERROR(__xludf.DUMMYFUNCTION("""COMPUTED_VALUE"""),44594)</f>
        <v>44594</v>
      </c>
      <c r="B2922" s="23" t="str">
        <f ca="1">IFERROR(__xludf.DUMMYFUNCTION("""COMPUTED_VALUE"""),"UMYWALKA DENIS WHITE - NABLATOWA")</f>
        <v>UMYWALKA DENIS WHITE - NABLATOWA</v>
      </c>
      <c r="C2922" s="23"/>
      <c r="D2922" s="24">
        <f ca="1">IFERROR(__xludf.DUMMYFUNCTION("""COMPUTED_VALUE"""),329)</f>
        <v>329</v>
      </c>
      <c r="E2922" s="25" t="str">
        <f ca="1">IFERROR(__xludf.DUMMYFUNCTION("""COMPUTED_VALUE"""),"REA-U4800")</f>
        <v>REA-U4800</v>
      </c>
    </row>
    <row r="2923" spans="1:5" x14ac:dyDescent="0.2">
      <c r="A2923" s="22">
        <f ca="1">IFERROR(__xludf.DUMMYFUNCTION("""COMPUTED_VALUE"""),44594)</f>
        <v>44594</v>
      </c>
      <c r="B2923" s="23" t="str">
        <f ca="1">IFERROR(__xludf.DUMMYFUNCTION("""COMPUTED_VALUE"""),"UMYWALKA SAMI AIAX SHINY - NABLATOWA")</f>
        <v>UMYWALKA SAMI AIAX SHINY - NABLATOWA</v>
      </c>
      <c r="C2923" s="23"/>
      <c r="D2923" s="24">
        <f ca="1">IFERROR(__xludf.DUMMYFUNCTION("""COMPUTED_VALUE"""),339)</f>
        <v>339</v>
      </c>
      <c r="E2923" s="25" t="str">
        <f ca="1">IFERROR(__xludf.DUMMYFUNCTION("""COMPUTED_VALUE"""),"REA-U4522")</f>
        <v>REA-U4522</v>
      </c>
    </row>
    <row r="2924" spans="1:5" x14ac:dyDescent="0.2">
      <c r="A2924" s="22">
        <f ca="1">IFERROR(__xludf.DUMMYFUNCTION("""COMPUTED_VALUE"""),44594)</f>
        <v>44594</v>
      </c>
      <c r="B2924" s="23" t="str">
        <f ca="1">IFERROR(__xludf.DUMMYFUNCTION("""COMPUTED_VALUE"""),"UMYWALKA ROYAL 60 MAT BLACK - NABLATOWA")</f>
        <v>UMYWALKA ROYAL 60 MAT BLACK - NABLATOWA</v>
      </c>
      <c r="C2924" s="23"/>
      <c r="D2924" s="24">
        <f ca="1">IFERROR(__xludf.DUMMYFUNCTION("""COMPUTED_VALUE"""),549)</f>
        <v>549</v>
      </c>
      <c r="E2924" s="25" t="str">
        <f ca="1">IFERROR(__xludf.DUMMYFUNCTION("""COMPUTED_VALUE"""),"REA-U0442")</f>
        <v>REA-U0442</v>
      </c>
    </row>
    <row r="2925" spans="1:5" x14ac:dyDescent="0.2">
      <c r="A2925" s="22">
        <f ca="1">IFERROR(__xludf.DUMMYFUNCTION("""COMPUTED_VALUE"""),44594)</f>
        <v>44594</v>
      </c>
      <c r="B2925" s="23" t="str">
        <f ca="1">IFERROR(__xludf.DUMMYFUNCTION("""COMPUTED_VALUE"""),"UMYWALKA BELINDA SLIM - NABLATOWA")</f>
        <v>UMYWALKA BELINDA SLIM - NABLATOWA</v>
      </c>
      <c r="C2925" s="23"/>
      <c r="D2925" s="24">
        <f ca="1">IFERROR(__xludf.DUMMYFUNCTION("""COMPUTED_VALUE"""),229)</f>
        <v>229</v>
      </c>
      <c r="E2925" s="25" t="str">
        <f ca="1">IFERROR(__xludf.DUMMYFUNCTION("""COMPUTED_VALUE"""),"REA-U6521")</f>
        <v>REA-U6521</v>
      </c>
    </row>
    <row r="2926" spans="1:5" x14ac:dyDescent="0.2">
      <c r="A2926" s="22">
        <f ca="1">IFERROR(__xludf.DUMMYFUNCTION("""COMPUTED_VALUE"""),44594)</f>
        <v>44594</v>
      </c>
      <c r="B2926" s="23" t="str">
        <f ca="1">IFERROR(__xludf.DUMMYFUNCTION("""COMPUTED_VALUE"""),"UMYWALKA LINDA BLACK - NABLATOWA")</f>
        <v>UMYWALKA LINDA BLACK - NABLATOWA</v>
      </c>
      <c r="C2926" s="23"/>
      <c r="D2926" s="24">
        <f ca="1">IFERROR(__xludf.DUMMYFUNCTION("""COMPUTED_VALUE"""),269)</f>
        <v>269</v>
      </c>
      <c r="E2926" s="25" t="str">
        <f ca="1">IFERROR(__xludf.DUMMYFUNCTION("""COMPUTED_VALUE"""),"REA-U8523")</f>
        <v>REA-U8523</v>
      </c>
    </row>
    <row r="2927" spans="1:5" x14ac:dyDescent="0.2">
      <c r="A2927" s="22">
        <f ca="1">IFERROR(__xludf.DUMMYFUNCTION("""COMPUTED_VALUE"""),44594)</f>
        <v>44594</v>
      </c>
      <c r="B2927" s="23" t="str">
        <f ca="1">IFERROR(__xludf.DUMMYFUNCTION("""COMPUTED_VALUE"""),"UMYWALKA ROYAL 60 GOLD EDGE - NABLATOWA")</f>
        <v>UMYWALKA ROYAL 60 GOLD EDGE - NABLATOWA</v>
      </c>
      <c r="C2927" s="23"/>
      <c r="D2927" s="24">
        <f ca="1">IFERROR(__xludf.DUMMYFUNCTION("""COMPUTED_VALUE"""),499)</f>
        <v>499</v>
      </c>
      <c r="E2927" s="25" t="str">
        <f ca="1">IFERROR(__xludf.DUMMYFUNCTION("""COMPUTED_VALUE"""),"REA-U8570")</f>
        <v>REA-U8570</v>
      </c>
    </row>
    <row r="2928" spans="1:5" x14ac:dyDescent="0.2">
      <c r="A2928" s="22">
        <f ca="1">IFERROR(__xludf.DUMMYFUNCTION("""COMPUTED_VALUE"""),44594)</f>
        <v>44594</v>
      </c>
      <c r="B2928" s="23" t="str">
        <f ca="1">IFERROR(__xludf.DUMMYFUNCTION("""COMPUTED_VALUE"""),"UMYWALKA ROYAL 60 GOLD - NABLATOWA")</f>
        <v>UMYWALKA ROYAL 60 GOLD - NABLATOWA</v>
      </c>
      <c r="C2928" s="23"/>
      <c r="D2928" s="24">
        <f ca="1">IFERROR(__xludf.DUMMYFUNCTION("""COMPUTED_VALUE"""),489)</f>
        <v>489</v>
      </c>
      <c r="E2928" s="25" t="str">
        <f ca="1">IFERROR(__xludf.DUMMYFUNCTION("""COMPUTED_VALUE"""),"REA-U4545")</f>
        <v>REA-U4545</v>
      </c>
    </row>
    <row r="2929" spans="1:5" x14ac:dyDescent="0.2">
      <c r="A2929" s="22">
        <f ca="1">IFERROR(__xludf.DUMMYFUNCTION("""COMPUTED_VALUE"""),44594)</f>
        <v>44594</v>
      </c>
      <c r="B2929" s="23" t="str">
        <f ca="1">IFERROR(__xludf.DUMMYFUNCTION("""COMPUTED_VALUE"""),"UMYWALKA ROYAL 60 WHITE GOLD - NABLATOWA")</f>
        <v>UMYWALKA ROYAL 60 WHITE GOLD - NABLATOWA</v>
      </c>
      <c r="C2929" s="23"/>
      <c r="D2929" s="24">
        <f ca="1">IFERROR(__xludf.DUMMYFUNCTION("""COMPUTED_VALUE"""),439)</f>
        <v>439</v>
      </c>
      <c r="E2929" s="25" t="str">
        <f ca="1">IFERROR(__xludf.DUMMYFUNCTION("""COMPUTED_VALUE"""),"REA-U7808")</f>
        <v>REA-U7808</v>
      </c>
    </row>
    <row r="2930" spans="1:5" x14ac:dyDescent="0.2">
      <c r="A2930" s="22">
        <f ca="1">IFERROR(__xludf.DUMMYFUNCTION("""COMPUTED_VALUE"""),44594)</f>
        <v>44594</v>
      </c>
      <c r="B2930" s="23" t="str">
        <f ca="1">IFERROR(__xludf.DUMMYFUNCTION("""COMPUTED_VALUE"""),"UMYWALKA SOFIA MINI - NABLATOWA")</f>
        <v>UMYWALKA SOFIA MINI - NABLATOWA</v>
      </c>
      <c r="C2930" s="23"/>
      <c r="D2930" s="24">
        <f ca="1">IFERROR(__xludf.DUMMYFUNCTION("""COMPUTED_VALUE"""),169)</f>
        <v>169</v>
      </c>
      <c r="E2930" s="25" t="str">
        <f ca="1">IFERROR(__xludf.DUMMYFUNCTION("""COMPUTED_VALUE"""),"REA-U0623")</f>
        <v>REA-U0623</v>
      </c>
    </row>
    <row r="2931" spans="1:5" x14ac:dyDescent="0.2">
      <c r="A2931" s="22">
        <f ca="1">IFERROR(__xludf.DUMMYFUNCTION("""COMPUTED_VALUE"""),44594)</f>
        <v>44594</v>
      </c>
      <c r="B2931" s="23" t="str">
        <f ca="1">IFERROR(__xludf.DUMMYFUNCTION("""COMPUTED_VALUE"""),"BATERIA CALANI UMYWALKOWA LOTUS WYSOKA H CHROM")</f>
        <v>BATERIA CALANI UMYWALKOWA LOTUS WYSOKA H CHROM</v>
      </c>
      <c r="C2931" s="23"/>
      <c r="D2931" s="24">
        <f ca="1">IFERROR(__xludf.DUMMYFUNCTION("""COMPUTED_VALUE"""),209)</f>
        <v>209</v>
      </c>
      <c r="E2931" s="26" t="str">
        <f ca="1">IFERROR(__xludf.DUMMYFUNCTION("""COMPUTED_VALUE"""),"CAL-B0032")</f>
        <v>CAL-B0032</v>
      </c>
    </row>
    <row r="2932" spans="1:5" x14ac:dyDescent="0.2">
      <c r="A2932" s="22">
        <f ca="1">IFERROR(__xludf.DUMMYFUNCTION("""COMPUTED_VALUE"""),44594)</f>
        <v>44594</v>
      </c>
      <c r="B2932" s="23" t="str">
        <f ca="1">IFERROR(__xludf.DUMMYFUNCTION("""COMPUTED_VALUE"""),"BATERIA UMYWALKOWA CARO NISKA")</f>
        <v>BATERIA UMYWALKOWA CARO NISKA</v>
      </c>
      <c r="C2932" s="23"/>
      <c r="D2932" s="24">
        <f ca="1">IFERROR(__xludf.DUMMYFUNCTION("""COMPUTED_VALUE"""),159)</f>
        <v>159</v>
      </c>
      <c r="E2932" s="25" t="str">
        <f ca="1">IFERROR(__xludf.DUMMYFUNCTION("""COMPUTED_VALUE"""),"REA-B0032")</f>
        <v>REA-B0032</v>
      </c>
    </row>
    <row r="2933" spans="1:5" x14ac:dyDescent="0.2">
      <c r="A2933" s="22">
        <f ca="1">IFERROR(__xludf.DUMMYFUNCTION("""COMPUTED_VALUE"""),44594)</f>
        <v>44594</v>
      </c>
      <c r="B2933" s="23" t="str">
        <f ca="1">IFERROR(__xludf.DUMMYFUNCTION("""COMPUTED_VALUE"""),"BATERIA UMYWALKOWA SONIC BLACK NISKA")</f>
        <v>BATERIA UMYWALKOWA SONIC BLACK NISKA</v>
      </c>
      <c r="C2933" s="23"/>
      <c r="D2933" s="24">
        <f ca="1">IFERROR(__xludf.DUMMYFUNCTION("""COMPUTED_VALUE"""),159)</f>
        <v>159</v>
      </c>
      <c r="E2933" s="25" t="str">
        <f ca="1">IFERROR(__xludf.DUMMYFUNCTION("""COMPUTED_VALUE"""),"BAT-00852")</f>
        <v>BAT-00852</v>
      </c>
    </row>
    <row r="2934" spans="1:5" x14ac:dyDescent="0.2">
      <c r="A2934" s="22">
        <f ca="1">IFERROR(__xludf.DUMMYFUNCTION("""COMPUTED_VALUE"""),44594)</f>
        <v>44594</v>
      </c>
      <c r="B2934" s="23" t="str">
        <f ca="1">IFERROR(__xludf.DUMMYFUNCTION("""COMPUTED_VALUE"""),"BATERIA UMYWALKOWA GRAF BLACK WYSOKA")</f>
        <v>BATERIA UMYWALKOWA GRAF BLACK WYSOKA</v>
      </c>
      <c r="C2934" s="23"/>
      <c r="D2934" s="24">
        <f ca="1">IFERROR(__xludf.DUMMYFUNCTION("""COMPUTED_VALUE"""),149)</f>
        <v>149</v>
      </c>
      <c r="E2934" s="25" t="str">
        <f ca="1">IFERROR(__xludf.DUMMYFUNCTION("""COMPUTED_VALUE"""),"REA-B8665")</f>
        <v>REA-B8665</v>
      </c>
    </row>
    <row r="2935" spans="1:5" x14ac:dyDescent="0.2">
      <c r="A2935" s="22">
        <f ca="1">IFERROR(__xludf.DUMMYFUNCTION("""COMPUTED_VALUE"""),44594)</f>
        <v>44594</v>
      </c>
      <c r="B2935" s="23" t="str">
        <f ca="1">IFERROR(__xludf.DUMMYFUNCTION("""COMPUTED_VALUE"""),"BATERIA UMYWALKOWA LUPPO BLACK WYSOKA")</f>
        <v>BATERIA UMYWALKOWA LUPPO BLACK WYSOKA</v>
      </c>
      <c r="C2935" s="23"/>
      <c r="D2935" s="24">
        <f ca="1">IFERROR(__xludf.DUMMYFUNCTION("""COMPUTED_VALUE"""),279)</f>
        <v>279</v>
      </c>
      <c r="E2935" s="25" t="str">
        <f ca="1">IFERROR(__xludf.DUMMYFUNCTION("""COMPUTED_VALUE"""),"REA-B9637")</f>
        <v>REA-B9637</v>
      </c>
    </row>
    <row r="2936" spans="1:5" x14ac:dyDescent="0.2">
      <c r="A2936" s="22">
        <f ca="1">IFERROR(__xludf.DUMMYFUNCTION("""COMPUTED_VALUE"""),44594)</f>
        <v>44594</v>
      </c>
      <c r="B2936" s="23" t="str">
        <f ca="1">IFERROR(__xludf.DUMMYFUNCTION("""COMPUTED_VALUE"""),"BATERIA WYSOKA TESS L.GOLD SZCZOTKOWANA")</f>
        <v>BATERIA WYSOKA TESS L.GOLD SZCZOTKOWANA</v>
      </c>
      <c r="C2936" s="23"/>
      <c r="D2936" s="24">
        <f ca="1">IFERROR(__xludf.DUMMYFUNCTION("""COMPUTED_VALUE"""),319)</f>
        <v>319</v>
      </c>
      <c r="E2936" s="25" t="str">
        <f ca="1">IFERROR(__xludf.DUMMYFUNCTION("""COMPUTED_VALUE"""),"REA-B5660")</f>
        <v>REA-B5660</v>
      </c>
    </row>
    <row r="2937" spans="1:5" x14ac:dyDescent="0.2">
      <c r="A2937" s="22">
        <f ca="1">IFERROR(__xludf.DUMMYFUNCTION("""COMPUTED_VALUE"""),44594)</f>
        <v>44594</v>
      </c>
      <c r="B2937" s="23" t="str">
        <f ca="1">IFERROR(__xludf.DUMMYFUNCTION("""COMPUTED_VALUE"""),"BATERIA WYSOKA TESS ROSE GOLD")</f>
        <v>BATERIA WYSOKA TESS ROSE GOLD</v>
      </c>
      <c r="C2937" s="23"/>
      <c r="D2937" s="24">
        <f ca="1">IFERROR(__xludf.DUMMYFUNCTION("""COMPUTED_VALUE"""),299)</f>
        <v>299</v>
      </c>
      <c r="E2937" s="25" t="str">
        <f ca="1">IFERROR(__xludf.DUMMYFUNCTION("""COMPUTED_VALUE"""),"REA-B8804")</f>
        <v>REA-B8804</v>
      </c>
    </row>
    <row r="2938" spans="1:5" x14ac:dyDescent="0.2">
      <c r="A2938" s="22">
        <f ca="1">IFERROR(__xludf.DUMMYFUNCTION("""COMPUTED_VALUE"""),44594)</f>
        <v>44594</v>
      </c>
      <c r="B2938" s="23" t="str">
        <f ca="1">IFERROR(__xludf.DUMMYFUNCTION("""COMPUTED_VALUE"""),"BATERIA BIDETOWA TESS BLACK")</f>
        <v>BATERIA BIDETOWA TESS BLACK</v>
      </c>
      <c r="C2938" s="23"/>
      <c r="D2938" s="24">
        <f ca="1">IFERROR(__xludf.DUMMYFUNCTION("""COMPUTED_VALUE"""),219)</f>
        <v>219</v>
      </c>
      <c r="E2938" s="25" t="str">
        <f ca="1">IFERROR(__xludf.DUMMYFUNCTION("""COMPUTED_VALUE"""),"REA-B5006")</f>
        <v>REA-B5006</v>
      </c>
    </row>
    <row r="2939" spans="1:5" x14ac:dyDescent="0.2">
      <c r="A2939" s="22">
        <f ca="1">IFERROR(__xludf.DUMMYFUNCTION("""COMPUTED_VALUE"""),44594)</f>
        <v>44594</v>
      </c>
      <c r="B2939" s="23" t="str">
        <f ca="1">IFERROR(__xludf.DUMMYFUNCTION("""COMPUTED_VALUE"""),"BATERIA NISKA TESS BLACK")</f>
        <v>BATERIA NISKA TESS BLACK</v>
      </c>
      <c r="C2939" s="23"/>
      <c r="D2939" s="24">
        <f ca="1">IFERROR(__xludf.DUMMYFUNCTION("""COMPUTED_VALUE"""),219)</f>
        <v>219</v>
      </c>
      <c r="E2939" s="25" t="str">
        <f ca="1">IFERROR(__xludf.DUMMYFUNCTION("""COMPUTED_VALUE"""),"REA-B8881")</f>
        <v>REA-B8881</v>
      </c>
    </row>
    <row r="2940" spans="1:5" x14ac:dyDescent="0.2">
      <c r="A2940" s="22">
        <f ca="1">IFERROR(__xludf.DUMMYFUNCTION("""COMPUTED_VALUE"""),44594)</f>
        <v>44594</v>
      </c>
      <c r="B2940" s="23" t="str">
        <f ca="1">IFERROR(__xludf.DUMMYFUNCTION("""COMPUTED_VALUE"""),"BATERIA UMYWALKOWA LUNGO CHROM NISKA")</f>
        <v>BATERIA UMYWALKOWA LUNGO CHROM NISKA</v>
      </c>
      <c r="C2940" s="23"/>
      <c r="D2940" s="24">
        <f ca="1">IFERROR(__xludf.DUMMYFUNCTION("""COMPUTED_VALUE"""),189)</f>
        <v>189</v>
      </c>
      <c r="E2940" s="25" t="str">
        <f ca="1">IFERROR(__xludf.DUMMYFUNCTION("""COMPUTED_VALUE"""),"REA-B4101")</f>
        <v>REA-B4101</v>
      </c>
    </row>
    <row r="2941" spans="1:5" x14ac:dyDescent="0.2">
      <c r="A2941" s="22">
        <f ca="1">IFERROR(__xludf.DUMMYFUNCTION("""COMPUTED_VALUE"""),44594)</f>
        <v>44594</v>
      </c>
      <c r="B2941" s="23" t="str">
        <f ca="1">IFERROR(__xludf.DUMMYFUNCTION("""COMPUTED_VALUE"""),"BATERIA UMYWALKOWA LUNGO CHROM WYSOKA")</f>
        <v>BATERIA UMYWALKOWA LUNGO CHROM WYSOKA</v>
      </c>
      <c r="C2941" s="23"/>
      <c r="D2941" s="24">
        <f ca="1">IFERROR(__xludf.DUMMYFUNCTION("""COMPUTED_VALUE"""),219)</f>
        <v>219</v>
      </c>
      <c r="E2941" s="25" t="str">
        <f ca="1">IFERROR(__xludf.DUMMYFUNCTION("""COMPUTED_VALUE"""),"REA-B4104")</f>
        <v>REA-B4104</v>
      </c>
    </row>
    <row r="2942" spans="1:5" x14ac:dyDescent="0.2">
      <c r="A2942" s="22">
        <f ca="1">IFERROR(__xludf.DUMMYFUNCTION("""COMPUTED_VALUE"""),44594)</f>
        <v>44594</v>
      </c>
      <c r="B2942" s="23" t="str">
        <f ca="1">IFERROR(__xludf.DUMMYFUNCTION("""COMPUTED_VALUE"""),"ZESTAW NATRYSKOWY PODTYNKOWY LUNGO CHROM")</f>
        <v>ZESTAW NATRYSKOWY PODTYNKOWY LUNGO CHROM</v>
      </c>
      <c r="C2942" s="23"/>
      <c r="D2942" s="24">
        <f ca="1">IFERROR(__xludf.DUMMYFUNCTION("""COMPUTED_VALUE"""),879)</f>
        <v>879</v>
      </c>
      <c r="E2942" s="25" t="str">
        <f ca="1">IFERROR(__xludf.DUMMYFUNCTION("""COMPUTED_VALUE"""),"REA-P8007")</f>
        <v>REA-P8007</v>
      </c>
    </row>
    <row r="2943" spans="1:5" x14ac:dyDescent="0.2">
      <c r="A2943" s="22">
        <f ca="1">IFERROR(__xludf.DUMMYFUNCTION("""COMPUTED_VALUE"""),44594)</f>
        <v>44594</v>
      </c>
      <c r="B2943" s="23" t="str">
        <f ca="1">IFERROR(__xludf.DUMMYFUNCTION("""COMPUTED_VALUE"""),"UMYWALKA SAMI BLACK MATT - NABLATOWA")</f>
        <v>UMYWALKA SAMI BLACK MATT - NABLATOWA</v>
      </c>
      <c r="C2943" s="23"/>
      <c r="D2943" s="24">
        <f ca="1">IFERROR(__xludf.DUMMYFUNCTION("""COMPUTED_VALUE"""),489)</f>
        <v>489</v>
      </c>
      <c r="E2943" s="25" t="str">
        <f ca="1">IFERROR(__xludf.DUMMYFUNCTION("""COMPUTED_VALUE"""),"REA-U1899")</f>
        <v>REA-U1899</v>
      </c>
    </row>
    <row r="2944" spans="1:5" x14ac:dyDescent="0.2">
      <c r="A2944" s="22">
        <f ca="1">IFERROR(__xludf.DUMMYFUNCTION("""COMPUTED_VALUE"""),44594)</f>
        <v>44594</v>
      </c>
      <c r="B2944" s="23" t="str">
        <f ca="1">IFERROR(__xludf.DUMMYFUNCTION("""COMPUTED_VALUE"""),"UMYWALKA PEARL - NABLATOWA")</f>
        <v>UMYWALKA PEARL - NABLATOWA</v>
      </c>
      <c r="C2944" s="23"/>
      <c r="D2944" s="24">
        <f ca="1">IFERROR(__xludf.DUMMYFUNCTION("""COMPUTED_VALUE"""),399)</f>
        <v>399</v>
      </c>
      <c r="E2944" s="25" t="str">
        <f ca="1">IFERROR(__xludf.DUMMYFUNCTION("""COMPUTED_VALUE"""),"REA-U0265")</f>
        <v>REA-U0265</v>
      </c>
    </row>
    <row r="2945" spans="1:5" x14ac:dyDescent="0.2">
      <c r="A2945" s="22">
        <f ca="1">IFERROR(__xludf.DUMMYFUNCTION("""COMPUTED_VALUE"""),44594)</f>
        <v>44594</v>
      </c>
      <c r="B2945" s="23" t="str">
        <f ca="1">IFERROR(__xludf.DUMMYFUNCTION("""COMPUTED_VALUE"""),"UMYWALKA ROYAL 60 - NABLATOWA")</f>
        <v>UMYWALKA ROYAL 60 - NABLATOWA</v>
      </c>
      <c r="C2945" s="23"/>
      <c r="D2945" s="24">
        <f ca="1">IFERROR(__xludf.DUMMYFUNCTION("""COMPUTED_VALUE"""),329)</f>
        <v>329</v>
      </c>
      <c r="E2945" s="25" t="str">
        <f ca="1">IFERROR(__xludf.DUMMYFUNCTION("""COMPUTED_VALUE"""),"REA-U0441")</f>
        <v>REA-U0441</v>
      </c>
    </row>
    <row r="2946" spans="1:5" x14ac:dyDescent="0.2">
      <c r="A2946" s="22">
        <f ca="1">IFERROR(__xludf.DUMMYFUNCTION("""COMPUTED_VALUE"""),44594)</f>
        <v>44594</v>
      </c>
      <c r="B2946" s="23" t="str">
        <f ca="1">IFERROR(__xludf.DUMMYFUNCTION("""COMPUTED_VALUE"""),"UMYWALKA VIVIEN - NABLATOWA")</f>
        <v>UMYWALKA VIVIEN - NABLATOWA</v>
      </c>
      <c r="C2946" s="23"/>
      <c r="D2946" s="24">
        <f ca="1">IFERROR(__xludf.DUMMYFUNCTION("""COMPUTED_VALUE"""),549)</f>
        <v>549</v>
      </c>
      <c r="E2946" s="25" t="str">
        <f ca="1">IFERROR(__xludf.DUMMYFUNCTION("""COMPUTED_VALUE"""),"REA-U5666")</f>
        <v>REA-U5666</v>
      </c>
    </row>
    <row r="2947" spans="1:5" x14ac:dyDescent="0.2">
      <c r="A2947" s="22">
        <f ca="1">IFERROR(__xludf.DUMMYFUNCTION("""COMPUTED_VALUE"""),44594)</f>
        <v>44594</v>
      </c>
      <c r="B2947" s="23" t="str">
        <f ca="1">IFERROR(__xludf.DUMMYFUNCTION("""COMPUTED_VALUE"""),"UMYWALKA SOL - NABLATOWA")</f>
        <v>UMYWALKA SOL - NABLATOWA</v>
      </c>
      <c r="C2947" s="23"/>
      <c r="D2947" s="24">
        <f ca="1">IFERROR(__xludf.DUMMYFUNCTION("""COMPUTED_VALUE"""),449)</f>
        <v>449</v>
      </c>
      <c r="E2947" s="25" t="str">
        <f ca="1">IFERROR(__xludf.DUMMYFUNCTION("""COMPUTED_VALUE"""),"REA-U8605")</f>
        <v>REA-U8605</v>
      </c>
    </row>
    <row r="2948" spans="1:5" x14ac:dyDescent="0.2">
      <c r="A2948" s="22">
        <f ca="1">IFERROR(__xludf.DUMMYFUNCTION("""COMPUTED_VALUE"""),44594)</f>
        <v>44594</v>
      </c>
      <c r="B2948" s="23" t="str">
        <f ca="1">IFERROR(__xludf.DUMMYFUNCTION("""COMPUTED_VALUE"""),"UMYWALKA AVIA BLACK  MATT - NABLATOWA")</f>
        <v>UMYWALKA AVIA BLACK  MATT - NABLATOWA</v>
      </c>
      <c r="C2948" s="23"/>
      <c r="D2948" s="24">
        <f ca="1">IFERROR(__xludf.DUMMYFUNCTION("""COMPUTED_VALUE"""),509)</f>
        <v>509</v>
      </c>
      <c r="E2948" s="25" t="str">
        <f ca="1">IFERROR(__xludf.DUMMYFUNCTION("""COMPUTED_VALUE"""),"REA-U0843")</f>
        <v>REA-U0843</v>
      </c>
    </row>
    <row r="2949" spans="1:5" x14ac:dyDescent="0.2">
      <c r="A2949" s="22">
        <f ca="1">IFERROR(__xludf.DUMMYFUNCTION("""COMPUTED_VALUE"""),44594)</f>
        <v>44594</v>
      </c>
      <c r="B2949" s="23" t="str">
        <f ca="1">IFERROR(__xludf.DUMMYFUNCTION("""COMPUTED_VALUE"""),"UMYWALKA AVIA - NABLATOWA")</f>
        <v>UMYWALKA AVIA - NABLATOWA</v>
      </c>
      <c r="C2949" s="23"/>
      <c r="D2949" s="24">
        <f ca="1">IFERROR(__xludf.DUMMYFUNCTION("""COMPUTED_VALUE"""),329)</f>
        <v>329</v>
      </c>
      <c r="E2949" s="25" t="str">
        <f ca="1">IFERROR(__xludf.DUMMYFUNCTION("""COMPUTED_VALUE"""),"REA-U0840")</f>
        <v>REA-U0840</v>
      </c>
    </row>
    <row r="2950" spans="1:5" x14ac:dyDescent="0.2">
      <c r="A2950" s="22">
        <f ca="1">IFERROR(__xludf.DUMMYFUNCTION("""COMPUTED_VALUE"""),44594)</f>
        <v>44594</v>
      </c>
      <c r="B2950" s="23" t="str">
        <f ca="1">IFERROR(__xludf.DUMMYFUNCTION("""COMPUTED_VALUE"""),"UMYWALKA ROSA - NABLATOWA")</f>
        <v>UMYWALKA ROSA - NABLATOWA</v>
      </c>
      <c r="C2950" s="23"/>
      <c r="D2950" s="24">
        <f ca="1">IFERROR(__xludf.DUMMYFUNCTION("""COMPUTED_VALUE"""),249)</f>
        <v>249</v>
      </c>
      <c r="E2950" s="25" t="str">
        <f ca="1">IFERROR(__xludf.DUMMYFUNCTION("""COMPUTED_VALUE"""),"REA-00692")</f>
        <v>REA-00692</v>
      </c>
    </row>
    <row r="2951" spans="1:5" x14ac:dyDescent="0.2">
      <c r="A2951" s="22">
        <f ca="1">IFERROR(__xludf.DUMMYFUNCTION("""COMPUTED_VALUE"""),44594)</f>
        <v>44594</v>
      </c>
      <c r="B2951" s="23" t="str">
        <f ca="1">IFERROR(__xludf.DUMMYFUNCTION("""COMPUTED_VALUE"""),"UMYWALKA ROSA-2 - NABLATOWA")</f>
        <v>UMYWALKA ROSA-2 - NABLATOWA</v>
      </c>
      <c r="C2951" s="23"/>
      <c r="D2951" s="24">
        <f ca="1">IFERROR(__xludf.DUMMYFUNCTION("""COMPUTED_VALUE"""),239)</f>
        <v>239</v>
      </c>
      <c r="E2951" s="25" t="str">
        <f ca="1">IFERROR(__xludf.DUMMYFUNCTION("""COMPUTED_VALUE"""),"REA-U0160")</f>
        <v>REA-U0160</v>
      </c>
    </row>
    <row r="2952" spans="1:5" x14ac:dyDescent="0.2">
      <c r="A2952" s="22">
        <f ca="1">IFERROR(__xludf.DUMMYFUNCTION("""COMPUTED_VALUE"""),44594)</f>
        <v>44594</v>
      </c>
      <c r="B2952" s="23" t="str">
        <f ca="1">IFERROR(__xludf.DUMMYFUNCTION("""COMPUTED_VALUE"""),"UMYWALKA KELLY - NABLATOWA")</f>
        <v>UMYWALKA KELLY - NABLATOWA</v>
      </c>
      <c r="C2952" s="23"/>
      <c r="D2952" s="24">
        <f ca="1">IFERROR(__xludf.DUMMYFUNCTION("""COMPUTED_VALUE"""),205)</f>
        <v>205</v>
      </c>
      <c r="E2952" s="25" t="str">
        <f ca="1">IFERROR(__xludf.DUMMYFUNCTION("""COMPUTED_VALUE"""),"REA-U6524")</f>
        <v>REA-U6524</v>
      </c>
    </row>
    <row r="2953" spans="1:5" x14ac:dyDescent="0.2">
      <c r="A2953" s="22">
        <f ca="1">IFERROR(__xludf.DUMMYFUNCTION("""COMPUTED_VALUE"""),44594)</f>
        <v>44594</v>
      </c>
      <c r="B2953" s="23" t="str">
        <f ca="1">IFERROR(__xludf.DUMMYFUNCTION("""COMPUTED_VALUE"""),"UMYWALKA ARTE BLUE - NABLATOWA")</f>
        <v>UMYWALKA ARTE BLUE - NABLATOWA</v>
      </c>
      <c r="C2953" s="23"/>
      <c r="D2953" s="24">
        <f ca="1">IFERROR(__xludf.DUMMYFUNCTION("""COMPUTED_VALUE"""),429)</f>
        <v>429</v>
      </c>
      <c r="E2953" s="25" t="str">
        <f ca="1">IFERROR(__xludf.DUMMYFUNCTION("""COMPUTED_VALUE"""),"REA-U0267")</f>
        <v>REA-U0267</v>
      </c>
    </row>
    <row r="2954" spans="1:5" x14ac:dyDescent="0.2">
      <c r="A2954" s="22">
        <f ca="1">IFERROR(__xludf.DUMMYFUNCTION("""COMPUTED_VALUE"""),44575)</f>
        <v>44575</v>
      </c>
      <c r="B2954" s="23" t="str">
        <f ca="1">IFERROR(__xludf.DUMMYFUNCTION("""COMPUTED_VALUE"""),"KABINA 90X90 PUNTO BLACK")</f>
        <v>KABINA 90X90 PUNTO BLACK</v>
      </c>
      <c r="C2954" s="23"/>
      <c r="D2954" s="24">
        <f ca="1">IFERROR(__xludf.DUMMYFUNCTION("""COMPUTED_VALUE"""),889)</f>
        <v>889</v>
      </c>
      <c r="E2954" s="25" t="str">
        <f ca="1">IFERROR(__xludf.DUMMYFUNCTION("""COMPUTED_VALUE"""),"REA-K4801")</f>
        <v>REA-K4801</v>
      </c>
    </row>
    <row r="2955" spans="1:5" x14ac:dyDescent="0.2">
      <c r="A2955" s="22">
        <f ca="1">IFERROR(__xludf.DUMMYFUNCTION("""COMPUTED_VALUE"""),44575)</f>
        <v>44575</v>
      </c>
      <c r="B2955" s="23" t="str">
        <f ca="1">IFERROR(__xludf.DUMMYFUNCTION("""COMPUTED_VALUE"""),"KABINA 80X100 PUNTO BLACK")</f>
        <v>KABINA 80X100 PUNTO BLACK</v>
      </c>
      <c r="C2955" s="23"/>
      <c r="D2955" s="24">
        <f ca="1">IFERROR(__xludf.DUMMYFUNCTION("""COMPUTED_VALUE"""),899)</f>
        <v>899</v>
      </c>
      <c r="E2955" s="25" t="str">
        <f ca="1">IFERROR(__xludf.DUMMYFUNCTION("""COMPUTED_VALUE"""),"REA-K4806")</f>
        <v>REA-K4806</v>
      </c>
    </row>
    <row r="2956" spans="1:5" x14ac:dyDescent="0.2">
      <c r="A2956" s="22">
        <f ca="1">IFERROR(__xludf.DUMMYFUNCTION("""COMPUTED_VALUE"""),44566)</f>
        <v>44566</v>
      </c>
      <c r="B2956" s="23" t="str">
        <f ca="1">IFERROR(__xludf.DUMMYFUNCTION("""COMPUTED_VALUE"""),"BATERIA BIDETOWA LOOP ROSE GOLD")</f>
        <v>BATERIA BIDETOWA LOOP ROSE GOLD</v>
      </c>
      <c r="C2956" s="23"/>
      <c r="D2956" s="24">
        <f ca="1">IFERROR(__xludf.DUMMYFUNCTION("""COMPUTED_VALUE"""),399)</f>
        <v>399</v>
      </c>
      <c r="E2956" s="25" t="str">
        <f ca="1">IFERROR(__xludf.DUMMYFUNCTION("""COMPUTED_VALUE"""),"REA-B6523")</f>
        <v>REA-B6523</v>
      </c>
    </row>
    <row r="2957" spans="1:5" x14ac:dyDescent="0.2">
      <c r="A2957" s="22">
        <f ca="1">IFERROR(__xludf.DUMMYFUNCTION("""COMPUTED_VALUE"""),44566)</f>
        <v>44566</v>
      </c>
      <c r="B2957" s="23" t="str">
        <f ca="1">IFERROR(__xludf.DUMMYFUNCTION("""COMPUTED_VALUE"""),"BATERIA BIDETOWA LOOP CHROM")</f>
        <v>BATERIA BIDETOWA LOOP CHROM</v>
      </c>
      <c r="C2957" s="23"/>
      <c r="D2957" s="24">
        <f ca="1">IFERROR(__xludf.DUMMYFUNCTION("""COMPUTED_VALUE"""),319)</f>
        <v>319</v>
      </c>
      <c r="E2957" s="25" t="str">
        <f ca="1">IFERROR(__xludf.DUMMYFUNCTION("""COMPUTED_VALUE"""),"REA-B4106")</f>
        <v>REA-B4106</v>
      </c>
    </row>
    <row r="2958" spans="1:5" x14ac:dyDescent="0.2">
      <c r="A2958" s="22">
        <f ca="1">IFERROR(__xludf.DUMMYFUNCTION("""COMPUTED_VALUE"""),44566)</f>
        <v>44566</v>
      </c>
      <c r="B2958" s="23" t="str">
        <f ca="1">IFERROR(__xludf.DUMMYFUNCTION("""COMPUTED_VALUE"""),"BATERIA UMYWALKOWA GRAF")</f>
        <v>BATERIA UMYWALKOWA GRAF</v>
      </c>
      <c r="C2958" s="23"/>
      <c r="D2958" s="24">
        <f ca="1">IFERROR(__xludf.DUMMYFUNCTION("""COMPUTED_VALUE"""),149)</f>
        <v>149</v>
      </c>
      <c r="E2958" s="25" t="str">
        <f ca="1">IFERROR(__xludf.DUMMYFUNCTION("""COMPUTED_VALUE"""),"REA-B0027")</f>
        <v>REA-B0027</v>
      </c>
    </row>
    <row r="2959" spans="1:5" x14ac:dyDescent="0.2">
      <c r="A2959" s="22">
        <f ca="1">IFERROR(__xludf.DUMMYFUNCTION("""COMPUTED_VALUE"""),44566)</f>
        <v>44566</v>
      </c>
      <c r="B2959" s="23" t="str">
        <f ca="1">IFERROR(__xludf.DUMMYFUNCTION("""COMPUTED_VALUE"""),"BATERIA WYSOKA TESS CHROM")</f>
        <v>BATERIA WYSOKA TESS CHROM</v>
      </c>
      <c r="C2959" s="23"/>
      <c r="D2959" s="24">
        <f ca="1">IFERROR(__xludf.DUMMYFUNCTION("""COMPUTED_VALUE"""),249)</f>
        <v>249</v>
      </c>
      <c r="E2959" s="25" t="str">
        <f ca="1">IFERROR(__xludf.DUMMYFUNCTION("""COMPUTED_VALUE"""),"REA-B8800")</f>
        <v>REA-B8800</v>
      </c>
    </row>
    <row r="2960" spans="1:5" x14ac:dyDescent="0.2">
      <c r="A2960" s="22">
        <f ca="1">IFERROR(__xludf.DUMMYFUNCTION("""COMPUTED_VALUE"""),44566)</f>
        <v>44566</v>
      </c>
      <c r="B2960" s="23" t="str">
        <f ca="1">IFERROR(__xludf.DUMMYFUNCTION("""COMPUTED_VALUE"""),"BATERIA NISKA TESS CHROM")</f>
        <v>BATERIA NISKA TESS CHROM</v>
      </c>
      <c r="C2960" s="23"/>
      <c r="D2960" s="24">
        <f ca="1">IFERROR(__xludf.DUMMYFUNCTION("""COMPUTED_VALUE"""),209)</f>
        <v>209</v>
      </c>
      <c r="E2960" s="25" t="str">
        <f ca="1">IFERROR(__xludf.DUMMYFUNCTION("""COMPUTED_VALUE"""),"REA-B8801")</f>
        <v>REA-B8801</v>
      </c>
    </row>
    <row r="2961" spans="1:5" x14ac:dyDescent="0.2">
      <c r="A2961" s="22">
        <f ca="1">IFERROR(__xludf.DUMMYFUNCTION("""COMPUTED_VALUE"""),44566)</f>
        <v>44566</v>
      </c>
      <c r="B2961" s="23" t="str">
        <f ca="1">IFERROR(__xludf.DUMMYFUNCTION("""COMPUTED_VALUE"""),"ZESTAW NATRYSKOWY  RETRO OLD BLACK")</f>
        <v>ZESTAW NATRYSKOWY  RETRO OLD BLACK</v>
      </c>
      <c r="C2961" s="23"/>
      <c r="D2961" s="24">
        <f ca="1">IFERROR(__xludf.DUMMYFUNCTION("""COMPUTED_VALUE"""),999)</f>
        <v>999</v>
      </c>
      <c r="E2961" s="25" t="str">
        <f ca="1">IFERROR(__xludf.DUMMYFUNCTION("""COMPUTED_VALUE"""),"REA-P2366")</f>
        <v>REA-P2366</v>
      </c>
    </row>
    <row r="2962" spans="1:5" x14ac:dyDescent="0.2">
      <c r="A2962" s="22">
        <f ca="1">IFERROR(__xludf.DUMMYFUNCTION("""COMPUTED_VALUE"""),44566)</f>
        <v>44566</v>
      </c>
      <c r="B2962" s="23" t="str">
        <f ca="1">IFERROR(__xludf.DUMMYFUNCTION("""COMPUTED_VALUE"""),"ZESTAW NATRYSKOWY FENIX-DAVIS TERMOSTAT L.GOLD")</f>
        <v>ZESTAW NATRYSKOWY FENIX-DAVIS TERMOSTAT L.GOLD</v>
      </c>
      <c r="C2962" s="23"/>
      <c r="D2962" s="24">
        <f ca="1">IFERROR(__xludf.DUMMYFUNCTION("""COMPUTED_VALUE"""),1469)</f>
        <v>1469</v>
      </c>
      <c r="E2962" s="25" t="str">
        <f ca="1">IFERROR(__xludf.DUMMYFUNCTION("""COMPUTED_VALUE"""),"REA-P6324")</f>
        <v>REA-P6324</v>
      </c>
    </row>
    <row r="2963" spans="1:5" x14ac:dyDescent="0.2">
      <c r="A2963" s="22">
        <f ca="1">IFERROR(__xludf.DUMMYFUNCTION("""COMPUTED_VALUE"""),44566)</f>
        <v>44566</v>
      </c>
      <c r="B2963" s="23" t="str">
        <f ca="1">IFERROR(__xludf.DUMMYFUNCTION("""COMPUTED_VALUE"""),"ZESTAW WANNOWY PODTYNKOWY LUNGO L.GOLD + BOX")</f>
        <v>ZESTAW WANNOWY PODTYNKOWY LUNGO L.GOLD + BOX</v>
      </c>
      <c r="C2963" s="23"/>
      <c r="D2963" s="24">
        <f ca="1">IFERROR(__xludf.DUMMYFUNCTION("""COMPUTED_VALUE"""),779)</f>
        <v>779</v>
      </c>
      <c r="E2963" s="25" t="str">
        <f ca="1">IFERROR(__xludf.DUMMYFUNCTION("""COMPUTED_VALUE"""),"REA-P4563")</f>
        <v>REA-P4563</v>
      </c>
    </row>
    <row r="2964" spans="1:5" x14ac:dyDescent="0.2">
      <c r="A2964" s="22">
        <f ca="1">IFERROR(__xludf.DUMMYFUNCTION("""COMPUTED_VALUE"""),44566)</f>
        <v>44566</v>
      </c>
      <c r="B2964" s="23" t="str">
        <f ca="1">IFERROR(__xludf.DUMMYFUNCTION("""COMPUTED_VALUE"""),"BATERIA UMYWALKOWA PODTYNKOWA MASON BLACK")</f>
        <v>BATERIA UMYWALKOWA PODTYNKOWA MASON BLACK</v>
      </c>
      <c r="C2964" s="23"/>
      <c r="D2964" s="24">
        <f ca="1">IFERROR(__xludf.DUMMYFUNCTION("""COMPUTED_VALUE"""),479)</f>
        <v>479</v>
      </c>
      <c r="E2964" s="25" t="str">
        <f ca="1">IFERROR(__xludf.DUMMYFUNCTION("""COMPUTED_VALUE"""),"REA-B0690")</f>
        <v>REA-B0690</v>
      </c>
    </row>
    <row r="2965" spans="1:5" x14ac:dyDescent="0.2">
      <c r="A2965" s="22">
        <f ca="1">IFERROR(__xludf.DUMMYFUNCTION("""COMPUTED_VALUE"""),44566)</f>
        <v>44566</v>
      </c>
      <c r="B2965" s="23" t="str">
        <f ca="1">IFERROR(__xludf.DUMMYFUNCTION("""COMPUTED_VALUE"""),"BATERIA UMYWALKOWA  RETRO OLD BLACK")</f>
        <v>BATERIA UMYWALKOWA  RETRO OLD BLACK</v>
      </c>
      <c r="C2965" s="23"/>
      <c r="D2965" s="24">
        <f ca="1">IFERROR(__xludf.DUMMYFUNCTION("""COMPUTED_VALUE"""),299)</f>
        <v>299</v>
      </c>
      <c r="E2965" s="25" t="str">
        <f ca="1">IFERROR(__xludf.DUMMYFUNCTION("""COMPUTED_VALUE"""),"REA-B0225")</f>
        <v>REA-B0225</v>
      </c>
    </row>
    <row r="2966" spans="1:5" x14ac:dyDescent="0.2">
      <c r="A2966" s="22">
        <f ca="1">IFERROR(__xludf.DUMMYFUNCTION("""COMPUTED_VALUE"""),44566)</f>
        <v>44566</v>
      </c>
      <c r="B2966" s="23" t="str">
        <f ca="1">IFERROR(__xludf.DUMMYFUNCTION("""COMPUTED_VALUE"""),"BATERIA WANNOWA BUZZ BLACK")</f>
        <v>BATERIA WANNOWA BUZZ BLACK</v>
      </c>
      <c r="C2966" s="23"/>
      <c r="D2966" s="24">
        <f ca="1">IFERROR(__xludf.DUMMYFUNCTION("""COMPUTED_VALUE"""),299)</f>
        <v>299</v>
      </c>
      <c r="E2966" s="25" t="str">
        <f ca="1">IFERROR(__xludf.DUMMYFUNCTION("""COMPUTED_VALUE"""),"REA-B3421")</f>
        <v>REA-B3421</v>
      </c>
    </row>
    <row r="2967" spans="1:5" x14ac:dyDescent="0.2">
      <c r="A2967" s="22">
        <f ca="1">IFERROR(__xludf.DUMMYFUNCTION("""COMPUTED_VALUE"""),44566)</f>
        <v>44566</v>
      </c>
      <c r="B2967" s="23" t="str">
        <f ca="1">IFERROR(__xludf.DUMMYFUNCTION("""COMPUTED_VALUE"""),"BATERIA UMYWALKOWA LUNGO BLACK WYSOKA")</f>
        <v>BATERIA UMYWALKOWA LUNGO BLACK WYSOKA</v>
      </c>
      <c r="C2967" s="23"/>
      <c r="D2967" s="24">
        <f ca="1">IFERROR(__xludf.DUMMYFUNCTION("""COMPUTED_VALUE"""),259)</f>
        <v>259</v>
      </c>
      <c r="E2967" s="25" t="str">
        <f ca="1">IFERROR(__xludf.DUMMYFUNCTION("""COMPUTED_VALUE"""),"REA-B4103")</f>
        <v>REA-B4103</v>
      </c>
    </row>
    <row r="2968" spans="1:5" x14ac:dyDescent="0.2">
      <c r="A2968" s="22">
        <f ca="1">IFERROR(__xludf.DUMMYFUNCTION("""COMPUTED_VALUE"""),44566)</f>
        <v>44566</v>
      </c>
      <c r="B2968" s="23" t="str">
        <f ca="1">IFERROR(__xludf.DUMMYFUNCTION("""COMPUTED_VALUE"""),"UMYWALKA AVILA - NABLATOWA")</f>
        <v>UMYWALKA AVILA - NABLATOWA</v>
      </c>
      <c r="C2968" s="23"/>
      <c r="D2968" s="24">
        <f ca="1">IFERROR(__xludf.DUMMYFUNCTION("""COMPUTED_VALUE"""),159)</f>
        <v>159</v>
      </c>
      <c r="E2968" s="25" t="str">
        <f ca="1">IFERROR(__xludf.DUMMYFUNCTION("""COMPUTED_VALUE"""),"REA-U0632")</f>
        <v>REA-U0632</v>
      </c>
    </row>
    <row r="2969" spans="1:5" x14ac:dyDescent="0.2">
      <c r="A2969" s="22">
        <f ca="1">IFERROR(__xludf.DUMMYFUNCTION("""COMPUTED_VALUE"""),44566)</f>
        <v>44566</v>
      </c>
      <c r="B2969" s="23" t="str">
        <f ca="1">IFERROR(__xludf.DUMMYFUNCTION("""COMPUTED_VALUE"""),"SYFON KLIK-KLAK UNIWERSALNY L.GOLD")</f>
        <v>SYFON KLIK-KLAK UNIWERSALNY L.GOLD</v>
      </c>
      <c r="C2969" s="23"/>
      <c r="D2969" s="24">
        <f ca="1">IFERROR(__xludf.DUMMYFUNCTION("""COMPUTED_VALUE"""),279)</f>
        <v>279</v>
      </c>
      <c r="E2969" s="25" t="str">
        <f ca="1">IFERROR(__xludf.DUMMYFUNCTION("""COMPUTED_VALUE"""),"REA-A5692")</f>
        <v>REA-A5692</v>
      </c>
    </row>
    <row r="2970" spans="1:5" x14ac:dyDescent="0.2">
      <c r="A2970" s="22">
        <f ca="1">IFERROR(__xludf.DUMMYFUNCTION("""COMPUTED_VALUE"""),44566)</f>
        <v>44566</v>
      </c>
      <c r="B2970" s="23" t="str">
        <f ca="1">IFERROR(__xludf.DUMMYFUNCTION("""COMPUTED_VALUE"""),"SYFON KLIK-KLAK UNIWERSALNY BLACK")</f>
        <v>SYFON KLIK-KLAK UNIWERSALNY BLACK</v>
      </c>
      <c r="C2970" s="23"/>
      <c r="D2970" s="24">
        <f ca="1">IFERROR(__xludf.DUMMYFUNCTION("""COMPUTED_VALUE"""),199)</f>
        <v>199</v>
      </c>
      <c r="E2970" s="25" t="str">
        <f ca="1">IFERROR(__xludf.DUMMYFUNCTION("""COMPUTED_VALUE"""),"REA-A5215")</f>
        <v>REA-A5215</v>
      </c>
    </row>
    <row r="2971" spans="1:5" x14ac:dyDescent="0.2">
      <c r="A2971" s="22">
        <f ca="1">IFERROR(__xludf.DUMMYFUNCTION("""COMPUTED_VALUE"""),44566)</f>
        <v>44566</v>
      </c>
      <c r="B2971" s="23" t="str">
        <f ca="1">IFERROR(__xludf.DUMMYFUNCTION("""COMPUTED_VALUE"""),"BATERIA UMYWALKOWA FENIX BLACK WYSOKA")</f>
        <v>BATERIA UMYWALKOWA FENIX BLACK WYSOKA</v>
      </c>
      <c r="C2971" s="23"/>
      <c r="D2971" s="24">
        <f ca="1">IFERROR(__xludf.DUMMYFUNCTION("""COMPUTED_VALUE"""),439)</f>
        <v>439</v>
      </c>
      <c r="E2971" s="25" t="str">
        <f ca="1">IFERROR(__xludf.DUMMYFUNCTION("""COMPUTED_VALUE"""),"REA-B7849")</f>
        <v>REA-B7849</v>
      </c>
    </row>
    <row r="2972" spans="1:5" x14ac:dyDescent="0.2">
      <c r="A2972" s="22">
        <f ca="1">IFERROR(__xludf.DUMMYFUNCTION("""COMPUTED_VALUE"""),44566)</f>
        <v>44566</v>
      </c>
      <c r="B2972" s="23" t="str">
        <f ca="1">IFERROR(__xludf.DUMMYFUNCTION("""COMPUTED_VALUE"""),"BATERIA WANNOWA ŚCIENNA FENIX BLACK")</f>
        <v>BATERIA WANNOWA ŚCIENNA FENIX BLACK</v>
      </c>
      <c r="C2972" s="23"/>
      <c r="D2972" s="24">
        <f ca="1">IFERROR(__xludf.DUMMYFUNCTION("""COMPUTED_VALUE"""),599)</f>
        <v>599</v>
      </c>
      <c r="E2972" s="25" t="str">
        <f ca="1">IFERROR(__xludf.DUMMYFUNCTION("""COMPUTED_VALUE"""),"REA-B3310")</f>
        <v>REA-B3310</v>
      </c>
    </row>
    <row r="2973" spans="1:5" x14ac:dyDescent="0.2">
      <c r="A2973" s="22">
        <f ca="1">IFERROR(__xludf.DUMMYFUNCTION("""COMPUTED_VALUE"""),44566)</f>
        <v>44566</v>
      </c>
      <c r="B2973" s="23" t="str">
        <f ca="1">IFERROR(__xludf.DUMMYFUNCTION("""COMPUTED_VALUE"""),"BATERIA BIDETOWA FENIX L.GOLD")</f>
        <v>BATERIA BIDETOWA FENIX L.GOLD</v>
      </c>
      <c r="C2973" s="23"/>
      <c r="D2973" s="24">
        <f ca="1">IFERROR(__xludf.DUMMYFUNCTION("""COMPUTED_VALUE"""),479)</f>
        <v>479</v>
      </c>
      <c r="E2973" s="25" t="str">
        <f ca="1">IFERROR(__xludf.DUMMYFUNCTION("""COMPUTED_VALUE"""),"REA-B5771")</f>
        <v>REA-B5771</v>
      </c>
    </row>
    <row r="2974" spans="1:5" x14ac:dyDescent="0.2">
      <c r="A2974" s="22">
        <f ca="1">IFERROR(__xludf.DUMMYFUNCTION("""COMPUTED_VALUE"""),44559)</f>
        <v>44559</v>
      </c>
      <c r="B2974" s="23" t="str">
        <f ca="1">IFERROR(__xludf.DUMMYFUNCTION("""COMPUTED_VALUE"""),"UMYWALKA SOFIA BLACK EDGE - NABLATOWA")</f>
        <v>UMYWALKA SOFIA BLACK EDGE - NABLATOWA</v>
      </c>
      <c r="C2974" s="23"/>
      <c r="D2974" s="24">
        <f ca="1">IFERROR(__xludf.DUMMYFUNCTION("""COMPUTED_VALUE"""),299)</f>
        <v>299</v>
      </c>
      <c r="E2974" s="25" t="str">
        <f ca="1">IFERROR(__xludf.DUMMYFUNCTION("""COMPUTED_VALUE"""),"REA-U3217")</f>
        <v>REA-U3217</v>
      </c>
    </row>
    <row r="2975" spans="1:5" x14ac:dyDescent="0.2">
      <c r="A2975" s="22">
        <f ca="1">IFERROR(__xludf.DUMMYFUNCTION("""COMPUTED_VALUE"""),44559)</f>
        <v>44559</v>
      </c>
      <c r="B2975" s="23" t="str">
        <f ca="1">IFERROR(__xludf.DUMMYFUNCTION("""COMPUTED_VALUE"""),"UMYWALKA LARA STONE - NABLATOWA")</f>
        <v>UMYWALKA LARA STONE - NABLATOWA</v>
      </c>
      <c r="C2975" s="23"/>
      <c r="D2975" s="24">
        <f ca="1">IFERROR(__xludf.DUMMYFUNCTION("""COMPUTED_VALUE"""),349)</f>
        <v>349</v>
      </c>
      <c r="E2975" s="25" t="str">
        <f ca="1">IFERROR(__xludf.DUMMYFUNCTION("""COMPUTED_VALUE"""),"REA-U9888")</f>
        <v>REA-U9888</v>
      </c>
    </row>
    <row r="2976" spans="1:5" x14ac:dyDescent="0.2">
      <c r="A2976" s="22">
        <f ca="1">IFERROR(__xludf.DUMMYFUNCTION("""COMPUTED_VALUE"""),44559)</f>
        <v>44559</v>
      </c>
      <c r="B2976" s="23" t="str">
        <f ca="1">IFERROR(__xludf.DUMMYFUNCTION("""COMPUTED_VALUE"""),"UMYWALKA LARA GREY - NABLATOWA")</f>
        <v>UMYWALKA LARA GREY - NABLATOWA</v>
      </c>
      <c r="C2976" s="23"/>
      <c r="D2976" s="24">
        <f ca="1">IFERROR(__xludf.DUMMYFUNCTION("""COMPUTED_VALUE"""),299)</f>
        <v>299</v>
      </c>
      <c r="E2976" s="25" t="str">
        <f ca="1">IFERROR(__xludf.DUMMYFUNCTION("""COMPUTED_VALUE"""),"REA-U9889")</f>
        <v>REA-U9889</v>
      </c>
    </row>
    <row r="2977" spans="1:5" x14ac:dyDescent="0.2">
      <c r="A2977" s="22">
        <f ca="1">IFERROR(__xludf.DUMMYFUNCTION("""COMPUTED_VALUE"""),44559)</f>
        <v>44559</v>
      </c>
      <c r="B2977" s="23" t="str">
        <f ca="1">IFERROR(__xludf.DUMMYFUNCTION("""COMPUTED_VALUE"""),"UMYWALKA LARA BEIGE - NABLATOWA")</f>
        <v>UMYWALKA LARA BEIGE - NABLATOWA</v>
      </c>
      <c r="C2977" s="23"/>
      <c r="D2977" s="24">
        <f ca="1">IFERROR(__xludf.DUMMYFUNCTION("""COMPUTED_VALUE"""),349)</f>
        <v>349</v>
      </c>
      <c r="E2977" s="25" t="str">
        <f ca="1">IFERROR(__xludf.DUMMYFUNCTION("""COMPUTED_VALUE"""),"REA-U9887")</f>
        <v>REA-U9887</v>
      </c>
    </row>
    <row r="2978" spans="1:5" x14ac:dyDescent="0.2">
      <c r="A2978" s="22">
        <f ca="1">IFERROR(__xludf.DUMMYFUNCTION("""COMPUTED_VALUE"""),44559)</f>
        <v>44559</v>
      </c>
      <c r="B2978" s="23" t="str">
        <f ca="1">IFERROR(__xludf.DUMMYFUNCTION("""COMPUTED_VALUE"""),"UMYWALKA KAMILA BLACK - WOLNOSTOJĄCA")</f>
        <v>UMYWALKA KAMILA BLACK - WOLNOSTOJĄCA</v>
      </c>
      <c r="C2978" s="23"/>
      <c r="D2978" s="24">
        <f ca="1">IFERROR(__xludf.DUMMYFUNCTION("""COMPUTED_VALUE"""),1059)</f>
        <v>1059</v>
      </c>
      <c r="E2978" s="25" t="str">
        <f ca="1">IFERROR(__xludf.DUMMYFUNCTION("""COMPUTED_VALUE"""),"REA-U5644")</f>
        <v>REA-U5644</v>
      </c>
    </row>
    <row r="2979" spans="1:5" x14ac:dyDescent="0.2">
      <c r="A2979" s="22">
        <f ca="1">IFERROR(__xludf.DUMMYFUNCTION("""COMPUTED_VALUE"""),44559)</f>
        <v>44559</v>
      </c>
      <c r="B2979" s="23" t="str">
        <f ca="1">IFERROR(__xludf.DUMMYFUNCTION("""COMPUTED_VALUE"""),"UMYWALKA BONITA - NABLATOWA/ŚCIENNA")</f>
        <v>UMYWALKA BONITA - NABLATOWA/ŚCIENNA</v>
      </c>
      <c r="C2979" s="23"/>
      <c r="D2979" s="24">
        <f ca="1">IFERROR(__xludf.DUMMYFUNCTION("""COMPUTED_VALUE"""),309)</f>
        <v>309</v>
      </c>
      <c r="E2979" s="25" t="str">
        <f ca="1">IFERROR(__xludf.DUMMYFUNCTION("""COMPUTED_VALUE"""),"REA-U8701")</f>
        <v>REA-U8701</v>
      </c>
    </row>
    <row r="2980" spans="1:5" x14ac:dyDescent="0.2">
      <c r="A2980" s="22">
        <f ca="1">IFERROR(__xludf.DUMMYFUNCTION("""COMPUTED_VALUE"""),44559)</f>
        <v>44559</v>
      </c>
      <c r="B2980" s="23" t="str">
        <f ca="1">IFERROR(__xludf.DUMMYFUNCTION("""COMPUTED_VALUE"""),"UMYWALKA BLANKA BLACK - WOLNOSTOJĄCA")</f>
        <v>UMYWALKA BLANKA BLACK - WOLNOSTOJĄCA</v>
      </c>
      <c r="C2980" s="23"/>
      <c r="D2980" s="24">
        <f ca="1">IFERROR(__xludf.DUMMYFUNCTION("""COMPUTED_VALUE"""),1389)</f>
        <v>1389</v>
      </c>
      <c r="E2980" s="25" t="str">
        <f ca="1">IFERROR(__xludf.DUMMYFUNCTION("""COMPUTED_VALUE"""),"REA-U6635")</f>
        <v>REA-U6635</v>
      </c>
    </row>
    <row r="2981" spans="1:5" x14ac:dyDescent="0.2">
      <c r="A2981" s="22">
        <f ca="1">IFERROR(__xludf.DUMMYFUNCTION("""COMPUTED_VALUE"""),44559)</f>
        <v>44559</v>
      </c>
      <c r="B2981" s="23" t="str">
        <f ca="1">IFERROR(__xludf.DUMMYFUNCTION("""COMPUTED_VALUE"""),"UMYWALKA ASHLEY - NABLATOWA")</f>
        <v>UMYWALKA ASHLEY - NABLATOWA</v>
      </c>
      <c r="C2981" s="23"/>
      <c r="D2981" s="24">
        <f ca="1">IFERROR(__xludf.DUMMYFUNCTION("""COMPUTED_VALUE"""),469)</f>
        <v>469</v>
      </c>
      <c r="E2981" s="25" t="str">
        <f ca="1">IFERROR(__xludf.DUMMYFUNCTION("""COMPUTED_VALUE"""),"REA-U4663")</f>
        <v>REA-U4663</v>
      </c>
    </row>
    <row r="2982" spans="1:5" x14ac:dyDescent="0.2">
      <c r="A2982" s="22">
        <f ca="1">IFERROR(__xludf.DUMMYFUNCTION("""COMPUTED_VALUE"""),44559)</f>
        <v>44559</v>
      </c>
      <c r="B2982" s="23" t="str">
        <f ca="1">IFERROR(__xludf.DUMMYFUNCTION("""COMPUTED_VALUE"""),"UMYWALKA BELINDA WHITE BLACK - NABLATOWA")</f>
        <v>UMYWALKA BELINDA WHITE BLACK - NABLATOWA</v>
      </c>
      <c r="C2982" s="23"/>
      <c r="D2982" s="24">
        <f ca="1">IFERROR(__xludf.DUMMYFUNCTION("""COMPUTED_VALUE"""),399)</f>
        <v>399</v>
      </c>
      <c r="E2982" s="25" t="str">
        <f ca="1">IFERROR(__xludf.DUMMYFUNCTION("""COMPUTED_VALUE"""),"REA-U6332")</f>
        <v>REA-U6332</v>
      </c>
    </row>
    <row r="2983" spans="1:5" x14ac:dyDescent="0.2">
      <c r="A2983" s="22">
        <f ca="1">IFERROR(__xludf.DUMMYFUNCTION("""COMPUTED_VALUE"""),44559)</f>
        <v>44559</v>
      </c>
      <c r="B2983" s="23" t="str">
        <f ca="1">IFERROR(__xludf.DUMMYFUNCTION("""COMPUTED_VALUE"""),"UMYWALKA BELINDA SLIM - NABLATOWA")</f>
        <v>UMYWALKA BELINDA SLIM - NABLATOWA</v>
      </c>
      <c r="C2983" s="23"/>
      <c r="D2983" s="24">
        <f ca="1">IFERROR(__xludf.DUMMYFUNCTION("""COMPUTED_VALUE"""),229)</f>
        <v>229</v>
      </c>
      <c r="E2983" s="25" t="str">
        <f ca="1">IFERROR(__xludf.DUMMYFUNCTION("""COMPUTED_VALUE"""),"REA-U6521")</f>
        <v>REA-U6521</v>
      </c>
    </row>
    <row r="2984" spans="1:5" x14ac:dyDescent="0.2">
      <c r="A2984" s="22">
        <f ca="1">IFERROR(__xludf.DUMMYFUNCTION("""COMPUTED_VALUE"""),44559)</f>
        <v>44559</v>
      </c>
      <c r="B2984" s="23" t="str">
        <f ca="1">IFERROR(__xludf.DUMMYFUNCTION("""COMPUTED_VALUE"""),"UMYWALKA AVIA BLACK  MATT - NABLATOWA")</f>
        <v>UMYWALKA AVIA BLACK  MATT - NABLATOWA</v>
      </c>
      <c r="C2984" s="23"/>
      <c r="D2984" s="24">
        <f ca="1">IFERROR(__xludf.DUMMYFUNCTION("""COMPUTED_VALUE"""),509)</f>
        <v>509</v>
      </c>
      <c r="E2984" s="25" t="str">
        <f ca="1">IFERROR(__xludf.DUMMYFUNCTION("""COMPUTED_VALUE"""),"REA-U0843")</f>
        <v>REA-U0843</v>
      </c>
    </row>
    <row r="2985" spans="1:5" x14ac:dyDescent="0.2">
      <c r="A2985" s="22">
        <f ca="1">IFERROR(__xludf.DUMMYFUNCTION("""COMPUTED_VALUE"""),44559)</f>
        <v>44559</v>
      </c>
      <c r="B2985" s="23" t="str">
        <f ca="1">IFERROR(__xludf.DUMMYFUNCTION("""COMPUTED_VALUE"""),"UMYWALKA PEARL BLACK MATT GOLD EDGE - NABLATOWA")</f>
        <v>UMYWALKA PEARL BLACK MATT GOLD EDGE - NABLATOWA</v>
      </c>
      <c r="C2985" s="23"/>
      <c r="D2985" s="24">
        <f ca="1">IFERROR(__xludf.DUMMYFUNCTION("""COMPUTED_VALUE"""),559)</f>
        <v>559</v>
      </c>
      <c r="E2985" s="25" t="str">
        <f ca="1">IFERROR(__xludf.DUMMYFUNCTION("""COMPUTED_VALUE"""),"REA-U0692")</f>
        <v>REA-U0692</v>
      </c>
    </row>
    <row r="2986" spans="1:5" x14ac:dyDescent="0.2">
      <c r="A2986" s="22">
        <f ca="1">IFERROR(__xludf.DUMMYFUNCTION("""COMPUTED_VALUE"""),44559)</f>
        <v>44559</v>
      </c>
      <c r="B2986" s="23" t="str">
        <f ca="1">IFERROR(__xludf.DUMMYFUNCTION("""COMPUTED_VALUE"""),"UMYWALKA WENDY - NABLATOWA")</f>
        <v>UMYWALKA WENDY - NABLATOWA</v>
      </c>
      <c r="C2986" s="23"/>
      <c r="D2986" s="24">
        <f ca="1">IFERROR(__xludf.DUMMYFUNCTION("""COMPUTED_VALUE"""),289)</f>
        <v>289</v>
      </c>
      <c r="E2986" s="25" t="str">
        <f ca="1">IFERROR(__xludf.DUMMYFUNCTION("""COMPUTED_VALUE"""),"REA-U0157")</f>
        <v>REA-U0157</v>
      </c>
    </row>
    <row r="2987" spans="1:5" x14ac:dyDescent="0.2">
      <c r="A2987" s="22">
        <f ca="1">IFERROR(__xludf.DUMMYFUNCTION("""COMPUTED_VALUE"""),44559)</f>
        <v>44559</v>
      </c>
      <c r="B2987" s="23" t="str">
        <f ca="1">IFERROR(__xludf.DUMMYFUNCTION("""COMPUTED_VALUE"""),"UMYWALKA ROYAL 60 MARBLE BLACK MATT - NABLATOWA")</f>
        <v>UMYWALKA ROYAL 60 MARBLE BLACK MATT - NABLATOWA</v>
      </c>
      <c r="C2987" s="23"/>
      <c r="D2987" s="24">
        <f ca="1">IFERROR(__xludf.DUMMYFUNCTION("""COMPUTED_VALUE"""),499)</f>
        <v>499</v>
      </c>
      <c r="E2987" s="25" t="str">
        <f ca="1">IFERROR(__xludf.DUMMYFUNCTION("""COMPUTED_VALUE"""),"REA-U7478")</f>
        <v>REA-U7478</v>
      </c>
    </row>
    <row r="2988" spans="1:5" x14ac:dyDescent="0.2">
      <c r="A2988" s="22">
        <f ca="1">IFERROR(__xludf.DUMMYFUNCTION("""COMPUTED_VALUE"""),44559)</f>
        <v>44559</v>
      </c>
      <c r="B2988" s="23" t="str">
        <f ca="1">IFERROR(__xludf.DUMMYFUNCTION("""COMPUTED_VALUE"""),"UMYWALKA ROMA MARBLE BLACK MAT - NABLATOWA")</f>
        <v>UMYWALKA ROMA MARBLE BLACK MAT - NABLATOWA</v>
      </c>
      <c r="C2988" s="23"/>
      <c r="D2988" s="24">
        <f ca="1">IFERROR(__xludf.DUMMYFUNCTION("""COMPUTED_VALUE"""),415)</f>
        <v>415</v>
      </c>
      <c r="E2988" s="25" t="str">
        <f ca="1">IFERROR(__xludf.DUMMYFUNCTION("""COMPUTED_VALUE"""),"REA-U5609")</f>
        <v>REA-U5609</v>
      </c>
    </row>
    <row r="2989" spans="1:5" x14ac:dyDescent="0.2">
      <c r="A2989" s="22">
        <f ca="1">IFERROR(__xludf.DUMMYFUNCTION("""COMPUTED_VALUE"""),44559)</f>
        <v>44559</v>
      </c>
      <c r="B2989" s="23" t="str">
        <f ca="1">IFERROR(__xludf.DUMMYFUNCTION("""COMPUTED_VALUE"""),"UMYWALKA LINDA GRANIT - NABLATOWA")</f>
        <v>UMYWALKA LINDA GRANIT - NABLATOWA</v>
      </c>
      <c r="C2989" s="23"/>
      <c r="D2989" s="24">
        <f ca="1">IFERROR(__xludf.DUMMYFUNCTION("""COMPUTED_VALUE"""),349)</f>
        <v>349</v>
      </c>
      <c r="E2989" s="25" t="str">
        <f ca="1">IFERROR(__xludf.DUMMYFUNCTION("""COMPUTED_VALUE"""),"REA-U2514")</f>
        <v>REA-U2514</v>
      </c>
    </row>
    <row r="2990" spans="1:5" x14ac:dyDescent="0.2">
      <c r="A2990" s="22">
        <f ca="1">IFERROR(__xludf.DUMMYFUNCTION("""COMPUTED_VALUE"""),44559)</f>
        <v>44559</v>
      </c>
      <c r="B2990" s="23" t="str">
        <f ca="1">IFERROR(__xludf.DUMMYFUNCTION("""COMPUTED_VALUE"""),"UMYWALKA BLANKA MARBLE - WOLNOSTOJĄCA")</f>
        <v>UMYWALKA BLANKA MARBLE - WOLNOSTOJĄCA</v>
      </c>
      <c r="C2990" s="23"/>
      <c r="D2990" s="24">
        <f ca="1">IFERROR(__xludf.DUMMYFUNCTION("""COMPUTED_VALUE"""),1599)</f>
        <v>1599</v>
      </c>
      <c r="E2990" s="25" t="str">
        <f ca="1">IFERROR(__xludf.DUMMYFUNCTION("""COMPUTED_VALUE"""),"REA-U8704")</f>
        <v>REA-U8704</v>
      </c>
    </row>
    <row r="2991" spans="1:5" x14ac:dyDescent="0.2">
      <c r="A2991" s="22">
        <f ca="1">IFERROR(__xludf.DUMMYFUNCTION("""COMPUTED_VALUE"""),44559)</f>
        <v>44559</v>
      </c>
      <c r="B2991" s="23" t="str">
        <f ca="1">IFERROR(__xludf.DUMMYFUNCTION("""COMPUTED_VALUE"""),"UMYWALKA BELINDA MARBLE MATT - NABLATOWA")</f>
        <v>UMYWALKA BELINDA MARBLE MATT - NABLATOWA</v>
      </c>
      <c r="C2991" s="23"/>
      <c r="D2991" s="24">
        <f ca="1">IFERROR(__xludf.DUMMYFUNCTION("""COMPUTED_VALUE"""),339)</f>
        <v>339</v>
      </c>
      <c r="E2991" s="25" t="str">
        <f ca="1">IFERROR(__xludf.DUMMYFUNCTION("""COMPUTED_VALUE"""),"REA-U8702")</f>
        <v>REA-U8702</v>
      </c>
    </row>
    <row r="2992" spans="1:5" x14ac:dyDescent="0.2">
      <c r="A2992" s="22">
        <f ca="1">IFERROR(__xludf.DUMMYFUNCTION("""COMPUTED_VALUE"""),44559)</f>
        <v>44559</v>
      </c>
      <c r="B2992" s="23" t="str">
        <f ca="1">IFERROR(__xludf.DUMMYFUNCTION("""COMPUTED_VALUE"""),"UMYWALKA BERTA 48 -NABLATOWA")</f>
        <v>UMYWALKA BERTA 48 -NABLATOWA</v>
      </c>
      <c r="C2992" s="23"/>
      <c r="D2992" s="24">
        <f ca="1">IFERROR(__xludf.DUMMYFUNCTION("""COMPUTED_VALUE"""),279)</f>
        <v>279</v>
      </c>
      <c r="E2992" s="25" t="str">
        <f ca="1">IFERROR(__xludf.DUMMYFUNCTION("""COMPUTED_VALUE"""),"REA-U5098")</f>
        <v>REA-U5098</v>
      </c>
    </row>
    <row r="2993" spans="1:5" x14ac:dyDescent="0.2">
      <c r="A2993" s="22">
        <f ca="1">IFERROR(__xludf.DUMMYFUNCTION("""COMPUTED_VALUE"""),44559)</f>
        <v>44559</v>
      </c>
      <c r="B2993" s="23" t="str">
        <f ca="1">IFERROR(__xludf.DUMMYFUNCTION("""COMPUTED_VALUE"""),"UMYWALKA CLAUDIA- NABLATOWA")</f>
        <v>UMYWALKA CLAUDIA- NABLATOWA</v>
      </c>
      <c r="C2993" s="23"/>
      <c r="D2993" s="24">
        <f ca="1">IFERROR(__xludf.DUMMYFUNCTION("""COMPUTED_VALUE"""),279)</f>
        <v>279</v>
      </c>
      <c r="E2993" s="25" t="str">
        <f ca="1">IFERROR(__xludf.DUMMYFUNCTION("""COMPUTED_VALUE"""),"REA-U6644")</f>
        <v>REA-U6644</v>
      </c>
    </row>
    <row r="2994" spans="1:5" x14ac:dyDescent="0.2">
      <c r="A2994" s="22">
        <f ca="1">IFERROR(__xludf.DUMMYFUNCTION("""COMPUTED_VALUE"""),44559)</f>
        <v>44559</v>
      </c>
      <c r="B2994" s="23" t="str">
        <f ca="1">IFERROR(__xludf.DUMMYFUNCTION("""COMPUTED_VALUE"""),"UMYWALKA FREJA BEIGE - NABLATOWA")</f>
        <v>UMYWALKA FREJA BEIGE - NABLATOWA</v>
      </c>
      <c r="C2994" s="23"/>
      <c r="D2994" s="24">
        <f ca="1">IFERROR(__xludf.DUMMYFUNCTION("""COMPUTED_VALUE"""),439)</f>
        <v>439</v>
      </c>
      <c r="E2994" s="25" t="str">
        <f ca="1">IFERROR(__xludf.DUMMYFUNCTION("""COMPUTED_VALUE"""),"REA-U6647")</f>
        <v>REA-U6647</v>
      </c>
    </row>
    <row r="2995" spans="1:5" x14ac:dyDescent="0.2">
      <c r="A2995" s="22">
        <f ca="1">IFERROR(__xludf.DUMMYFUNCTION("""COMPUTED_VALUE"""),44559)</f>
        <v>44559</v>
      </c>
      <c r="B2995" s="23" t="str">
        <f ca="1">IFERROR(__xludf.DUMMYFUNCTION("""COMPUTED_VALUE"""),"UMYWALKA FREJA GREY - NABLATOWA")</f>
        <v>UMYWALKA FREJA GREY - NABLATOWA</v>
      </c>
      <c r="C2995" s="23"/>
      <c r="D2995" s="24">
        <f ca="1">IFERROR(__xludf.DUMMYFUNCTION("""COMPUTED_VALUE"""),439)</f>
        <v>439</v>
      </c>
      <c r="E2995" s="25" t="str">
        <f ca="1">IFERROR(__xludf.DUMMYFUNCTION("""COMPUTED_VALUE"""),"REA-U6648")</f>
        <v>REA-U6648</v>
      </c>
    </row>
    <row r="2996" spans="1:5" x14ac:dyDescent="0.2">
      <c r="A2996" s="22">
        <f ca="1">IFERROR(__xludf.DUMMYFUNCTION("""COMPUTED_VALUE"""),44553)</f>
        <v>44553</v>
      </c>
      <c r="B2996" s="23" t="str">
        <f ca="1">IFERROR(__xludf.DUMMYFUNCTION("""COMPUTED_VALUE"""),"KOREK KLIK-KLAK UNIWERSALNY CHROME")</f>
        <v>KOREK KLIK-KLAK UNIWERSALNY CHROME</v>
      </c>
      <c r="C2996" s="23"/>
      <c r="D2996" s="24">
        <f ca="1">IFERROR(__xludf.DUMMYFUNCTION("""COMPUTED_VALUE"""),69)</f>
        <v>69</v>
      </c>
      <c r="E2996" s="25" t="str">
        <f ca="1">IFERROR(__xludf.DUMMYFUNCTION("""COMPUTED_VALUE"""),"REA-A5217")</f>
        <v>REA-A5217</v>
      </c>
    </row>
    <row r="2997" spans="1:5" x14ac:dyDescent="0.2">
      <c r="A2997" s="22">
        <f ca="1">IFERROR(__xludf.DUMMYFUNCTION("""COMPUTED_VALUE"""),44553)</f>
        <v>44553</v>
      </c>
      <c r="B2997" s="23" t="str">
        <f ca="1">IFERROR(__xludf.DUMMYFUNCTION("""COMPUTED_VALUE"""),"SYFON KLIK-KLAK UNIWERSALNY OLD BLACK")</f>
        <v>SYFON KLIK-KLAK UNIWERSALNY OLD BLACK</v>
      </c>
      <c r="C2997" s="23"/>
      <c r="D2997" s="24">
        <f ca="1">IFERROR(__xludf.DUMMYFUNCTION("""COMPUTED_VALUE"""),279)</f>
        <v>279</v>
      </c>
      <c r="E2997" s="25" t="str">
        <f ca="1">IFERROR(__xludf.DUMMYFUNCTION("""COMPUTED_VALUE"""),"REA-A8536")</f>
        <v>REA-A8536</v>
      </c>
    </row>
    <row r="2998" spans="1:5" x14ac:dyDescent="0.2">
      <c r="A2998" s="22">
        <f ca="1">IFERROR(__xludf.DUMMYFUNCTION("""COMPUTED_VALUE"""),44553)</f>
        <v>44553</v>
      </c>
      <c r="B2998" s="23" t="str">
        <f ca="1">IFERROR(__xludf.DUMMYFUNCTION("""COMPUTED_VALUE"""),"SYFON KLIK-KLAK UNIWERSALNY L.GOLD")</f>
        <v>SYFON KLIK-KLAK UNIWERSALNY L.GOLD</v>
      </c>
      <c r="C2998" s="23"/>
      <c r="D2998" s="24">
        <f ca="1">IFERROR(__xludf.DUMMYFUNCTION("""COMPUTED_VALUE"""),279)</f>
        <v>279</v>
      </c>
      <c r="E2998" s="25" t="str">
        <f ca="1">IFERROR(__xludf.DUMMYFUNCTION("""COMPUTED_VALUE"""),"REA-A5692")</f>
        <v>REA-A5692</v>
      </c>
    </row>
    <row r="2999" spans="1:5" x14ac:dyDescent="0.2">
      <c r="A2999" s="22">
        <f ca="1">IFERROR(__xludf.DUMMYFUNCTION("""COMPUTED_VALUE"""),44553)</f>
        <v>44553</v>
      </c>
      <c r="B2999" s="23" t="str">
        <f ca="1">IFERROR(__xludf.DUMMYFUNCTION("""COMPUTED_VALUE"""),"BATERIA REA CLEVER BLACK")</f>
        <v>BATERIA REA CLEVER BLACK</v>
      </c>
      <c r="C2999" s="23"/>
      <c r="D2999" s="24">
        <f ca="1">IFERROR(__xludf.DUMMYFUNCTION("""COMPUTED_VALUE"""),149)</f>
        <v>149</v>
      </c>
      <c r="E2999" s="25" t="str">
        <f ca="1">IFERROR(__xludf.DUMMYFUNCTION("""COMPUTED_VALUE"""),"REA-B5698")</f>
        <v>REA-B5698</v>
      </c>
    </row>
    <row r="3000" spans="1:5" x14ac:dyDescent="0.2">
      <c r="A3000" s="22">
        <f ca="1">IFERROR(__xludf.DUMMYFUNCTION("""COMPUTED_VALUE"""),44553)</f>
        <v>44553</v>
      </c>
      <c r="B3000" s="23" t="str">
        <f ca="1">IFERROR(__xludf.DUMMYFUNCTION("""COMPUTED_VALUE"""),"BATERIA REA CLEVER BLACK GOLD")</f>
        <v>BATERIA REA CLEVER BLACK GOLD</v>
      </c>
      <c r="C3000" s="23"/>
      <c r="D3000" s="24">
        <f ca="1">IFERROR(__xludf.DUMMYFUNCTION("""COMPUTED_VALUE"""),199)</f>
        <v>199</v>
      </c>
      <c r="E3000" s="25" t="str">
        <f ca="1">IFERROR(__xludf.DUMMYFUNCTION("""COMPUTED_VALUE"""),"REA-B5219")</f>
        <v>REA-B5219</v>
      </c>
    </row>
    <row r="3001" spans="1:5" x14ac:dyDescent="0.2">
      <c r="A3001" s="22">
        <f ca="1">IFERROR(__xludf.DUMMYFUNCTION("""COMPUTED_VALUE"""),44553)</f>
        <v>44553</v>
      </c>
      <c r="B3001" s="23" t="str">
        <f ca="1">IFERROR(__xludf.DUMMYFUNCTION("""COMPUTED_VALUE"""),"ZESTAW NATRYSKOWY VINCENT TERMOSTAT L.GOLD")</f>
        <v>ZESTAW NATRYSKOWY VINCENT TERMOSTAT L.GOLD</v>
      </c>
      <c r="C3001" s="23"/>
      <c r="D3001" s="24">
        <f ca="1">IFERROR(__xludf.DUMMYFUNCTION("""COMPUTED_VALUE"""),999)</f>
        <v>999</v>
      </c>
      <c r="E3001" s="25" t="str">
        <f ca="1">IFERROR(__xludf.DUMMYFUNCTION("""COMPUTED_VALUE"""),"REA-P8005")</f>
        <v>REA-P8005</v>
      </c>
    </row>
    <row r="3002" spans="1:5" x14ac:dyDescent="0.2">
      <c r="A3002" s="22">
        <f ca="1">IFERROR(__xludf.DUMMYFUNCTION("""COMPUTED_VALUE"""),44553)</f>
        <v>44553</v>
      </c>
      <c r="B3002" s="23" t="str">
        <f ca="1">IFERROR(__xludf.DUMMYFUNCTION("""COMPUTED_VALUE"""),"BATERIA NISKA TESS L.GOLD")</f>
        <v>BATERIA NISKA TESS L.GOLD</v>
      </c>
      <c r="C3002" s="23"/>
      <c r="D3002" s="24">
        <f ca="1">IFERROR(__xludf.DUMMYFUNCTION("""COMPUTED_VALUE"""),279)</f>
        <v>279</v>
      </c>
      <c r="E3002" s="25" t="str">
        <f ca="1">IFERROR(__xludf.DUMMYFUNCTION("""COMPUTED_VALUE"""),"REA-B8865")</f>
        <v>REA-B8865</v>
      </c>
    </row>
    <row r="3003" spans="1:5" x14ac:dyDescent="0.2">
      <c r="A3003" s="22">
        <f ca="1">IFERROR(__xludf.DUMMYFUNCTION("""COMPUTED_VALUE"""),44553)</f>
        <v>44553</v>
      </c>
      <c r="B3003" s="23" t="str">
        <f ca="1">IFERROR(__xludf.DUMMYFUNCTION("""COMPUTED_VALUE"""),"BATERIA WYSOKA TESS BLACK")</f>
        <v>BATERIA WYSOKA TESS BLACK</v>
      </c>
      <c r="C3003" s="23"/>
      <c r="D3003" s="24">
        <f ca="1">IFERROR(__xludf.DUMMYFUNCTION("""COMPUTED_VALUE"""),279)</f>
        <v>279</v>
      </c>
      <c r="E3003" s="25" t="str">
        <f ca="1">IFERROR(__xludf.DUMMYFUNCTION("""COMPUTED_VALUE"""),"REA-B0229")</f>
        <v>REA-B0229</v>
      </c>
    </row>
    <row r="3004" spans="1:5" x14ac:dyDescent="0.2">
      <c r="A3004" s="22">
        <f ca="1">IFERROR(__xludf.DUMMYFUNCTION("""COMPUTED_VALUE"""),44553)</f>
        <v>44553</v>
      </c>
      <c r="B3004" s="23" t="str">
        <f ca="1">IFERROR(__xludf.DUMMYFUNCTION("""COMPUTED_VALUE"""),"UMYWALKA DARIA - WOLNOSTOJĄCA")</f>
        <v>UMYWALKA DARIA - WOLNOSTOJĄCA</v>
      </c>
      <c r="C3004" s="23"/>
      <c r="D3004" s="24">
        <f ca="1">IFERROR(__xludf.DUMMYFUNCTION("""COMPUTED_VALUE"""),999)</f>
        <v>999</v>
      </c>
      <c r="E3004" s="25" t="str">
        <f ca="1">IFERROR(__xludf.DUMMYFUNCTION("""COMPUTED_VALUE"""),"REA-U9900")</f>
        <v>REA-U9900</v>
      </c>
    </row>
    <row r="3005" spans="1:5" x14ac:dyDescent="0.2">
      <c r="A3005" s="22">
        <f ca="1">IFERROR(__xludf.DUMMYFUNCTION("""COMPUTED_VALUE"""),44553)</f>
        <v>44553</v>
      </c>
      <c r="B3005" s="23" t="str">
        <f ca="1">IFERROR(__xludf.DUMMYFUNCTION("""COMPUTED_VALUE"""),"UMYWALKA AGNES - WOLNOSTOJĄCA")</f>
        <v>UMYWALKA AGNES - WOLNOSTOJĄCA</v>
      </c>
      <c r="C3005" s="23"/>
      <c r="D3005" s="24">
        <f ca="1">IFERROR(__xludf.DUMMYFUNCTION("""COMPUTED_VALUE"""),999)</f>
        <v>999</v>
      </c>
      <c r="E3005" s="25" t="str">
        <f ca="1">IFERROR(__xludf.DUMMYFUNCTION("""COMPUTED_VALUE"""),"REA-U9906")</f>
        <v>REA-U9906</v>
      </c>
    </row>
    <row r="3006" spans="1:5" x14ac:dyDescent="0.2">
      <c r="A3006" s="22">
        <f ca="1">IFERROR(__xludf.DUMMYFUNCTION("""COMPUTED_VALUE"""),44546)</f>
        <v>44546</v>
      </c>
      <c r="B3006" s="23" t="str">
        <f ca="1">IFERROR(__xludf.DUMMYFUNCTION("""COMPUTED_VALUE"""),"DRZWI PRYSZNICOWE NIXON-2  120 L")</f>
        <v>DRZWI PRYSZNICOWE NIXON-2  120 L</v>
      </c>
      <c r="C3006" s="23"/>
      <c r="D3006" s="24">
        <f ca="1">IFERROR(__xludf.DUMMYFUNCTION("""COMPUTED_VALUE"""),1219)</f>
        <v>1219</v>
      </c>
      <c r="E3006" s="25" t="str">
        <f ca="1">IFERROR(__xludf.DUMMYFUNCTION("""COMPUTED_VALUE"""),"REA-K5002")</f>
        <v>REA-K5002</v>
      </c>
    </row>
    <row r="3007" spans="1:5" x14ac:dyDescent="0.2">
      <c r="A3007" s="22">
        <f ca="1">IFERROR(__xludf.DUMMYFUNCTION("""COMPUTED_VALUE"""),44546)</f>
        <v>44546</v>
      </c>
      <c r="B3007" s="23" t="str">
        <f ca="1">IFERROR(__xludf.DUMMYFUNCTION("""COMPUTED_VALUE"""),"DRZWI PRYSZNICOWE NIXON-2  120 P")</f>
        <v>DRZWI PRYSZNICOWE NIXON-2  120 P</v>
      </c>
      <c r="C3007" s="23"/>
      <c r="D3007" s="24">
        <f ca="1">IFERROR(__xludf.DUMMYFUNCTION("""COMPUTED_VALUE"""),1219)</f>
        <v>1219</v>
      </c>
      <c r="E3007" s="25" t="str">
        <f ca="1">IFERROR(__xludf.DUMMYFUNCTION("""COMPUTED_VALUE"""),"REA-K5003")</f>
        <v>REA-K5003</v>
      </c>
    </row>
    <row r="3008" spans="1:5" x14ac:dyDescent="0.2">
      <c r="A3008" s="22">
        <f ca="1">IFERROR(__xludf.DUMMYFUNCTION("""COMPUTED_VALUE"""),44546)</f>
        <v>44546</v>
      </c>
      <c r="B3008" s="23" t="str">
        <f ca="1">IFERROR(__xludf.DUMMYFUNCTION("""COMPUTED_VALUE"""),"DRZWI PRYSZNICOWE NIXON-2  130 L")</f>
        <v>DRZWI PRYSZNICOWE NIXON-2  130 L</v>
      </c>
      <c r="C3008" s="23"/>
      <c r="D3008" s="24">
        <f ca="1">IFERROR(__xludf.DUMMYFUNCTION("""COMPUTED_VALUE"""),1499)</f>
        <v>1499</v>
      </c>
      <c r="E3008" s="25" t="str">
        <f ca="1">IFERROR(__xludf.DUMMYFUNCTION("""COMPUTED_VALUE"""),"REA-K5004")</f>
        <v>REA-K5004</v>
      </c>
    </row>
    <row r="3009" spans="1:5" x14ac:dyDescent="0.2">
      <c r="A3009" s="22">
        <f ca="1">IFERROR(__xludf.DUMMYFUNCTION("""COMPUTED_VALUE"""),44546)</f>
        <v>44546</v>
      </c>
      <c r="B3009" s="23" t="str">
        <f ca="1">IFERROR(__xludf.DUMMYFUNCTION("""COMPUTED_VALUE"""),"DRZWI PRYSZNICOWE NIXON-2  130 P")</f>
        <v>DRZWI PRYSZNICOWE NIXON-2  130 P</v>
      </c>
      <c r="C3009" s="23"/>
      <c r="D3009" s="24">
        <f ca="1">IFERROR(__xludf.DUMMYFUNCTION("""COMPUTED_VALUE"""),1499)</f>
        <v>1499</v>
      </c>
      <c r="E3009" s="25" t="str">
        <f ca="1">IFERROR(__xludf.DUMMYFUNCTION("""COMPUTED_VALUE"""),"REA-K5005")</f>
        <v>REA-K5005</v>
      </c>
    </row>
    <row r="3010" spans="1:5" x14ac:dyDescent="0.2">
      <c r="A3010" s="22">
        <f ca="1">IFERROR(__xludf.DUMMYFUNCTION("""COMPUTED_VALUE"""),44546)</f>
        <v>44546</v>
      </c>
      <c r="B3010" s="23" t="str">
        <f ca="1">IFERROR(__xludf.DUMMYFUNCTION("""COMPUTED_VALUE"""),"DRZWI PRYSZNICOWE NIXON-2  140 L")</f>
        <v>DRZWI PRYSZNICOWE NIXON-2  140 L</v>
      </c>
      <c r="C3010" s="23"/>
      <c r="D3010" s="24">
        <f ca="1">IFERROR(__xludf.DUMMYFUNCTION("""COMPUTED_VALUE"""),1259)</f>
        <v>1259</v>
      </c>
      <c r="E3010" s="25" t="str">
        <f ca="1">IFERROR(__xludf.DUMMYFUNCTION("""COMPUTED_VALUE"""),"REA-K5006")</f>
        <v>REA-K5006</v>
      </c>
    </row>
    <row r="3011" spans="1:5" x14ac:dyDescent="0.2">
      <c r="A3011" s="22">
        <f ca="1">IFERROR(__xludf.DUMMYFUNCTION("""COMPUTED_VALUE"""),44546)</f>
        <v>44546</v>
      </c>
      <c r="B3011" s="23" t="str">
        <f ca="1">IFERROR(__xludf.DUMMYFUNCTION("""COMPUTED_VALUE"""),"DRZWI PRYSZNICOWE NIXON-2  140 P")</f>
        <v>DRZWI PRYSZNICOWE NIXON-2  140 P</v>
      </c>
      <c r="C3011" s="23"/>
      <c r="D3011" s="24">
        <f ca="1">IFERROR(__xludf.DUMMYFUNCTION("""COMPUTED_VALUE"""),1259)</f>
        <v>1259</v>
      </c>
      <c r="E3011" s="25" t="str">
        <f ca="1">IFERROR(__xludf.DUMMYFUNCTION("""COMPUTED_VALUE"""),"REA-K5007")</f>
        <v>REA-K5007</v>
      </c>
    </row>
    <row r="3012" spans="1:5" x14ac:dyDescent="0.2">
      <c r="A3012" s="22">
        <f ca="1">IFERROR(__xludf.DUMMYFUNCTION("""COMPUTED_VALUE"""),44546)</f>
        <v>44546</v>
      </c>
      <c r="B3012" s="23" t="str">
        <f ca="1">IFERROR(__xludf.DUMMYFUNCTION("""COMPUTED_VALUE"""),"DRZWI PRYSZNICOWE NIXON-2  150 L")</f>
        <v>DRZWI PRYSZNICOWE NIXON-2  150 L</v>
      </c>
      <c r="C3012" s="23"/>
      <c r="D3012" s="24">
        <f ca="1">IFERROR(__xludf.DUMMYFUNCTION("""COMPUTED_VALUE"""),1359)</f>
        <v>1359</v>
      </c>
      <c r="E3012" s="25" t="str">
        <f ca="1">IFERROR(__xludf.DUMMYFUNCTION("""COMPUTED_VALUE"""),"REA-K5008")</f>
        <v>REA-K5008</v>
      </c>
    </row>
    <row r="3013" spans="1:5" x14ac:dyDescent="0.2">
      <c r="A3013" s="22">
        <f ca="1">IFERROR(__xludf.DUMMYFUNCTION("""COMPUTED_VALUE"""),44546)</f>
        <v>44546</v>
      </c>
      <c r="B3013" s="23" t="str">
        <f ca="1">IFERROR(__xludf.DUMMYFUNCTION("""COMPUTED_VALUE"""),"DRZWI PRYSZNICOWE NIXON-2  150 P")</f>
        <v>DRZWI PRYSZNICOWE NIXON-2  150 P</v>
      </c>
      <c r="C3013" s="23"/>
      <c r="D3013" s="24">
        <f ca="1">IFERROR(__xludf.DUMMYFUNCTION("""COMPUTED_VALUE"""),1359)</f>
        <v>1359</v>
      </c>
      <c r="E3013" s="25" t="str">
        <f ca="1">IFERROR(__xludf.DUMMYFUNCTION("""COMPUTED_VALUE"""),"REA-K5009")</f>
        <v>REA-K5009</v>
      </c>
    </row>
    <row r="3014" spans="1:5" x14ac:dyDescent="0.2">
      <c r="A3014" s="22">
        <f ca="1">IFERROR(__xludf.DUMMYFUNCTION("""COMPUTED_VALUE"""),44546)</f>
        <v>44546</v>
      </c>
      <c r="B3014" s="23" t="str">
        <f ca="1">IFERROR(__xludf.DUMMYFUNCTION("""COMPUTED_VALUE"""),"DRZWI PRYSZNICOWE NIXON-2  100 P")</f>
        <v>DRZWI PRYSZNICOWE NIXON-2  100 P</v>
      </c>
      <c r="C3014" s="23"/>
      <c r="D3014" s="24">
        <f ca="1">IFERROR(__xludf.DUMMYFUNCTION("""COMPUTED_VALUE"""),1359)</f>
        <v>1359</v>
      </c>
      <c r="E3014" s="25" t="str">
        <f ca="1">IFERROR(__xludf.DUMMYFUNCTION("""COMPUTED_VALUE"""),"REA-K7440")</f>
        <v>REA-K7440</v>
      </c>
    </row>
    <row r="3015" spans="1:5" x14ac:dyDescent="0.2">
      <c r="A3015" s="22">
        <f ca="1">IFERROR(__xludf.DUMMYFUNCTION("""COMPUTED_VALUE"""),44546)</f>
        <v>44546</v>
      </c>
      <c r="B3015" s="23" t="str">
        <f ca="1">IFERROR(__xludf.DUMMYFUNCTION("""COMPUTED_VALUE"""),"DRZWI PRYSZNICOWE NIXON-2  100 L")</f>
        <v>DRZWI PRYSZNICOWE NIXON-2  100 L</v>
      </c>
      <c r="C3015" s="23"/>
      <c r="D3015" s="24">
        <f ca="1">IFERROR(__xludf.DUMMYFUNCTION("""COMPUTED_VALUE"""),1359)</f>
        <v>1359</v>
      </c>
      <c r="E3015" s="25" t="str">
        <f ca="1">IFERROR(__xludf.DUMMYFUNCTION("""COMPUTED_VALUE"""),"REA-K5012")</f>
        <v>REA-K5012</v>
      </c>
    </row>
    <row r="3016" spans="1:5" x14ac:dyDescent="0.2">
      <c r="A3016" s="22">
        <f ca="1">IFERROR(__xludf.DUMMYFUNCTION("""COMPUTED_VALUE"""),44546)</f>
        <v>44546</v>
      </c>
      <c r="B3016" s="23" t="str">
        <f ca="1">IFERROR(__xludf.DUMMYFUNCTION("""COMPUTED_VALUE"""),"ŚCIANKA DO KABINY NIXON-2  80")</f>
        <v>ŚCIANKA DO KABINY NIXON-2  80</v>
      </c>
      <c r="C3016" s="23"/>
      <c r="D3016" s="24">
        <f ca="1">IFERROR(__xludf.DUMMYFUNCTION("""COMPUTED_VALUE"""),580)</f>
        <v>580</v>
      </c>
      <c r="E3016" s="25" t="str">
        <f ca="1">IFERROR(__xludf.DUMMYFUNCTION("""COMPUTED_VALUE"""),"REA-K5010")</f>
        <v>REA-K5010</v>
      </c>
    </row>
    <row r="3017" spans="1:5" x14ac:dyDescent="0.2">
      <c r="A3017" s="22">
        <f ca="1">IFERROR(__xludf.DUMMYFUNCTION("""COMPUTED_VALUE"""),44546)</f>
        <v>44546</v>
      </c>
      <c r="B3017" s="23" t="str">
        <f ca="1">IFERROR(__xludf.DUMMYFUNCTION("""COMPUTED_VALUE"""),"ŚCIANKA DO KABINY NIXON-2  90")</f>
        <v>ŚCIANKA DO KABINY NIXON-2  90</v>
      </c>
      <c r="C3017" s="23"/>
      <c r="D3017" s="24">
        <f ca="1">IFERROR(__xludf.DUMMYFUNCTION("""COMPUTED_VALUE"""),650)</f>
        <v>650</v>
      </c>
      <c r="E3017" s="25" t="str">
        <f ca="1">IFERROR(__xludf.DUMMYFUNCTION("""COMPUTED_VALUE"""),"REA-K5011")</f>
        <v>REA-K5011</v>
      </c>
    </row>
    <row r="3018" spans="1:5" x14ac:dyDescent="0.2">
      <c r="A3018" s="22">
        <f ca="1">IFERROR(__xludf.DUMMYFUNCTION("""COMPUTED_VALUE"""),44546)</f>
        <v>44546</v>
      </c>
      <c r="B3018" s="23" t="str">
        <f ca="1">IFERROR(__xludf.DUMMYFUNCTION("""COMPUTED_VALUE"""),"ŚCIANKA DO KABINY NIXON-2  100")</f>
        <v>ŚCIANKA DO KABINY NIXON-2  100</v>
      </c>
      <c r="C3018" s="23"/>
      <c r="D3018" s="24">
        <f ca="1">IFERROR(__xludf.DUMMYFUNCTION("""COMPUTED_VALUE"""),800)</f>
        <v>800</v>
      </c>
      <c r="E3018" s="25" t="str">
        <f ca="1">IFERROR(__xludf.DUMMYFUNCTION("""COMPUTED_VALUE"""),"REA-K5014")</f>
        <v>REA-K5014</v>
      </c>
    </row>
    <row r="3019" spans="1:5" x14ac:dyDescent="0.2">
      <c r="A3019" s="22">
        <f ca="1">IFERROR(__xludf.DUMMYFUNCTION("""COMPUTED_VALUE"""),44546)</f>
        <v>44546</v>
      </c>
      <c r="B3019" s="23" t="str">
        <f ca="1">IFERROR(__xludf.DUMMYFUNCTION("""COMPUTED_VALUE"""),"DRZWI PRYSZNICOWE RAPID FOLD 80")</f>
        <v>DRZWI PRYSZNICOWE RAPID FOLD 80</v>
      </c>
      <c r="C3019" s="23"/>
      <c r="D3019" s="24">
        <f ca="1">IFERROR(__xludf.DUMMYFUNCTION("""COMPUTED_VALUE"""),869)</f>
        <v>869</v>
      </c>
      <c r="E3019" s="25" t="str">
        <f ca="1">IFERROR(__xludf.DUMMYFUNCTION("""COMPUTED_VALUE"""),"REA-K6418")</f>
        <v>REA-K6418</v>
      </c>
    </row>
    <row r="3020" spans="1:5" x14ac:dyDescent="0.2">
      <c r="A3020" s="22">
        <f ca="1">IFERROR(__xludf.DUMMYFUNCTION("""COMPUTED_VALUE"""),44546)</f>
        <v>44546</v>
      </c>
      <c r="B3020" s="23" t="str">
        <f ca="1">IFERROR(__xludf.DUMMYFUNCTION("""COMPUTED_VALUE"""),"DRZWI PRYSZNICOWE RAPID FOLD 90")</f>
        <v>DRZWI PRYSZNICOWE RAPID FOLD 90</v>
      </c>
      <c r="C3020" s="23"/>
      <c r="D3020" s="24">
        <f ca="1">IFERROR(__xludf.DUMMYFUNCTION("""COMPUTED_VALUE"""),899)</f>
        <v>899</v>
      </c>
      <c r="E3020" s="25" t="str">
        <f ca="1">IFERROR(__xludf.DUMMYFUNCTION("""COMPUTED_VALUE"""),"REA-K6419")</f>
        <v>REA-K6419</v>
      </c>
    </row>
    <row r="3021" spans="1:5" x14ac:dyDescent="0.2">
      <c r="A3021" s="22">
        <f ca="1">IFERROR(__xludf.DUMMYFUNCTION("""COMPUTED_VALUE"""),44546)</f>
        <v>44546</v>
      </c>
      <c r="B3021" s="23" t="str">
        <f ca="1">IFERROR(__xludf.DUMMYFUNCTION("""COMPUTED_VALUE"""),"DRZWI PRYSZNICOWE RAPID SWING 120")</f>
        <v>DRZWI PRYSZNICOWE RAPID SWING 120</v>
      </c>
      <c r="C3021" s="23"/>
      <c r="D3021" s="24">
        <f ca="1">IFERROR(__xludf.DUMMYFUNCTION("""COMPUTED_VALUE"""),999)</f>
        <v>999</v>
      </c>
      <c r="E3021" s="25" t="str">
        <f ca="1">IFERROR(__xludf.DUMMYFUNCTION("""COMPUTED_VALUE"""),"REA-K6413")</f>
        <v>REA-K6413</v>
      </c>
    </row>
    <row r="3022" spans="1:5" x14ac:dyDescent="0.2">
      <c r="A3022" s="22">
        <f ca="1">IFERROR(__xludf.DUMMYFUNCTION("""COMPUTED_VALUE"""),44546)</f>
        <v>44546</v>
      </c>
      <c r="B3022" s="23" t="str">
        <f ca="1">IFERROR(__xludf.DUMMYFUNCTION("""COMPUTED_VALUE"""),"KABINA DIAMOND L.GOLD 90X90")</f>
        <v>KABINA DIAMOND L.GOLD 90X90</v>
      </c>
      <c r="C3022" s="23"/>
      <c r="D3022" s="24">
        <f ca="1">IFERROR(__xludf.DUMMYFUNCTION("""COMPUTED_VALUE"""),1899)</f>
        <v>1899</v>
      </c>
      <c r="E3022" s="25" t="str">
        <f ca="1">IFERROR(__xludf.DUMMYFUNCTION("""COMPUTED_VALUE"""),"REA-K4904")</f>
        <v>REA-K4904</v>
      </c>
    </row>
    <row r="3023" spans="1:5" x14ac:dyDescent="0.2">
      <c r="A3023" s="22">
        <f ca="1">IFERROR(__xludf.DUMMYFUNCTION("""COMPUTED_VALUE"""),44546)</f>
        <v>44546</v>
      </c>
      <c r="B3023" s="23" t="str">
        <f ca="1">IFERROR(__xludf.DUMMYFUNCTION("""COMPUTED_VALUE"""),"UMYWALKA BELINDA DIAMOND WHITE/GOLD - NABLATOWA")</f>
        <v>UMYWALKA BELINDA DIAMOND WHITE/GOLD - NABLATOWA</v>
      </c>
      <c r="C3023" s="23"/>
      <c r="D3023" s="24">
        <f ca="1">IFERROR(__xludf.DUMMYFUNCTION("""COMPUTED_VALUE"""),399)</f>
        <v>399</v>
      </c>
      <c r="E3023" s="25" t="str">
        <f ca="1">IFERROR(__xludf.DUMMYFUNCTION("""COMPUTED_VALUE"""),"REA-U8471")</f>
        <v>REA-U8471</v>
      </c>
    </row>
    <row r="3024" spans="1:5" x14ac:dyDescent="0.2">
      <c r="A3024" s="22">
        <f ca="1">IFERROR(__xludf.DUMMYFUNCTION("""COMPUTED_VALUE"""),44546)</f>
        <v>44546</v>
      </c>
      <c r="B3024" s="23" t="str">
        <f ca="1">IFERROR(__xludf.DUMMYFUNCTION("""COMPUTED_VALUE"""),"UMYWALKA BELINDA WAVE WHITE/GOLD- NABLATOWA")</f>
        <v>UMYWALKA BELINDA WAVE WHITE/GOLD- NABLATOWA</v>
      </c>
      <c r="C3024" s="23"/>
      <c r="D3024" s="24">
        <f ca="1">IFERROR(__xludf.DUMMYFUNCTION("""COMPUTED_VALUE"""),399)</f>
        <v>399</v>
      </c>
      <c r="E3024" s="25" t="str">
        <f ca="1">IFERROR(__xludf.DUMMYFUNCTION("""COMPUTED_VALUE"""),"REA-U8472")</f>
        <v>REA-U8472</v>
      </c>
    </row>
    <row r="3025" spans="1:5" x14ac:dyDescent="0.2">
      <c r="A3025" s="22">
        <f ca="1">IFERROR(__xludf.DUMMYFUNCTION("""COMPUTED_VALUE"""),44546)</f>
        <v>44546</v>
      </c>
      <c r="B3025" s="23" t="str">
        <f ca="1">IFERROR(__xludf.DUMMYFUNCTION("""COMPUTED_VALUE"""),"UMYWALKA SOFIA BRUSH GOLD - NABLATOWA")</f>
        <v>UMYWALKA SOFIA BRUSH GOLD - NABLATOWA</v>
      </c>
      <c r="C3025" s="23"/>
      <c r="D3025" s="24">
        <f ca="1">IFERROR(__xludf.DUMMYFUNCTION("""COMPUTED_VALUE"""),399)</f>
        <v>399</v>
      </c>
      <c r="E3025" s="25" t="str">
        <f ca="1">IFERROR(__xludf.DUMMYFUNCTION("""COMPUTED_VALUE"""),"REA-U3697")</f>
        <v>REA-U3697</v>
      </c>
    </row>
    <row r="3026" spans="1:5" x14ac:dyDescent="0.2">
      <c r="A3026" s="22">
        <f ca="1">IFERROR(__xludf.DUMMYFUNCTION("""COMPUTED_VALUE"""),44546)</f>
        <v>44546</v>
      </c>
      <c r="B3026" s="23" t="str">
        <f ca="1">IFERROR(__xludf.DUMMYFUNCTION("""COMPUTED_VALUE"""),"UMYWALKA SAMI GOLD WHITE - NABLATOWA")</f>
        <v>UMYWALKA SAMI GOLD WHITE - NABLATOWA</v>
      </c>
      <c r="C3026" s="23"/>
      <c r="D3026" s="24">
        <f ca="1">IFERROR(__xludf.DUMMYFUNCTION("""COMPUTED_VALUE"""),499)</f>
        <v>499</v>
      </c>
      <c r="E3026" s="25" t="str">
        <f ca="1">IFERROR(__xludf.DUMMYFUNCTION("""COMPUTED_VALUE"""),"REA-U1801")</f>
        <v>REA-U1801</v>
      </c>
    </row>
    <row r="3027" spans="1:5" x14ac:dyDescent="0.2">
      <c r="A3027" s="22">
        <f ca="1">IFERROR(__xludf.DUMMYFUNCTION("""COMPUTED_VALUE"""),44546)</f>
        <v>44546</v>
      </c>
      <c r="B3027" s="23" t="str">
        <f ca="1">IFERROR(__xludf.DUMMYFUNCTION("""COMPUTED_VALUE"""),"UMYWALKA DAFNE 75 - WPUSZCZANA")</f>
        <v>UMYWALKA DAFNE 75 - WPUSZCZANA</v>
      </c>
      <c r="C3027" s="23"/>
      <c r="D3027" s="24">
        <f ca="1">IFERROR(__xludf.DUMMYFUNCTION("""COMPUTED_VALUE"""),329)</f>
        <v>329</v>
      </c>
      <c r="E3027" s="25" t="str">
        <f ca="1">IFERROR(__xludf.DUMMYFUNCTION("""COMPUTED_VALUE"""),"REA-U0040")</f>
        <v>REA-U0040</v>
      </c>
    </row>
    <row r="3028" spans="1:5" x14ac:dyDescent="0.2">
      <c r="A3028" s="22">
        <f ca="1">IFERROR(__xludf.DUMMYFUNCTION("""COMPUTED_VALUE"""),44546)</f>
        <v>44546</v>
      </c>
      <c r="B3028" s="23" t="str">
        <f ca="1">IFERROR(__xludf.DUMMYFUNCTION("""COMPUTED_VALUE"""),"UMYWALKA DAFNE 60 - WPUSZCZANA")</f>
        <v>UMYWALKA DAFNE 60 - WPUSZCZANA</v>
      </c>
      <c r="C3028" s="23"/>
      <c r="D3028" s="24">
        <f ca="1">IFERROR(__xludf.DUMMYFUNCTION("""COMPUTED_VALUE"""),289)</f>
        <v>289</v>
      </c>
      <c r="E3028" s="25" t="str">
        <f ca="1">IFERROR(__xludf.DUMMYFUNCTION("""COMPUTED_VALUE"""),"REA-U0786")</f>
        <v>REA-U0786</v>
      </c>
    </row>
    <row r="3029" spans="1:5" x14ac:dyDescent="0.2">
      <c r="A3029" s="22">
        <f ca="1">IFERROR(__xludf.DUMMYFUNCTION("""COMPUTED_VALUE"""),44546)</f>
        <v>44546</v>
      </c>
      <c r="B3029" s="23" t="str">
        <f ca="1">IFERROR(__xludf.DUMMYFUNCTION("""COMPUTED_VALUE"""),"UMYWALKA DAFNE 70 - WPUSZCZANA")</f>
        <v>UMYWALKA DAFNE 70 - WPUSZCZANA</v>
      </c>
      <c r="C3029" s="23"/>
      <c r="D3029" s="24">
        <f ca="1">IFERROR(__xludf.DUMMYFUNCTION("""COMPUTED_VALUE"""),299)</f>
        <v>299</v>
      </c>
      <c r="E3029" s="25" t="str">
        <f ca="1">IFERROR(__xludf.DUMMYFUNCTION("""COMPUTED_VALUE"""),"REA-U0190")</f>
        <v>REA-U0190</v>
      </c>
    </row>
    <row r="3030" spans="1:5" x14ac:dyDescent="0.2">
      <c r="A3030" s="22">
        <f ca="1">IFERROR(__xludf.DUMMYFUNCTION("""COMPUTED_VALUE"""),44546)</f>
        <v>44546</v>
      </c>
      <c r="B3030" s="23" t="str">
        <f ca="1">IFERROR(__xludf.DUMMYFUNCTION("""COMPUTED_VALUE"""),"UMYWALKA OLGA - NABLATOWA")</f>
        <v>UMYWALKA OLGA - NABLATOWA</v>
      </c>
      <c r="C3030" s="23"/>
      <c r="D3030" s="24">
        <f ca="1">IFERROR(__xludf.DUMMYFUNCTION("""COMPUTED_VALUE"""),299)</f>
        <v>299</v>
      </c>
      <c r="E3030" s="25" t="str">
        <f ca="1">IFERROR(__xludf.DUMMYFUNCTION("""COMPUTED_VALUE"""),"REA-U1060")</f>
        <v>REA-U1060</v>
      </c>
    </row>
    <row r="3031" spans="1:5" x14ac:dyDescent="0.2">
      <c r="A3031" s="22">
        <f ca="1">IFERROR(__xludf.DUMMYFUNCTION("""COMPUTED_VALUE"""),44546)</f>
        <v>44546</v>
      </c>
      <c r="B3031" s="23" t="str">
        <f ca="1">IFERROR(__xludf.DUMMYFUNCTION("""COMPUTED_VALUE"""),"UMYWALKA IDA SLIM ROSE/GOLD - NABLATOWA")</f>
        <v>UMYWALKA IDA SLIM ROSE/GOLD - NABLATOWA</v>
      </c>
      <c r="C3031" s="23"/>
      <c r="D3031" s="24">
        <f ca="1">IFERROR(__xludf.DUMMYFUNCTION("""COMPUTED_VALUE"""),519)</f>
        <v>519</v>
      </c>
      <c r="E3031" s="25" t="str">
        <f ca="1">IFERROR(__xludf.DUMMYFUNCTION("""COMPUTED_VALUE"""),"REA-U7401")</f>
        <v>REA-U7401</v>
      </c>
    </row>
    <row r="3032" spans="1:5" x14ac:dyDescent="0.2">
      <c r="A3032" s="22">
        <f ca="1">IFERROR(__xludf.DUMMYFUNCTION("""COMPUTED_VALUE"""),44546)</f>
        <v>44546</v>
      </c>
      <c r="B3032" s="23" t="str">
        <f ca="1">IFERROR(__xludf.DUMMYFUNCTION("""COMPUTED_VALUE"""),"UMYWALKA IDA SLIM - NABLATOWA")</f>
        <v>UMYWALKA IDA SLIM - NABLATOWA</v>
      </c>
      <c r="C3032" s="23"/>
      <c r="D3032" s="24">
        <f ca="1">IFERROR(__xludf.DUMMYFUNCTION("""COMPUTED_VALUE"""),219)</f>
        <v>219</v>
      </c>
      <c r="E3032" s="25" t="str">
        <f ca="1">IFERROR(__xludf.DUMMYFUNCTION("""COMPUTED_VALUE"""),"REA-U7400")</f>
        <v>REA-U7400</v>
      </c>
    </row>
    <row r="3033" spans="1:5" x14ac:dyDescent="0.2">
      <c r="A3033" s="22">
        <f ca="1">IFERROR(__xludf.DUMMYFUNCTION("""COMPUTED_VALUE"""),44546)</f>
        <v>44546</v>
      </c>
      <c r="B3033" s="23" t="str">
        <f ca="1">IFERROR(__xludf.DUMMYFUNCTION("""COMPUTED_VALUE"""),"#N/A")</f>
        <v>#N/A</v>
      </c>
      <c r="C3033" s="23"/>
      <c r="D3033" s="24" t="str">
        <f ca="1">IFERROR(__xludf.DUMMYFUNCTION("""COMPUTED_VALUE"""),"#N/A")</f>
        <v>#N/A</v>
      </c>
      <c r="E3033" s="25" t="str">
        <f ca="1">IFERROR(__xludf.DUMMYFUNCTION("""COMPUTED_VALUE"""),"REA-U6523")</f>
        <v>REA-U6523</v>
      </c>
    </row>
    <row r="3034" spans="1:5" x14ac:dyDescent="0.2">
      <c r="A3034" s="22">
        <f ca="1">IFERROR(__xludf.DUMMYFUNCTION("""COMPUTED_VALUE"""),44546)</f>
        <v>44546</v>
      </c>
      <c r="B3034" s="23" t="str">
        <f ca="1">IFERROR(__xludf.DUMMYFUNCTION("""COMPUTED_VALUE"""),"UMYWALKA TANGO WHITE - NABLATOWA")</f>
        <v>UMYWALKA TANGO WHITE - NABLATOWA</v>
      </c>
      <c r="C3034" s="23"/>
      <c r="D3034" s="24">
        <f ca="1">IFERROR(__xludf.DUMMYFUNCTION("""COMPUTED_VALUE"""),299)</f>
        <v>299</v>
      </c>
      <c r="E3034" s="25" t="str">
        <f ca="1">IFERROR(__xludf.DUMMYFUNCTION("""COMPUTED_VALUE"""),"REA-U5610")</f>
        <v>REA-U5610</v>
      </c>
    </row>
    <row r="3035" spans="1:5" x14ac:dyDescent="0.2">
      <c r="A3035" s="22">
        <f ca="1">IFERROR(__xludf.DUMMYFUNCTION("""COMPUTED_VALUE"""),44546)</f>
        <v>44546</v>
      </c>
      <c r="B3035" s="23" t="str">
        <f ca="1">IFERROR(__xludf.DUMMYFUNCTION("""COMPUTED_VALUE"""),"UMYWALKA VEGAS MARBLE BLACK SHINY-NABLATOWA")</f>
        <v>UMYWALKA VEGAS MARBLE BLACK SHINY-NABLATOWA</v>
      </c>
      <c r="C3035" s="23"/>
      <c r="D3035" s="24">
        <f ca="1">IFERROR(__xludf.DUMMYFUNCTION("""COMPUTED_VALUE"""),259)</f>
        <v>259</v>
      </c>
      <c r="E3035" s="25" t="str">
        <f ca="1">IFERROR(__xludf.DUMMYFUNCTION("""COMPUTED_VALUE"""),"REA-U5603")</f>
        <v>REA-U5603</v>
      </c>
    </row>
    <row r="3036" spans="1:5" x14ac:dyDescent="0.2">
      <c r="A3036" s="22">
        <f ca="1">IFERROR(__xludf.DUMMYFUNCTION("""COMPUTED_VALUE"""),44546)</f>
        <v>44546</v>
      </c>
      <c r="B3036" s="23" t="str">
        <f ca="1">IFERROR(__xludf.DUMMYFUNCTION("""COMPUTED_VALUE"""),"UMYWALKA SOFIA MARBLE BLACK SHINY-NABLATOWA")</f>
        <v>UMYWALKA SOFIA MARBLE BLACK SHINY-NABLATOWA</v>
      </c>
      <c r="C3036" s="23"/>
      <c r="D3036" s="24">
        <f ca="1">IFERROR(__xludf.DUMMYFUNCTION("""COMPUTED_VALUE"""),329)</f>
        <v>329</v>
      </c>
      <c r="E3036" s="25" t="str">
        <f ca="1">IFERROR(__xludf.DUMMYFUNCTION("""COMPUTED_VALUE"""),"REA-U5611")</f>
        <v>REA-U5611</v>
      </c>
    </row>
    <row r="3037" spans="1:5" x14ac:dyDescent="0.2">
      <c r="A3037" s="22">
        <f ca="1">IFERROR(__xludf.DUMMYFUNCTION("""COMPUTED_VALUE"""),44546)</f>
        <v>44546</v>
      </c>
      <c r="B3037" s="23" t="str">
        <f ca="1">IFERROR(__xludf.DUMMYFUNCTION("""COMPUTED_VALUE"""),"UMYWALKA ROYAL 60 GRANIT MATT - NABLATOWA")</f>
        <v>UMYWALKA ROYAL 60 GRANIT MATT - NABLATOWA</v>
      </c>
      <c r="C3037" s="23"/>
      <c r="D3037" s="24">
        <f ca="1">IFERROR(__xludf.DUMMYFUNCTION("""COMPUTED_VALUE"""),419)</f>
        <v>419</v>
      </c>
      <c r="E3037" s="25" t="str">
        <f ca="1">IFERROR(__xludf.DUMMYFUNCTION("""COMPUTED_VALUE"""),"REA-U8742")</f>
        <v>REA-U8742</v>
      </c>
    </row>
    <row r="3038" spans="1:5" x14ac:dyDescent="0.2">
      <c r="A3038" s="22">
        <f ca="1">IFERROR(__xludf.DUMMYFUNCTION("""COMPUTED_VALUE"""),44546)</f>
        <v>44546</v>
      </c>
      <c r="B3038" s="23" t="str">
        <f ca="1">IFERROR(__xludf.DUMMYFUNCTION("""COMPUTED_VALUE"""),"UMYWALKA BLANKA - WOLNOSTOJĄCA")</f>
        <v>UMYWALKA BLANKA - WOLNOSTOJĄCA</v>
      </c>
      <c r="C3038" s="23"/>
      <c r="D3038" s="24">
        <f ca="1">IFERROR(__xludf.DUMMYFUNCTION("""COMPUTED_VALUE"""),999)</f>
        <v>999</v>
      </c>
      <c r="E3038" s="25" t="str">
        <f ca="1">IFERROR(__xludf.DUMMYFUNCTION("""COMPUTED_VALUE"""),"REA-U5635")</f>
        <v>REA-U5635</v>
      </c>
    </row>
    <row r="3039" spans="1:5" x14ac:dyDescent="0.2">
      <c r="A3039" s="22">
        <f ca="1">IFERROR(__xludf.DUMMYFUNCTION("""COMPUTED_VALUE"""),44546)</f>
        <v>44546</v>
      </c>
      <c r="B3039" s="23" t="str">
        <f ca="1">IFERROR(__xludf.DUMMYFUNCTION("""COMPUTED_VALUE"""),"UMYWALKA ARLETA - WPUSZCZANA")</f>
        <v>UMYWALKA ARLETA - WPUSZCZANA</v>
      </c>
      <c r="C3039" s="23"/>
      <c r="D3039" s="24">
        <f ca="1">IFERROR(__xludf.DUMMYFUNCTION("""COMPUTED_VALUE"""),279)</f>
        <v>279</v>
      </c>
      <c r="E3039" s="25" t="str">
        <f ca="1">IFERROR(__xludf.DUMMYFUNCTION("""COMPUTED_VALUE"""),"REA-U8700")</f>
        <v>REA-U8700</v>
      </c>
    </row>
    <row r="3040" spans="1:5" x14ac:dyDescent="0.2">
      <c r="A3040" s="22">
        <f ca="1">IFERROR(__xludf.DUMMYFUNCTION("""COMPUTED_VALUE"""),44546)</f>
        <v>44546</v>
      </c>
      <c r="B3040" s="23" t="str">
        <f ca="1">IFERROR(__xludf.DUMMYFUNCTION("""COMPUTED_VALUE"""),"WC - CARLO MINI RIMLESS BASIC/ABS/ZM")</f>
        <v>WC - CARLO MINI RIMLESS BASIC/ABS/ZM</v>
      </c>
      <c r="C3040" s="23"/>
      <c r="D3040" s="24">
        <f ca="1">IFERROR(__xludf.DUMMYFUNCTION("""COMPUTED_VALUE"""),619)</f>
        <v>619</v>
      </c>
      <c r="E3040" s="25" t="str">
        <f ca="1">IFERROR(__xludf.DUMMYFUNCTION("""COMPUTED_VALUE"""),"REA-C6200")</f>
        <v>REA-C6200</v>
      </c>
    </row>
    <row r="3041" spans="1:5" x14ac:dyDescent="0.2">
      <c r="A3041" s="22">
        <f ca="1">IFERROR(__xludf.DUMMYFUNCTION("""COMPUTED_VALUE"""),44546)</f>
        <v>44546</v>
      </c>
      <c r="B3041" s="23" t="str">
        <f ca="1">IFERROR(__xludf.DUMMYFUNCTION("""COMPUTED_VALUE"""),"ZESTAW NATRYSKOWY ALDI BLACK")</f>
        <v>ZESTAW NATRYSKOWY ALDI BLACK</v>
      </c>
      <c r="C3041" s="23"/>
      <c r="D3041" s="24">
        <f ca="1">IFERROR(__xludf.DUMMYFUNCTION("""COMPUTED_VALUE"""),649)</f>
        <v>649</v>
      </c>
      <c r="E3041" s="25" t="str">
        <f ca="1">IFERROR(__xludf.DUMMYFUNCTION("""COMPUTED_VALUE"""),"REA-P8800")</f>
        <v>REA-P8800</v>
      </c>
    </row>
    <row r="3042" spans="1:5" x14ac:dyDescent="0.2">
      <c r="A3042" s="22">
        <f ca="1">IFERROR(__xludf.DUMMYFUNCTION("""COMPUTED_VALUE"""),44546)</f>
        <v>44546</v>
      </c>
      <c r="B3042" s="23" t="str">
        <f ca="1">IFERROR(__xludf.DUMMYFUNCTION("""COMPUTED_VALUE"""),"ZESTAW NATRYSKOWY ALDI CHROME")</f>
        <v>ZESTAW NATRYSKOWY ALDI CHROME</v>
      </c>
      <c r="C3042" s="23"/>
      <c r="D3042" s="24">
        <f ca="1">IFERROR(__xludf.DUMMYFUNCTION("""COMPUTED_VALUE"""),619)</f>
        <v>619</v>
      </c>
      <c r="E3042" s="25" t="str">
        <f ca="1">IFERROR(__xludf.DUMMYFUNCTION("""COMPUTED_VALUE"""),"REA-P8801")</f>
        <v>REA-P8801</v>
      </c>
    </row>
    <row r="3043" spans="1:5" x14ac:dyDescent="0.2">
      <c r="A3043" s="22">
        <f ca="1">IFERROR(__xludf.DUMMYFUNCTION("""COMPUTED_VALUE"""),44546)</f>
        <v>44546</v>
      </c>
      <c r="B3043" s="23" t="str">
        <f ca="1">IFERROR(__xludf.DUMMYFUNCTION("""COMPUTED_VALUE"""),"ZESTAW NATRYSKOWY ALDI GOLD")</f>
        <v>ZESTAW NATRYSKOWY ALDI GOLD</v>
      </c>
      <c r="C3043" s="23"/>
      <c r="D3043" s="24">
        <f ca="1">IFERROR(__xludf.DUMMYFUNCTION("""COMPUTED_VALUE"""),799)</f>
        <v>799</v>
      </c>
      <c r="E3043" s="25" t="str">
        <f ca="1">IFERROR(__xludf.DUMMYFUNCTION("""COMPUTED_VALUE"""),"REA-P8802")</f>
        <v>REA-P8802</v>
      </c>
    </row>
    <row r="3044" spans="1:5" x14ac:dyDescent="0.2">
      <c r="A3044" s="22">
        <f ca="1">IFERROR(__xludf.DUMMYFUNCTION("""COMPUTED_VALUE"""),44546)</f>
        <v>44546</v>
      </c>
      <c r="B3044" s="23" t="str">
        <f ca="1">IFERROR(__xludf.DUMMYFUNCTION("""COMPUTED_VALUE"""),"ZESTAW NATRYSKOWY BLISS GOLD")</f>
        <v>ZESTAW NATRYSKOWY BLISS GOLD</v>
      </c>
      <c r="C3044" s="23"/>
      <c r="D3044" s="24">
        <f ca="1">IFERROR(__xludf.DUMMYFUNCTION("""COMPUTED_VALUE"""),799)</f>
        <v>799</v>
      </c>
      <c r="E3044" s="25" t="str">
        <f ca="1">IFERROR(__xludf.DUMMYFUNCTION("""COMPUTED_VALUE"""),"REA-P8806")</f>
        <v>REA-P8806</v>
      </c>
    </row>
    <row r="3045" spans="1:5" x14ac:dyDescent="0.2">
      <c r="A3045" s="22">
        <f ca="1">IFERROR(__xludf.DUMMYFUNCTION("""COMPUTED_VALUE"""),44546)</f>
        <v>44546</v>
      </c>
      <c r="B3045" s="23" t="str">
        <f ca="1">IFERROR(__xludf.DUMMYFUNCTION("""COMPUTED_VALUE"""),"ZESTAW NATRYSKOWY BLISS BLACK")</f>
        <v>ZESTAW NATRYSKOWY BLISS BLACK</v>
      </c>
      <c r="C3045" s="23"/>
      <c r="D3045" s="24">
        <f ca="1">IFERROR(__xludf.DUMMYFUNCTION("""COMPUTED_VALUE"""),619)</f>
        <v>619</v>
      </c>
      <c r="E3045" s="25" t="str">
        <f ca="1">IFERROR(__xludf.DUMMYFUNCTION("""COMPUTED_VALUE"""),"REA-P8804")</f>
        <v>REA-P8804</v>
      </c>
    </row>
    <row r="3046" spans="1:5" x14ac:dyDescent="0.2">
      <c r="A3046" s="22">
        <f ca="1">IFERROR(__xludf.DUMMYFUNCTION("""COMPUTED_VALUE"""),44546)</f>
        <v>44546</v>
      </c>
      <c r="B3046" s="23" t="str">
        <f ca="1">IFERROR(__xludf.DUMMYFUNCTION("""COMPUTED_VALUE"""),"ZESTAW NATRYSKOWY BLISS CHROME")</f>
        <v>ZESTAW NATRYSKOWY BLISS CHROME</v>
      </c>
      <c r="C3046" s="23"/>
      <c r="D3046" s="24">
        <f ca="1">IFERROR(__xludf.DUMMYFUNCTION("""COMPUTED_VALUE"""),599)</f>
        <v>599</v>
      </c>
      <c r="E3046" s="25" t="str">
        <f ca="1">IFERROR(__xludf.DUMMYFUNCTION("""COMPUTED_VALUE"""),"REA-P8805")</f>
        <v>REA-P8805</v>
      </c>
    </row>
    <row r="3047" spans="1:5" x14ac:dyDescent="0.2">
      <c r="A3047" s="22">
        <f ca="1">IFERROR(__xludf.DUMMYFUNCTION("""COMPUTED_VALUE"""),44546)</f>
        <v>44546</v>
      </c>
      <c r="B3047" s="23" t="str">
        <f ca="1">IFERROR(__xludf.DUMMYFUNCTION("""COMPUTED_VALUE"""),"ZESTAW NATRYSKOWY SANTOS BLACK")</f>
        <v>ZESTAW NATRYSKOWY SANTOS BLACK</v>
      </c>
      <c r="C3047" s="23"/>
      <c r="D3047" s="24">
        <f ca="1">IFERROR(__xludf.DUMMYFUNCTION("""COMPUTED_VALUE"""),539)</f>
        <v>539</v>
      </c>
      <c r="E3047" s="25" t="str">
        <f ca="1">IFERROR(__xludf.DUMMYFUNCTION("""COMPUTED_VALUE"""),"REA-P8803")</f>
        <v>REA-P8803</v>
      </c>
    </row>
    <row r="3048" spans="1:5" x14ac:dyDescent="0.2">
      <c r="A3048" s="22">
        <f ca="1">IFERROR(__xludf.DUMMYFUNCTION("""COMPUTED_VALUE"""),44546)</f>
        <v>44546</v>
      </c>
      <c r="B3048" s="23" t="str">
        <f ca="1">IFERROR(__xludf.DUMMYFUNCTION("""COMPUTED_VALUE"""),"SŁUCHAWKA + WĄŻ + UCHWYT ECO POWER")</f>
        <v>SŁUCHAWKA + WĄŻ + UCHWYT ECO POWER</v>
      </c>
      <c r="C3048" s="23"/>
      <c r="D3048" s="24">
        <f ca="1">IFERROR(__xludf.DUMMYFUNCTION("""COMPUTED_VALUE"""),79)</f>
        <v>79</v>
      </c>
      <c r="E3048" s="25" t="str">
        <f ca="1">IFERROR(__xludf.DUMMYFUNCTION("""COMPUTED_VALUE"""),"REA-P8586")</f>
        <v>REA-P8586</v>
      </c>
    </row>
    <row r="3049" spans="1:5" x14ac:dyDescent="0.2">
      <c r="A3049" s="22">
        <f ca="1">IFERROR(__xludf.DUMMYFUNCTION("""COMPUTED_VALUE"""),44546)</f>
        <v>44546</v>
      </c>
      <c r="B3049" s="23" t="str">
        <f ca="1">IFERROR(__xludf.DUMMYFUNCTION("""COMPUTED_VALUE"""),"SŁUCHAWKA + WĄŻ + UCHWYT CHROM")</f>
        <v>SŁUCHAWKA + WĄŻ + UCHWYT CHROM</v>
      </c>
      <c r="C3049" s="23"/>
      <c r="D3049" s="24">
        <f ca="1">IFERROR(__xludf.DUMMYFUNCTION("""COMPUTED_VALUE"""),69)</f>
        <v>69</v>
      </c>
      <c r="E3049" s="25" t="str">
        <f ca="1">IFERROR(__xludf.DUMMYFUNCTION("""COMPUTED_VALUE"""),"REA-P4520")</f>
        <v>REA-P4520</v>
      </c>
    </row>
    <row r="3050" spans="1:5" x14ac:dyDescent="0.2">
      <c r="A3050" s="22">
        <f ca="1">IFERROR(__xludf.DUMMYFUNCTION("""COMPUTED_VALUE"""),44546)</f>
        <v>44546</v>
      </c>
      <c r="B3050" s="23" t="str">
        <f ca="1">IFERROR(__xludf.DUMMYFUNCTION("""COMPUTED_VALUE"""),"ZESTAW NATRYSKOWY LUCAS")</f>
        <v>ZESTAW NATRYSKOWY LUCAS</v>
      </c>
      <c r="C3050" s="23"/>
      <c r="D3050" s="24">
        <f ca="1">IFERROR(__xludf.DUMMYFUNCTION("""COMPUTED_VALUE"""),539)</f>
        <v>539</v>
      </c>
      <c r="E3050" s="25" t="str">
        <f ca="1">IFERROR(__xludf.DUMMYFUNCTION("""COMPUTED_VALUE"""),"REA-P0221")</f>
        <v>REA-P0221</v>
      </c>
    </row>
    <row r="3051" spans="1:5" x14ac:dyDescent="0.2">
      <c r="A3051" s="22">
        <f ca="1">IFERROR(__xludf.DUMMYFUNCTION("""COMPUTED_VALUE"""),44546)</f>
        <v>44546</v>
      </c>
      <c r="B3051" s="23" t="str">
        <f ca="1">IFERROR(__xludf.DUMMYFUNCTION("""COMPUTED_VALUE"""),"ZESTAW NATRYSKOWY MILAN")</f>
        <v>ZESTAW NATRYSKOWY MILAN</v>
      </c>
      <c r="C3051" s="23"/>
      <c r="D3051" s="24">
        <f ca="1">IFERROR(__xludf.DUMMYFUNCTION("""COMPUTED_VALUE"""),819)</f>
        <v>819</v>
      </c>
      <c r="E3051" s="25" t="str">
        <f ca="1">IFERROR(__xludf.DUMMYFUNCTION("""COMPUTED_VALUE"""),"REA-P0222")</f>
        <v>REA-P0222</v>
      </c>
    </row>
    <row r="3052" spans="1:5" x14ac:dyDescent="0.2">
      <c r="A3052" s="22">
        <f ca="1">IFERROR(__xludf.DUMMYFUNCTION("""COMPUTED_VALUE"""),44546)</f>
        <v>44546</v>
      </c>
      <c r="B3052" s="23" t="str">
        <f ca="1">IFERROR(__xludf.DUMMYFUNCTION("""COMPUTED_VALUE"""),"ZESTAW NATRYSKOWY LUIS CHROM")</f>
        <v>ZESTAW NATRYSKOWY LUIS CHROM</v>
      </c>
      <c r="C3052" s="23"/>
      <c r="D3052" s="24">
        <f ca="1">IFERROR(__xludf.DUMMYFUNCTION("""COMPUTED_VALUE"""),419)</f>
        <v>419</v>
      </c>
      <c r="E3052" s="25" t="str">
        <f ca="1">IFERROR(__xludf.DUMMYFUNCTION("""COMPUTED_VALUE"""),"REA-P7007")</f>
        <v>REA-P7007</v>
      </c>
    </row>
    <row r="3053" spans="1:5" x14ac:dyDescent="0.2">
      <c r="A3053" s="22">
        <f ca="1">IFERROR(__xludf.DUMMYFUNCTION("""COMPUTED_VALUE"""),44539)</f>
        <v>44539</v>
      </c>
      <c r="B3053" s="23" t="str">
        <f ca="1">IFERROR(__xludf.DUMMYFUNCTION("""COMPUTED_VALUE"""),"BATERIA UMYWALKOWA LUNGO WHITE WYSOKA")</f>
        <v>BATERIA UMYWALKOWA LUNGO WHITE WYSOKA</v>
      </c>
      <c r="C3053" s="23"/>
      <c r="D3053" s="24">
        <f ca="1">IFERROR(__xludf.DUMMYFUNCTION("""COMPUTED_VALUE"""),249)</f>
        <v>249</v>
      </c>
      <c r="E3053" s="25" t="str">
        <f ca="1">IFERROR(__xludf.DUMMYFUNCTION("""COMPUTED_VALUE"""),"REA-B4400")</f>
        <v>REA-B4400</v>
      </c>
    </row>
    <row r="3054" spans="1:5" x14ac:dyDescent="0.2">
      <c r="A3054" s="22">
        <f ca="1">IFERROR(__xludf.DUMMYFUNCTION("""COMPUTED_VALUE"""),44539)</f>
        <v>44539</v>
      </c>
      <c r="B3054" s="23" t="str">
        <f ca="1">IFERROR(__xludf.DUMMYFUNCTION("""COMPUTED_VALUE"""),"BATERIA UMYWALKOWA LUNGO WHITE NISKA")</f>
        <v>BATERIA UMYWALKOWA LUNGO WHITE NISKA</v>
      </c>
      <c r="C3054" s="23"/>
      <c r="D3054" s="24">
        <f ca="1">IFERROR(__xludf.DUMMYFUNCTION("""COMPUTED_VALUE"""),229)</f>
        <v>229</v>
      </c>
      <c r="E3054" s="25" t="str">
        <f ca="1">IFERROR(__xludf.DUMMYFUNCTION("""COMPUTED_VALUE"""),"REA-B4401")</f>
        <v>REA-B4401</v>
      </c>
    </row>
    <row r="3055" spans="1:5" x14ac:dyDescent="0.2">
      <c r="A3055" s="22">
        <f ca="1">IFERROR(__xludf.DUMMYFUNCTION("""COMPUTED_VALUE"""),44539)</f>
        <v>44539</v>
      </c>
      <c r="B3055" s="23" t="str">
        <f ca="1">IFERROR(__xludf.DUMMYFUNCTION("""COMPUTED_VALUE"""),"BIDET CARLO MINI BLACK")</f>
        <v>BIDET CARLO MINI BLACK</v>
      </c>
      <c r="C3055" s="23"/>
      <c r="D3055" s="24">
        <f ca="1">IFERROR(__xludf.DUMMYFUNCTION("""COMPUTED_VALUE"""),749)</f>
        <v>749</v>
      </c>
      <c r="E3055" s="25" t="str">
        <f ca="1">IFERROR(__xludf.DUMMYFUNCTION("""COMPUTED_VALUE"""),"REA-C6380")</f>
        <v>REA-C6380</v>
      </c>
    </row>
    <row r="3056" spans="1:5" x14ac:dyDescent="0.2">
      <c r="A3056" s="22">
        <f ca="1">IFERROR(__xludf.DUMMYFUNCTION("""COMPUTED_VALUE"""),44539)</f>
        <v>44539</v>
      </c>
      <c r="B3056" s="23" t="str">
        <f ca="1">IFERROR(__xludf.DUMMYFUNCTION("""COMPUTED_VALUE"""),"UMYWALKA ROXY A STONE D.GREY - NABLATOWA")</f>
        <v>UMYWALKA ROXY A STONE D.GREY - NABLATOWA</v>
      </c>
      <c r="C3056" s="23"/>
      <c r="D3056" s="24">
        <f ca="1">IFERROR(__xludf.DUMMYFUNCTION("""COMPUTED_VALUE"""),359)</f>
        <v>359</v>
      </c>
      <c r="E3056" s="25" t="str">
        <f ca="1">IFERROR(__xludf.DUMMYFUNCTION("""COMPUTED_VALUE"""),"REA-U6649")</f>
        <v>REA-U6649</v>
      </c>
    </row>
    <row r="3057" spans="1:5" x14ac:dyDescent="0.2">
      <c r="A3057" s="22">
        <f ca="1">IFERROR(__xludf.DUMMYFUNCTION("""COMPUTED_VALUE"""),44539)</f>
        <v>44539</v>
      </c>
      <c r="B3057" s="23" t="str">
        <f ca="1">IFERROR(__xludf.DUMMYFUNCTION("""COMPUTED_VALUE"""),"UMYWALKA ROXY B STONE NATURE - NABLATOWA")</f>
        <v>UMYWALKA ROXY B STONE NATURE - NABLATOWA</v>
      </c>
      <c r="C3057" s="23"/>
      <c r="D3057" s="24">
        <f ca="1">IFERROR(__xludf.DUMMYFUNCTION("""COMPUTED_VALUE"""),359)</f>
        <v>359</v>
      </c>
      <c r="E3057" s="25" t="str">
        <f ca="1">IFERROR(__xludf.DUMMYFUNCTION("""COMPUTED_VALUE"""),"REA-U6650")</f>
        <v>REA-U6650</v>
      </c>
    </row>
    <row r="3058" spans="1:5" x14ac:dyDescent="0.2">
      <c r="A3058" s="22">
        <f ca="1">IFERROR(__xludf.DUMMYFUNCTION("""COMPUTED_VALUE"""),44539)</f>
        <v>44539</v>
      </c>
      <c r="B3058" s="23" t="str">
        <f ca="1">IFERROR(__xludf.DUMMYFUNCTION("""COMPUTED_VALUE"""),"UMYWALKA ROXY C STONE L.GREY - NABLATOWA")</f>
        <v>UMYWALKA ROXY C STONE L.GREY - NABLATOWA</v>
      </c>
      <c r="C3058" s="23"/>
      <c r="D3058" s="24">
        <f ca="1">IFERROR(__xludf.DUMMYFUNCTION("""COMPUTED_VALUE"""),359)</f>
        <v>359</v>
      </c>
      <c r="E3058" s="25" t="str">
        <f ca="1">IFERROR(__xludf.DUMMYFUNCTION("""COMPUTED_VALUE"""),"REA-U6651")</f>
        <v>REA-U6651</v>
      </c>
    </row>
    <row r="3059" spans="1:5" x14ac:dyDescent="0.2">
      <c r="A3059" s="22">
        <f ca="1">IFERROR(__xludf.DUMMYFUNCTION("""COMPUTED_VALUE"""),44539)</f>
        <v>44539</v>
      </c>
      <c r="B3059" s="23" t="str">
        <f ca="1">IFERROR(__xludf.DUMMYFUNCTION("""COMPUTED_VALUE"""),"UMYWALKA ROYAL 60 GRANIT SHINY - NABLATOWA")</f>
        <v>UMYWALKA ROYAL 60 GRANIT SHINY - NABLATOWA</v>
      </c>
      <c r="C3059" s="23"/>
      <c r="D3059" s="24">
        <f ca="1">IFERROR(__xludf.DUMMYFUNCTION("""COMPUTED_VALUE"""),419)</f>
        <v>419</v>
      </c>
      <c r="E3059" s="25" t="str">
        <f ca="1">IFERROR(__xludf.DUMMYFUNCTION("""COMPUTED_VALUE"""),"REA-U8596")</f>
        <v>REA-U8596</v>
      </c>
    </row>
    <row r="3060" spans="1:5" x14ac:dyDescent="0.2">
      <c r="A3060" s="22">
        <f ca="1">IFERROR(__xludf.DUMMYFUNCTION("""COMPUTED_VALUE"""),44539)</f>
        <v>44539</v>
      </c>
      <c r="B3060" s="23" t="str">
        <f ca="1">IFERROR(__xludf.DUMMYFUNCTION("""COMPUTED_VALUE"""),"UMYWALKA ROYAL 60 LAVA - NABLATOWA")</f>
        <v>UMYWALKA ROYAL 60 LAVA - NABLATOWA</v>
      </c>
      <c r="C3060" s="23"/>
      <c r="D3060" s="24">
        <f ca="1">IFERROR(__xludf.DUMMYFUNCTION("""COMPUTED_VALUE"""),419)</f>
        <v>419</v>
      </c>
      <c r="E3060" s="25" t="str">
        <f ca="1">IFERROR(__xludf.DUMMYFUNCTION("""COMPUTED_VALUE"""),"REA-U8597")</f>
        <v>REA-U8597</v>
      </c>
    </row>
    <row r="3061" spans="1:5" x14ac:dyDescent="0.2">
      <c r="A3061" s="22">
        <f ca="1">IFERROR(__xludf.DUMMYFUNCTION("""COMPUTED_VALUE"""),44539)</f>
        <v>44539</v>
      </c>
      <c r="B3061" s="23" t="str">
        <f ca="1">IFERROR(__xludf.DUMMYFUNCTION("""COMPUTED_VALUE"""),"UMYWALKA ROYAL 60 LAVA MATT - NABLATOWA")</f>
        <v>UMYWALKA ROYAL 60 LAVA MATT - NABLATOWA</v>
      </c>
      <c r="C3061" s="23"/>
      <c r="D3061" s="24">
        <f ca="1">IFERROR(__xludf.DUMMYFUNCTION("""COMPUTED_VALUE"""),459)</f>
        <v>459</v>
      </c>
      <c r="E3061" s="25" t="str">
        <f ca="1">IFERROR(__xludf.DUMMYFUNCTION("""COMPUTED_VALUE"""),"REA-U8598")</f>
        <v>REA-U8598</v>
      </c>
    </row>
    <row r="3062" spans="1:5" x14ac:dyDescent="0.2">
      <c r="A3062" s="22">
        <f ca="1">IFERROR(__xludf.DUMMYFUNCTION("""COMPUTED_VALUE"""),44539)</f>
        <v>44539</v>
      </c>
      <c r="B3062" s="23" t="str">
        <f ca="1">IFERROR(__xludf.DUMMYFUNCTION("""COMPUTED_VALUE"""),"UMYWALKA ROYAL 60 GRANIT MATT - NABLATOWA")</f>
        <v>UMYWALKA ROYAL 60 GRANIT MATT - NABLATOWA</v>
      </c>
      <c r="C3062" s="23"/>
      <c r="D3062" s="24">
        <f ca="1">IFERROR(__xludf.DUMMYFUNCTION("""COMPUTED_VALUE"""),419)</f>
        <v>419</v>
      </c>
      <c r="E3062" s="25" t="str">
        <f ca="1">IFERROR(__xludf.DUMMYFUNCTION("""COMPUTED_VALUE"""),"REA-U8742")</f>
        <v>REA-U8742</v>
      </c>
    </row>
    <row r="3063" spans="1:5" x14ac:dyDescent="0.2">
      <c r="A3063" s="22">
        <f ca="1">IFERROR(__xludf.DUMMYFUNCTION("""COMPUTED_VALUE"""),44539)</f>
        <v>44539</v>
      </c>
      <c r="B3063" s="23" t="str">
        <f ca="1">IFERROR(__xludf.DUMMYFUNCTION("""COMPUTED_VALUE"""),"UMYWALKA LINDA GRANIT - NABLATOWA")</f>
        <v>UMYWALKA LINDA GRANIT - NABLATOWA</v>
      </c>
      <c r="C3063" s="23"/>
      <c r="D3063" s="24">
        <f ca="1">IFERROR(__xludf.DUMMYFUNCTION("""COMPUTED_VALUE"""),349)</f>
        <v>349</v>
      </c>
      <c r="E3063" s="25" t="str">
        <f ca="1">IFERROR(__xludf.DUMMYFUNCTION("""COMPUTED_VALUE"""),"REA-U2514")</f>
        <v>REA-U2514</v>
      </c>
    </row>
    <row r="3064" spans="1:5" x14ac:dyDescent="0.2">
      <c r="A3064" s="22">
        <f ca="1">IFERROR(__xludf.DUMMYFUNCTION("""COMPUTED_VALUE"""),44539)</f>
        <v>44539</v>
      </c>
      <c r="B3064" s="23" t="str">
        <f ca="1">IFERROR(__xludf.DUMMYFUNCTION("""COMPUTED_VALUE"""),"UMYWALKA LINDA LAVA - NABLATOWA")</f>
        <v>UMYWALKA LINDA LAVA - NABLATOWA</v>
      </c>
      <c r="C3064" s="23"/>
      <c r="D3064" s="24">
        <f ca="1">IFERROR(__xludf.DUMMYFUNCTION("""COMPUTED_VALUE"""),359)</f>
        <v>359</v>
      </c>
      <c r="E3064" s="25" t="str">
        <f ca="1">IFERROR(__xludf.DUMMYFUNCTION("""COMPUTED_VALUE"""),"REA-U8695")</f>
        <v>REA-U8695</v>
      </c>
    </row>
    <row r="3065" spans="1:5" x14ac:dyDescent="0.2">
      <c r="A3065" s="22">
        <f ca="1">IFERROR(__xludf.DUMMYFUNCTION("""COMPUTED_VALUE"""),44539)</f>
        <v>44539</v>
      </c>
      <c r="B3065" s="23" t="str">
        <f ca="1">IFERROR(__xludf.DUMMYFUNCTION("""COMPUTED_VALUE"""),"UMYWALKA LINDA LAVA MATT - NABLATOWA")</f>
        <v>UMYWALKA LINDA LAVA MATT - NABLATOWA</v>
      </c>
      <c r="C3065" s="23"/>
      <c r="D3065" s="24">
        <f ca="1">IFERROR(__xludf.DUMMYFUNCTION("""COMPUTED_VALUE"""),359)</f>
        <v>359</v>
      </c>
      <c r="E3065" s="25" t="str">
        <f ca="1">IFERROR(__xludf.DUMMYFUNCTION("""COMPUTED_VALUE"""),"REA-U8568")</f>
        <v>REA-U8568</v>
      </c>
    </row>
    <row r="3066" spans="1:5" x14ac:dyDescent="0.2">
      <c r="A3066" s="22">
        <f ca="1">IFERROR(__xludf.DUMMYFUNCTION("""COMPUTED_VALUE"""),44539)</f>
        <v>44539</v>
      </c>
      <c r="B3066" s="23" t="str">
        <f ca="1">IFERROR(__xludf.DUMMYFUNCTION("""COMPUTED_VALUE"""),"UMYWALKA LINDA GRANIT MATT - NABLATOWA")</f>
        <v>UMYWALKA LINDA GRANIT MATT - NABLATOWA</v>
      </c>
      <c r="C3066" s="23"/>
      <c r="D3066" s="24">
        <f ca="1">IFERROR(__xludf.DUMMYFUNCTION("""COMPUTED_VALUE"""),349)</f>
        <v>349</v>
      </c>
      <c r="E3066" s="25" t="str">
        <f ca="1">IFERROR(__xludf.DUMMYFUNCTION("""COMPUTED_VALUE"""),"REA-U8567")</f>
        <v>REA-U8567</v>
      </c>
    </row>
    <row r="3067" spans="1:5" x14ac:dyDescent="0.2">
      <c r="A3067" s="22">
        <f ca="1">IFERROR(__xludf.DUMMYFUNCTION("""COMPUTED_VALUE"""),44539)</f>
        <v>44539</v>
      </c>
      <c r="B3067" s="23" t="str">
        <f ca="1">IFERROR(__xludf.DUMMYFUNCTION("""COMPUTED_VALUE"""),"UMYWALKA KAMILA - WOLNOSTOJĄCA")</f>
        <v>UMYWALKA KAMILA - WOLNOSTOJĄCA</v>
      </c>
      <c r="C3067" s="23"/>
      <c r="D3067" s="24">
        <f ca="1">IFERROR(__xludf.DUMMYFUNCTION("""COMPUTED_VALUE"""),999)</f>
        <v>999</v>
      </c>
      <c r="E3067" s="25" t="str">
        <f ca="1">IFERROR(__xludf.DUMMYFUNCTION("""COMPUTED_VALUE"""),"REA-U5633")</f>
        <v>REA-U5633</v>
      </c>
    </row>
    <row r="3068" spans="1:5" x14ac:dyDescent="0.2">
      <c r="A3068" s="22">
        <f ca="1">IFERROR(__xludf.DUMMYFUNCTION("""COMPUTED_VALUE"""),44539)</f>
        <v>44539</v>
      </c>
      <c r="B3068" s="23" t="str">
        <f ca="1">IFERROR(__xludf.DUMMYFUNCTION("""COMPUTED_VALUE"""),"UMYWALKA SAMI MARBLE MATT - NABLATOWA")</f>
        <v>UMYWALKA SAMI MARBLE MATT - NABLATOWA</v>
      </c>
      <c r="C3068" s="23"/>
      <c r="D3068" s="24">
        <f ca="1">IFERROR(__xludf.DUMMYFUNCTION("""COMPUTED_VALUE"""),369)</f>
        <v>369</v>
      </c>
      <c r="E3068" s="25" t="str">
        <f ca="1">IFERROR(__xludf.DUMMYFUNCTION("""COMPUTED_VALUE"""),"REA-U8703")</f>
        <v>REA-U8703</v>
      </c>
    </row>
    <row r="3069" spans="1:5" x14ac:dyDescent="0.2">
      <c r="A3069" s="22">
        <f ca="1">IFERROR(__xludf.DUMMYFUNCTION("""COMPUTED_VALUE"""),44539)</f>
        <v>44539</v>
      </c>
      <c r="B3069" s="23" t="str">
        <f ca="1">IFERROR(__xludf.DUMMYFUNCTION("""COMPUTED_VALUE"""),"UMYWALKA SAMI MARBLE - NABLATOWA")</f>
        <v>UMYWALKA SAMI MARBLE - NABLATOWA</v>
      </c>
      <c r="C3069" s="23"/>
      <c r="D3069" s="24">
        <f ca="1">IFERROR(__xludf.DUMMYFUNCTION("""COMPUTED_VALUE"""),319)</f>
        <v>319</v>
      </c>
      <c r="E3069" s="25" t="str">
        <f ca="1">IFERROR(__xludf.DUMMYFUNCTION("""COMPUTED_VALUE"""),"REA-U5685")</f>
        <v>REA-U5685</v>
      </c>
    </row>
    <row r="3070" spans="1:5" x14ac:dyDescent="0.2">
      <c r="A3070" s="22">
        <f ca="1">IFERROR(__xludf.DUMMYFUNCTION("""COMPUTED_VALUE"""),44539)</f>
        <v>44539</v>
      </c>
      <c r="B3070" s="23" t="str">
        <f ca="1">IFERROR(__xludf.DUMMYFUNCTION("""COMPUTED_VALUE"""),"UMYWALKA SOFIA MINI WHITE GOLD - NABLATOWA")</f>
        <v>UMYWALKA SOFIA MINI WHITE GOLD - NABLATOWA</v>
      </c>
      <c r="C3070" s="23"/>
      <c r="D3070" s="24">
        <f ca="1">IFERROR(__xludf.DUMMYFUNCTION("""COMPUTED_VALUE"""),299)</f>
        <v>299</v>
      </c>
      <c r="E3070" s="25" t="str">
        <f ca="1">IFERROR(__xludf.DUMMYFUNCTION("""COMPUTED_VALUE"""),"REA-U6334")</f>
        <v>REA-U6334</v>
      </c>
    </row>
    <row r="3071" spans="1:5" x14ac:dyDescent="0.2">
      <c r="A3071" s="22">
        <f ca="1">IFERROR(__xludf.DUMMYFUNCTION("""COMPUTED_VALUE"""),44539)</f>
        <v>44539</v>
      </c>
      <c r="B3071" s="23" t="str">
        <f ca="1">IFERROR(__xludf.DUMMYFUNCTION("""COMPUTED_VALUE"""),"UMYWALKA BLANKA MARBLE - WOLNOSTOJĄCA")</f>
        <v>UMYWALKA BLANKA MARBLE - WOLNOSTOJĄCA</v>
      </c>
      <c r="C3071" s="23"/>
      <c r="D3071" s="24">
        <f ca="1">IFERROR(__xludf.DUMMYFUNCTION("""COMPUTED_VALUE"""),1599)</f>
        <v>1599</v>
      </c>
      <c r="E3071" s="25" t="str">
        <f ca="1">IFERROR(__xludf.DUMMYFUNCTION("""COMPUTED_VALUE"""),"REA-U8704")</f>
        <v>REA-U8704</v>
      </c>
    </row>
    <row r="3072" spans="1:5" x14ac:dyDescent="0.2">
      <c r="A3072" s="22">
        <f ca="1">IFERROR(__xludf.DUMMYFUNCTION("""COMPUTED_VALUE"""),44539)</f>
        <v>44539</v>
      </c>
      <c r="B3072" s="23" t="str">
        <f ca="1">IFERROR(__xludf.DUMMYFUNCTION("""COMPUTED_VALUE"""),"BATERIA UMYWALKOWA GRAF")</f>
        <v>BATERIA UMYWALKOWA GRAF</v>
      </c>
      <c r="C3072" s="23"/>
      <c r="D3072" s="24">
        <f ca="1">IFERROR(__xludf.DUMMYFUNCTION("""COMPUTED_VALUE"""),149)</f>
        <v>149</v>
      </c>
      <c r="E3072" s="25" t="str">
        <f ca="1">IFERROR(__xludf.DUMMYFUNCTION("""COMPUTED_VALUE"""),"REA-B0027")</f>
        <v>REA-B0027</v>
      </c>
    </row>
    <row r="3073" spans="1:5" x14ac:dyDescent="0.2">
      <c r="A3073" s="22">
        <f ca="1">IFERROR(__xludf.DUMMYFUNCTION("""COMPUTED_VALUE"""),44539)</f>
        <v>44539</v>
      </c>
      <c r="B3073" s="23" t="str">
        <f ca="1">IFERROR(__xludf.DUMMYFUNCTION("""COMPUTED_VALUE"""),"BATERIA KUCHENNA GASPAR BLACK GOLD")</f>
        <v>BATERIA KUCHENNA GASPAR BLACK GOLD</v>
      </c>
      <c r="C3073" s="23"/>
      <c r="D3073" s="24">
        <f ca="1">IFERROR(__xludf.DUMMYFUNCTION("""COMPUTED_VALUE"""),389)</f>
        <v>389</v>
      </c>
      <c r="E3073" s="25" t="str">
        <f ca="1">IFERROR(__xludf.DUMMYFUNCTION("""COMPUTED_VALUE"""),"REA-B1019")</f>
        <v>REA-B1019</v>
      </c>
    </row>
    <row r="3074" spans="1:5" x14ac:dyDescent="0.2">
      <c r="A3074" s="22">
        <f ca="1">IFERROR(__xludf.DUMMYFUNCTION("""COMPUTED_VALUE"""),44539)</f>
        <v>44539</v>
      </c>
      <c r="B3074" s="23" t="str">
        <f ca="1">IFERROR(__xludf.DUMMYFUNCTION("""COMPUTED_VALUE"""),"BATERIA KUCHENNA GASPAR BLACK MAT")</f>
        <v>BATERIA KUCHENNA GASPAR BLACK MAT</v>
      </c>
      <c r="C3074" s="23"/>
      <c r="D3074" s="24">
        <f ca="1">IFERROR(__xludf.DUMMYFUNCTION("""COMPUTED_VALUE"""),389)</f>
        <v>389</v>
      </c>
      <c r="E3074" s="25" t="str">
        <f ca="1">IFERROR(__xludf.DUMMYFUNCTION("""COMPUTED_VALUE"""),"REA-B0233")</f>
        <v>REA-B0233</v>
      </c>
    </row>
    <row r="3075" spans="1:5" x14ac:dyDescent="0.2">
      <c r="A3075" s="22">
        <f ca="1">IFERROR(__xludf.DUMMYFUNCTION("""COMPUTED_VALUE"""),44539)</f>
        <v>44539</v>
      </c>
      <c r="B3075" s="23" t="str">
        <f ca="1">IFERROR(__xludf.DUMMYFUNCTION("""COMPUTED_VALUE"""),"ZESTAW NATRYSKOWY PODTYNKOWY LUNGO BLACK + BOX")</f>
        <v>ZESTAW NATRYSKOWY PODTYNKOWY LUNGO BLACK + BOX</v>
      </c>
      <c r="C3075" s="23"/>
      <c r="D3075" s="24">
        <f ca="1">IFERROR(__xludf.DUMMYFUNCTION("""COMPUTED_VALUE"""),899)</f>
        <v>899</v>
      </c>
      <c r="E3075" s="25" t="str">
        <f ca="1">IFERROR(__xludf.DUMMYFUNCTION("""COMPUTED_VALUE"""),"REA-P4100")</f>
        <v>REA-P4100</v>
      </c>
    </row>
    <row r="3076" spans="1:5" x14ac:dyDescent="0.2">
      <c r="A3076" s="22">
        <f ca="1">IFERROR(__xludf.DUMMYFUNCTION("""COMPUTED_VALUE"""),44539)</f>
        <v>44539</v>
      </c>
      <c r="B3076" s="23" t="str">
        <f ca="1">IFERROR(__xludf.DUMMYFUNCTION("""COMPUTED_VALUE"""),"BATERIA UMYWALKOWA FALCON - WYSOKA")</f>
        <v>BATERIA UMYWALKOWA FALCON - WYSOKA</v>
      </c>
      <c r="C3076" s="23"/>
      <c r="D3076" s="24">
        <f ca="1">IFERROR(__xludf.DUMMYFUNCTION("""COMPUTED_VALUE"""),179)</f>
        <v>179</v>
      </c>
      <c r="E3076" s="25" t="str">
        <f ca="1">IFERROR(__xludf.DUMMYFUNCTION("""COMPUTED_VALUE"""),"BAT-00149")</f>
        <v>BAT-00149</v>
      </c>
    </row>
    <row r="3077" spans="1:5" x14ac:dyDescent="0.2">
      <c r="A3077" s="22">
        <f ca="1">IFERROR(__xludf.DUMMYFUNCTION("""COMPUTED_VALUE"""),44539)</f>
        <v>44539</v>
      </c>
      <c r="B3077" s="23" t="str">
        <f ca="1">IFERROR(__xludf.DUMMYFUNCTION("""COMPUTED_VALUE"""),"BATERIA UMYWALKOWA FALCON - NISKA")</f>
        <v>BATERIA UMYWALKOWA FALCON - NISKA</v>
      </c>
      <c r="C3077" s="23"/>
      <c r="D3077" s="24">
        <f ca="1">IFERROR(__xludf.DUMMYFUNCTION("""COMPUTED_VALUE"""),159)</f>
        <v>159</v>
      </c>
      <c r="E3077" s="25" t="str">
        <f ca="1">IFERROR(__xludf.DUMMYFUNCTION("""COMPUTED_VALUE"""),"BAT-00146")</f>
        <v>BAT-00146</v>
      </c>
    </row>
    <row r="3078" spans="1:5" x14ac:dyDescent="0.2">
      <c r="A3078" s="22">
        <f ca="1">IFERROR(__xludf.DUMMYFUNCTION("""COMPUTED_VALUE"""),44539)</f>
        <v>44539</v>
      </c>
      <c r="B3078" s="23" t="str">
        <f ca="1">IFERROR(__xludf.DUMMYFUNCTION("""COMPUTED_VALUE"""),"BATERIA UMYWALKOWA FALCON BLACK - NISKA")</f>
        <v>BATERIA UMYWALKOWA FALCON BLACK - NISKA</v>
      </c>
      <c r="C3078" s="23"/>
      <c r="D3078" s="24">
        <f ca="1">IFERROR(__xludf.DUMMYFUNCTION("""COMPUTED_VALUE"""),188)</f>
        <v>188</v>
      </c>
      <c r="E3078" s="25" t="str">
        <f ca="1">IFERROR(__xludf.DUMMYFUNCTION("""COMPUTED_VALUE"""),"REA-B0253")</f>
        <v>REA-B0253</v>
      </c>
    </row>
    <row r="3079" spans="1:5" x14ac:dyDescent="0.2">
      <c r="A3079" s="22">
        <f ca="1">IFERROR(__xludf.DUMMYFUNCTION("""COMPUTED_VALUE"""),44539)</f>
        <v>44539</v>
      </c>
      <c r="B3079" s="23" t="str">
        <f ca="1">IFERROR(__xludf.DUMMYFUNCTION("""COMPUTED_VALUE"""),"BATERIA WYSOKA DECO OLD BLACK")</f>
        <v>BATERIA WYSOKA DECO OLD BLACK</v>
      </c>
      <c r="C3079" s="23"/>
      <c r="D3079" s="24">
        <f ca="1">IFERROR(__xludf.DUMMYFUNCTION("""COMPUTED_VALUE"""),499)</f>
        <v>499</v>
      </c>
      <c r="E3079" s="25" t="str">
        <f ca="1">IFERROR(__xludf.DUMMYFUNCTION("""COMPUTED_VALUE"""),"REA-B0182")</f>
        <v>REA-B0182</v>
      </c>
    </row>
    <row r="3080" spans="1:5" x14ac:dyDescent="0.2">
      <c r="A3080" s="22">
        <f ca="1">IFERROR(__xludf.DUMMYFUNCTION("""COMPUTED_VALUE"""),44539)</f>
        <v>44539</v>
      </c>
      <c r="B3080" s="23" t="str">
        <f ca="1">IFERROR(__xludf.DUMMYFUNCTION("""COMPUTED_VALUE"""),"BATERIA UMYWALKOWA WYSOKA SONIC BLACK")</f>
        <v>BATERIA UMYWALKOWA WYSOKA SONIC BLACK</v>
      </c>
      <c r="C3080" s="23"/>
      <c r="D3080" s="24">
        <f ca="1">IFERROR(__xludf.DUMMYFUNCTION("""COMPUTED_VALUE"""),279)</f>
        <v>279</v>
      </c>
      <c r="E3080" s="25" t="str">
        <f ca="1">IFERROR(__xludf.DUMMYFUNCTION("""COMPUTED_VALUE"""),"BAT-09854")</f>
        <v>BAT-09854</v>
      </c>
    </row>
    <row r="3081" spans="1:5" x14ac:dyDescent="0.2">
      <c r="A3081" s="22">
        <f ca="1">IFERROR(__xludf.DUMMYFUNCTION("""COMPUTED_VALUE"""),44539)</f>
        <v>44539</v>
      </c>
      <c r="B3081" s="23" t="str">
        <f ca="1">IFERROR(__xludf.DUMMYFUNCTION("""COMPUTED_VALUE"""),"BATERIA WYSOKA BONA OLD GOLD")</f>
        <v>BATERIA WYSOKA BONA OLD GOLD</v>
      </c>
      <c r="C3081" s="23"/>
      <c r="D3081" s="24">
        <f ca="1">IFERROR(__xludf.DUMMYFUNCTION("""COMPUTED_VALUE"""),279)</f>
        <v>279</v>
      </c>
      <c r="E3081" s="25" t="str">
        <f ca="1">IFERROR(__xludf.DUMMYFUNCTION("""COMPUTED_VALUE"""),"REA-B2150")</f>
        <v>REA-B2150</v>
      </c>
    </row>
    <row r="3082" spans="1:5" x14ac:dyDescent="0.2">
      <c r="A3082" s="22">
        <f ca="1">IFERROR(__xludf.DUMMYFUNCTION("""COMPUTED_VALUE"""),44539)</f>
        <v>44539</v>
      </c>
      <c r="B3082" s="23" t="str">
        <f ca="1">IFERROR(__xludf.DUMMYFUNCTION("""COMPUTED_VALUE"""),"BATERIA WYSOKA BONA OLD BLACK")</f>
        <v>BATERIA WYSOKA BONA OLD BLACK</v>
      </c>
      <c r="C3082" s="23"/>
      <c r="D3082" s="24">
        <f ca="1">IFERROR(__xludf.DUMMYFUNCTION("""COMPUTED_VALUE"""),279)</f>
        <v>279</v>
      </c>
      <c r="E3082" s="25" t="str">
        <f ca="1">IFERROR(__xludf.DUMMYFUNCTION("""COMPUTED_VALUE"""),"REA-B0183")</f>
        <v>REA-B0183</v>
      </c>
    </row>
    <row r="3083" spans="1:5" x14ac:dyDescent="0.2">
      <c r="A3083" s="22">
        <f ca="1">IFERROR(__xludf.DUMMYFUNCTION("""COMPUTED_VALUE"""),44539)</f>
        <v>44539</v>
      </c>
      <c r="B3083" s="23" t="str">
        <f ca="1">IFERROR(__xludf.DUMMYFUNCTION("""COMPUTED_VALUE"""),"BATERIA WANNOWA RETRO OLD BLACK")</f>
        <v>BATERIA WANNOWA RETRO OLD BLACK</v>
      </c>
      <c r="C3083" s="23"/>
      <c r="D3083" s="24">
        <f ca="1">IFERROR(__xludf.DUMMYFUNCTION("""COMPUTED_VALUE"""),579)</f>
        <v>579</v>
      </c>
      <c r="E3083" s="25" t="str">
        <f ca="1">IFERROR(__xludf.DUMMYFUNCTION("""COMPUTED_VALUE"""),"REA-B0224")</f>
        <v>REA-B0224</v>
      </c>
    </row>
    <row r="3084" spans="1:5" x14ac:dyDescent="0.2">
      <c r="A3084" s="22">
        <f ca="1">IFERROR(__xludf.DUMMYFUNCTION("""COMPUTED_VALUE"""),44539)</f>
        <v>44539</v>
      </c>
      <c r="B3084" s="23" t="str">
        <f ca="1">IFERROR(__xludf.DUMMYFUNCTION("""COMPUTED_VALUE"""),"BATERIA UMYWALKOWA FENIX BLACK WYSOKA")</f>
        <v>BATERIA UMYWALKOWA FENIX BLACK WYSOKA</v>
      </c>
      <c r="C3084" s="23"/>
      <c r="D3084" s="24">
        <f ca="1">IFERROR(__xludf.DUMMYFUNCTION("""COMPUTED_VALUE"""),439)</f>
        <v>439</v>
      </c>
      <c r="E3084" s="25" t="str">
        <f ca="1">IFERROR(__xludf.DUMMYFUNCTION("""COMPUTED_VALUE"""),"REA-B7849")</f>
        <v>REA-B7849</v>
      </c>
    </row>
    <row r="3085" spans="1:5" x14ac:dyDescent="0.2">
      <c r="A3085" s="22">
        <f ca="1">IFERROR(__xludf.DUMMYFUNCTION("""COMPUTED_VALUE"""),44539)</f>
        <v>44539</v>
      </c>
      <c r="B3085" s="23" t="str">
        <f ca="1">IFERROR(__xludf.DUMMYFUNCTION("""COMPUTED_VALUE"""),"BATERIA UMYWALKOWA LUNGO L.GOLD SZCZOTKOWANA NISKA")</f>
        <v>BATERIA UMYWALKOWA LUNGO L.GOLD SZCZOTKOWANA NISKA</v>
      </c>
      <c r="C3085" s="23"/>
      <c r="D3085" s="24">
        <f ca="1">IFERROR(__xludf.DUMMYFUNCTION("""COMPUTED_VALUE"""),289)</f>
        <v>289</v>
      </c>
      <c r="E3085" s="25" t="str">
        <f ca="1">IFERROR(__xludf.DUMMYFUNCTION("""COMPUTED_VALUE"""),"REA-B4527")</f>
        <v>REA-B4527</v>
      </c>
    </row>
    <row r="3086" spans="1:5" x14ac:dyDescent="0.2">
      <c r="A3086" s="22">
        <f ca="1">IFERROR(__xludf.DUMMYFUNCTION("""COMPUTED_VALUE"""),44539)</f>
        <v>44539</v>
      </c>
      <c r="B3086" s="23" t="str">
        <f ca="1">IFERROR(__xludf.DUMMYFUNCTION("""COMPUTED_VALUE"""),"BATERIA UMYWALKOWA LUNGO L.GOLD SZCZOTKOWAN WYSOKA")</f>
        <v>BATERIA UMYWALKOWA LUNGO L.GOLD SZCZOTKOWAN WYSOKA</v>
      </c>
      <c r="C3086" s="23"/>
      <c r="D3086" s="24">
        <f ca="1">IFERROR(__xludf.DUMMYFUNCTION("""COMPUTED_VALUE"""),299)</f>
        <v>299</v>
      </c>
      <c r="E3086" s="25" t="str">
        <f ca="1">IFERROR(__xludf.DUMMYFUNCTION("""COMPUTED_VALUE"""),"REA-B4526")</f>
        <v>REA-B4526</v>
      </c>
    </row>
    <row r="3087" spans="1:5" x14ac:dyDescent="0.2">
      <c r="A3087" s="22">
        <f ca="1">IFERROR(__xludf.DUMMYFUNCTION("""COMPUTED_VALUE"""),44539)</f>
        <v>44539</v>
      </c>
      <c r="B3087" s="23" t="str">
        <f ca="1">IFERROR(__xludf.DUMMYFUNCTION("""COMPUTED_VALUE"""),"BATERIA UMYWALKOWA LUNGO L.GOLD WYSOKA")</f>
        <v>BATERIA UMYWALKOWA LUNGO L.GOLD WYSOKA</v>
      </c>
      <c r="C3087" s="23"/>
      <c r="D3087" s="24">
        <f ca="1">IFERROR(__xludf.DUMMYFUNCTION("""COMPUTED_VALUE"""),279)</f>
        <v>279</v>
      </c>
      <c r="E3087" s="25" t="str">
        <f ca="1">IFERROR(__xludf.DUMMYFUNCTION("""COMPUTED_VALUE"""),"REA-B9409")</f>
        <v>REA-B9409</v>
      </c>
    </row>
    <row r="3088" spans="1:5" x14ac:dyDescent="0.2">
      <c r="A3088" s="22">
        <f ca="1">IFERROR(__xludf.DUMMYFUNCTION("""COMPUTED_VALUE"""),44539)</f>
        <v>44539</v>
      </c>
      <c r="B3088" s="23" t="str">
        <f ca="1">IFERROR(__xludf.DUMMYFUNCTION("""COMPUTED_VALUE"""),"BATERIA UMYWALKOWA LUNGO BLACK WYSOKA")</f>
        <v>BATERIA UMYWALKOWA LUNGO BLACK WYSOKA</v>
      </c>
      <c r="C3088" s="23"/>
      <c r="D3088" s="24">
        <f ca="1">IFERROR(__xludf.DUMMYFUNCTION("""COMPUTED_VALUE"""),259)</f>
        <v>259</v>
      </c>
      <c r="E3088" s="25" t="str">
        <f ca="1">IFERROR(__xludf.DUMMYFUNCTION("""COMPUTED_VALUE"""),"REA-B4103")</f>
        <v>REA-B4103</v>
      </c>
    </row>
    <row r="3089" spans="1:5" x14ac:dyDescent="0.2">
      <c r="A3089" s="22">
        <f ca="1">IFERROR(__xludf.DUMMYFUNCTION("""COMPUTED_VALUE"""),44539)</f>
        <v>44539</v>
      </c>
      <c r="B3089" s="23" t="str">
        <f ca="1">IFERROR(__xludf.DUMMYFUNCTION("""COMPUTED_VALUE"""),"BATERIA UMYWALKOWA LUNGO BLACK NISKA")</f>
        <v>BATERIA UMYWALKOWA LUNGO BLACK NISKA</v>
      </c>
      <c r="C3089" s="23"/>
      <c r="D3089" s="24">
        <f ca="1">IFERROR(__xludf.DUMMYFUNCTION("""COMPUTED_VALUE"""),229)</f>
        <v>229</v>
      </c>
      <c r="E3089" s="25" t="str">
        <f ca="1">IFERROR(__xludf.DUMMYFUNCTION("""COMPUTED_VALUE"""),"REA-B4102")</f>
        <v>REA-B4102</v>
      </c>
    </row>
    <row r="3090" spans="1:5" x14ac:dyDescent="0.2">
      <c r="A3090" s="22">
        <f ca="1">IFERROR(__xludf.DUMMYFUNCTION("""COMPUTED_VALUE"""),44539)</f>
        <v>44539</v>
      </c>
      <c r="B3090" s="23" t="str">
        <f ca="1">IFERROR(__xludf.DUMMYFUNCTION("""COMPUTED_VALUE"""),"DRZWI PRYSZNICOWE MOLIER 100 BLACK")</f>
        <v>DRZWI PRYSZNICOWE MOLIER 100 BLACK</v>
      </c>
      <c r="C3090" s="23"/>
      <c r="D3090" s="24">
        <f ca="1">IFERROR(__xludf.DUMMYFUNCTION("""COMPUTED_VALUE"""),959)</f>
        <v>959</v>
      </c>
      <c r="E3090" s="25" t="str">
        <f ca="1">IFERROR(__xludf.DUMMYFUNCTION("""COMPUTED_VALUE"""),"REA-K6963")</f>
        <v>REA-K6963</v>
      </c>
    </row>
    <row r="3091" spans="1:5" x14ac:dyDescent="0.2">
      <c r="A3091" s="22">
        <f ca="1">IFERROR(__xludf.DUMMYFUNCTION("""COMPUTED_VALUE"""),44539)</f>
        <v>44539</v>
      </c>
      <c r="B3091" s="23" t="str">
        <f ca="1">IFERROR(__xludf.DUMMYFUNCTION("""COMPUTED_VALUE"""),"Drzwi Molier Black 100 + adapter")</f>
        <v>Drzwi Molier Black 100 + adapter</v>
      </c>
      <c r="C3091" s="23"/>
      <c r="D3091" s="24">
        <f ca="1">IFERROR(__xludf.DUMMYFUNCTION("""COMPUTED_VALUE"""),1249)</f>
        <v>1249</v>
      </c>
      <c r="E3091" s="26"/>
    </row>
    <row r="3092" spans="1:5" x14ac:dyDescent="0.2">
      <c r="A3092" s="22">
        <f ca="1">IFERROR(__xludf.DUMMYFUNCTION("""COMPUTED_VALUE"""),44539)</f>
        <v>44539</v>
      </c>
      <c r="B3092" s="23" t="str">
        <f ca="1">IFERROR(__xludf.DUMMYFUNCTION("""COMPUTED_VALUE"""),"DRZWI PRYSZNICOWE MOLIER 100 CHROM")</f>
        <v>DRZWI PRYSZNICOWE MOLIER 100 CHROM</v>
      </c>
      <c r="C3092" s="23"/>
      <c r="D3092" s="24">
        <f ca="1">IFERROR(__xludf.DUMMYFUNCTION("""COMPUTED_VALUE"""),929)</f>
        <v>929</v>
      </c>
      <c r="E3092" s="25" t="str">
        <f ca="1">IFERROR(__xludf.DUMMYFUNCTION("""COMPUTED_VALUE"""),"REA-K6371")</f>
        <v>REA-K6371</v>
      </c>
    </row>
    <row r="3093" spans="1:5" x14ac:dyDescent="0.2">
      <c r="A3093" s="22">
        <f ca="1">IFERROR(__xludf.DUMMYFUNCTION("""COMPUTED_VALUE"""),44539)</f>
        <v>44539</v>
      </c>
      <c r="B3093" s="23" t="str">
        <f ca="1">IFERROR(__xludf.DUMMYFUNCTION("""COMPUTED_VALUE"""),"Drzwi Molier Chrom 100 + adapter")</f>
        <v>Drzwi Molier Chrom 100 + adapter</v>
      </c>
      <c r="C3093" s="23"/>
      <c r="D3093" s="24">
        <f ca="1">IFERROR(__xludf.DUMMYFUNCTION("""COMPUTED_VALUE"""),1199)</f>
        <v>1199</v>
      </c>
      <c r="E3093" s="26"/>
    </row>
    <row r="3094" spans="1:5" x14ac:dyDescent="0.2">
      <c r="A3094" s="22">
        <f ca="1">IFERROR(__xludf.DUMMYFUNCTION("""COMPUTED_VALUE"""),44539)</f>
        <v>44539</v>
      </c>
      <c r="B3094" s="23" t="str">
        <f ca="1">IFERROR(__xludf.DUMMYFUNCTION("""COMPUTED_VALUE"""),"DRZWI PRYSZNICOWE MOLIER 90 CHROM")</f>
        <v>DRZWI PRYSZNICOWE MOLIER 90 CHROM</v>
      </c>
      <c r="C3094" s="23"/>
      <c r="D3094" s="24">
        <f ca="1">IFERROR(__xludf.DUMMYFUNCTION("""COMPUTED_VALUE"""),859)</f>
        <v>859</v>
      </c>
      <c r="E3094" s="25" t="str">
        <f ca="1">IFERROR(__xludf.DUMMYFUNCTION("""COMPUTED_VALUE"""),"REA-K8539")</f>
        <v>REA-K8539</v>
      </c>
    </row>
    <row r="3095" spans="1:5" x14ac:dyDescent="0.2">
      <c r="A3095" s="22">
        <f ca="1">IFERROR(__xludf.DUMMYFUNCTION("""COMPUTED_VALUE"""),44539)</f>
        <v>44539</v>
      </c>
      <c r="B3095" s="23" t="str">
        <f ca="1">IFERROR(__xludf.DUMMYFUNCTION("""COMPUTED_VALUE"""),"Drzwi Molier Chrom 90 + adapter")</f>
        <v>Drzwi Molier Chrom 90 + adapter</v>
      </c>
      <c r="C3095" s="23"/>
      <c r="D3095" s="24">
        <f ca="1">IFERROR(__xludf.DUMMYFUNCTION("""COMPUTED_VALUE"""),1169)</f>
        <v>1169</v>
      </c>
      <c r="E3095" s="26"/>
    </row>
    <row r="3096" spans="1:5" x14ac:dyDescent="0.2">
      <c r="A3096" s="22">
        <f ca="1">IFERROR(__xludf.DUMMYFUNCTION("""COMPUTED_VALUE"""),44539)</f>
        <v>44539</v>
      </c>
      <c r="B3096" s="23" t="str">
        <f ca="1">IFERROR(__xludf.DUMMYFUNCTION("""COMPUTED_VALUE"""),"DRZWI PRYSZNICOWE SOLAR L.GOLD 120")</f>
        <v>DRZWI PRYSZNICOWE SOLAR L.GOLD 120</v>
      </c>
      <c r="C3096" s="23"/>
      <c r="D3096" s="24">
        <f ca="1">IFERROR(__xludf.DUMMYFUNCTION("""COMPUTED_VALUE"""),999)</f>
        <v>999</v>
      </c>
      <c r="E3096" s="25" t="str">
        <f ca="1">IFERROR(__xludf.DUMMYFUNCTION("""COMPUTED_VALUE"""),"REA-K6548")</f>
        <v>REA-K6548</v>
      </c>
    </row>
    <row r="3097" spans="1:5" x14ac:dyDescent="0.2">
      <c r="A3097" s="22">
        <f ca="1">IFERROR(__xludf.DUMMYFUNCTION("""COMPUTED_VALUE"""),44539)</f>
        <v>44539</v>
      </c>
      <c r="B3097" s="23" t="str">
        <f ca="1">IFERROR(__xludf.DUMMYFUNCTION("""COMPUTED_VALUE"""),"DRZWI WESTERN SPACE N2 80 TR")</f>
        <v>DRZWI WESTERN SPACE N2 80 TR</v>
      </c>
      <c r="C3097" s="23"/>
      <c r="D3097" s="24">
        <f ca="1">IFERROR(__xludf.DUMMYFUNCTION("""COMPUTED_VALUE"""),680)</f>
        <v>680</v>
      </c>
      <c r="E3097" s="25" t="str">
        <f ca="1">IFERROR(__xludf.DUMMYFUNCTION("""COMPUTED_VALUE"""),"REA-K9992")</f>
        <v>REA-K9992</v>
      </c>
    </row>
    <row r="3098" spans="1:5" x14ac:dyDescent="0.2">
      <c r="A3098" s="22">
        <f ca="1">IFERROR(__xludf.DUMMYFUNCTION("""COMPUTED_VALUE"""),44539)</f>
        <v>44539</v>
      </c>
      <c r="B3098" s="23" t="str">
        <f ca="1">IFERROR(__xludf.DUMMYFUNCTION("""COMPUTED_VALUE"""),"ŚCIANKA DO RAPID 100")</f>
        <v>ŚCIANKA DO RAPID 100</v>
      </c>
      <c r="C3098" s="23"/>
      <c r="D3098" s="24">
        <f ca="1">IFERROR(__xludf.DUMMYFUNCTION("""COMPUTED_VALUE"""),550)</f>
        <v>550</v>
      </c>
      <c r="E3098" s="25" t="str">
        <f ca="1">IFERROR(__xludf.DUMMYFUNCTION("""COMPUTED_VALUE"""),"REA-K6423")</f>
        <v>REA-K6423</v>
      </c>
    </row>
    <row r="3099" spans="1:5" x14ac:dyDescent="0.2">
      <c r="A3099" s="22">
        <f ca="1">IFERROR(__xludf.DUMMYFUNCTION("""COMPUTED_VALUE"""),44539)</f>
        <v>44539</v>
      </c>
      <c r="B3099" s="23" t="str">
        <f ca="1">IFERROR(__xludf.DUMMYFUNCTION("""COMPUTED_VALUE"""),"KABINA FARGO BLACK 80X100 U")</f>
        <v>KABINA FARGO BLACK 80X100 U</v>
      </c>
      <c r="C3099" s="23"/>
      <c r="D3099" s="24">
        <f ca="1">IFERROR(__xludf.DUMMYFUNCTION("""COMPUTED_VALUE"""),1629)</f>
        <v>1629</v>
      </c>
      <c r="E3099" s="25" t="str">
        <f ca="1">IFERROR(__xludf.DUMMYFUNCTION("""COMPUTED_VALUE"""),"REA-K6950")</f>
        <v>REA-K6950</v>
      </c>
    </row>
    <row r="3100" spans="1:5" x14ac:dyDescent="0.2">
      <c r="A3100" s="22">
        <f ca="1">IFERROR(__xludf.DUMMYFUNCTION("""COMPUTED_VALUE"""),44539)</f>
        <v>44539</v>
      </c>
      <c r="B3100" s="23" t="str">
        <f ca="1">IFERROR(__xludf.DUMMYFUNCTION("""COMPUTED_VALUE"""),"ŚCIANKA PRYSZNICOWA 110 BLER-1")</f>
        <v>ŚCIANKA PRYSZNICOWA 110 BLER-1</v>
      </c>
      <c r="C3100" s="23"/>
      <c r="D3100" s="24">
        <f ca="1">IFERROR(__xludf.DUMMYFUNCTION("""COMPUTED_VALUE"""),959)</f>
        <v>959</v>
      </c>
      <c r="E3100" s="25" t="str">
        <f ca="1">IFERROR(__xludf.DUMMYFUNCTION("""COMPUTED_VALUE"""),"REA-K7956")</f>
        <v>REA-K7956</v>
      </c>
    </row>
    <row r="3101" spans="1:5" x14ac:dyDescent="0.2">
      <c r="A3101" s="22">
        <f ca="1">IFERROR(__xludf.DUMMYFUNCTION("""COMPUTED_VALUE"""),44539)</f>
        <v>44539</v>
      </c>
      <c r="B3101" s="23" t="str">
        <f ca="1">IFERROR(__xludf.DUMMYFUNCTION("""COMPUTED_VALUE"""),"DRZWI PRYSZNICOWE SOLAR BLACK 100")</f>
        <v>DRZWI PRYSZNICOWE SOLAR BLACK 100</v>
      </c>
      <c r="C3101" s="23"/>
      <c r="D3101" s="24">
        <f ca="1">IFERROR(__xludf.DUMMYFUNCTION("""COMPUTED_VALUE"""),899)</f>
        <v>899</v>
      </c>
      <c r="E3101" s="25" t="str">
        <f ca="1">IFERROR(__xludf.DUMMYFUNCTION("""COMPUTED_VALUE"""),"REA-K6512")</f>
        <v>REA-K6512</v>
      </c>
    </row>
    <row r="3102" spans="1:5" x14ac:dyDescent="0.2">
      <c r="A3102" s="22">
        <f ca="1">IFERROR(__xludf.DUMMYFUNCTION("""COMPUTED_VALUE"""),44539)</f>
        <v>44539</v>
      </c>
      <c r="B3102" s="23" t="str">
        <f ca="1">IFERROR(__xludf.DUMMYFUNCTION("""COMPUTED_VALUE"""),"UMYWALKA ROYAL 60 GOLD - NABLATOWA")</f>
        <v>UMYWALKA ROYAL 60 GOLD - NABLATOWA</v>
      </c>
      <c r="C3102" s="23"/>
      <c r="D3102" s="24">
        <f ca="1">IFERROR(__xludf.DUMMYFUNCTION("""COMPUTED_VALUE"""),489)</f>
        <v>489</v>
      </c>
      <c r="E3102" s="25" t="str">
        <f ca="1">IFERROR(__xludf.DUMMYFUNCTION("""COMPUTED_VALUE"""),"REA-U4545")</f>
        <v>REA-U4545</v>
      </c>
    </row>
    <row r="3103" spans="1:5" x14ac:dyDescent="0.2">
      <c r="A3103" s="22">
        <f ca="1">IFERROR(__xludf.DUMMYFUNCTION("""COMPUTED_VALUE"""),44539)</f>
        <v>44539</v>
      </c>
      <c r="B3103" s="23" t="str">
        <f ca="1">IFERROR(__xludf.DUMMYFUNCTION("""COMPUTED_VALUE"""),"UMYWALKA ROYAL 60 - NABLATOWA")</f>
        <v>UMYWALKA ROYAL 60 - NABLATOWA</v>
      </c>
      <c r="C3103" s="23"/>
      <c r="D3103" s="24">
        <f ca="1">IFERROR(__xludf.DUMMYFUNCTION("""COMPUTED_VALUE"""),329)</f>
        <v>329</v>
      </c>
      <c r="E3103" s="25" t="str">
        <f ca="1">IFERROR(__xludf.DUMMYFUNCTION("""COMPUTED_VALUE"""),"REA-U0441")</f>
        <v>REA-U0441</v>
      </c>
    </row>
    <row r="3104" spans="1:5" x14ac:dyDescent="0.2">
      <c r="A3104" s="22">
        <f ca="1">IFERROR(__xludf.DUMMYFUNCTION("""COMPUTED_VALUE"""),44533)</f>
        <v>44533</v>
      </c>
      <c r="B3104" s="23" t="str">
        <f ca="1">IFERROR(__xludf.DUMMYFUNCTION("""COMPUTED_VALUE"""),"UMYWALKA DENIS WHITE - NABLATOWA")</f>
        <v>UMYWALKA DENIS WHITE - NABLATOWA</v>
      </c>
      <c r="C3104" s="23"/>
      <c r="D3104" s="24">
        <f ca="1">IFERROR(__xludf.DUMMYFUNCTION("""COMPUTED_VALUE"""),329)</f>
        <v>329</v>
      </c>
      <c r="E3104" s="25" t="str">
        <f ca="1">IFERROR(__xludf.DUMMYFUNCTION("""COMPUTED_VALUE"""),"REA-U4800")</f>
        <v>REA-U4800</v>
      </c>
    </row>
    <row r="3105" spans="1:5" x14ac:dyDescent="0.2">
      <c r="A3105" s="22">
        <f ca="1">IFERROR(__xludf.DUMMYFUNCTION("""COMPUTED_VALUE"""),44533)</f>
        <v>44533</v>
      </c>
      <c r="B3105" s="23" t="str">
        <f ca="1">IFERROR(__xludf.DUMMYFUNCTION("""COMPUTED_VALUE"""),"WC - CARLOS RIMLESS DUROPLAST/FLAT/ZM AIAX SHINY")</f>
        <v>WC - CARLOS RIMLESS DUROPLAST/FLAT/ZM AIAX SHINY</v>
      </c>
      <c r="C3105" s="23"/>
      <c r="D3105" s="24">
        <f ca="1">IFERROR(__xludf.DUMMYFUNCTION("""COMPUTED_VALUE"""),1099)</f>
        <v>1099</v>
      </c>
      <c r="E3105" s="25" t="str">
        <f ca="1">IFERROR(__xludf.DUMMYFUNCTION("""COMPUTED_VALUE"""),"REA-C6385")</f>
        <v>REA-C6385</v>
      </c>
    </row>
    <row r="3106" spans="1:5" x14ac:dyDescent="0.2">
      <c r="A3106" s="22">
        <f ca="1">IFERROR(__xludf.DUMMYFUNCTION("""COMPUTED_VALUE"""),44533)</f>
        <v>44533</v>
      </c>
      <c r="B3106" s="23" t="str">
        <f ca="1">IFERROR(__xludf.DUMMYFUNCTION("""COMPUTED_VALUE"""),"BIDET CARLO MINI BLACK MAT")</f>
        <v>BIDET CARLO MINI BLACK MAT</v>
      </c>
      <c r="C3106" s="23"/>
      <c r="D3106" s="24">
        <f ca="1">IFERROR(__xludf.DUMMYFUNCTION("""COMPUTED_VALUE"""),859)</f>
        <v>859</v>
      </c>
      <c r="E3106" s="25" t="str">
        <f ca="1">IFERROR(__xludf.DUMMYFUNCTION("""COMPUTED_VALUE"""),"REA-C9901")</f>
        <v>REA-C9901</v>
      </c>
    </row>
    <row r="3107" spans="1:5" x14ac:dyDescent="0.2">
      <c r="A3107" s="22">
        <f ca="1">IFERROR(__xludf.DUMMYFUNCTION("""COMPUTED_VALUE"""),44533)</f>
        <v>44533</v>
      </c>
      <c r="B3107" s="23" t="str">
        <f ca="1">IFERROR(__xludf.DUMMYFUNCTION("""COMPUTED_VALUE"""),"UMYWALKA ROYAL 60 BLACK - NABLATOWA")</f>
        <v>UMYWALKA ROYAL 60 BLACK - NABLATOWA</v>
      </c>
      <c r="C3107" s="23"/>
      <c r="D3107" s="24">
        <f ca="1">IFERROR(__xludf.DUMMYFUNCTION("""COMPUTED_VALUE"""),469)</f>
        <v>469</v>
      </c>
      <c r="E3107" s="25" t="str">
        <f ca="1">IFERROR(__xludf.DUMMYFUNCTION("""COMPUTED_VALUE"""),"REA-U0445")</f>
        <v>REA-U0445</v>
      </c>
    </row>
    <row r="3108" spans="1:5" x14ac:dyDescent="0.2">
      <c r="A3108" s="22">
        <f ca="1">IFERROR(__xludf.DUMMYFUNCTION("""COMPUTED_VALUE"""),44533)</f>
        <v>44533</v>
      </c>
      <c r="B3108" s="23" t="str">
        <f ca="1">IFERROR(__xludf.DUMMYFUNCTION("""COMPUTED_VALUE"""),"UMYWALKA MONA SLIM - NABLATOWA")</f>
        <v>UMYWALKA MONA SLIM - NABLATOWA</v>
      </c>
      <c r="C3108" s="23"/>
      <c r="D3108" s="24">
        <f ca="1">IFERROR(__xludf.DUMMYFUNCTION("""COMPUTED_VALUE"""),239)</f>
        <v>239</v>
      </c>
      <c r="E3108" s="25" t="str">
        <f ca="1">IFERROR(__xludf.DUMMYFUNCTION("""COMPUTED_VALUE"""),"REA-U6300")</f>
        <v>REA-U6300</v>
      </c>
    </row>
    <row r="3109" spans="1:5" x14ac:dyDescent="0.2">
      <c r="A3109" s="22">
        <f ca="1">IFERROR(__xludf.DUMMYFUNCTION("""COMPUTED_VALUE"""),44533)</f>
        <v>44533</v>
      </c>
      <c r="B3109" s="23" t="str">
        <f ca="1">IFERROR(__xludf.DUMMYFUNCTION("""COMPUTED_VALUE"""),"UMYWALKA SOFIA SHINY AIAX - NABLATOWA")</f>
        <v>UMYWALKA SOFIA SHINY AIAX - NABLATOWA</v>
      </c>
      <c r="C3109" s="23"/>
      <c r="D3109" s="24">
        <f ca="1">IFERROR(__xludf.DUMMYFUNCTION("""COMPUTED_VALUE"""),379)</f>
        <v>379</v>
      </c>
      <c r="E3109" s="25" t="str">
        <f ca="1">IFERROR(__xludf.DUMMYFUNCTION("""COMPUTED_VALUE"""),"REA-U6597")</f>
        <v>REA-U6597</v>
      </c>
    </row>
    <row r="3110" spans="1:5" x14ac:dyDescent="0.2">
      <c r="A3110" s="22">
        <f ca="1">IFERROR(__xludf.DUMMYFUNCTION("""COMPUTED_VALUE"""),44533)</f>
        <v>44533</v>
      </c>
      <c r="B3110" s="23" t="str">
        <f ca="1">IFERROR(__xludf.DUMMYFUNCTION("""COMPUTED_VALUE"""),"DRZWI PRYSZNICOWE MOLIER 80 CHROM")</f>
        <v>DRZWI PRYSZNICOWE MOLIER 80 CHROM</v>
      </c>
      <c r="C3110" s="23"/>
      <c r="D3110" s="24">
        <f ca="1">IFERROR(__xludf.DUMMYFUNCTION("""COMPUTED_VALUE"""),889)</f>
        <v>889</v>
      </c>
      <c r="E3110" s="25" t="str">
        <f ca="1">IFERROR(__xludf.DUMMYFUNCTION("""COMPUTED_VALUE"""),"REA-K6367")</f>
        <v>REA-K6367</v>
      </c>
    </row>
    <row r="3111" spans="1:5" x14ac:dyDescent="0.2">
      <c r="A3111" s="22">
        <f ca="1">IFERROR(__xludf.DUMMYFUNCTION("""COMPUTED_VALUE"""),44533)</f>
        <v>44533</v>
      </c>
      <c r="B3111" s="23" t="str">
        <f ca="1">IFERROR(__xludf.DUMMYFUNCTION("""COMPUTED_VALUE"""),"Drzwi Molier Chrom 80 + adapter")</f>
        <v>Drzwi Molier Chrom 80 + adapter</v>
      </c>
      <c r="C3111" s="23"/>
      <c r="D3111" s="24">
        <f ca="1">IFERROR(__xludf.DUMMYFUNCTION("""COMPUTED_VALUE"""),1088)</f>
        <v>1088</v>
      </c>
      <c r="E3111" s="26"/>
    </row>
    <row r="3112" spans="1:5" x14ac:dyDescent="0.2">
      <c r="A3112" s="22">
        <f ca="1">IFERROR(__xludf.DUMMYFUNCTION("""COMPUTED_VALUE"""),44533)</f>
        <v>44533</v>
      </c>
      <c r="B3112" s="23" t="str">
        <f ca="1">IFERROR(__xludf.DUMMYFUNCTION("""COMPUTED_VALUE"""),"DRZWI PRYSZNICOWE MOLIER 80 BLACK")</f>
        <v>DRZWI PRYSZNICOWE MOLIER 80 BLACK</v>
      </c>
      <c r="C3112" s="23"/>
      <c r="D3112" s="24">
        <f ca="1">IFERROR(__xludf.DUMMYFUNCTION("""COMPUTED_VALUE"""),889)</f>
        <v>889</v>
      </c>
      <c r="E3112" s="25" t="str">
        <f ca="1">IFERROR(__xludf.DUMMYFUNCTION("""COMPUTED_VALUE"""),"REA-K8537")</f>
        <v>REA-K8537</v>
      </c>
    </row>
    <row r="3113" spans="1:5" x14ac:dyDescent="0.2">
      <c r="A3113" s="22">
        <f ca="1">IFERROR(__xludf.DUMMYFUNCTION("""COMPUTED_VALUE"""),44533)</f>
        <v>44533</v>
      </c>
      <c r="B3113" s="23" t="str">
        <f ca="1">IFERROR(__xludf.DUMMYFUNCTION("""COMPUTED_VALUE"""),"Drzwi Molier Black 80 + adapter")</f>
        <v>Drzwi Molier Black 80 + adapter</v>
      </c>
      <c r="C3113" s="23"/>
      <c r="D3113" s="24">
        <f ca="1">IFERROR(__xludf.DUMMYFUNCTION("""COMPUTED_VALUE"""),1138)</f>
        <v>1138</v>
      </c>
      <c r="E3113" s="26"/>
    </row>
    <row r="3114" spans="1:5" x14ac:dyDescent="0.2">
      <c r="A3114" s="22">
        <f ca="1">IFERROR(__xludf.DUMMYFUNCTION("""COMPUTED_VALUE"""),44533)</f>
        <v>44533</v>
      </c>
      <c r="B3114" s="23" t="str">
        <f ca="1">IFERROR(__xludf.DUMMYFUNCTION("""COMPUTED_VALUE"""),"UMYWALKA ARLETA - WPUSZCZANA")</f>
        <v>UMYWALKA ARLETA - WPUSZCZANA</v>
      </c>
      <c r="C3114" s="23"/>
      <c r="D3114" s="24">
        <f ca="1">IFERROR(__xludf.DUMMYFUNCTION("""COMPUTED_VALUE"""),279)</f>
        <v>279</v>
      </c>
      <c r="E3114" s="25" t="str">
        <f ca="1">IFERROR(__xludf.DUMMYFUNCTION("""COMPUTED_VALUE"""),"REA-U8700")</f>
        <v>REA-U8700</v>
      </c>
    </row>
    <row r="3115" spans="1:5" x14ac:dyDescent="0.2">
      <c r="A3115" s="22">
        <f ca="1">IFERROR(__xludf.DUMMYFUNCTION("""COMPUTED_VALUE"""),44533)</f>
        <v>44533</v>
      </c>
      <c r="B3115" s="23" t="str">
        <f ca="1">IFERROR(__xludf.DUMMYFUNCTION("""COMPUTED_VALUE"""),"UMYWALKA ADELA - PODBLATOWA")</f>
        <v>UMYWALKA ADELA - PODBLATOWA</v>
      </c>
      <c r="C3115" s="23"/>
      <c r="D3115" s="24">
        <f ca="1">IFERROR(__xludf.DUMMYFUNCTION("""COMPUTED_VALUE"""),199)</f>
        <v>199</v>
      </c>
      <c r="E3115" s="25" t="str">
        <f ca="1">IFERROR(__xludf.DUMMYFUNCTION("""COMPUTED_VALUE"""),"REA-U6653")</f>
        <v>REA-U6653</v>
      </c>
    </row>
    <row r="3116" spans="1:5" x14ac:dyDescent="0.2">
      <c r="A3116" s="22">
        <f ca="1">IFERROR(__xludf.DUMMYFUNCTION("""COMPUTED_VALUE"""),44533)</f>
        <v>44533</v>
      </c>
      <c r="B3116" s="23" t="str">
        <f ca="1">IFERROR(__xludf.DUMMYFUNCTION("""COMPUTED_VALUE"""),"UMYWALKA BERTA 55 -NABLATOWA")</f>
        <v>UMYWALKA BERTA 55 -NABLATOWA</v>
      </c>
      <c r="C3116" s="23"/>
      <c r="D3116" s="24">
        <f ca="1">IFERROR(__xludf.DUMMYFUNCTION("""COMPUTED_VALUE"""),379)</f>
        <v>379</v>
      </c>
      <c r="E3116" s="25" t="str">
        <f ca="1">IFERROR(__xludf.DUMMYFUNCTION("""COMPUTED_VALUE"""),"REA-U5055")</f>
        <v>REA-U5055</v>
      </c>
    </row>
    <row r="3117" spans="1:5" x14ac:dyDescent="0.2">
      <c r="A3117" s="22">
        <f ca="1">IFERROR(__xludf.DUMMYFUNCTION("""COMPUTED_VALUE"""),44533)</f>
        <v>44533</v>
      </c>
      <c r="B3117" s="23" t="str">
        <f ca="1">IFERROR(__xludf.DUMMYFUNCTION("""COMPUTED_VALUE"""),"UMYWALKA MERYL BLACK - NABLATOWA")</f>
        <v>UMYWALKA MERYL BLACK - NABLATOWA</v>
      </c>
      <c r="C3117" s="23"/>
      <c r="D3117" s="24">
        <f ca="1">IFERROR(__xludf.DUMMYFUNCTION("""COMPUTED_VALUE"""),649)</f>
        <v>649</v>
      </c>
      <c r="E3117" s="25" t="str">
        <f ca="1">IFERROR(__xludf.DUMMYFUNCTION("""COMPUTED_VALUE"""),"REA-U8811")</f>
        <v>REA-U8811</v>
      </c>
    </row>
    <row r="3118" spans="1:5" x14ac:dyDescent="0.2">
      <c r="A3118" s="22">
        <f ca="1">IFERROR(__xludf.DUMMYFUNCTION("""COMPUTED_VALUE"""),44533)</f>
        <v>44533</v>
      </c>
      <c r="B3118" s="23" t="str">
        <f ca="1">IFERROR(__xludf.DUMMYFUNCTION("""COMPUTED_VALUE"""),"UMYWALKA MARGOT BLACK GOLD  - NABLATOWA")</f>
        <v>UMYWALKA MARGOT BLACK GOLD  - NABLATOWA</v>
      </c>
      <c r="C3118" s="23"/>
      <c r="D3118" s="24">
        <f ca="1">IFERROR(__xludf.DUMMYFUNCTION("""COMPUTED_VALUE"""),619)</f>
        <v>619</v>
      </c>
      <c r="E3118" s="25" t="str">
        <f ca="1">IFERROR(__xludf.DUMMYFUNCTION("""COMPUTED_VALUE"""),"REA-U8978")</f>
        <v>REA-U8978</v>
      </c>
    </row>
    <row r="3119" spans="1:5" x14ac:dyDescent="0.2">
      <c r="A3119" s="22">
        <f ca="1">IFERROR(__xludf.DUMMYFUNCTION("""COMPUTED_VALUE"""),44533)</f>
        <v>44533</v>
      </c>
      <c r="B3119" s="23" t="str">
        <f ca="1">IFERROR(__xludf.DUMMYFUNCTION("""COMPUTED_VALUE"""),"UMYWALKA SOFIA GOLD EDGE - NABLATOWA")</f>
        <v>UMYWALKA SOFIA GOLD EDGE - NABLATOWA</v>
      </c>
      <c r="C3119" s="23"/>
      <c r="D3119" s="24">
        <f ca="1">IFERROR(__xludf.DUMMYFUNCTION("""COMPUTED_VALUE"""),349)</f>
        <v>349</v>
      </c>
      <c r="E3119" s="25" t="str">
        <f ca="1">IFERROR(__xludf.DUMMYFUNCTION("""COMPUTED_VALUE"""),"REA-U3287")</f>
        <v>REA-U3287</v>
      </c>
    </row>
    <row r="3120" spans="1:5" x14ac:dyDescent="0.2">
      <c r="A3120" s="22">
        <f ca="1">IFERROR(__xludf.DUMMYFUNCTION("""COMPUTED_VALUE"""),44533)</f>
        <v>44533</v>
      </c>
      <c r="B3120" s="23" t="str">
        <f ca="1">IFERROR(__xludf.DUMMYFUNCTION("""COMPUTED_VALUE"""),"UMYWALKA TANGO WHITE - NABLATOWA")</f>
        <v>UMYWALKA TANGO WHITE - NABLATOWA</v>
      </c>
      <c r="C3120" s="23"/>
      <c r="D3120" s="24">
        <f ca="1">IFERROR(__xludf.DUMMYFUNCTION("""COMPUTED_VALUE"""),299)</f>
        <v>299</v>
      </c>
      <c r="E3120" s="25" t="str">
        <f ca="1">IFERROR(__xludf.DUMMYFUNCTION("""COMPUTED_VALUE"""),"REA-U5610")</f>
        <v>REA-U5610</v>
      </c>
    </row>
    <row r="3121" spans="1:5" x14ac:dyDescent="0.2">
      <c r="A3121" s="22">
        <f ca="1">IFERROR(__xludf.DUMMYFUNCTION("""COMPUTED_VALUE"""),44533)</f>
        <v>44533</v>
      </c>
      <c r="B3121" s="23" t="str">
        <f ca="1">IFERROR(__xludf.DUMMYFUNCTION("""COMPUTED_VALUE"""),"UMYWALKA VEGAS MARBLE BLACK SHINY-NABLATOWA")</f>
        <v>UMYWALKA VEGAS MARBLE BLACK SHINY-NABLATOWA</v>
      </c>
      <c r="C3121" s="23"/>
      <c r="D3121" s="24">
        <f ca="1">IFERROR(__xludf.DUMMYFUNCTION("""COMPUTED_VALUE"""),259)</f>
        <v>259</v>
      </c>
      <c r="E3121" s="25" t="str">
        <f ca="1">IFERROR(__xludf.DUMMYFUNCTION("""COMPUTED_VALUE"""),"REA-U5603")</f>
        <v>REA-U5603</v>
      </c>
    </row>
    <row r="3122" spans="1:5" x14ac:dyDescent="0.2">
      <c r="A3122" s="22">
        <f ca="1">IFERROR(__xludf.DUMMYFUNCTION("""COMPUTED_VALUE"""),44533)</f>
        <v>44533</v>
      </c>
      <c r="B3122" s="23" t="str">
        <f ca="1">IFERROR(__xludf.DUMMYFUNCTION("""COMPUTED_VALUE"""),"UMYWALKA SOFIA MARBLE BLACK SHINY-NABLATOWA")</f>
        <v>UMYWALKA SOFIA MARBLE BLACK SHINY-NABLATOWA</v>
      </c>
      <c r="C3122" s="23"/>
      <c r="D3122" s="24">
        <f ca="1">IFERROR(__xludf.DUMMYFUNCTION("""COMPUTED_VALUE"""),329)</f>
        <v>329</v>
      </c>
      <c r="E3122" s="25" t="str">
        <f ca="1">IFERROR(__xludf.DUMMYFUNCTION("""COMPUTED_VALUE"""),"REA-U5611")</f>
        <v>REA-U5611</v>
      </c>
    </row>
    <row r="3123" spans="1:5" x14ac:dyDescent="0.2">
      <c r="A3123" s="22">
        <f ca="1">IFERROR(__xludf.DUMMYFUNCTION("""COMPUTED_VALUE"""),44533)</f>
        <v>44533</v>
      </c>
      <c r="B3123" s="23" t="str">
        <f ca="1">IFERROR(__xludf.DUMMYFUNCTION("""COMPUTED_VALUE"""),"UMYWALKA LINDA GRANIT MATT - NABLATOWA")</f>
        <v>UMYWALKA LINDA GRANIT MATT - NABLATOWA</v>
      </c>
      <c r="C3123" s="23"/>
      <c r="D3123" s="24">
        <f ca="1">IFERROR(__xludf.DUMMYFUNCTION("""COMPUTED_VALUE"""),349)</f>
        <v>349</v>
      </c>
      <c r="E3123" s="25" t="str">
        <f ca="1">IFERROR(__xludf.DUMMYFUNCTION("""COMPUTED_VALUE"""),"REA-U8567")</f>
        <v>REA-U8567</v>
      </c>
    </row>
    <row r="3124" spans="1:5" x14ac:dyDescent="0.2">
      <c r="A3124" s="22">
        <f ca="1">IFERROR(__xludf.DUMMYFUNCTION("""COMPUTED_VALUE"""),44533)</f>
        <v>44533</v>
      </c>
      <c r="B3124" s="23" t="str">
        <f ca="1">IFERROR(__xludf.DUMMYFUNCTION("""COMPUTED_VALUE"""),"UMYWALKA LIVIA BEIGE - NABLATOWA")</f>
        <v>UMYWALKA LIVIA BEIGE - NABLATOWA</v>
      </c>
      <c r="C3124" s="23"/>
      <c r="D3124" s="24">
        <f ca="1">IFERROR(__xludf.DUMMYFUNCTION("""COMPUTED_VALUE"""),349)</f>
        <v>349</v>
      </c>
      <c r="E3124" s="25" t="str">
        <f ca="1">IFERROR(__xludf.DUMMYFUNCTION("""COMPUTED_VALUE"""),"REA-U3802")</f>
        <v>REA-U3802</v>
      </c>
    </row>
    <row r="3125" spans="1:5" x14ac:dyDescent="0.2">
      <c r="A3125" s="22">
        <f ca="1">IFERROR(__xludf.DUMMYFUNCTION("""COMPUTED_VALUE"""),44533)</f>
        <v>44533</v>
      </c>
      <c r="B3125" s="23" t="str">
        <f ca="1">IFERROR(__xludf.DUMMYFUNCTION("""COMPUTED_VALUE"""),"UMYWALKA LIVIA GREY - NABLATOWA")</f>
        <v>UMYWALKA LIVIA GREY - NABLATOWA</v>
      </c>
      <c r="C3125" s="23"/>
      <c r="D3125" s="24">
        <f ca="1">IFERROR(__xludf.DUMMYFUNCTION("""COMPUTED_VALUE"""),349)</f>
        <v>349</v>
      </c>
      <c r="E3125" s="25" t="str">
        <f ca="1">IFERROR(__xludf.DUMMYFUNCTION("""COMPUTED_VALUE"""),"REA-U3801")</f>
        <v>REA-U3801</v>
      </c>
    </row>
    <row r="3126" spans="1:5" x14ac:dyDescent="0.2">
      <c r="A3126" s="22">
        <f ca="1">IFERROR(__xludf.DUMMYFUNCTION("""COMPUTED_VALUE"""),44533)</f>
        <v>44533</v>
      </c>
      <c r="B3126" s="23" t="str">
        <f ca="1">IFERROR(__xludf.DUMMYFUNCTION("""COMPUTED_VALUE"""),"UMYWALKA LIVIA STONE - NABLATOWA")</f>
        <v>UMYWALKA LIVIA STONE - NABLATOWA</v>
      </c>
      <c r="C3126" s="23"/>
      <c r="D3126" s="24">
        <f ca="1">IFERROR(__xludf.DUMMYFUNCTION("""COMPUTED_VALUE"""),359)</f>
        <v>359</v>
      </c>
      <c r="E3126" s="25" t="str">
        <f ca="1">IFERROR(__xludf.DUMMYFUNCTION("""COMPUTED_VALUE"""),"REA-U3800")</f>
        <v>REA-U3800</v>
      </c>
    </row>
    <row r="3127" spans="1:5" x14ac:dyDescent="0.2">
      <c r="A3127" s="22">
        <f ca="1">IFERROR(__xludf.DUMMYFUNCTION("""COMPUTED_VALUE"""),44533)</f>
        <v>44533</v>
      </c>
      <c r="B3127" s="23" t="str">
        <f ca="1">IFERROR(__xludf.DUMMYFUNCTION("""COMPUTED_VALUE"""),"UMYWALKA CINDY - NABLATOWA")</f>
        <v>UMYWALKA CINDY - NABLATOWA</v>
      </c>
      <c r="C3127" s="23"/>
      <c r="D3127" s="24">
        <f ca="1">IFERROR(__xludf.DUMMYFUNCTION("""COMPUTED_VALUE"""),279)</f>
        <v>279</v>
      </c>
      <c r="E3127" s="25" t="str">
        <f ca="1">IFERROR(__xludf.DUMMYFUNCTION("""COMPUTED_VALUE"""),"REA-U0155")</f>
        <v>REA-U0155</v>
      </c>
    </row>
    <row r="3128" spans="1:5" x14ac:dyDescent="0.2">
      <c r="A3128" s="22">
        <f ca="1">IFERROR(__xludf.DUMMYFUNCTION("""COMPUTED_VALUE"""),44533)</f>
        <v>44533</v>
      </c>
      <c r="B3128" s="23" t="str">
        <f ca="1">IFERROR(__xludf.DUMMYFUNCTION("""COMPUTED_VALUE"""),"UMYWALKA GINA 60 - NABLATOWA")</f>
        <v>UMYWALKA GINA 60 - NABLATOWA</v>
      </c>
      <c r="C3128" s="23"/>
      <c r="D3128" s="24">
        <f ca="1">IFERROR(__xludf.DUMMYFUNCTION("""COMPUTED_VALUE"""),419)</f>
        <v>419</v>
      </c>
      <c r="E3128" s="25" t="str">
        <f ca="1">IFERROR(__xludf.DUMMYFUNCTION("""COMPUTED_VALUE"""),"REA-U0677")</f>
        <v>REA-U0677</v>
      </c>
    </row>
    <row r="3129" spans="1:5" x14ac:dyDescent="0.2">
      <c r="A3129" s="22">
        <f ca="1">IFERROR(__xludf.DUMMYFUNCTION("""COMPUTED_VALUE"""),44533)</f>
        <v>44533</v>
      </c>
      <c r="B3129" s="23" t="str">
        <f ca="1">IFERROR(__xludf.DUMMYFUNCTION("""COMPUTED_VALUE"""),"UMYWALKA CAMELIA LIGHT STONE - NABLATOWA")</f>
        <v>UMYWALKA CAMELIA LIGHT STONE - NABLATOWA</v>
      </c>
      <c r="C3129" s="23"/>
      <c r="D3129" s="24">
        <f ca="1">IFERROR(__xludf.DUMMYFUNCTION("""COMPUTED_VALUE"""),319)</f>
        <v>319</v>
      </c>
      <c r="E3129" s="25" t="str">
        <f ca="1">IFERROR(__xludf.DUMMYFUNCTION("""COMPUTED_VALUE"""),"REA-U0362")</f>
        <v>REA-U0362</v>
      </c>
    </row>
    <row r="3130" spans="1:5" x14ac:dyDescent="0.2">
      <c r="A3130" s="22">
        <f ca="1">IFERROR(__xludf.DUMMYFUNCTION("""COMPUTED_VALUE"""),44533)</f>
        <v>44533</v>
      </c>
      <c r="B3130" s="23" t="str">
        <f ca="1">IFERROR(__xludf.DUMMYFUNCTION("""COMPUTED_VALUE"""),"MODUŁ KABINY FOLD N2 80")</f>
        <v>MODUŁ KABINY FOLD N2 80</v>
      </c>
      <c r="C3130" s="23"/>
      <c r="D3130" s="24">
        <f ca="1">IFERROR(__xludf.DUMMYFUNCTION("""COMPUTED_VALUE"""),790)</f>
        <v>790</v>
      </c>
      <c r="E3130" s="25" t="str">
        <f ca="1">IFERROR(__xludf.DUMMYFUNCTION("""COMPUTED_VALUE"""),"REA-K7443")</f>
        <v>REA-K7443</v>
      </c>
    </row>
    <row r="3131" spans="1:5" x14ac:dyDescent="0.2">
      <c r="A3131" s="22">
        <f ca="1">IFERROR(__xludf.DUMMYFUNCTION("""COMPUTED_VALUE"""),44533)</f>
        <v>44533</v>
      </c>
      <c r="B3131" s="23" t="str">
        <f ca="1">IFERROR(__xludf.DUMMYFUNCTION("""COMPUTED_VALUE"""),"MODUŁ KABINY FOLD N2 70")</f>
        <v>MODUŁ KABINY FOLD N2 70</v>
      </c>
      <c r="C3131" s="23"/>
      <c r="D3131" s="24">
        <f ca="1">IFERROR(__xludf.DUMMYFUNCTION("""COMPUTED_VALUE"""),779)</f>
        <v>779</v>
      </c>
      <c r="E3131" s="25" t="str">
        <f ca="1">IFERROR(__xludf.DUMMYFUNCTION("""COMPUTED_VALUE"""),"REA-K7444")</f>
        <v>REA-K7444</v>
      </c>
    </row>
    <row r="3132" spans="1:5" x14ac:dyDescent="0.2">
      <c r="A3132" s="22">
        <f ca="1">IFERROR(__xludf.DUMMYFUNCTION("""COMPUTED_VALUE"""),44533)</f>
        <v>44533</v>
      </c>
      <c r="B3132" s="23" t="str">
        <f ca="1">IFERROR(__xludf.DUMMYFUNCTION("""COMPUTED_VALUE"""),"DRZWI WESTERN SPACE N2 90 TR")</f>
        <v>DRZWI WESTERN SPACE N2 90 TR</v>
      </c>
      <c r="C3132" s="23"/>
      <c r="D3132" s="24">
        <f ca="1">IFERROR(__xludf.DUMMYFUNCTION("""COMPUTED_VALUE"""),760)</f>
        <v>760</v>
      </c>
      <c r="E3132" s="25" t="str">
        <f ca="1">IFERROR(__xludf.DUMMYFUNCTION("""COMPUTED_VALUE"""),"REA-K9993")</f>
        <v>REA-K9993</v>
      </c>
    </row>
    <row r="3133" spans="1:5" x14ac:dyDescent="0.2">
      <c r="A3133" s="22">
        <f ca="1">IFERROR(__xludf.DUMMYFUNCTION("""COMPUTED_VALUE"""),44533)</f>
        <v>44533</v>
      </c>
      <c r="B3133" s="23" t="str">
        <f ca="1">IFERROR(__xludf.DUMMYFUNCTION("""COMPUTED_VALUE"""),"MODUŁ KABINY FOLD N2 120")</f>
        <v>MODUŁ KABINY FOLD N2 120</v>
      </c>
      <c r="C3133" s="23"/>
      <c r="D3133" s="24">
        <f ca="1">IFERROR(__xludf.DUMMYFUNCTION("""COMPUTED_VALUE"""),920)</f>
        <v>920</v>
      </c>
      <c r="E3133" s="25" t="str">
        <f ca="1">IFERROR(__xludf.DUMMYFUNCTION("""COMPUTED_VALUE"""),"REA-K7437")</f>
        <v>REA-K7437</v>
      </c>
    </row>
    <row r="3134" spans="1:5" x14ac:dyDescent="0.2">
      <c r="A3134" s="22">
        <f ca="1">IFERROR(__xludf.DUMMYFUNCTION("""COMPUTED_VALUE"""),44533)</f>
        <v>44533</v>
      </c>
      <c r="B3134" s="23" t="str">
        <f ca="1">IFERROR(__xludf.DUMMYFUNCTION("""COMPUTED_VALUE"""),"MODUŁ KABINY FOLD N2 110")</f>
        <v>MODUŁ KABINY FOLD N2 110</v>
      </c>
      <c r="C3134" s="23"/>
      <c r="D3134" s="24">
        <f ca="1">IFERROR(__xludf.DUMMYFUNCTION("""COMPUTED_VALUE"""),899)</f>
        <v>899</v>
      </c>
      <c r="E3134" s="25" t="str">
        <f ca="1">IFERROR(__xludf.DUMMYFUNCTION("""COMPUTED_VALUE"""),"REA-K7438")</f>
        <v>REA-K7438</v>
      </c>
    </row>
    <row r="3135" spans="1:5" x14ac:dyDescent="0.2">
      <c r="A3135" s="22">
        <f ca="1">IFERROR(__xludf.DUMMYFUNCTION("""COMPUTED_VALUE"""),44533)</f>
        <v>44533</v>
      </c>
      <c r="B3135" s="23" t="str">
        <f ca="1">IFERROR(__xludf.DUMMYFUNCTION("""COMPUTED_VALUE"""),"DRZWI PRYSZNICOWE FARGO 100")</f>
        <v>DRZWI PRYSZNICOWE FARGO 100</v>
      </c>
      <c r="C3135" s="23"/>
      <c r="D3135" s="24">
        <f ca="1">IFERROR(__xludf.DUMMYFUNCTION("""COMPUTED_VALUE"""),1059)</f>
        <v>1059</v>
      </c>
      <c r="E3135" s="25" t="str">
        <f ca="1">IFERROR(__xludf.DUMMYFUNCTION("""COMPUTED_VALUE"""),"REA-K6330")</f>
        <v>REA-K6330</v>
      </c>
    </row>
    <row r="3136" spans="1:5" x14ac:dyDescent="0.2">
      <c r="A3136" s="22">
        <f ca="1">IFERROR(__xludf.DUMMYFUNCTION("""COMPUTED_VALUE"""),44533)</f>
        <v>44533</v>
      </c>
      <c r="B3136" s="23" t="str">
        <f ca="1">IFERROR(__xludf.DUMMYFUNCTION("""COMPUTED_VALUE"""),"ŚCIANKA DO RAPID 90")</f>
        <v>ŚCIANKA DO RAPID 90</v>
      </c>
      <c r="C3136" s="23"/>
      <c r="D3136" s="24">
        <f ca="1">IFERROR(__xludf.DUMMYFUNCTION("""COMPUTED_VALUE"""),520)</f>
        <v>520</v>
      </c>
      <c r="E3136" s="25" t="str">
        <f ca="1">IFERROR(__xludf.DUMMYFUNCTION("""COMPUTED_VALUE"""),"REA-K6422")</f>
        <v>REA-K6422</v>
      </c>
    </row>
    <row r="3137" spans="1:5" x14ac:dyDescent="0.2">
      <c r="A3137" s="22">
        <f ca="1">IFERROR(__xludf.DUMMYFUNCTION("""COMPUTED_VALUE"""),44533)</f>
        <v>44533</v>
      </c>
      <c r="B3137" s="23" t="str">
        <f ca="1">IFERROR(__xludf.DUMMYFUNCTION("""COMPUTED_VALUE"""),"PARAWAN WANNOWY AGAT 80")</f>
        <v>PARAWAN WANNOWY AGAT 80</v>
      </c>
      <c r="C3137" s="23"/>
      <c r="D3137" s="24">
        <f ca="1">IFERROR(__xludf.DUMMYFUNCTION("""COMPUTED_VALUE"""),599)</f>
        <v>599</v>
      </c>
      <c r="E3137" s="25" t="str">
        <f ca="1">IFERROR(__xludf.DUMMYFUNCTION("""COMPUTED_VALUE"""),"REA-W0700")</f>
        <v>REA-W0700</v>
      </c>
    </row>
    <row r="3138" spans="1:5" x14ac:dyDescent="0.2">
      <c r="A3138" s="22">
        <f ca="1">IFERROR(__xludf.DUMMYFUNCTION("""COMPUTED_VALUE"""),44533)</f>
        <v>44533</v>
      </c>
      <c r="B3138" s="23" t="str">
        <f ca="1">IFERROR(__xludf.DUMMYFUNCTION("""COMPUTED_VALUE"""),"PARAWAN WANNOWY AGAT-7202 100")</f>
        <v>PARAWAN WANNOWY AGAT-7202 100</v>
      </c>
      <c r="C3138" s="23"/>
      <c r="D3138" s="24">
        <f ca="1">IFERROR(__xludf.DUMMYFUNCTION("""COMPUTED_VALUE"""),619)</f>
        <v>619</v>
      </c>
      <c r="E3138" s="25" t="str">
        <f ca="1">IFERROR(__xludf.DUMMYFUNCTION("""COMPUTED_VALUE"""),"REA-W0300")</f>
        <v>REA-W0300</v>
      </c>
    </row>
    <row r="3139" spans="1:5" x14ac:dyDescent="0.2">
      <c r="A3139" s="22">
        <f ca="1">IFERROR(__xludf.DUMMYFUNCTION("""COMPUTED_VALUE"""),44533)</f>
        <v>44533</v>
      </c>
      <c r="B3139" s="23" t="str">
        <f ca="1">IFERROR(__xludf.DUMMYFUNCTION("""COMPUTED_VALUE"""),"DRZWI PRYSZNICOWE SOLAR BLACK 90")</f>
        <v>DRZWI PRYSZNICOWE SOLAR BLACK 90</v>
      </c>
      <c r="C3139" s="23"/>
      <c r="D3139" s="24">
        <f ca="1">IFERROR(__xludf.DUMMYFUNCTION("""COMPUTED_VALUE"""),879)</f>
        <v>879</v>
      </c>
      <c r="E3139" s="25" t="str">
        <f ca="1">IFERROR(__xludf.DUMMYFUNCTION("""COMPUTED_VALUE"""),"REA-K6319")</f>
        <v>REA-K6319</v>
      </c>
    </row>
    <row r="3140" spans="1:5" x14ac:dyDescent="0.2">
      <c r="A3140" s="22">
        <f ca="1">IFERROR(__xludf.DUMMYFUNCTION("""COMPUTED_VALUE"""),44533)</f>
        <v>44533</v>
      </c>
      <c r="B3140" s="23" t="str">
        <f ca="1">IFERROR(__xludf.DUMMYFUNCTION("""COMPUTED_VALUE"""),"UMYWALKA CLEO 81 - NABLATOWA")</f>
        <v>UMYWALKA CLEO 81 - NABLATOWA</v>
      </c>
      <c r="C3140" s="23"/>
      <c r="D3140" s="24">
        <f ca="1">IFERROR(__xludf.DUMMYFUNCTION("""COMPUTED_VALUE"""),429)</f>
        <v>429</v>
      </c>
      <c r="E3140" s="25" t="str">
        <f ca="1">IFERROR(__xludf.DUMMYFUNCTION("""COMPUTED_VALUE"""),"REA-U0563")</f>
        <v>REA-U0563</v>
      </c>
    </row>
    <row r="3141" spans="1:5" x14ac:dyDescent="0.2">
      <c r="A3141" s="22">
        <f ca="1">IFERROR(__xludf.DUMMYFUNCTION("""COMPUTED_VALUE"""),44533)</f>
        <v>44533</v>
      </c>
      <c r="B3141" s="23" t="str">
        <f ca="1">IFERROR(__xludf.DUMMYFUNCTION("""COMPUTED_VALUE"""),"UMYWALKA PAMELA - NABLATOWA")</f>
        <v>UMYWALKA PAMELA - NABLATOWA</v>
      </c>
      <c r="C3141" s="23"/>
      <c r="D3141" s="24">
        <f ca="1">IFERROR(__xludf.DUMMYFUNCTION("""COMPUTED_VALUE"""),249)</f>
        <v>249</v>
      </c>
      <c r="E3141" s="25" t="str">
        <f ca="1">IFERROR(__xludf.DUMMYFUNCTION("""COMPUTED_VALUE"""),"REA-U4603")</f>
        <v>REA-U4603</v>
      </c>
    </row>
    <row r="3142" spans="1:5" x14ac:dyDescent="0.2">
      <c r="A3142" s="22">
        <f ca="1">IFERROR(__xludf.DUMMYFUNCTION("""COMPUTED_VALUE"""),44533)</f>
        <v>44533</v>
      </c>
      <c r="B3142" s="23" t="str">
        <f ca="1">IFERROR(__xludf.DUMMYFUNCTION("""COMPUTED_VALUE"""),"UMYWALKA KELLY MINI - NABLATOWA")</f>
        <v>UMYWALKA KELLY MINI - NABLATOWA</v>
      </c>
      <c r="C3142" s="23"/>
      <c r="D3142" s="24">
        <f ca="1">IFERROR(__xludf.DUMMYFUNCTION("""COMPUTED_VALUE"""),199)</f>
        <v>199</v>
      </c>
      <c r="E3142" s="25" t="str">
        <f ca="1">IFERROR(__xludf.DUMMYFUNCTION("""COMPUTED_VALUE"""),"REA-U8196")</f>
        <v>REA-U8196</v>
      </c>
    </row>
    <row r="3143" spans="1:5" x14ac:dyDescent="0.2">
      <c r="A3143" s="22">
        <f ca="1">IFERROR(__xludf.DUMMYFUNCTION("""COMPUTED_VALUE"""),44526)</f>
        <v>44526</v>
      </c>
      <c r="B3143" s="23" t="str">
        <f ca="1">IFERROR(__xludf.DUMMYFUNCTION("""COMPUTED_VALUE"""),"UMYWALKA SOFIA - NABLATOWA")</f>
        <v>UMYWALKA SOFIA - NABLATOWA</v>
      </c>
      <c r="C3143" s="23"/>
      <c r="D3143" s="24">
        <f ca="1">IFERROR(__xludf.DUMMYFUNCTION("""COMPUTED_VALUE"""),179)</f>
        <v>179</v>
      </c>
      <c r="E3143" s="25" t="str">
        <f ca="1">IFERROR(__xludf.DUMMYFUNCTION("""COMPUTED_VALUE"""),"REA-U0133")</f>
        <v>REA-U0133</v>
      </c>
    </row>
    <row r="3144" spans="1:5" x14ac:dyDescent="0.2">
      <c r="A3144" s="22">
        <f ca="1">IFERROR(__xludf.DUMMYFUNCTION("""COMPUTED_VALUE"""),44526)</f>
        <v>44526</v>
      </c>
      <c r="B3144" s="23" t="str">
        <f ca="1">IFERROR(__xludf.DUMMYFUNCTION("""COMPUTED_VALUE"""),"UMYWALKA LINDA - NABLATOWA")</f>
        <v>UMYWALKA LINDA - NABLATOWA</v>
      </c>
      <c r="C3144" s="23"/>
      <c r="D3144" s="24">
        <f ca="1">IFERROR(__xludf.DUMMYFUNCTION("""COMPUTED_VALUE"""),229)</f>
        <v>229</v>
      </c>
      <c r="E3144" s="25" t="str">
        <f ca="1">IFERROR(__xludf.DUMMYFUNCTION("""COMPUTED_VALUE"""),"REA-U0462")</f>
        <v>REA-U0462</v>
      </c>
    </row>
    <row r="3145" spans="1:5" x14ac:dyDescent="0.2">
      <c r="A3145" s="22">
        <f ca="1">IFERROR(__xludf.DUMMYFUNCTION("""COMPUTED_VALUE"""),44526)</f>
        <v>44526</v>
      </c>
      <c r="B3145" s="23" t="str">
        <f ca="1">IFERROR(__xludf.DUMMYFUNCTION("""COMPUTED_VALUE"""),"UMYWALKA BELINDA GOLD EDGE - NABLATOWA")</f>
        <v>UMYWALKA BELINDA GOLD EDGE - NABLATOWA</v>
      </c>
      <c r="C3145" s="23"/>
      <c r="D3145" s="24">
        <f ca="1">IFERROR(__xludf.DUMMYFUNCTION("""COMPUTED_VALUE"""),359)</f>
        <v>359</v>
      </c>
      <c r="E3145" s="25" t="str">
        <f ca="1">IFERROR(__xludf.DUMMYFUNCTION("""COMPUTED_VALUE"""),"REA-U8736")</f>
        <v>REA-U8736</v>
      </c>
    </row>
    <row r="3146" spans="1:5" x14ac:dyDescent="0.2">
      <c r="A3146" s="22">
        <f ca="1">IFERROR(__xludf.DUMMYFUNCTION("""COMPUTED_VALUE"""),44526)</f>
        <v>44526</v>
      </c>
      <c r="B3146" s="23" t="str">
        <f ca="1">IFERROR(__xludf.DUMMYFUNCTION("""COMPUTED_VALUE"""),"UMYWALKA CLEO - NABLATOWA")</f>
        <v>UMYWALKA CLEO - NABLATOWA</v>
      </c>
      <c r="C3146" s="23"/>
      <c r="D3146" s="24">
        <f ca="1">IFERROR(__xludf.DUMMYFUNCTION("""COMPUTED_VALUE"""),349)</f>
        <v>349</v>
      </c>
      <c r="E3146" s="25" t="str">
        <f ca="1">IFERROR(__xludf.DUMMYFUNCTION("""COMPUTED_VALUE"""),"REA-U0024")</f>
        <v>REA-U0024</v>
      </c>
    </row>
    <row r="3147" spans="1:5" x14ac:dyDescent="0.2">
      <c r="A3147" s="22">
        <f ca="1">IFERROR(__xludf.DUMMYFUNCTION("""COMPUTED_VALUE"""),44526)</f>
        <v>44526</v>
      </c>
      <c r="B3147" s="23" t="str">
        <f ca="1">IFERROR(__xludf.DUMMYFUNCTION("""COMPUTED_VALUE"""),"UMYWALKA AURA - NABLATOWA")</f>
        <v>UMYWALKA AURA - NABLATOWA</v>
      </c>
      <c r="C3147" s="23"/>
      <c r="D3147" s="24">
        <f ca="1">IFERROR(__xludf.DUMMYFUNCTION("""COMPUTED_VALUE"""),299)</f>
        <v>299</v>
      </c>
      <c r="E3147" s="25" t="str">
        <f ca="1">IFERROR(__xludf.DUMMYFUNCTION("""COMPUTED_VALUE"""),"REA-U7900")</f>
        <v>REA-U7900</v>
      </c>
    </row>
    <row r="3148" spans="1:5" x14ac:dyDescent="0.2">
      <c r="A3148" s="22">
        <f ca="1">IFERROR(__xludf.DUMMYFUNCTION("""COMPUTED_VALUE"""),44526)</f>
        <v>44526</v>
      </c>
      <c r="B3148" s="23" t="str">
        <f ca="1">IFERROR(__xludf.DUMMYFUNCTION("""COMPUTED_VALUE"""),"UMYWALKA AMELIA 48 - NABLATOWA")</f>
        <v>UMYWALKA AMELIA 48 - NABLATOWA</v>
      </c>
      <c r="C3148" s="23"/>
      <c r="D3148" s="24">
        <f ca="1">IFERROR(__xludf.DUMMYFUNCTION("""COMPUTED_VALUE"""),219)</f>
        <v>219</v>
      </c>
      <c r="E3148" s="25" t="str">
        <f ca="1">IFERROR(__xludf.DUMMYFUNCTION("""COMPUTED_VALUE"""),"REA-U0416")</f>
        <v>REA-U0416</v>
      </c>
    </row>
    <row r="3149" spans="1:5" x14ac:dyDescent="0.2">
      <c r="A3149" s="22">
        <f ca="1">IFERROR(__xludf.DUMMYFUNCTION("""COMPUTED_VALUE"""),44526)</f>
        <v>44526</v>
      </c>
      <c r="B3149" s="23" t="str">
        <f ca="1">IFERROR(__xludf.DUMMYFUNCTION("""COMPUTED_VALUE"""),"WC - CARLO MINI RIMLESS DUROPLAST/FLAT/ZM")</f>
        <v>WC - CARLO MINI RIMLESS DUROPLAST/FLAT/ZM</v>
      </c>
      <c r="C3149" s="23"/>
      <c r="D3149" s="24">
        <f ca="1">IFERROR(__xludf.DUMMYFUNCTION("""COMPUTED_VALUE"""),679)</f>
        <v>679</v>
      </c>
      <c r="E3149" s="25" t="str">
        <f ca="1">IFERROR(__xludf.DUMMYFUNCTION("""COMPUTED_VALUE"""),"REA-C2760")</f>
        <v>REA-C2760</v>
      </c>
    </row>
    <row r="3150" spans="1:5" x14ac:dyDescent="0.2">
      <c r="A3150" s="22">
        <f ca="1">IFERROR(__xludf.DUMMYFUNCTION("""COMPUTED_VALUE"""),44526)</f>
        <v>44526</v>
      </c>
      <c r="B3150" s="23" t="str">
        <f ca="1">IFERROR(__xludf.DUMMYFUNCTION("""COMPUTED_VALUE"""),"WC - CARLO MINI RIMLES DUROPLAST/FLAT/ZM BLACK MAT")</f>
        <v>WC - CARLO MINI RIMLES DUROPLAST/FLAT/ZM BLACK MAT</v>
      </c>
      <c r="C3150" s="23"/>
      <c r="D3150" s="24">
        <f ca="1">IFERROR(__xludf.DUMMYFUNCTION("""COMPUTED_VALUE"""),1099)</f>
        <v>1099</v>
      </c>
      <c r="E3150" s="25" t="str">
        <f ca="1">IFERROR(__xludf.DUMMYFUNCTION("""COMPUTED_VALUE"""),"REA-C8489")</f>
        <v>REA-C8489</v>
      </c>
    </row>
    <row r="3151" spans="1:5" x14ac:dyDescent="0.2">
      <c r="A3151" s="22">
        <f ca="1">IFERROR(__xludf.DUMMYFUNCTION("""COMPUTED_VALUE"""),44526)</f>
        <v>44526</v>
      </c>
      <c r="B3151" s="23" t="str">
        <f ca="1">IFERROR(__xludf.DUMMYFUNCTION("""COMPUTED_VALUE"""),"DRZWI PRYSZNICOWE SOLAR BLACK 150")</f>
        <v>DRZWI PRYSZNICOWE SOLAR BLACK 150</v>
      </c>
      <c r="C3151" s="23"/>
      <c r="D3151" s="24">
        <f ca="1">IFERROR(__xludf.DUMMYFUNCTION("""COMPUTED_VALUE"""),1149)</f>
        <v>1149</v>
      </c>
      <c r="E3151" s="26" t="str">
        <f ca="1">IFERROR(__xludf.DUMMYFUNCTION("""COMPUTED_VALUE"""),"REA-K6360")</f>
        <v>REA-K6360</v>
      </c>
    </row>
    <row r="3152" spans="1:5" x14ac:dyDescent="0.2">
      <c r="A3152" s="22">
        <f ca="1">IFERROR(__xludf.DUMMYFUNCTION("""COMPUTED_VALUE"""),44526)</f>
        <v>44526</v>
      </c>
      <c r="B3152" s="23" t="str">
        <f ca="1">IFERROR(__xludf.DUMMYFUNCTION("""COMPUTED_VALUE"""),"ŚCIANKA PRYSZNICOWA 80 BLER-1")</f>
        <v>ŚCIANKA PRYSZNICOWA 80 BLER-1</v>
      </c>
      <c r="C3152" s="23"/>
      <c r="D3152" s="24">
        <f ca="1">IFERROR(__xludf.DUMMYFUNCTION("""COMPUTED_VALUE"""),899)</f>
        <v>899</v>
      </c>
      <c r="E3152" s="25" t="str">
        <f ca="1">IFERROR(__xludf.DUMMYFUNCTION("""COMPUTED_VALUE"""),"REA-K7952")</f>
        <v>REA-K7952</v>
      </c>
    </row>
    <row r="3153" spans="1:5" x14ac:dyDescent="0.2">
      <c r="A3153" s="22">
        <f ca="1">IFERROR(__xludf.DUMMYFUNCTION("""COMPUTED_VALUE"""),44526)</f>
        <v>44526</v>
      </c>
      <c r="B3153" s="23" t="str">
        <f ca="1">IFERROR(__xludf.DUMMYFUNCTION("""COMPUTED_VALUE"""),"UMYWALKA INFINITY BLACK - NABLATOWA")</f>
        <v>UMYWALKA INFINITY BLACK - NABLATOWA</v>
      </c>
      <c r="C3153" s="23"/>
      <c r="D3153" s="24">
        <f ca="1">IFERROR(__xludf.DUMMYFUNCTION("""COMPUTED_VALUE"""),699)</f>
        <v>699</v>
      </c>
      <c r="E3153" s="25" t="str">
        <f ca="1">IFERROR(__xludf.DUMMYFUNCTION("""COMPUTED_VALUE"""),"REA-U3401")</f>
        <v>REA-U3401</v>
      </c>
    </row>
    <row r="3154" spans="1:5" x14ac:dyDescent="0.2">
      <c r="A3154" s="22">
        <f ca="1">IFERROR(__xludf.DUMMYFUNCTION("""COMPUTED_VALUE"""),44526)</f>
        <v>44526</v>
      </c>
      <c r="B3154" s="23" t="str">
        <f ca="1">IFERROR(__xludf.DUMMYFUNCTION("""COMPUTED_VALUE"""),"UMYWALKA INFINITY WHITE/GOLD - NABLATOWA")</f>
        <v>UMYWALKA INFINITY WHITE/GOLD - NABLATOWA</v>
      </c>
      <c r="C3154" s="23"/>
      <c r="D3154" s="24">
        <f ca="1">IFERROR(__xludf.DUMMYFUNCTION("""COMPUTED_VALUE"""),699)</f>
        <v>699</v>
      </c>
      <c r="E3154" s="25" t="str">
        <f ca="1">IFERROR(__xludf.DUMMYFUNCTION("""COMPUTED_VALUE"""),"REA-U3400")</f>
        <v>REA-U3400</v>
      </c>
    </row>
    <row r="3155" spans="1:5" x14ac:dyDescent="0.2">
      <c r="A3155" s="22">
        <f ca="1">IFERROR(__xludf.DUMMYFUNCTION("""COMPUTED_VALUE"""),44526)</f>
        <v>44526</v>
      </c>
      <c r="B3155" s="23" t="str">
        <f ca="1">IFERROR(__xludf.DUMMYFUNCTION("""COMPUTED_VALUE"""),"UMYWALKA INFINITY BLACK/GOLD - NABLATOWA")</f>
        <v>UMYWALKA INFINITY BLACK/GOLD - NABLATOWA</v>
      </c>
      <c r="C3155" s="23"/>
      <c r="D3155" s="24">
        <f ca="1">IFERROR(__xludf.DUMMYFUNCTION("""COMPUTED_VALUE"""),799)</f>
        <v>799</v>
      </c>
      <c r="E3155" s="25" t="str">
        <f ca="1">IFERROR(__xludf.DUMMYFUNCTION("""COMPUTED_VALUE"""),"REA-U3402")</f>
        <v>REA-U3402</v>
      </c>
    </row>
    <row r="3156" spans="1:5" x14ac:dyDescent="0.2">
      <c r="A3156" s="22">
        <f ca="1">IFERROR(__xludf.DUMMYFUNCTION("""COMPUTED_VALUE"""),44526)</f>
        <v>44526</v>
      </c>
      <c r="B3156" s="23" t="str">
        <f ca="1">IFERROR(__xludf.DUMMYFUNCTION("""COMPUTED_VALUE"""),"DRZWI PRYSZNICOWE SOLAR BLACK 150")</f>
        <v>DRZWI PRYSZNICOWE SOLAR BLACK 150</v>
      </c>
      <c r="C3156" s="23"/>
      <c r="D3156" s="24">
        <f ca="1">IFERROR(__xludf.DUMMYFUNCTION("""COMPUTED_VALUE"""),1099)</f>
        <v>1099</v>
      </c>
      <c r="E3156" s="26" t="str">
        <f ca="1">IFERROR(__xludf.DUMMYFUNCTION("""COMPUTED_VALUE"""),"REA-K6360")</f>
        <v>REA-K6360</v>
      </c>
    </row>
    <row r="3157" spans="1:5" x14ac:dyDescent="0.2">
      <c r="A3157" s="22">
        <f ca="1">IFERROR(__xludf.DUMMYFUNCTION("""COMPUTED_VALUE"""),44526)</f>
        <v>44526</v>
      </c>
      <c r="B3157" s="23" t="str">
        <f ca="1">IFERROR(__xludf.DUMMYFUNCTION("""COMPUTED_VALUE"""),"DRZWI PRYSZNICOWE SOLAR BLACK 130")</f>
        <v>DRZWI PRYSZNICOWE SOLAR BLACK 130</v>
      </c>
      <c r="C3157" s="23"/>
      <c r="D3157" s="24">
        <f ca="1">IFERROR(__xludf.DUMMYFUNCTION("""COMPUTED_VALUE"""),1099)</f>
        <v>1099</v>
      </c>
      <c r="E3157" s="26" t="str">
        <f ca="1">IFERROR(__xludf.DUMMYFUNCTION("""COMPUTED_VALUE"""),"REA-K6358")</f>
        <v>REA-K6358</v>
      </c>
    </row>
    <row r="3158" spans="1:5" x14ac:dyDescent="0.2">
      <c r="A3158" s="22">
        <f ca="1">IFERROR(__xludf.DUMMYFUNCTION("""COMPUTED_VALUE"""),44526)</f>
        <v>44526</v>
      </c>
      <c r="B3158" s="23" t="str">
        <f ca="1">IFERROR(__xludf.DUMMYFUNCTION("""COMPUTED_VALUE"""),"ŚCIANKA PRYSZNICOWA BLER 70")</f>
        <v>ŚCIANKA PRYSZNICOWA BLER 70</v>
      </c>
      <c r="C3158" s="23"/>
      <c r="D3158" s="24">
        <f ca="1">IFERROR(__xludf.DUMMYFUNCTION("""COMPUTED_VALUE"""),699)</f>
        <v>699</v>
      </c>
      <c r="E3158" s="26" t="str">
        <f ca="1">IFERROR(__xludf.DUMMYFUNCTION("""COMPUTED_VALUE"""),"REA-K7636")</f>
        <v>REA-K7636</v>
      </c>
    </row>
    <row r="3159" spans="1:5" x14ac:dyDescent="0.2">
      <c r="A3159" s="22">
        <f ca="1">IFERROR(__xludf.DUMMYFUNCTION("""COMPUTED_VALUE"""),44526)</f>
        <v>44526</v>
      </c>
      <c r="B3159" s="23" t="str">
        <f ca="1">IFERROR(__xludf.DUMMYFUNCTION("""COMPUTED_VALUE"""),"ŚCIANKA PRYSZNICOWA AERO 90 BLACK")</f>
        <v>ŚCIANKA PRYSZNICOWA AERO 90 BLACK</v>
      </c>
      <c r="C3159" s="23"/>
      <c r="D3159" s="24">
        <f ca="1">IFERROR(__xludf.DUMMYFUNCTION("""COMPUTED_VALUE"""),819)</f>
        <v>819</v>
      </c>
      <c r="E3159" s="26" t="str">
        <f ca="1">IFERROR(__xludf.DUMMYFUNCTION("""COMPUTED_VALUE"""),"REA-K7581")</f>
        <v>REA-K7581</v>
      </c>
    </row>
    <row r="3160" spans="1:5" x14ac:dyDescent="0.2">
      <c r="A3160" s="22">
        <f ca="1">IFERROR(__xludf.DUMMYFUNCTION("""COMPUTED_VALUE"""),44526)</f>
        <v>44526</v>
      </c>
      <c r="B3160" s="23" t="str">
        <f ca="1">IFERROR(__xludf.DUMMYFUNCTION("""COMPUTED_VALUE"""),"DRZWI PRYSZNICOWE SOLAR BLACK 100")</f>
        <v>DRZWI PRYSZNICOWE SOLAR BLACK 100</v>
      </c>
      <c r="C3160" s="23"/>
      <c r="D3160" s="24">
        <f ca="1">IFERROR(__xludf.DUMMYFUNCTION("""COMPUTED_VALUE"""),899)</f>
        <v>899</v>
      </c>
      <c r="E3160" s="26" t="str">
        <f ca="1">IFERROR(__xludf.DUMMYFUNCTION("""COMPUTED_VALUE"""),"REA-K6512")</f>
        <v>REA-K6512</v>
      </c>
    </row>
    <row r="3161" spans="1:5" x14ac:dyDescent="0.2">
      <c r="A3161" s="22">
        <f ca="1">IFERROR(__xludf.DUMMYFUNCTION("""COMPUTED_VALUE"""),44526)</f>
        <v>44526</v>
      </c>
      <c r="B3161" s="23" t="str">
        <f ca="1">IFERROR(__xludf.DUMMYFUNCTION("""COMPUTED_VALUE"""),"DRZWI PRYSZNICOWE FARGO 110")</f>
        <v>DRZWI PRYSZNICOWE FARGO 110</v>
      </c>
      <c r="C3161" s="23"/>
      <c r="D3161" s="24">
        <f ca="1">IFERROR(__xludf.DUMMYFUNCTION("""COMPUTED_VALUE"""),1099)</f>
        <v>1099</v>
      </c>
      <c r="E3161" s="26" t="str">
        <f ca="1">IFERROR(__xludf.DUMMYFUNCTION("""COMPUTED_VALUE"""),"REA-K6325")</f>
        <v>REA-K6325</v>
      </c>
    </row>
    <row r="3162" spans="1:5" x14ac:dyDescent="0.2">
      <c r="A3162" s="22">
        <f ca="1">IFERROR(__xludf.DUMMYFUNCTION("""COMPUTED_VALUE"""),44526)</f>
        <v>44526</v>
      </c>
      <c r="B3162" s="23" t="str">
        <f ca="1">IFERROR(__xludf.DUMMYFUNCTION("""COMPUTED_VALUE"""),"UMYWALKA AVILA - NABLATOWA")</f>
        <v>UMYWALKA AVILA - NABLATOWA</v>
      </c>
      <c r="C3162" s="23"/>
      <c r="D3162" s="24">
        <f ca="1">IFERROR(__xludf.DUMMYFUNCTION("""COMPUTED_VALUE"""),159)</f>
        <v>159</v>
      </c>
      <c r="E3162" s="26" t="str">
        <f ca="1">IFERROR(__xludf.DUMMYFUNCTION("""COMPUTED_VALUE"""),"REA-U0632")</f>
        <v>REA-U0632</v>
      </c>
    </row>
    <row r="3163" spans="1:5" x14ac:dyDescent="0.2">
      <c r="A3163" s="22">
        <f ca="1">IFERROR(__xludf.DUMMYFUNCTION("""COMPUTED_VALUE"""),44524)</f>
        <v>44524</v>
      </c>
      <c r="B3163" s="23" t="str">
        <f ca="1">IFERROR(__xludf.DUMMYFUNCTION("""COMPUTED_VALUE"""),"UMYWALKA SOL - NABLATOWA")</f>
        <v>UMYWALKA SOL - NABLATOWA</v>
      </c>
      <c r="C3163" s="23"/>
      <c r="D3163" s="24">
        <f ca="1">IFERROR(__xludf.DUMMYFUNCTION("""COMPUTED_VALUE"""),449)</f>
        <v>449</v>
      </c>
      <c r="E3163" s="26" t="str">
        <f ca="1">IFERROR(__xludf.DUMMYFUNCTION("""COMPUTED_VALUE"""),"REA-U8605")</f>
        <v>REA-U8605</v>
      </c>
    </row>
    <row r="3164" spans="1:5" x14ac:dyDescent="0.2">
      <c r="A3164" s="22">
        <f ca="1">IFERROR(__xludf.DUMMYFUNCTION("""COMPUTED_VALUE"""),44524)</f>
        <v>44524</v>
      </c>
      <c r="B3164" s="23" t="str">
        <f ca="1">IFERROR(__xludf.DUMMYFUNCTION("""COMPUTED_VALUE"""),"UMYWALKA ROSA-2 - NABLATOWA")</f>
        <v>UMYWALKA ROSA-2 - NABLATOWA</v>
      </c>
      <c r="C3164" s="23"/>
      <c r="D3164" s="24">
        <f ca="1">IFERROR(__xludf.DUMMYFUNCTION("""COMPUTED_VALUE"""),239)</f>
        <v>239</v>
      </c>
      <c r="E3164" s="26" t="str">
        <f ca="1">IFERROR(__xludf.DUMMYFUNCTION("""COMPUTED_VALUE"""),"REA-U0160")</f>
        <v>REA-U0160</v>
      </c>
    </row>
    <row r="3165" spans="1:5" x14ac:dyDescent="0.2">
      <c r="A3165" s="22">
        <f ca="1">IFERROR(__xludf.DUMMYFUNCTION("""COMPUTED_VALUE"""),44524)</f>
        <v>44524</v>
      </c>
      <c r="B3165" s="23" t="str">
        <f ca="1">IFERROR(__xludf.DUMMYFUNCTION("""COMPUTED_VALUE"""),"UMYWALKA SAMI BLACK MATT - NABLATOWA")</f>
        <v>UMYWALKA SAMI BLACK MATT - NABLATOWA</v>
      </c>
      <c r="C3165" s="23"/>
      <c r="D3165" s="24">
        <f ca="1">IFERROR(__xludf.DUMMYFUNCTION("""COMPUTED_VALUE"""),489)</f>
        <v>489</v>
      </c>
      <c r="E3165" s="26" t="str">
        <f ca="1">IFERROR(__xludf.DUMMYFUNCTION("""COMPUTED_VALUE"""),"REA-U1899")</f>
        <v>REA-U1899</v>
      </c>
    </row>
    <row r="3166" spans="1:5" x14ac:dyDescent="0.2">
      <c r="A3166" s="22">
        <f ca="1">IFERROR(__xludf.DUMMYFUNCTION("""COMPUTED_VALUE"""),44524)</f>
        <v>44524</v>
      </c>
      <c r="B3166" s="23" t="str">
        <f ca="1">IFERROR(__xludf.DUMMYFUNCTION("""COMPUTED_VALUE"""),"UMYWALKA KELLY - NABLATOWA")</f>
        <v>UMYWALKA KELLY - NABLATOWA</v>
      </c>
      <c r="C3166" s="23"/>
      <c r="D3166" s="24">
        <f ca="1">IFERROR(__xludf.DUMMYFUNCTION("""COMPUTED_VALUE"""),205)</f>
        <v>205</v>
      </c>
      <c r="E3166" s="26" t="str">
        <f ca="1">IFERROR(__xludf.DUMMYFUNCTION("""COMPUTED_VALUE"""),"REA-U6524")</f>
        <v>REA-U6524</v>
      </c>
    </row>
    <row r="3167" spans="1:5" x14ac:dyDescent="0.2">
      <c r="A3167" s="22">
        <f ca="1">IFERROR(__xludf.DUMMYFUNCTION("""COMPUTED_VALUE"""),44524)</f>
        <v>44524</v>
      </c>
      <c r="B3167" s="23" t="str">
        <f ca="1">IFERROR(__xludf.DUMMYFUNCTION("""COMPUTED_VALUE"""),"ŚCIANKA PRYSZNICOWA 80 BLER-1")</f>
        <v>ŚCIANKA PRYSZNICOWA 80 BLER-1</v>
      </c>
      <c r="C3167" s="23"/>
      <c r="D3167" s="24">
        <f ca="1">IFERROR(__xludf.DUMMYFUNCTION("""COMPUTED_VALUE"""),899)</f>
        <v>899</v>
      </c>
      <c r="E3167" s="26" t="str">
        <f ca="1">IFERROR(__xludf.DUMMYFUNCTION("""COMPUTED_VALUE"""),"REA-K7952")</f>
        <v>REA-K7952</v>
      </c>
    </row>
    <row r="3168" spans="1:5" x14ac:dyDescent="0.2">
      <c r="A3168" s="22">
        <f ca="1">IFERROR(__xludf.DUMMYFUNCTION("""COMPUTED_VALUE"""),44524)</f>
        <v>44524</v>
      </c>
      <c r="B3168" s="23" t="str">
        <f ca="1">IFERROR(__xludf.DUMMYFUNCTION("""COMPUTED_VALUE"""),"KABINA FARGO BLACK 90X90 U")</f>
        <v>KABINA FARGO BLACK 90X90 U</v>
      </c>
      <c r="C3168" s="23"/>
      <c r="D3168" s="24">
        <f ca="1">IFERROR(__xludf.DUMMYFUNCTION("""COMPUTED_VALUE"""),1599)</f>
        <v>1599</v>
      </c>
      <c r="E3168" s="26" t="str">
        <f ca="1">IFERROR(__xludf.DUMMYFUNCTION("""COMPUTED_VALUE"""),"REA-K6318")</f>
        <v>REA-K6318</v>
      </c>
    </row>
    <row r="3169" spans="1:5" x14ac:dyDescent="0.2">
      <c r="A3169" s="22">
        <f ca="1">IFERROR(__xludf.DUMMYFUNCTION("""COMPUTED_VALUE"""),44524)</f>
        <v>44524</v>
      </c>
      <c r="B3169" s="23" t="str">
        <f ca="1">IFERROR(__xludf.DUMMYFUNCTION("""COMPUTED_VALUE"""),"KABINA FARGO BLACK 90X120 U")</f>
        <v>KABINA FARGO BLACK 90X120 U</v>
      </c>
      <c r="C3169" s="23"/>
      <c r="D3169" s="24">
        <f ca="1">IFERROR(__xludf.DUMMYFUNCTION("""COMPUTED_VALUE"""),1749)</f>
        <v>1749</v>
      </c>
      <c r="E3169" s="26" t="str">
        <f ca="1">IFERROR(__xludf.DUMMYFUNCTION("""COMPUTED_VALUE"""),"REA-K3214")</f>
        <v>REA-K3214</v>
      </c>
    </row>
    <row r="3170" spans="1:5" x14ac:dyDescent="0.2">
      <c r="A3170" s="22">
        <f ca="1">IFERROR(__xludf.DUMMYFUNCTION("""COMPUTED_VALUE"""),44524)</f>
        <v>44524</v>
      </c>
      <c r="B3170" s="23" t="str">
        <f ca="1">IFERROR(__xludf.DUMMYFUNCTION("""COMPUTED_VALUE"""),"UMYWALKA QUEEN CARRARA SHINY - NABLATOWA")</f>
        <v>UMYWALKA QUEEN CARRARA SHINY - NABLATOWA</v>
      </c>
      <c r="C3170" s="23"/>
      <c r="D3170" s="24">
        <f ca="1">IFERROR(__xludf.DUMMYFUNCTION("""COMPUTED_VALUE"""),459)</f>
        <v>459</v>
      </c>
      <c r="E3170" s="26" t="str">
        <f ca="1">IFERROR(__xludf.DUMMYFUNCTION("""COMPUTED_VALUE"""),"REA-U1232")</f>
        <v>REA-U1232</v>
      </c>
    </row>
    <row r="3171" spans="1:5" x14ac:dyDescent="0.2">
      <c r="A3171" s="22">
        <f ca="1">IFERROR(__xludf.DUMMYFUNCTION("""COMPUTED_VALUE"""),44524)</f>
        <v>44524</v>
      </c>
      <c r="B3171" s="23" t="str">
        <f ca="1">IFERROR(__xludf.DUMMYFUNCTION("""COMPUTED_VALUE"""),"UMYWALKA MARGOT BLACK GOLD  - NABLATOWA")</f>
        <v>UMYWALKA MARGOT BLACK GOLD  - NABLATOWA</v>
      </c>
      <c r="C3171" s="23"/>
      <c r="D3171" s="24">
        <f ca="1">IFERROR(__xludf.DUMMYFUNCTION("""COMPUTED_VALUE"""),619)</f>
        <v>619</v>
      </c>
      <c r="E3171" s="26" t="str">
        <f ca="1">IFERROR(__xludf.DUMMYFUNCTION("""COMPUTED_VALUE"""),"REA-U8978")</f>
        <v>REA-U8978</v>
      </c>
    </row>
    <row r="3172" spans="1:5" x14ac:dyDescent="0.2">
      <c r="A3172" s="22">
        <f ca="1">IFERROR(__xludf.DUMMYFUNCTION("""COMPUTED_VALUE"""),44524)</f>
        <v>44524</v>
      </c>
      <c r="B3172" s="23" t="str">
        <f ca="1">IFERROR(__xludf.DUMMYFUNCTION("""COMPUTED_VALUE"""),"UMYWALKA CELIA SLIM- NABLATOWA")</f>
        <v>UMYWALKA CELIA SLIM- NABLATOWA</v>
      </c>
      <c r="C3172" s="23"/>
      <c r="D3172" s="24">
        <f ca="1">IFERROR(__xludf.DUMMYFUNCTION("""COMPUTED_VALUE"""),209)</f>
        <v>209</v>
      </c>
      <c r="E3172" s="26" t="str">
        <f ca="1">IFERROR(__xludf.DUMMYFUNCTION("""COMPUTED_VALUE"""),"REA-U1952")</f>
        <v>REA-U1952</v>
      </c>
    </row>
    <row r="3173" spans="1:5" x14ac:dyDescent="0.2">
      <c r="A3173" s="22">
        <f ca="1">IFERROR(__xludf.DUMMYFUNCTION("""COMPUTED_VALUE"""),44524)</f>
        <v>44524</v>
      </c>
      <c r="B3173" s="23" t="str">
        <f ca="1">IFERROR(__xludf.DUMMYFUNCTION("""COMPUTED_VALUE"""),"UMYWALKA OLGA - NABLATOWA")</f>
        <v>UMYWALKA OLGA - NABLATOWA</v>
      </c>
      <c r="C3173" s="23"/>
      <c r="D3173" s="24">
        <f ca="1">IFERROR(__xludf.DUMMYFUNCTION("""COMPUTED_VALUE"""),299)</f>
        <v>299</v>
      </c>
      <c r="E3173" s="26" t="str">
        <f ca="1">IFERROR(__xludf.DUMMYFUNCTION("""COMPUTED_VALUE"""),"REA-U1060")</f>
        <v>REA-U1060</v>
      </c>
    </row>
    <row r="3174" spans="1:5" x14ac:dyDescent="0.2">
      <c r="A3174" s="22">
        <f ca="1">IFERROR(__xludf.DUMMYFUNCTION("""COMPUTED_VALUE"""),44524)</f>
        <v>44524</v>
      </c>
      <c r="B3174" s="23" t="str">
        <f ca="1">IFERROR(__xludf.DUMMYFUNCTION("""COMPUTED_VALUE"""),"UMYWALKA DAFNE 60 - WPUSZCZANA")</f>
        <v>UMYWALKA DAFNE 60 - WPUSZCZANA</v>
      </c>
      <c r="C3174" s="23"/>
      <c r="D3174" s="24">
        <f ca="1">IFERROR(__xludf.DUMMYFUNCTION("""COMPUTED_VALUE"""),289)</f>
        <v>289</v>
      </c>
      <c r="E3174" s="26" t="str">
        <f ca="1">IFERROR(__xludf.DUMMYFUNCTION("""COMPUTED_VALUE"""),"REA-U0786")</f>
        <v>REA-U0786</v>
      </c>
    </row>
    <row r="3175" spans="1:5" x14ac:dyDescent="0.2">
      <c r="A3175" s="22">
        <f ca="1">IFERROR(__xludf.DUMMYFUNCTION("""COMPUTED_VALUE"""),44524)</f>
        <v>44524</v>
      </c>
      <c r="B3175" s="23" t="str">
        <f ca="1">IFERROR(__xludf.DUMMYFUNCTION("""COMPUTED_VALUE"""),"UMYWALKA DAISY - NABLATOWA/WPUSZCZANA")</f>
        <v>UMYWALKA DAISY - NABLATOWA/WPUSZCZANA</v>
      </c>
      <c r="C3175" s="23"/>
      <c r="D3175" s="24">
        <f ca="1">IFERROR(__xludf.DUMMYFUNCTION("""COMPUTED_VALUE"""),335)</f>
        <v>335</v>
      </c>
      <c r="E3175" s="26" t="str">
        <f ca="1">IFERROR(__xludf.DUMMYFUNCTION("""COMPUTED_VALUE"""),"REA-U0875")</f>
        <v>REA-U0875</v>
      </c>
    </row>
    <row r="3176" spans="1:5" x14ac:dyDescent="0.2">
      <c r="A3176" s="22">
        <f ca="1">IFERROR(__xludf.DUMMYFUNCTION("""COMPUTED_VALUE"""),44344)</f>
        <v>44344</v>
      </c>
      <c r="B3176" s="23" t="str">
        <f ca="1">IFERROR(__xludf.DUMMYFUNCTION("""COMPUTED_VALUE"""),"DOZOWNIK DO MYDŁA CZARNY HILL 322197")</f>
        <v>DOZOWNIK DO MYDŁA CZARNY HILL 322197</v>
      </c>
      <c r="C3176" s="23"/>
      <c r="D3176" s="24">
        <f ca="1">IFERROR(__xludf.DUMMYFUNCTION("""COMPUTED_VALUE"""),45)</f>
        <v>45</v>
      </c>
      <c r="E3176" s="26" t="str">
        <f ca="1">IFERROR(__xludf.DUMMYFUNCTION("""COMPUTED_VALUE"""),"REA-77043")</f>
        <v>REA-77043</v>
      </c>
    </row>
    <row r="3177" spans="1:5" x14ac:dyDescent="0.2">
      <c r="A3177" s="22">
        <f ca="1">IFERROR(__xludf.DUMMYFUNCTION("""COMPUTED_VALUE"""),44344)</f>
        <v>44344</v>
      </c>
      <c r="B3177" s="23" t="str">
        <f ca="1">IFERROR(__xludf.DUMMYFUNCTION("""COMPUTED_VALUE"""),"DOZOWNIK DO MYDŁA ZŁOTY HILL 322197A")</f>
        <v>DOZOWNIK DO MYDŁA ZŁOTY HILL 322197A</v>
      </c>
      <c r="C3177" s="23"/>
      <c r="D3177" s="24">
        <f ca="1">IFERROR(__xludf.DUMMYFUNCTION("""COMPUTED_VALUE"""),59)</f>
        <v>59</v>
      </c>
      <c r="E3177" s="26" t="str">
        <f ca="1">IFERROR(__xludf.DUMMYFUNCTION("""COMPUTED_VALUE"""),"REA-77067")</f>
        <v>REA-77067</v>
      </c>
    </row>
    <row r="3178" spans="1:5" x14ac:dyDescent="0.2">
      <c r="A3178" s="22">
        <f ca="1">IFERROR(__xludf.DUMMYFUNCTION("""COMPUTED_VALUE"""),44344)</f>
        <v>44344</v>
      </c>
      <c r="B3178" s="23" t="str">
        <f ca="1">IFERROR(__xludf.DUMMYFUNCTION("""COMPUTED_VALUE"""),"DOZOWNIK DO MYDŁA CZARNY 322212")</f>
        <v>DOZOWNIK DO MYDŁA CZARNY 322212</v>
      </c>
      <c r="C3178" s="23"/>
      <c r="D3178" s="24">
        <f ca="1">IFERROR(__xludf.DUMMYFUNCTION("""COMPUTED_VALUE"""),39)</f>
        <v>39</v>
      </c>
      <c r="E3178" s="26" t="str">
        <f ca="1">IFERROR(__xludf.DUMMYFUNCTION("""COMPUTED_VALUE"""),"REA-77041")</f>
        <v>REA-77041</v>
      </c>
    </row>
    <row r="3179" spans="1:5" x14ac:dyDescent="0.2">
      <c r="A3179" s="22">
        <f ca="1">IFERROR(__xludf.DUMMYFUNCTION("""COMPUTED_VALUE"""),44344)</f>
        <v>44344</v>
      </c>
      <c r="B3179" s="23" t="str">
        <f ca="1">IFERROR(__xludf.DUMMYFUNCTION("""COMPUTED_VALUE"""),"OSTE 06 CHROME DOZOWNIK")</f>
        <v>OSTE 06 CHROME DOZOWNIK</v>
      </c>
      <c r="C3179" s="23"/>
      <c r="D3179" s="24">
        <f ca="1">IFERROR(__xludf.DUMMYFUNCTION("""COMPUTED_VALUE"""),55)</f>
        <v>55</v>
      </c>
      <c r="E3179" s="26" t="str">
        <f ca="1">IFERROR(__xludf.DUMMYFUNCTION("""COMPUTED_VALUE"""),"REA-80046")</f>
        <v>REA-80046</v>
      </c>
    </row>
    <row r="3180" spans="1:5" x14ac:dyDescent="0.2">
      <c r="A3180" s="22">
        <f ca="1">IFERROR(__xludf.DUMMYFUNCTION("""COMPUTED_VALUE"""),44344)</f>
        <v>44344</v>
      </c>
      <c r="B3180" s="23" t="str">
        <f ca="1">IFERROR(__xludf.DUMMYFUNCTION("""COMPUTED_VALUE"""),"DOZOWNIK DO MYDŁA CZARNY DUO 322217A")</f>
        <v>DOZOWNIK DO MYDŁA CZARNY DUO 322217A</v>
      </c>
      <c r="C3180" s="23"/>
      <c r="D3180" s="24">
        <f ca="1">IFERROR(__xludf.DUMMYFUNCTION("""COMPUTED_VALUE"""),69)</f>
        <v>69</v>
      </c>
      <c r="E3180" s="26" t="str">
        <f ca="1">IFERROR(__xludf.DUMMYFUNCTION("""COMPUTED_VALUE"""),"REA-77052")</f>
        <v>REA-77052</v>
      </c>
    </row>
    <row r="3181" spans="1:5" x14ac:dyDescent="0.2">
      <c r="A3181" s="22">
        <f ca="1">IFERROR(__xludf.DUMMYFUNCTION("""COMPUTED_VALUE"""),44344)</f>
        <v>44344</v>
      </c>
      <c r="B3181" s="23" t="str">
        <f ca="1">IFERROR(__xludf.DUMMYFUNCTION("""COMPUTED_VALUE"""),"OSTE 06 BLACK DOZOWNIK")</f>
        <v>OSTE 06 BLACK DOZOWNIK</v>
      </c>
      <c r="C3181" s="23"/>
      <c r="D3181" s="24">
        <f ca="1">IFERROR(__xludf.DUMMYFUNCTION("""COMPUTED_VALUE"""),59)</f>
        <v>59</v>
      </c>
      <c r="E3181" s="26" t="str">
        <f ca="1">IFERROR(__xludf.DUMMYFUNCTION("""COMPUTED_VALUE"""),"REA-80047")</f>
        <v>REA-80047</v>
      </c>
    </row>
    <row r="3182" spans="1:5" x14ac:dyDescent="0.2">
      <c r="A3182" s="22">
        <f ca="1">IFERROR(__xludf.DUMMYFUNCTION("""COMPUTED_VALUE"""),44344)</f>
        <v>44344</v>
      </c>
      <c r="B3182" s="23" t="str">
        <f ca="1">IFERROR(__xludf.DUMMYFUNCTION("""COMPUTED_VALUE"""),"DOZOWNIK DO MYDŁA NIKIEL SZCZOTKOWANY DUO 322217")</f>
        <v>DOZOWNIK DO MYDŁA NIKIEL SZCZOTKOWANY DUO 322217</v>
      </c>
      <c r="C3182" s="23"/>
      <c r="D3182" s="24">
        <f ca="1">IFERROR(__xludf.DUMMYFUNCTION("""COMPUTED_VALUE"""),59)</f>
        <v>59</v>
      </c>
      <c r="E3182" s="26" t="str">
        <f ca="1">IFERROR(__xludf.DUMMYFUNCTION("""COMPUTED_VALUE"""),"REA-77075")</f>
        <v>REA-77075</v>
      </c>
    </row>
    <row r="3183" spans="1:5" x14ac:dyDescent="0.2">
      <c r="A3183" s="22">
        <f ca="1">IFERROR(__xludf.DUMMYFUNCTION("""COMPUTED_VALUE"""),44344)</f>
        <v>44344</v>
      </c>
      <c r="B3183" s="23" t="str">
        <f ca="1">IFERROR(__xludf.DUMMYFUNCTION("""COMPUTED_VALUE"""),"DOZOWNIK DO MYDŁA ZŁOTY 322212A")</f>
        <v>DOZOWNIK DO MYDŁA ZŁOTY 322212A</v>
      </c>
      <c r="C3183" s="23"/>
      <c r="D3183" s="24">
        <f ca="1">IFERROR(__xludf.DUMMYFUNCTION("""COMPUTED_VALUE"""),59)</f>
        <v>59</v>
      </c>
      <c r="E3183" s="26" t="str">
        <f ca="1">IFERROR(__xludf.DUMMYFUNCTION("""COMPUTED_VALUE"""),"REA-77069")</f>
        <v>REA-77069</v>
      </c>
    </row>
    <row r="3184" spans="1:5" x14ac:dyDescent="0.2">
      <c r="A3184" s="22">
        <f ca="1">IFERROR(__xludf.DUMMYFUNCTION("""COMPUTED_VALUE"""),44344)</f>
        <v>44344</v>
      </c>
      <c r="B3184" s="23" t="str">
        <f ca="1">IFERROR(__xludf.DUMMYFUNCTION("""COMPUTED_VALUE"""),"DOZOWNIK DO MYDŁA ZŁOTY 322217B")</f>
        <v>DOZOWNIK DO MYDŁA ZŁOTY 322217B</v>
      </c>
      <c r="C3184" s="23"/>
      <c r="D3184" s="24">
        <f ca="1">IFERROR(__xludf.DUMMYFUNCTION("""COMPUTED_VALUE"""),99)</f>
        <v>99</v>
      </c>
      <c r="E3184" s="26" t="str">
        <f ca="1">IFERROR(__xludf.DUMMYFUNCTION("""COMPUTED_VALUE"""),"REA-77026")</f>
        <v>REA-77026</v>
      </c>
    </row>
    <row r="3185" spans="1:5" x14ac:dyDescent="0.2">
      <c r="A3185" s="22">
        <f ca="1">IFERROR(__xludf.DUMMYFUNCTION("""COMPUTED_VALUE"""),44344)</f>
        <v>44344</v>
      </c>
      <c r="B3185" s="23" t="str">
        <f ca="1">IFERROR(__xludf.DUMMYFUNCTION("""COMPUTED_VALUE"""),"DOZOWNIK CHROM 322102D")</f>
        <v>DOZOWNIK CHROM 322102D</v>
      </c>
      <c r="C3185" s="23"/>
      <c r="D3185" s="24">
        <f ca="1">IFERROR(__xludf.DUMMYFUNCTION("""COMPUTED_VALUE"""),49)</f>
        <v>49</v>
      </c>
      <c r="E3185" s="26" t="str">
        <f ca="1">IFERROR(__xludf.DUMMYFUNCTION("""COMPUTED_VALUE"""),"REA-K6933")</f>
        <v>REA-K6933</v>
      </c>
    </row>
    <row r="3186" spans="1:5" x14ac:dyDescent="0.2">
      <c r="A3186" s="22">
        <f ca="1">IFERROR(__xludf.DUMMYFUNCTION("""COMPUTED_VALUE"""),44344)</f>
        <v>44344</v>
      </c>
      <c r="B3186" s="23" t="str">
        <f ca="1">IFERROR(__xludf.DUMMYFUNCTION("""COMPUTED_VALUE"""),"DOZOWNIK CZARNY 322102")</f>
        <v>DOZOWNIK CZARNY 322102</v>
      </c>
      <c r="C3186" s="23"/>
      <c r="D3186" s="24">
        <f ca="1">IFERROR(__xludf.DUMMYFUNCTION("""COMPUTED_VALUE"""),49)</f>
        <v>49</v>
      </c>
      <c r="E3186" s="26" t="str">
        <f ca="1">IFERROR(__xludf.DUMMYFUNCTION("""COMPUTED_VALUE"""),"REA-06932")</f>
        <v>REA-06932</v>
      </c>
    </row>
    <row r="3187" spans="1:5" x14ac:dyDescent="0.2">
      <c r="A3187" s="22">
        <f ca="1">IFERROR(__xludf.DUMMYFUNCTION("""COMPUTED_VALUE"""),44344)</f>
        <v>44344</v>
      </c>
      <c r="B3187" s="23" t="str">
        <f ca="1">IFERROR(__xludf.DUMMYFUNCTION("""COMPUTED_VALUE"""),"DOZOWNIK DO MYDŁA KWADRAT BIAŁY 330 ML")</f>
        <v>DOZOWNIK DO MYDŁA KWADRAT BIAŁY 330 ML</v>
      </c>
      <c r="C3187" s="23"/>
      <c r="D3187" s="24">
        <f ca="1">IFERROR(__xludf.DUMMYFUNCTION("""COMPUTED_VALUE"""),25)</f>
        <v>25</v>
      </c>
      <c r="E3187" s="26" t="str">
        <f ca="1">IFERROR(__xludf.DUMMYFUNCTION("""COMPUTED_VALUE"""),"BAT-05010")</f>
        <v>BAT-05010</v>
      </c>
    </row>
    <row r="3188" spans="1:5" x14ac:dyDescent="0.2">
      <c r="A3188" s="22">
        <f ca="1">IFERROR(__xludf.DUMMYFUNCTION("""COMPUTED_VALUE"""),44344)</f>
        <v>44344</v>
      </c>
      <c r="B3188" s="23" t="str">
        <f ca="1">IFERROR(__xludf.DUMMYFUNCTION("""COMPUTED_VALUE"""),"DOZOWNIK DO MYDŁA KWADRAT CHROM 330 ML")</f>
        <v>DOZOWNIK DO MYDŁA KWADRAT CHROM 330 ML</v>
      </c>
      <c r="C3188" s="23"/>
      <c r="D3188" s="24">
        <f ca="1">IFERROR(__xludf.DUMMYFUNCTION("""COMPUTED_VALUE"""),25)</f>
        <v>25</v>
      </c>
      <c r="E3188" s="26" t="str">
        <f ca="1">IFERROR(__xludf.DUMMYFUNCTION("""COMPUTED_VALUE"""),"BAT-05011")</f>
        <v>BAT-05011</v>
      </c>
    </row>
    <row r="3189" spans="1:5" x14ac:dyDescent="0.2">
      <c r="A3189" s="22">
        <f ca="1">IFERROR(__xludf.DUMMYFUNCTION("""COMPUTED_VALUE"""),44344)</f>
        <v>44344</v>
      </c>
      <c r="B3189" s="23" t="str">
        <f ca="1">IFERROR(__xludf.DUMMYFUNCTION("""COMPUTED_VALUE"""),"DOZOWNIK CZARNY 322103")</f>
        <v>DOZOWNIK CZARNY 322103</v>
      </c>
      <c r="C3189" s="23"/>
      <c r="D3189" s="24">
        <f ca="1">IFERROR(__xludf.DUMMYFUNCTION("""COMPUTED_VALUE"""),49)</f>
        <v>49</v>
      </c>
      <c r="E3189" s="26" t="str">
        <f ca="1">IFERROR(__xludf.DUMMYFUNCTION("""COMPUTED_VALUE"""),"REA-06931")</f>
        <v>REA-06931</v>
      </c>
    </row>
    <row r="3190" spans="1:5" x14ac:dyDescent="0.2">
      <c r="A3190" s="22">
        <f ca="1">IFERROR(__xludf.DUMMYFUNCTION("""COMPUTED_VALUE"""),44344)</f>
        <v>44344</v>
      </c>
      <c r="B3190" s="23" t="str">
        <f ca="1">IFERROR(__xludf.DUMMYFUNCTION("""COMPUTED_VALUE"""),"DOZOWNIK DO MYDŁA KWADRAT MIEDŹ 330 ML")</f>
        <v>DOZOWNIK DO MYDŁA KWADRAT MIEDŹ 330 ML</v>
      </c>
      <c r="C3190" s="23"/>
      <c r="D3190" s="24">
        <f ca="1">IFERROR(__xludf.DUMMYFUNCTION("""COMPUTED_VALUE"""),69)</f>
        <v>69</v>
      </c>
      <c r="E3190" s="26" t="str">
        <f ca="1">IFERROR(__xludf.DUMMYFUNCTION("""COMPUTED_VALUE"""),"BAT-05013")</f>
        <v>BAT-05013</v>
      </c>
    </row>
    <row r="3191" spans="1:5" x14ac:dyDescent="0.2">
      <c r="A3191" s="22">
        <f ca="1">IFERROR(__xludf.DUMMYFUNCTION("""COMPUTED_VALUE"""),44344)</f>
        <v>44344</v>
      </c>
      <c r="B3191" s="23" t="str">
        <f ca="1">IFERROR(__xludf.DUMMYFUNCTION("""COMPUTED_VALUE"""),"DOZOWNIK DO MYDŁA KWADRAT SZCZOTKOWANY NIKIEL330ML")</f>
        <v>DOZOWNIK DO MYDŁA KWADRAT SZCZOTKOWANY NIKIEL330ML</v>
      </c>
      <c r="C3191" s="23"/>
      <c r="D3191" s="24">
        <f ca="1">IFERROR(__xludf.DUMMYFUNCTION("""COMPUTED_VALUE"""),25)</f>
        <v>25</v>
      </c>
      <c r="E3191" s="26" t="str">
        <f ca="1">IFERROR(__xludf.DUMMYFUNCTION("""COMPUTED_VALUE"""),"BAT-05012")</f>
        <v>BAT-05012</v>
      </c>
    </row>
    <row r="3192" spans="1:5" x14ac:dyDescent="0.2">
      <c r="A3192" s="22">
        <f ca="1">IFERROR(__xludf.DUMMYFUNCTION("""COMPUTED_VALUE"""),44344)</f>
        <v>44344</v>
      </c>
      <c r="B3192" s="23" t="str">
        <f ca="1">IFERROR(__xludf.DUMMYFUNCTION("""COMPUTED_VALUE"""),"DOZOWNIK DO MYDŁA KWADRAT ZŁOTY 330 ML")</f>
        <v>DOZOWNIK DO MYDŁA KWADRAT ZŁOTY 330 ML</v>
      </c>
      <c r="C3192" s="23"/>
      <c r="D3192" s="24">
        <f ca="1">IFERROR(__xludf.DUMMYFUNCTION("""COMPUTED_VALUE"""),59)</f>
        <v>59</v>
      </c>
      <c r="E3192" s="26" t="str">
        <f ca="1">IFERROR(__xludf.DUMMYFUNCTION("""COMPUTED_VALUE"""),"BAT-05008")</f>
        <v>BAT-05008</v>
      </c>
    </row>
    <row r="3193" spans="1:5" x14ac:dyDescent="0.2">
      <c r="A3193" s="22">
        <f ca="1">IFERROR(__xludf.DUMMYFUNCTION("""COMPUTED_VALUE"""),44344)</f>
        <v>44344</v>
      </c>
      <c r="B3193" s="23" t="str">
        <f ca="1">IFERROR(__xludf.DUMMYFUNCTION("""COMPUTED_VALUE"""),"DOZOWNIK DO MYDŁA KWADRAT SZCZOTKOWANY ZŁOTY 330ML")</f>
        <v>DOZOWNIK DO MYDŁA KWADRAT SZCZOTKOWANY ZŁOTY 330ML</v>
      </c>
      <c r="C3193" s="23"/>
      <c r="D3193" s="24">
        <f ca="1">IFERROR(__xludf.DUMMYFUNCTION("""COMPUTED_VALUE"""),49)</f>
        <v>49</v>
      </c>
      <c r="E3193" s="26" t="str">
        <f ca="1">IFERROR(__xludf.DUMMYFUNCTION("""COMPUTED_VALUE"""),"BAT-05009")</f>
        <v>BAT-05009</v>
      </c>
    </row>
    <row r="3194" spans="1:5" x14ac:dyDescent="0.2">
      <c r="A3194" s="22">
        <f ca="1">IFERROR(__xludf.DUMMYFUNCTION("""COMPUTED_VALUE"""),44344)</f>
        <v>44344</v>
      </c>
      <c r="B3194" s="23" t="str">
        <f ca="1">IFERROR(__xludf.DUMMYFUNCTION("""COMPUTED_VALUE"""),"DOZOWNIK DO MYDŁA OKRĄGŁY BIAŁY 330 ML")</f>
        <v>DOZOWNIK DO MYDŁA OKRĄGŁY BIAŁY 330 ML</v>
      </c>
      <c r="C3194" s="23"/>
      <c r="D3194" s="24">
        <f ca="1">IFERROR(__xludf.DUMMYFUNCTION("""COMPUTED_VALUE"""),19)</f>
        <v>19</v>
      </c>
      <c r="E3194" s="26" t="str">
        <f ca="1">IFERROR(__xludf.DUMMYFUNCTION("""COMPUTED_VALUE"""),"BAT-05003")</f>
        <v>BAT-05003</v>
      </c>
    </row>
    <row r="3195" spans="1:5" x14ac:dyDescent="0.2">
      <c r="A3195" s="22">
        <f ca="1">IFERROR(__xludf.DUMMYFUNCTION("""COMPUTED_VALUE"""),44344)</f>
        <v>44344</v>
      </c>
      <c r="B3195" s="23" t="str">
        <f ca="1">IFERROR(__xludf.DUMMYFUNCTION("""COMPUTED_VALUE"""),"DOZOWNIK DO MYDŁA OKRAGŁY CHROM 330 ML")</f>
        <v>DOZOWNIK DO MYDŁA OKRAGŁY CHROM 330 ML</v>
      </c>
      <c r="C3195" s="23"/>
      <c r="D3195" s="24">
        <f ca="1">IFERROR(__xludf.DUMMYFUNCTION("""COMPUTED_VALUE"""),19)</f>
        <v>19</v>
      </c>
      <c r="E3195" s="26" t="str">
        <f ca="1">IFERROR(__xludf.DUMMYFUNCTION("""COMPUTED_VALUE"""),"BAT-05004")</f>
        <v>BAT-05004</v>
      </c>
    </row>
    <row r="3196" spans="1:5" x14ac:dyDescent="0.2">
      <c r="A3196" s="22">
        <f ca="1">IFERROR(__xludf.DUMMYFUNCTION("""COMPUTED_VALUE"""),44344)</f>
        <v>44344</v>
      </c>
      <c r="B3196" s="23" t="str">
        <f ca="1">IFERROR(__xludf.DUMMYFUNCTION("""COMPUTED_VALUE"""),"DOZOWNIK DO MYDŁA OKRAGŁY CZARNY 330 ML")</f>
        <v>DOZOWNIK DO MYDŁA OKRAGŁY CZARNY 330 ML</v>
      </c>
      <c r="C3196" s="23"/>
      <c r="D3196" s="24">
        <f ca="1">IFERROR(__xludf.DUMMYFUNCTION("""COMPUTED_VALUE"""),39)</f>
        <v>39</v>
      </c>
      <c r="E3196" s="26" t="str">
        <f ca="1">IFERROR(__xludf.DUMMYFUNCTION("""COMPUTED_VALUE"""),"BAT-05000")</f>
        <v>BAT-05000</v>
      </c>
    </row>
    <row r="3197" spans="1:5" x14ac:dyDescent="0.2">
      <c r="A3197" s="22">
        <f ca="1">IFERROR(__xludf.DUMMYFUNCTION("""COMPUTED_VALUE"""),44344)</f>
        <v>44344</v>
      </c>
      <c r="B3197" s="23" t="str">
        <f ca="1">IFERROR(__xludf.DUMMYFUNCTION("""COMPUTED_VALUE"""),"DOZOWNIK DO MYDŁA OKRĄGŁY MIEDŹ 330 ML")</f>
        <v>DOZOWNIK DO MYDŁA OKRĄGŁY MIEDŹ 330 ML</v>
      </c>
      <c r="C3197" s="23"/>
      <c r="D3197" s="24">
        <f ca="1">IFERROR(__xludf.DUMMYFUNCTION("""COMPUTED_VALUE"""),59)</f>
        <v>59</v>
      </c>
      <c r="E3197" s="26" t="str">
        <f ca="1">IFERROR(__xludf.DUMMYFUNCTION("""COMPUTED_VALUE"""),"BAT-05006")</f>
        <v>BAT-05006</v>
      </c>
    </row>
    <row r="3198" spans="1:5" x14ac:dyDescent="0.2">
      <c r="A3198" s="22">
        <f ca="1">IFERROR(__xludf.DUMMYFUNCTION("""COMPUTED_VALUE"""),44344)</f>
        <v>44344</v>
      </c>
      <c r="B3198" s="23" t="str">
        <f ca="1">IFERROR(__xludf.DUMMYFUNCTION("""COMPUTED_VALUE"""),"DOZOWNIK DO MYDŁA OKRĄGŁY SZCZOTKOWAN NIKIEL 330ML")</f>
        <v>DOZOWNIK DO MYDŁA OKRĄGŁY SZCZOTKOWAN NIKIEL 330ML</v>
      </c>
      <c r="C3198" s="23"/>
      <c r="D3198" s="24">
        <f ca="1">IFERROR(__xludf.DUMMYFUNCTION("""COMPUTED_VALUE"""),19)</f>
        <v>19</v>
      </c>
      <c r="E3198" s="26" t="str">
        <f ca="1">IFERROR(__xludf.DUMMYFUNCTION("""COMPUTED_VALUE"""),"BAT-05005")</f>
        <v>BAT-05005</v>
      </c>
    </row>
    <row r="3199" spans="1:5" x14ac:dyDescent="0.2">
      <c r="A3199" s="22">
        <f ca="1">IFERROR(__xludf.DUMMYFUNCTION("""COMPUTED_VALUE"""),44344)</f>
        <v>44344</v>
      </c>
      <c r="B3199" s="23" t="str">
        <f ca="1">IFERROR(__xludf.DUMMYFUNCTION("""COMPUTED_VALUE"""),"DOZOWNIK DO MYDŁA OKRĄGŁY ZŁOTY 330 ML")</f>
        <v>DOZOWNIK DO MYDŁA OKRĄGŁY ZŁOTY 330 ML</v>
      </c>
      <c r="C3199" s="23"/>
      <c r="D3199" s="24">
        <f ca="1">IFERROR(__xludf.DUMMYFUNCTION("""COMPUTED_VALUE"""),39)</f>
        <v>39</v>
      </c>
      <c r="E3199" s="26" t="str">
        <f ca="1">IFERROR(__xludf.DUMMYFUNCTION("""COMPUTED_VALUE"""),"BAT-05001")</f>
        <v>BAT-05001</v>
      </c>
    </row>
    <row r="3200" spans="1:5" x14ac:dyDescent="0.2">
      <c r="A3200" s="22">
        <f ca="1">IFERROR(__xludf.DUMMYFUNCTION("""COMPUTED_VALUE"""),44344)</f>
        <v>44344</v>
      </c>
      <c r="B3200" s="23" t="str">
        <f ca="1">IFERROR(__xludf.DUMMYFUNCTION("""COMPUTED_VALUE"""),"DOZOWNIK DO MYDŁA OKRĄGŁY SZCZOTKOWANY ZŁOTY 330ML")</f>
        <v>DOZOWNIK DO MYDŁA OKRĄGŁY SZCZOTKOWANY ZŁOTY 330ML</v>
      </c>
      <c r="C3200" s="23"/>
      <c r="D3200" s="24">
        <f ca="1">IFERROR(__xludf.DUMMYFUNCTION("""COMPUTED_VALUE"""),39)</f>
        <v>39</v>
      </c>
      <c r="E3200" s="26" t="str">
        <f ca="1">IFERROR(__xludf.DUMMYFUNCTION("""COMPUTED_VALUE"""),"BAT-05002")</f>
        <v>BAT-05002</v>
      </c>
    </row>
    <row r="3201" spans="1:5" x14ac:dyDescent="0.2">
      <c r="A3201" s="22">
        <f ca="1">IFERROR(__xludf.DUMMYFUNCTION("""COMPUTED_VALUE"""),44344)</f>
        <v>44344</v>
      </c>
      <c r="B3201" s="23" t="str">
        <f ca="1">IFERROR(__xludf.DUMMYFUNCTION("""COMPUTED_VALUE"""),"KUBEK ŁAZIENKOWY WISZĄCY BIAŁY LEO 322233B")</f>
        <v>KUBEK ŁAZIENKOWY WISZĄCY BIAŁY LEO 322233B</v>
      </c>
      <c r="C3201" s="23"/>
      <c r="D3201" s="24">
        <f ca="1">IFERROR(__xludf.DUMMYFUNCTION("""COMPUTED_VALUE"""),69)</f>
        <v>69</v>
      </c>
      <c r="E3201" s="26" t="str">
        <f ca="1">IFERROR(__xludf.DUMMYFUNCTION("""COMPUTED_VALUE"""),"REA-77091")</f>
        <v>REA-77091</v>
      </c>
    </row>
    <row r="3202" spans="1:5" x14ac:dyDescent="0.2">
      <c r="A3202" s="22">
        <f ca="1">IFERROR(__xludf.DUMMYFUNCTION("""COMPUTED_VALUE"""),44344)</f>
        <v>44344</v>
      </c>
      <c r="B3202" s="23" t="str">
        <f ca="1">IFERROR(__xludf.DUMMYFUNCTION("""COMPUTED_VALUE"""),"KUBEK ŁAZIENKOWY WISZĄCY CZARNY TIL 322185")</f>
        <v>KUBEK ŁAZIENKOWY WISZĄCY CZARNY TIL 322185</v>
      </c>
      <c r="C3202" s="23"/>
      <c r="D3202" s="24">
        <f ca="1">IFERROR(__xludf.DUMMYFUNCTION("""COMPUTED_VALUE"""),35)</f>
        <v>35</v>
      </c>
      <c r="E3202" s="26" t="str">
        <f ca="1">IFERROR(__xludf.DUMMYFUNCTION("""COMPUTED_VALUE"""),"REA-77049")</f>
        <v>REA-77049</v>
      </c>
    </row>
    <row r="3203" spans="1:5" x14ac:dyDescent="0.2">
      <c r="A3203" s="22">
        <f ca="1">IFERROR(__xludf.DUMMYFUNCTION("""COMPUTED_VALUE"""),44344)</f>
        <v>44344</v>
      </c>
      <c r="B3203" s="23" t="str">
        <f ca="1">IFERROR(__xludf.DUMMYFUNCTION("""COMPUTED_VALUE"""),"KUBEK ŁAZIENKOWY WISZĄCY CZARNY MOON 322189A")</f>
        <v>KUBEK ŁAZIENKOWY WISZĄCY CZARNY MOON 322189A</v>
      </c>
      <c r="C3203" s="23"/>
      <c r="D3203" s="24">
        <f ca="1">IFERROR(__xludf.DUMMYFUNCTION("""COMPUTED_VALUE"""),39)</f>
        <v>39</v>
      </c>
      <c r="E3203" s="26" t="str">
        <f ca="1">IFERROR(__xludf.DUMMYFUNCTION("""COMPUTED_VALUE"""),"REA-77070")</f>
        <v>REA-77070</v>
      </c>
    </row>
    <row r="3204" spans="1:5" x14ac:dyDescent="0.2">
      <c r="A3204" s="22">
        <f ca="1">IFERROR(__xludf.DUMMYFUNCTION("""COMPUTED_VALUE"""),44344)</f>
        <v>44344</v>
      </c>
      <c r="B3204" s="23" t="str">
        <f ca="1">IFERROR(__xludf.DUMMYFUNCTION("""COMPUTED_VALUE"""),"KUBEK ŁAZIENKOWY WISZĄCY CZARNY 322211")</f>
        <v>KUBEK ŁAZIENKOWY WISZĄCY CZARNY 322211</v>
      </c>
      <c r="C3204" s="23"/>
      <c r="D3204" s="24">
        <f ca="1">IFERROR(__xludf.DUMMYFUNCTION("""COMPUTED_VALUE"""),29)</f>
        <v>29</v>
      </c>
      <c r="E3204" s="26" t="str">
        <f ca="1">IFERROR(__xludf.DUMMYFUNCTION("""COMPUTED_VALUE"""),"REA-77039")</f>
        <v>REA-77039</v>
      </c>
    </row>
    <row r="3205" spans="1:5" x14ac:dyDescent="0.2">
      <c r="A3205" s="22">
        <f ca="1">IFERROR(__xludf.DUMMYFUNCTION("""COMPUTED_VALUE"""),44344)</f>
        <v>44344</v>
      </c>
      <c r="B3205" s="23" t="str">
        <f ca="1">IFERROR(__xludf.DUMMYFUNCTION("""COMPUTED_VALUE"""),"KUBEK ŁAZIENKOWY WISZĄCY CZARNY LEO 322233C")</f>
        <v>KUBEK ŁAZIENKOWY WISZĄCY CZARNY LEO 322233C</v>
      </c>
      <c r="C3205" s="23"/>
      <c r="D3205" s="24">
        <f ca="1">IFERROR(__xludf.DUMMYFUNCTION("""COMPUTED_VALUE"""),69)</f>
        <v>69</v>
      </c>
      <c r="E3205" s="26" t="str">
        <f ca="1">IFERROR(__xludf.DUMMYFUNCTION("""COMPUTED_VALUE"""),"REA-77094")</f>
        <v>REA-77094</v>
      </c>
    </row>
    <row r="3206" spans="1:5" x14ac:dyDescent="0.2">
      <c r="A3206" s="22">
        <f ca="1">IFERROR(__xludf.DUMMYFUNCTION("""COMPUTED_VALUE"""),44344)</f>
        <v>44344</v>
      </c>
      <c r="B3206" s="23" t="str">
        <f ca="1">IFERROR(__xludf.DUMMYFUNCTION("""COMPUTED_VALUE"""),"KUBEK ŁAZIENKOWY WISZĄCY TYTAN LEO 322233A")</f>
        <v>KUBEK ŁAZIENKOWY WISZĄCY TYTAN LEO 322233A</v>
      </c>
      <c r="C3206" s="23"/>
      <c r="D3206" s="24">
        <f ca="1">IFERROR(__xludf.DUMMYFUNCTION("""COMPUTED_VALUE"""),109)</f>
        <v>109</v>
      </c>
      <c r="E3206" s="26" t="str">
        <f ca="1">IFERROR(__xludf.DUMMYFUNCTION("""COMPUTED_VALUE"""),"REA-77089")</f>
        <v>REA-77089</v>
      </c>
    </row>
    <row r="3207" spans="1:5" x14ac:dyDescent="0.2">
      <c r="A3207" s="22">
        <f ca="1">IFERROR(__xludf.DUMMYFUNCTION("""COMPUTED_VALUE"""),44344)</f>
        <v>44344</v>
      </c>
      <c r="B3207" s="23" t="str">
        <f ca="1">IFERROR(__xludf.DUMMYFUNCTION("""COMPUTED_VALUE"""),"KUBEK ŁAZIENKOWY WISZĄCY CHROM CRIS 322224")</f>
        <v>KUBEK ŁAZIENKOWY WISZĄCY CHROM CRIS 322224</v>
      </c>
      <c r="C3207" s="23"/>
      <c r="D3207" s="24">
        <f ca="1">IFERROR(__xludf.DUMMYFUNCTION("""COMPUTED_VALUE"""),79)</f>
        <v>79</v>
      </c>
      <c r="E3207" s="26" t="str">
        <f ca="1">IFERROR(__xludf.DUMMYFUNCTION("""COMPUTED_VALUE"""),"REA-77036")</f>
        <v>REA-77036</v>
      </c>
    </row>
    <row r="3208" spans="1:5" x14ac:dyDescent="0.2">
      <c r="A3208" s="22">
        <f ca="1">IFERROR(__xludf.DUMMYFUNCTION("""COMPUTED_VALUE"""),44344)</f>
        <v>44344</v>
      </c>
      <c r="B3208" s="23" t="str">
        <f ca="1">IFERROR(__xludf.DUMMYFUNCTION("""COMPUTED_VALUE"""),"KUBEK ŁAZIENKOWY WISZĄCY ZŁOTY TIL 322185A")</f>
        <v>KUBEK ŁAZIENKOWY WISZĄCY ZŁOTY TIL 322185A</v>
      </c>
      <c r="C3208" s="23"/>
      <c r="D3208" s="24">
        <f ca="1">IFERROR(__xludf.DUMMYFUNCTION("""COMPUTED_VALUE"""),45)</f>
        <v>45</v>
      </c>
      <c r="E3208" s="26" t="str">
        <f ca="1">IFERROR(__xludf.DUMMYFUNCTION("""COMPUTED_VALUE"""),"REA-77092")</f>
        <v>REA-77092</v>
      </c>
    </row>
    <row r="3209" spans="1:5" x14ac:dyDescent="0.2">
      <c r="A3209" s="22">
        <f ca="1">IFERROR(__xludf.DUMMYFUNCTION("""COMPUTED_VALUE"""),44344)</f>
        <v>44344</v>
      </c>
      <c r="B3209" s="23" t="str">
        <f ca="1">IFERROR(__xludf.DUMMYFUNCTION("""COMPUTED_VALUE"""),"KUBEK ŁAZIENKOWY WISZĄCY ZŁOTY MOON 322189")</f>
        <v>KUBEK ŁAZIENKOWY WISZĄCY ZŁOTY MOON 322189</v>
      </c>
      <c r="C3209" s="23"/>
      <c r="D3209" s="24">
        <f ca="1">IFERROR(__xludf.DUMMYFUNCTION("""COMPUTED_VALUE"""),49)</f>
        <v>49</v>
      </c>
      <c r="E3209" s="26" t="str">
        <f ca="1">IFERROR(__xludf.DUMMYFUNCTION("""COMPUTED_VALUE"""),"REA-77063")</f>
        <v>REA-77063</v>
      </c>
    </row>
    <row r="3210" spans="1:5" x14ac:dyDescent="0.2">
      <c r="A3210" s="22">
        <f ca="1">IFERROR(__xludf.DUMMYFUNCTION("""COMPUTED_VALUE"""),44344)</f>
        <v>44344</v>
      </c>
      <c r="B3210" s="23" t="str">
        <f ca="1">IFERROR(__xludf.DUMMYFUNCTION("""COMPUTED_VALUE"""),"KUBEK ŁAZIENKOWY WISZĄCY ZŁOTY 322211A")</f>
        <v>KUBEK ŁAZIENKOWY WISZĄCY ZŁOTY 322211A</v>
      </c>
      <c r="C3210" s="23"/>
      <c r="D3210" s="24">
        <f ca="1">IFERROR(__xludf.DUMMYFUNCTION("""COMPUTED_VALUE"""),39)</f>
        <v>39</v>
      </c>
      <c r="E3210" s="26" t="str">
        <f ca="1">IFERROR(__xludf.DUMMYFUNCTION("""COMPUTED_VALUE"""),"REA-77085")</f>
        <v>REA-77085</v>
      </c>
    </row>
    <row r="3211" spans="1:5" x14ac:dyDescent="0.2">
      <c r="A3211" s="22">
        <f ca="1">IFERROR(__xludf.DUMMYFUNCTION("""COMPUTED_VALUE"""),44344)</f>
        <v>44344</v>
      </c>
      <c r="B3211" s="23" t="str">
        <f ca="1">IFERROR(__xludf.DUMMYFUNCTION("""COMPUTED_VALUE"""),"KUBEK ŁAZIENKOWY WISZĄCY ZŁOTY CRIS 322224B")</f>
        <v>KUBEK ŁAZIENKOWY WISZĄCY ZŁOTY CRIS 322224B</v>
      </c>
      <c r="C3211" s="23"/>
      <c r="D3211" s="24">
        <f ca="1">IFERROR(__xludf.DUMMYFUNCTION("""COMPUTED_VALUE"""),129)</f>
        <v>129</v>
      </c>
      <c r="E3211" s="26" t="str">
        <f ca="1">IFERROR(__xludf.DUMMYFUNCTION("""COMPUTED_VALUE"""),"REA-77040")</f>
        <v>REA-77040</v>
      </c>
    </row>
    <row r="3212" spans="1:5" x14ac:dyDescent="0.2">
      <c r="A3212" s="22">
        <f ca="1">IFERROR(__xludf.DUMMYFUNCTION("""COMPUTED_VALUE"""),44344)</f>
        <v>44344</v>
      </c>
      <c r="B3212" s="23" t="str">
        <f ca="1">IFERROR(__xludf.DUMMYFUNCTION("""COMPUTED_VALUE"""),"KUBEK ŁAZIENKOWY WISZĄCY ZŁOTY SZCZOTKOWANY 322233")</f>
        <v>KUBEK ŁAZIENKOWY WISZĄCY ZŁOTY SZCZOTKOWANY 322233</v>
      </c>
      <c r="C3212" s="23"/>
      <c r="D3212" s="24">
        <f ca="1">IFERROR(__xludf.DUMMYFUNCTION("""COMPUTED_VALUE"""),99)</f>
        <v>99</v>
      </c>
      <c r="E3212" s="26" t="str">
        <f ca="1">IFERROR(__xludf.DUMMYFUNCTION("""COMPUTED_VALUE"""),"REA-77087")</f>
        <v>REA-77087</v>
      </c>
    </row>
    <row r="3213" spans="1:5" x14ac:dyDescent="0.2">
      <c r="A3213" s="22">
        <f ca="1">IFERROR(__xludf.DUMMYFUNCTION("""COMPUTED_VALUE"""),44344)</f>
        <v>44344</v>
      </c>
      <c r="B3213" s="23" t="str">
        <f ca="1">IFERROR(__xludf.DUMMYFUNCTION("""COMPUTED_VALUE"""),"MYDELNICZKA WISZĄCA NIKIEL SZCZOTK DUO 322218")</f>
        <v>MYDELNICZKA WISZĄCA NIKIEL SZCZOTK DUO 322218</v>
      </c>
      <c r="C3213" s="23"/>
      <c r="D3213" s="24">
        <f ca="1">IFERROR(__xludf.DUMMYFUNCTION("""COMPUTED_VALUE"""),59)</f>
        <v>59</v>
      </c>
      <c r="E3213" s="26" t="str">
        <f ca="1">IFERROR(__xludf.DUMMYFUNCTION("""COMPUTED_VALUE"""),"REA-77053")</f>
        <v>REA-77053</v>
      </c>
    </row>
    <row r="3214" spans="1:5" x14ac:dyDescent="0.2">
      <c r="A3214" s="22">
        <f ca="1">IFERROR(__xludf.DUMMYFUNCTION("""COMPUTED_VALUE"""),44344)</f>
        <v>44344</v>
      </c>
      <c r="B3214" s="23" t="str">
        <f ca="1">IFERROR(__xludf.DUMMYFUNCTION("""COMPUTED_VALUE"""),"MYDELNICZKA WISZĄCA CZARNA 322190A")</f>
        <v>MYDELNICZKA WISZĄCA CZARNA 322190A</v>
      </c>
      <c r="C3214" s="23"/>
      <c r="D3214" s="24">
        <f ca="1">IFERROR(__xludf.DUMMYFUNCTION("""COMPUTED_VALUE"""),45)</f>
        <v>45</v>
      </c>
      <c r="E3214" s="26" t="str">
        <f ca="1">IFERROR(__xludf.DUMMYFUNCTION("""COMPUTED_VALUE"""),"REA-77038")</f>
        <v>REA-77038</v>
      </c>
    </row>
    <row r="3215" spans="1:5" x14ac:dyDescent="0.2">
      <c r="A3215" s="22">
        <f ca="1">IFERROR(__xludf.DUMMYFUNCTION("""COMPUTED_VALUE"""),44344)</f>
        <v>44344</v>
      </c>
      <c r="B3215" s="23" t="str">
        <f ca="1">IFERROR(__xludf.DUMMYFUNCTION("""COMPUTED_VALUE"""),"MYDELNICZKA WISZĄCA CZARNA DUO 322218A")</f>
        <v>MYDELNICZKA WISZĄCA CZARNA DUO 322218A</v>
      </c>
      <c r="C3215" s="23"/>
      <c r="D3215" s="24">
        <f ca="1">IFERROR(__xludf.DUMMYFUNCTION("""COMPUTED_VALUE"""),59)</f>
        <v>59</v>
      </c>
      <c r="E3215" s="26" t="str">
        <f ca="1">IFERROR(__xludf.DUMMYFUNCTION("""COMPUTED_VALUE"""),"REA-77078")</f>
        <v>REA-77078</v>
      </c>
    </row>
    <row r="3216" spans="1:5" x14ac:dyDescent="0.2">
      <c r="A3216" s="22">
        <f ca="1">IFERROR(__xludf.DUMMYFUNCTION("""COMPUTED_VALUE"""),44344)</f>
        <v>44344</v>
      </c>
      <c r="B3216" s="23" t="str">
        <f ca="1">IFERROR(__xludf.DUMMYFUNCTION("""COMPUTED_VALUE"""),"MYDELNICZKA CHROM CRIST 322225")</f>
        <v>MYDELNICZKA CHROM CRIST 322225</v>
      </c>
      <c r="C3216" s="23"/>
      <c r="D3216" s="24">
        <f ca="1">IFERROR(__xludf.DUMMYFUNCTION("""COMPUTED_VALUE"""),89)</f>
        <v>89</v>
      </c>
      <c r="E3216" s="26" t="str">
        <f ca="1">IFERROR(__xludf.DUMMYFUNCTION("""COMPUTED_VALUE"""),"REA-77042")</f>
        <v>REA-77042</v>
      </c>
    </row>
    <row r="3217" spans="1:5" x14ac:dyDescent="0.2">
      <c r="A3217" s="22">
        <f ca="1">IFERROR(__xludf.DUMMYFUNCTION("""COMPUTED_VALUE"""),44344)</f>
        <v>44344</v>
      </c>
      <c r="B3217" s="23" t="str">
        <f ca="1">IFERROR(__xludf.DUMMYFUNCTION("""COMPUTED_VALUE"""),"MYDELNICZKA WISZĄCA ZŁOTA 322190")</f>
        <v>MYDELNICZKA WISZĄCA ZŁOTA 322190</v>
      </c>
      <c r="C3217" s="23"/>
      <c r="D3217" s="24">
        <f ca="1">IFERROR(__xludf.DUMMYFUNCTION("""COMPUTED_VALUE"""),45)</f>
        <v>45</v>
      </c>
      <c r="E3217" s="26" t="str">
        <f ca="1">IFERROR(__xludf.DUMMYFUNCTION("""COMPUTED_VALUE"""),"REA-77037")</f>
        <v>REA-77037</v>
      </c>
    </row>
    <row r="3218" spans="1:5" x14ac:dyDescent="0.2">
      <c r="A3218" s="22">
        <f ca="1">IFERROR(__xludf.DUMMYFUNCTION("""COMPUTED_VALUE"""),44344)</f>
        <v>44344</v>
      </c>
      <c r="B3218" s="23" t="str">
        <f ca="1">IFERROR(__xludf.DUMMYFUNCTION("""COMPUTED_VALUE"""),"MYDELNICZKA WISZĄCA ZŁOTY 322218B")</f>
        <v>MYDELNICZKA WISZĄCA ZŁOTY 322218B</v>
      </c>
      <c r="C3218" s="23"/>
      <c r="D3218" s="24">
        <f ca="1">IFERROR(__xludf.DUMMYFUNCTION("""COMPUTED_VALUE"""),89)</f>
        <v>89</v>
      </c>
      <c r="E3218" s="26" t="str">
        <f ca="1">IFERROR(__xludf.DUMMYFUNCTION("""COMPUTED_VALUE"""),"REA-77054")</f>
        <v>REA-77054</v>
      </c>
    </row>
    <row r="3219" spans="1:5" x14ac:dyDescent="0.2">
      <c r="A3219" s="22">
        <f ca="1">IFERROR(__xludf.DUMMYFUNCTION("""COMPUTED_VALUE"""),44344)</f>
        <v>44344</v>
      </c>
      <c r="B3219" s="23" t="str">
        <f ca="1">IFERROR(__xludf.DUMMYFUNCTION("""COMPUTED_VALUE"""),"MYDELNICZKA ZŁOTA CRIS 322225B")</f>
        <v>MYDELNICZKA ZŁOTA CRIS 322225B</v>
      </c>
      <c r="C3219" s="23"/>
      <c r="D3219" s="24">
        <f ca="1">IFERROR(__xludf.DUMMYFUNCTION("""COMPUTED_VALUE"""),129)</f>
        <v>129</v>
      </c>
      <c r="E3219" s="26" t="str">
        <f ca="1">IFERROR(__xludf.DUMMYFUNCTION("""COMPUTED_VALUE"""),"REA-77045")</f>
        <v>REA-77045</v>
      </c>
    </row>
    <row r="3220" spans="1:5" x14ac:dyDescent="0.2">
      <c r="A3220" s="22">
        <f ca="1">IFERROR(__xludf.DUMMYFUNCTION("""COMPUTED_VALUE"""),44344)</f>
        <v>44344</v>
      </c>
      <c r="B3220" s="23" t="str">
        <f ca="1">IFERROR(__xludf.DUMMYFUNCTION("""COMPUTED_VALUE"""),"POJEMNIK BAMBUSOWY 322737")</f>
        <v>POJEMNIK BAMBUSOWY 322737</v>
      </c>
      <c r="C3220" s="23"/>
      <c r="D3220" s="24">
        <f ca="1">IFERROR(__xludf.DUMMYFUNCTION("""COMPUTED_VALUE"""),39)</f>
        <v>39</v>
      </c>
      <c r="E3220" s="26" t="str">
        <f ca="1">IFERROR(__xludf.DUMMYFUNCTION("""COMPUTED_VALUE"""),"HOM-07012")</f>
        <v>HOM-07012</v>
      </c>
    </row>
    <row r="3221" spans="1:5" x14ac:dyDescent="0.2">
      <c r="A3221" s="22">
        <f ca="1">IFERROR(__xludf.DUMMYFUNCTION("""COMPUTED_VALUE"""),44344)</f>
        <v>44344</v>
      </c>
      <c r="B3221" s="23" t="str">
        <f ca="1">IFERROR(__xludf.DUMMYFUNCTION("""COMPUTED_VALUE"""),"POJEMNIK NA PAPIER CHROM 322743B")</f>
        <v>POJEMNIK NA PAPIER CHROM 322743B</v>
      </c>
      <c r="C3221" s="23"/>
      <c r="D3221" s="24">
        <f ca="1">IFERROR(__xludf.DUMMYFUNCTION("""COMPUTED_VALUE"""),45)</f>
        <v>45</v>
      </c>
      <c r="E3221" s="26" t="str">
        <f ca="1">IFERROR(__xludf.DUMMYFUNCTION("""COMPUTED_VALUE"""),"REA-07016")</f>
        <v>REA-07016</v>
      </c>
    </row>
    <row r="3222" spans="1:5" x14ac:dyDescent="0.2">
      <c r="A3222" s="22">
        <f ca="1">IFERROR(__xludf.DUMMYFUNCTION("""COMPUTED_VALUE"""),44344)</f>
        <v>44344</v>
      </c>
      <c r="B3222" s="23" t="str">
        <f ca="1">IFERROR(__xludf.DUMMYFUNCTION("""COMPUTED_VALUE"""),"POJEMNIK NA PAPIER CZARNY 322743A")</f>
        <v>POJEMNIK NA PAPIER CZARNY 322743A</v>
      </c>
      <c r="C3222" s="23"/>
      <c r="D3222" s="24">
        <f ca="1">IFERROR(__xludf.DUMMYFUNCTION("""COMPUTED_VALUE"""),39)</f>
        <v>39</v>
      </c>
      <c r="E3222" s="26" t="str">
        <f ca="1">IFERROR(__xludf.DUMMYFUNCTION("""COMPUTED_VALUE"""),"REA-07014")</f>
        <v>REA-07014</v>
      </c>
    </row>
    <row r="3223" spans="1:5" x14ac:dyDescent="0.2">
      <c r="A3223" s="22">
        <f ca="1">IFERROR(__xludf.DUMMYFUNCTION("""COMPUTED_VALUE"""),44344)</f>
        <v>44344</v>
      </c>
      <c r="B3223" s="23" t="str">
        <f ca="1">IFERROR(__xludf.DUMMYFUNCTION("""COMPUTED_VALUE"""),"POJEMNIK NA PAPIER MIEDZIANY 322743")</f>
        <v>POJEMNIK NA PAPIER MIEDZIANY 322743</v>
      </c>
      <c r="C3223" s="23"/>
      <c r="D3223" s="24">
        <f ca="1">IFERROR(__xludf.DUMMYFUNCTION("""COMPUTED_VALUE"""),39)</f>
        <v>39</v>
      </c>
      <c r="E3223" s="26" t="str">
        <f ca="1">IFERROR(__xludf.DUMMYFUNCTION("""COMPUTED_VALUE"""),"REA-07013")</f>
        <v>REA-07013</v>
      </c>
    </row>
    <row r="3224" spans="1:5" x14ac:dyDescent="0.2">
      <c r="A3224" s="22">
        <f ca="1">IFERROR(__xludf.DUMMYFUNCTION("""COMPUTED_VALUE"""),44344)</f>
        <v>44344</v>
      </c>
      <c r="B3224" s="23" t="str">
        <f ca="1">IFERROR(__xludf.DUMMYFUNCTION("""COMPUTED_VALUE"""),"POJEMNIK NA PAPIER ZŁOTY 322743C")</f>
        <v>POJEMNIK NA PAPIER ZŁOTY 322743C</v>
      </c>
      <c r="C3224" s="23"/>
      <c r="D3224" s="24">
        <f ca="1">IFERROR(__xludf.DUMMYFUNCTION("""COMPUTED_VALUE"""),55)</f>
        <v>55</v>
      </c>
      <c r="E3224" s="26" t="str">
        <f ca="1">IFERROR(__xludf.DUMMYFUNCTION("""COMPUTED_VALUE"""),"REA-07017")</f>
        <v>REA-07017</v>
      </c>
    </row>
    <row r="3225" spans="1:5" x14ac:dyDescent="0.2">
      <c r="A3225" s="22">
        <f ca="1">IFERROR(__xludf.DUMMYFUNCTION("""COMPUTED_VALUE"""),44344)</f>
        <v>44344</v>
      </c>
      <c r="B3225" s="23" t="str">
        <f ca="1">IFERROR(__xludf.DUMMYFUNCTION("""COMPUTED_VALUE"""),"PÓŁKA ŁAZIENKOWA SF02-600-B BLACK")</f>
        <v>PÓŁKA ŁAZIENKOWA SF02-600-B BLACK</v>
      </c>
      <c r="C3225" s="23"/>
      <c r="D3225" s="24">
        <f ca="1">IFERROR(__xludf.DUMMYFUNCTION("""COMPUTED_VALUE"""),149)</f>
        <v>149</v>
      </c>
      <c r="E3225" s="26" t="str">
        <f ca="1">IFERROR(__xludf.DUMMYFUNCTION("""COMPUTED_VALUE"""),"REA-06010")</f>
        <v>REA-06010</v>
      </c>
    </row>
    <row r="3226" spans="1:5" x14ac:dyDescent="0.2">
      <c r="A3226" s="22">
        <f ca="1">IFERROR(__xludf.DUMMYFUNCTION("""COMPUTED_VALUE"""),44344)</f>
        <v>44344</v>
      </c>
      <c r="B3226" s="23" t="str">
        <f ca="1">IFERROR(__xludf.DUMMYFUNCTION("""COMPUTED_VALUE"""),"PÓŁKA ŁAZIENKOWA SF02-600-BG BRUSH GOLD")</f>
        <v>PÓŁKA ŁAZIENKOWA SF02-600-BG BRUSH GOLD</v>
      </c>
      <c r="C3226" s="23"/>
      <c r="D3226" s="24">
        <f ca="1">IFERROR(__xludf.DUMMYFUNCTION("""COMPUTED_VALUE"""),179)</f>
        <v>179</v>
      </c>
      <c r="E3226" s="26" t="str">
        <f ca="1">IFERROR(__xludf.DUMMYFUNCTION("""COMPUTED_VALUE"""),"REA-06011")</f>
        <v>REA-06011</v>
      </c>
    </row>
    <row r="3227" spans="1:5" x14ac:dyDescent="0.2">
      <c r="A3227" s="22">
        <f ca="1">IFERROR(__xludf.DUMMYFUNCTION("""COMPUTED_VALUE"""),44344)</f>
        <v>44344</v>
      </c>
      <c r="B3227" s="23" t="str">
        <f ca="1">IFERROR(__xludf.DUMMYFUNCTION("""COMPUTED_VALUE"""),"PÓŁKA ŁAZIENKOWA SF03-450-B BLACK")</f>
        <v>PÓŁKA ŁAZIENKOWA SF03-450-B BLACK</v>
      </c>
      <c r="C3227" s="23"/>
      <c r="D3227" s="24">
        <f ca="1">IFERROR(__xludf.DUMMYFUNCTION("""COMPUTED_VALUE"""),119)</f>
        <v>119</v>
      </c>
      <c r="E3227" s="26" t="str">
        <f ca="1">IFERROR(__xludf.DUMMYFUNCTION("""COMPUTED_VALUE"""),"REA-06006")</f>
        <v>REA-06006</v>
      </c>
    </row>
    <row r="3228" spans="1:5" x14ac:dyDescent="0.2">
      <c r="A3228" s="22">
        <f ca="1">IFERROR(__xludf.DUMMYFUNCTION("""COMPUTED_VALUE"""),44344)</f>
        <v>44344</v>
      </c>
      <c r="B3228" s="23" t="str">
        <f ca="1">IFERROR(__xludf.DUMMYFUNCTION("""COMPUTED_VALUE"""),"PÓŁKA ŁAZIENKOWA SF03-450-BG BRUSH GOLD")</f>
        <v>PÓŁKA ŁAZIENKOWA SF03-450-BG BRUSH GOLD</v>
      </c>
      <c r="C3228" s="23"/>
      <c r="D3228" s="24">
        <f ca="1">IFERROR(__xludf.DUMMYFUNCTION("""COMPUTED_VALUE"""),139)</f>
        <v>139</v>
      </c>
      <c r="E3228" s="26" t="str">
        <f ca="1">IFERROR(__xludf.DUMMYFUNCTION("""COMPUTED_VALUE"""),"REA-06007")</f>
        <v>REA-06007</v>
      </c>
    </row>
    <row r="3229" spans="1:5" x14ac:dyDescent="0.2">
      <c r="A3229" s="22">
        <f ca="1">IFERROR(__xludf.DUMMYFUNCTION("""COMPUTED_VALUE"""),44344)</f>
        <v>44344</v>
      </c>
      <c r="B3229" s="23" t="str">
        <f ca="1">IFERROR(__xludf.DUMMYFUNCTION("""COMPUTED_VALUE"""),"PÓŁKA ŁAZIENKOWA SF03-600-B BLACK")</f>
        <v>PÓŁKA ŁAZIENKOWA SF03-600-B BLACK</v>
      </c>
      <c r="C3229" s="23"/>
      <c r="D3229" s="24">
        <f ca="1">IFERROR(__xludf.DUMMYFUNCTION("""COMPUTED_VALUE"""),149)</f>
        <v>149</v>
      </c>
      <c r="E3229" s="26" t="str">
        <f ca="1">IFERROR(__xludf.DUMMYFUNCTION("""COMPUTED_VALUE"""),"REA-06008")</f>
        <v>REA-06008</v>
      </c>
    </row>
    <row r="3230" spans="1:5" x14ac:dyDescent="0.2">
      <c r="A3230" s="22">
        <f ca="1">IFERROR(__xludf.DUMMYFUNCTION("""COMPUTED_VALUE"""),44344)</f>
        <v>44344</v>
      </c>
      <c r="B3230" s="23" t="str">
        <f ca="1">IFERROR(__xludf.DUMMYFUNCTION("""COMPUTED_VALUE"""),"PÓŁKA ŁAZIENKOWA SF03-600-BG BRUSH GOLD")</f>
        <v>PÓŁKA ŁAZIENKOWA SF03-600-BG BRUSH GOLD</v>
      </c>
      <c r="C3230" s="23"/>
      <c r="D3230" s="24">
        <f ca="1">IFERROR(__xludf.DUMMYFUNCTION("""COMPUTED_VALUE"""),189)</f>
        <v>189</v>
      </c>
      <c r="E3230" s="26" t="str">
        <f ca="1">IFERROR(__xludf.DUMMYFUNCTION("""COMPUTED_VALUE"""),"REA-06009")</f>
        <v>REA-06009</v>
      </c>
    </row>
    <row r="3231" spans="1:5" x14ac:dyDescent="0.2">
      <c r="A3231" s="22">
        <f ca="1">IFERROR(__xludf.DUMMYFUNCTION("""COMPUTED_VALUE"""),44344)</f>
        <v>44344</v>
      </c>
      <c r="B3231" s="23" t="str">
        <f ca="1">IFERROR(__xludf.DUMMYFUNCTION("""COMPUTED_VALUE"""),"PÓŁKA ŁAZIENKOWA SF04-600-B BLACK")</f>
        <v>PÓŁKA ŁAZIENKOWA SF04-600-B BLACK</v>
      </c>
      <c r="C3231" s="23"/>
      <c r="D3231" s="24">
        <f ca="1">IFERROR(__xludf.DUMMYFUNCTION("""COMPUTED_VALUE"""),149)</f>
        <v>149</v>
      </c>
      <c r="E3231" s="26" t="str">
        <f ca="1">IFERROR(__xludf.DUMMYFUNCTION("""COMPUTED_VALUE"""),"REA-06004")</f>
        <v>REA-06004</v>
      </c>
    </row>
    <row r="3232" spans="1:5" x14ac:dyDescent="0.2">
      <c r="A3232" s="22">
        <f ca="1">IFERROR(__xludf.DUMMYFUNCTION("""COMPUTED_VALUE"""),44344)</f>
        <v>44344</v>
      </c>
      <c r="B3232" s="23" t="str">
        <f ca="1">IFERROR(__xludf.DUMMYFUNCTION("""COMPUTED_VALUE"""),"PÓŁKA ŁAZIENKOWA SF04-600-BG BRUSH GOLD")</f>
        <v>PÓŁKA ŁAZIENKOWA SF04-600-BG BRUSH GOLD</v>
      </c>
      <c r="C3232" s="23"/>
      <c r="D3232" s="24">
        <f ca="1">IFERROR(__xludf.DUMMYFUNCTION("""COMPUTED_VALUE"""),189)</f>
        <v>189</v>
      </c>
      <c r="E3232" s="26" t="str">
        <f ca="1">IFERROR(__xludf.DUMMYFUNCTION("""COMPUTED_VALUE"""),"REA-06005")</f>
        <v>REA-06005</v>
      </c>
    </row>
    <row r="3233" spans="1:5" x14ac:dyDescent="0.2">
      <c r="A3233" s="22">
        <f ca="1">IFERROR(__xludf.DUMMYFUNCTION("""COMPUTED_VALUE"""),44344)</f>
        <v>44344</v>
      </c>
      <c r="B3233" s="23" t="str">
        <f ca="1">IFERROR(__xludf.DUMMYFUNCTION("""COMPUTED_VALUE"""),"PÓŁKA ŁAZIENKOWA SF05-B BLACK")</f>
        <v>PÓŁKA ŁAZIENKOWA SF05-B BLACK</v>
      </c>
      <c r="C3233" s="23"/>
      <c r="D3233" s="24">
        <f ca="1">IFERROR(__xludf.DUMMYFUNCTION("""COMPUTED_VALUE"""),119)</f>
        <v>119</v>
      </c>
      <c r="E3233" s="26" t="str">
        <f ca="1">IFERROR(__xludf.DUMMYFUNCTION("""COMPUTED_VALUE"""),"REA-06014")</f>
        <v>REA-06014</v>
      </c>
    </row>
    <row r="3234" spans="1:5" x14ac:dyDescent="0.2">
      <c r="A3234" s="22">
        <f ca="1">IFERROR(__xludf.DUMMYFUNCTION("""COMPUTED_VALUE"""),44344)</f>
        <v>44344</v>
      </c>
      <c r="B3234" s="23" t="str">
        <f ca="1">IFERROR(__xludf.DUMMYFUNCTION("""COMPUTED_VALUE"""),"PÓŁKA ŁAZIENKOWA SF05-BG BRUSH GOLD")</f>
        <v>PÓŁKA ŁAZIENKOWA SF05-BG BRUSH GOLD</v>
      </c>
      <c r="C3234" s="23"/>
      <c r="D3234" s="24">
        <f ca="1">IFERROR(__xludf.DUMMYFUNCTION("""COMPUTED_VALUE"""),139)</f>
        <v>139</v>
      </c>
      <c r="E3234" s="26" t="str">
        <f ca="1">IFERROR(__xludf.DUMMYFUNCTION("""COMPUTED_VALUE"""),"REA-06015")</f>
        <v>REA-06015</v>
      </c>
    </row>
    <row r="3235" spans="1:5" x14ac:dyDescent="0.2">
      <c r="A3235" s="22">
        <f ca="1">IFERROR(__xludf.DUMMYFUNCTION("""COMPUTED_VALUE"""),44344)</f>
        <v>44344</v>
      </c>
      <c r="B3235" s="23" t="str">
        <f ca="1">IFERROR(__xludf.DUMMYFUNCTION("""COMPUTED_VALUE"""),"PÓŁKA ŁAZIENKOWA SF07-B BLACK")</f>
        <v>PÓŁKA ŁAZIENKOWA SF07-B BLACK</v>
      </c>
      <c r="C3235" s="23"/>
      <c r="D3235" s="24">
        <f ca="1">IFERROR(__xludf.DUMMYFUNCTION("""COMPUTED_VALUE"""),149)</f>
        <v>149</v>
      </c>
      <c r="E3235" s="26" t="str">
        <f ca="1">IFERROR(__xludf.DUMMYFUNCTION("""COMPUTED_VALUE"""),"REA-06012")</f>
        <v>REA-06012</v>
      </c>
    </row>
    <row r="3236" spans="1:5" x14ac:dyDescent="0.2">
      <c r="A3236" s="22">
        <f ca="1">IFERROR(__xludf.DUMMYFUNCTION("""COMPUTED_VALUE"""),44344)</f>
        <v>44344</v>
      </c>
      <c r="B3236" s="23" t="str">
        <f ca="1">IFERROR(__xludf.DUMMYFUNCTION("""COMPUTED_VALUE"""),"PÓŁKA ŁAZIENKOWA SF07-BG BRUSH GOLD")</f>
        <v>PÓŁKA ŁAZIENKOWA SF07-BG BRUSH GOLD</v>
      </c>
      <c r="C3236" s="23"/>
      <c r="D3236" s="24">
        <f ca="1">IFERROR(__xludf.DUMMYFUNCTION("""COMPUTED_VALUE"""),189)</f>
        <v>189</v>
      </c>
      <c r="E3236" s="26" t="str">
        <f ca="1">IFERROR(__xludf.DUMMYFUNCTION("""COMPUTED_VALUE"""),"REA-06013")</f>
        <v>REA-06013</v>
      </c>
    </row>
    <row r="3237" spans="1:5" x14ac:dyDescent="0.2">
      <c r="A3237" s="22">
        <f ca="1">IFERROR(__xludf.DUMMYFUNCTION("""COMPUTED_VALUE"""),44344)</f>
        <v>44344</v>
      </c>
      <c r="B3237" s="23" t="str">
        <f ca="1">IFERROR(__xludf.DUMMYFUNCTION("""COMPUTED_VALUE"""),"PÓŁKA ŁAZIENKOWA SF01-450-B BLACK")</f>
        <v>PÓŁKA ŁAZIENKOWA SF01-450-B BLACK</v>
      </c>
      <c r="C3237" s="23"/>
      <c r="D3237" s="24">
        <f ca="1">IFERROR(__xludf.DUMMYFUNCTION("""COMPUTED_VALUE"""),139)</f>
        <v>139</v>
      </c>
      <c r="E3237" s="26" t="str">
        <f ca="1">IFERROR(__xludf.DUMMYFUNCTION("""COMPUTED_VALUE"""),"REA-06000")</f>
        <v>REA-06000</v>
      </c>
    </row>
    <row r="3238" spans="1:5" x14ac:dyDescent="0.2">
      <c r="A3238" s="22">
        <f ca="1">IFERROR(__xludf.DUMMYFUNCTION("""COMPUTED_VALUE"""),44344)</f>
        <v>44344</v>
      </c>
      <c r="B3238" s="23" t="str">
        <f ca="1">IFERROR(__xludf.DUMMYFUNCTION("""COMPUTED_VALUE"""),"PÓŁKA ŁAZIENKOWA SF01-450-BG BRUSH GOLD")</f>
        <v>PÓŁKA ŁAZIENKOWA SF01-450-BG BRUSH GOLD</v>
      </c>
      <c r="C3238" s="23"/>
      <c r="D3238" s="24">
        <f ca="1">IFERROR(__xludf.DUMMYFUNCTION("""COMPUTED_VALUE"""),169)</f>
        <v>169</v>
      </c>
      <c r="E3238" s="26" t="str">
        <f ca="1">IFERROR(__xludf.DUMMYFUNCTION("""COMPUTED_VALUE"""),"REA-06001")</f>
        <v>REA-06001</v>
      </c>
    </row>
    <row r="3239" spans="1:5" x14ac:dyDescent="0.2">
      <c r="A3239" s="22">
        <f ca="1">IFERROR(__xludf.DUMMYFUNCTION("""COMPUTED_VALUE"""),44344)</f>
        <v>44344</v>
      </c>
      <c r="B3239" s="23" t="str">
        <f ca="1">IFERROR(__xludf.DUMMYFUNCTION("""COMPUTED_VALUE"""),"PÓŁKA ŁAZIENKOWA SF01-600-B BLACK")</f>
        <v>PÓŁKA ŁAZIENKOWA SF01-600-B BLACK</v>
      </c>
      <c r="C3239" s="23"/>
      <c r="D3239" s="24">
        <f ca="1">IFERROR(__xludf.DUMMYFUNCTION("""COMPUTED_VALUE"""),169)</f>
        <v>169</v>
      </c>
      <c r="E3239" s="26" t="str">
        <f ca="1">IFERROR(__xludf.DUMMYFUNCTION("""COMPUTED_VALUE"""),"REA-06002")</f>
        <v>REA-06002</v>
      </c>
    </row>
    <row r="3240" spans="1:5" x14ac:dyDescent="0.2">
      <c r="A3240" s="22">
        <f ca="1">IFERROR(__xludf.DUMMYFUNCTION("""COMPUTED_VALUE"""),44344)</f>
        <v>44344</v>
      </c>
      <c r="B3240" s="23" t="str">
        <f ca="1">IFERROR(__xludf.DUMMYFUNCTION("""COMPUTED_VALUE"""),"PÓŁKA ŁAZIENKOWA SF01-600-BG BRUSH GOLD")</f>
        <v>PÓŁKA ŁAZIENKOWA SF01-600-BG BRUSH GOLD</v>
      </c>
      <c r="C3240" s="23"/>
      <c r="D3240" s="24">
        <f ca="1">IFERROR(__xludf.DUMMYFUNCTION("""COMPUTED_VALUE"""),199)</f>
        <v>199</v>
      </c>
      <c r="E3240" s="26" t="str">
        <f ca="1">IFERROR(__xludf.DUMMYFUNCTION("""COMPUTED_VALUE"""),"REA-06003")</f>
        <v>REA-06003</v>
      </c>
    </row>
    <row r="3241" spans="1:5" x14ac:dyDescent="0.2">
      <c r="A3241" s="22">
        <f ca="1">IFERROR(__xludf.DUMMYFUNCTION("""COMPUTED_VALUE"""),44344)</f>
        <v>44344</v>
      </c>
      <c r="B3241" s="23" t="str">
        <f ca="1">IFERROR(__xludf.DUMMYFUNCTION("""COMPUTED_VALUE"""),"PRZEDŁUŻKA 30cm CHROM")</f>
        <v>PRZEDŁUŻKA 30cm CHROM</v>
      </c>
      <c r="C3241" s="23"/>
      <c r="D3241" s="24">
        <f ca="1">IFERROR(__xludf.DUMMYFUNCTION("""COMPUTED_VALUE"""),59)</f>
        <v>59</v>
      </c>
      <c r="E3241" s="26" t="str">
        <f ca="1">IFERROR(__xludf.DUMMYFUNCTION("""COMPUTED_VALUE"""),"REA-K7700")</f>
        <v>REA-K7700</v>
      </c>
    </row>
    <row r="3242" spans="1:5" x14ac:dyDescent="0.2">
      <c r="A3242" s="22">
        <f ca="1">IFERROR(__xludf.DUMMYFUNCTION("""COMPUTED_VALUE"""),44344)</f>
        <v>44344</v>
      </c>
      <c r="B3242" s="23" t="str">
        <f ca="1">IFERROR(__xludf.DUMMYFUNCTION("""COMPUTED_VALUE"""),"PRZEDŁUŻKA 30cm CZARNY")</f>
        <v>PRZEDŁUŻKA 30cm CZARNY</v>
      </c>
      <c r="C3242" s="23"/>
      <c r="D3242" s="24">
        <f ca="1">IFERROR(__xludf.DUMMYFUNCTION("""COMPUTED_VALUE"""),69)</f>
        <v>69</v>
      </c>
      <c r="E3242" s="26" t="str">
        <f ca="1">IFERROR(__xludf.DUMMYFUNCTION("""COMPUTED_VALUE"""),"REA-K7701")</f>
        <v>REA-K7701</v>
      </c>
    </row>
    <row r="3243" spans="1:5" x14ac:dyDescent="0.2">
      <c r="A3243" s="22">
        <f ca="1">IFERROR(__xludf.DUMMYFUNCTION("""COMPUTED_VALUE"""),44344)</f>
        <v>44344</v>
      </c>
      <c r="B3243" s="23" t="str">
        <f ca="1">IFERROR(__xludf.DUMMYFUNCTION("""COMPUTED_VALUE"""),"PRZEDŁUŻKA 30cm NIKIEL SZCZOTKOWANY")</f>
        <v>PRZEDŁUŻKA 30cm NIKIEL SZCZOTKOWANY</v>
      </c>
      <c r="C3243" s="23"/>
      <c r="D3243" s="24">
        <f ca="1">IFERROR(__xludf.DUMMYFUNCTION("""COMPUTED_VALUE"""),79)</f>
        <v>79</v>
      </c>
      <c r="E3243" s="26" t="str">
        <f ca="1">IFERROR(__xludf.DUMMYFUNCTION("""COMPUTED_VALUE"""),"REA-K7703")</f>
        <v>REA-K7703</v>
      </c>
    </row>
    <row r="3244" spans="1:5" x14ac:dyDescent="0.2">
      <c r="A3244" s="22">
        <f ca="1">IFERROR(__xludf.DUMMYFUNCTION("""COMPUTED_VALUE"""),44344)</f>
        <v>44344</v>
      </c>
      <c r="B3244" s="23" t="str">
        <f ca="1">IFERROR(__xludf.DUMMYFUNCTION("""COMPUTED_VALUE"""),"PRZEDŁUŻKA 60cm DO ZESTAWU ZŁOTY SZCZOTKOWANY")</f>
        <v>PRZEDŁUŻKA 60cm DO ZESTAWU ZŁOTY SZCZOTKOWANY</v>
      </c>
      <c r="C3244" s="23"/>
      <c r="D3244" s="24">
        <f ca="1">IFERROR(__xludf.DUMMYFUNCTION("""COMPUTED_VALUE"""),89)</f>
        <v>89</v>
      </c>
      <c r="E3244" s="26" t="str">
        <f ca="1">IFERROR(__xludf.DUMMYFUNCTION("""COMPUTED_VALUE"""),"REA-K6652")</f>
        <v>REA-K6652</v>
      </c>
    </row>
    <row r="3245" spans="1:5" x14ac:dyDescent="0.2">
      <c r="A3245" s="22">
        <f ca="1">IFERROR(__xludf.DUMMYFUNCTION("""COMPUTED_VALUE"""),44344)</f>
        <v>44344</v>
      </c>
      <c r="B3245" s="23" t="str">
        <f ca="1">IFERROR(__xludf.DUMMYFUNCTION("""COMPUTED_VALUE"""),"PRZEDŁUŻKA 30cm ZŁOTY")</f>
        <v>PRZEDŁUŻKA 30cm ZŁOTY</v>
      </c>
      <c r="C3245" s="23"/>
      <c r="D3245" s="24">
        <f ca="1">IFERROR(__xludf.DUMMYFUNCTION("""COMPUTED_VALUE"""),79)</f>
        <v>79</v>
      </c>
      <c r="E3245" s="26" t="str">
        <f ca="1">IFERROR(__xludf.DUMMYFUNCTION("""COMPUTED_VALUE"""),"REA-K7702")</f>
        <v>REA-K7702</v>
      </c>
    </row>
    <row r="3246" spans="1:5" x14ac:dyDescent="0.2">
      <c r="A3246" s="22">
        <f ca="1">IFERROR(__xludf.DUMMYFUNCTION("""COMPUTED_VALUE"""),44344)</f>
        <v>44344</v>
      </c>
      <c r="B3246" s="23" t="str">
        <f ca="1">IFERROR(__xludf.DUMMYFUNCTION("""COMPUTED_VALUE"""),"PRZEDŁUŻKA 30cm ZŁOTY SZCZOTKOWANY")</f>
        <v>PRZEDŁUŻKA 30cm ZŁOTY SZCZOTKOWANY</v>
      </c>
      <c r="C3246" s="23"/>
      <c r="D3246" s="24">
        <f ca="1">IFERROR(__xludf.DUMMYFUNCTION("""COMPUTED_VALUE"""),79)</f>
        <v>79</v>
      </c>
      <c r="E3246" s="26" t="str">
        <f ca="1">IFERROR(__xludf.DUMMYFUNCTION("""COMPUTED_VALUE"""),"REA-K7704")</f>
        <v>REA-K7704</v>
      </c>
    </row>
    <row r="3247" spans="1:5" x14ac:dyDescent="0.2">
      <c r="A3247" s="22">
        <f ca="1">IFERROR(__xludf.DUMMYFUNCTION("""COMPUTED_VALUE"""),44344)</f>
        <v>44344</v>
      </c>
      <c r="B3247" s="23" t="str">
        <f ca="1">IFERROR(__xludf.DUMMYFUNCTION("""COMPUTED_VALUE"""),"STOJAK WC CHROM BAMBUSOWY 390228")</f>
        <v>STOJAK WC CHROM BAMBUSOWY 390228</v>
      </c>
      <c r="C3247" s="23"/>
      <c r="D3247" s="24">
        <f ca="1">IFERROR(__xludf.DUMMYFUNCTION("""COMPUTED_VALUE"""),129)</f>
        <v>129</v>
      </c>
      <c r="E3247" s="26" t="str">
        <f ca="1">IFERROR(__xludf.DUMMYFUNCTION("""COMPUTED_VALUE"""),"HOM-07500")</f>
        <v>HOM-07500</v>
      </c>
    </row>
    <row r="3248" spans="1:5" x14ac:dyDescent="0.2">
      <c r="A3248" s="22">
        <f ca="1">IFERROR(__xludf.DUMMYFUNCTION("""COMPUTED_VALUE"""),44344)</f>
        <v>44344</v>
      </c>
      <c r="B3248" s="23" t="str">
        <f ca="1">IFERROR(__xludf.DUMMYFUNCTION("""COMPUTED_VALUE"""),"STOJAK WC 332871 ZŁOTY")</f>
        <v>STOJAK WC 332871 ZŁOTY</v>
      </c>
      <c r="C3248" s="23"/>
      <c r="D3248" s="24">
        <f ca="1">IFERROR(__xludf.DUMMYFUNCTION("""COMPUTED_VALUE"""),119)</f>
        <v>119</v>
      </c>
      <c r="E3248" s="26" t="str">
        <f ca="1">IFERROR(__xludf.DUMMYFUNCTION("""COMPUTED_VALUE"""),"HOM-04859")</f>
        <v>HOM-04859</v>
      </c>
    </row>
    <row r="3249" spans="1:5" x14ac:dyDescent="0.2">
      <c r="A3249" s="22">
        <f ca="1">IFERROR(__xludf.DUMMYFUNCTION("""COMPUTED_VALUE"""),44344)</f>
        <v>44344</v>
      </c>
      <c r="B3249" s="23" t="str">
        <f ca="1">IFERROR(__xludf.DUMMYFUNCTION("""COMPUTED_VALUE"""),"STOJAK WC 332872 ZŁOTY")</f>
        <v>STOJAK WC 332872 ZŁOTY</v>
      </c>
      <c r="C3249" s="23"/>
      <c r="D3249" s="24">
        <f ca="1">IFERROR(__xludf.DUMMYFUNCTION("""COMPUTED_VALUE"""),129)</f>
        <v>129</v>
      </c>
      <c r="E3249" s="26" t="str">
        <f ca="1">IFERROR(__xludf.DUMMYFUNCTION("""COMPUTED_VALUE"""),"HOM-04860")</f>
        <v>HOM-04860</v>
      </c>
    </row>
    <row r="3250" spans="1:5" x14ac:dyDescent="0.2">
      <c r="A3250" s="22">
        <f ca="1">IFERROR(__xludf.DUMMYFUNCTION("""COMPUTED_VALUE"""),44344)</f>
        <v>44344</v>
      </c>
      <c r="B3250" s="23" t="str">
        <f ca="1">IFERROR(__xludf.DUMMYFUNCTION("""COMPUTED_VALUE"""),"STOJAK BAMBUSOWY WC 381757")</f>
        <v>STOJAK BAMBUSOWY WC 381757</v>
      </c>
      <c r="C3250" s="23"/>
      <c r="D3250" s="24">
        <f ca="1">IFERROR(__xludf.DUMMYFUNCTION("""COMPUTED_VALUE"""),119)</f>
        <v>119</v>
      </c>
      <c r="E3250" s="26" t="str">
        <f ca="1">IFERROR(__xludf.DUMMYFUNCTION("""COMPUTED_VALUE"""),"HOM-00015")</f>
        <v>HOM-00015</v>
      </c>
    </row>
    <row r="3251" spans="1:5" x14ac:dyDescent="0.2">
      <c r="A3251" s="22">
        <f ca="1">IFERROR(__xludf.DUMMYFUNCTION("""COMPUTED_VALUE"""),44344)</f>
        <v>44344</v>
      </c>
      <c r="B3251" s="23" t="str">
        <f ca="1">IFERROR(__xludf.DUMMYFUNCTION("""COMPUTED_VALUE"""),"SZCZOTKA WC CZARNA HILL 322200")</f>
        <v>SZCZOTKA WC CZARNA HILL 322200</v>
      </c>
      <c r="C3251" s="23"/>
      <c r="D3251" s="24">
        <f ca="1">IFERROR(__xludf.DUMMYFUNCTION("""COMPUTED_VALUE"""),59)</f>
        <v>59</v>
      </c>
      <c r="E3251" s="26" t="str">
        <f ca="1">IFERROR(__xludf.DUMMYFUNCTION("""COMPUTED_VALUE"""),"REA-77028")</f>
        <v>REA-77028</v>
      </c>
    </row>
    <row r="3252" spans="1:5" x14ac:dyDescent="0.2">
      <c r="A3252" s="22">
        <f ca="1">IFERROR(__xludf.DUMMYFUNCTION("""COMPUTED_VALUE"""),44344)</f>
        <v>44344</v>
      </c>
      <c r="B3252" s="23" t="str">
        <f ca="1">IFERROR(__xludf.DUMMYFUNCTION("""COMPUTED_VALUE"""),"SZCZOTKA WC ZŁOTA TIL 322265A")</f>
        <v>SZCZOTKA WC ZŁOTA TIL 322265A</v>
      </c>
      <c r="C3252" s="23"/>
      <c r="D3252" s="24">
        <f ca="1">IFERROR(__xludf.DUMMYFUNCTION("""COMPUTED_VALUE"""),99)</f>
        <v>99</v>
      </c>
      <c r="E3252" s="26" t="str">
        <f ca="1">IFERROR(__xludf.DUMMYFUNCTION("""COMPUTED_VALUE"""),"REA-77097")</f>
        <v>REA-77097</v>
      </c>
    </row>
    <row r="3253" spans="1:5" x14ac:dyDescent="0.2">
      <c r="A3253" s="22">
        <f ca="1">IFERROR(__xludf.DUMMYFUNCTION("""COMPUTED_VALUE"""),44344)</f>
        <v>44344</v>
      </c>
      <c r="B3253" s="23" t="str">
        <f ca="1">IFERROR(__xludf.DUMMYFUNCTION("""COMPUTED_VALUE"""),"SZCZOTKA WC BIAŁA LEO 322234B")</f>
        <v>SZCZOTKA WC BIAŁA LEO 322234B</v>
      </c>
      <c r="C3253" s="23"/>
      <c r="D3253" s="24">
        <f ca="1">IFERROR(__xludf.DUMMYFUNCTION("""COMPUTED_VALUE"""),109)</f>
        <v>109</v>
      </c>
      <c r="E3253" s="26" t="str">
        <f ca="1">IFERROR(__xludf.DUMMYFUNCTION("""COMPUTED_VALUE"""),"REA-77101")</f>
        <v>REA-77101</v>
      </c>
    </row>
    <row r="3254" spans="1:5" x14ac:dyDescent="0.2">
      <c r="A3254" s="22">
        <f ca="1">IFERROR(__xludf.DUMMYFUNCTION("""COMPUTED_VALUE"""),44344)</f>
        <v>44344</v>
      </c>
      <c r="B3254" s="23" t="str">
        <f ca="1">IFERROR(__xludf.DUMMYFUNCTION("""COMPUTED_VALUE"""),"SZCZOTKA WC CHROME 322265B")</f>
        <v>SZCZOTKA WC CHROME 322265B</v>
      </c>
      <c r="C3254" s="23"/>
      <c r="D3254" s="24">
        <f ca="1">IFERROR(__xludf.DUMMYFUNCTION("""COMPUTED_VALUE"""),55)</f>
        <v>55</v>
      </c>
      <c r="E3254" s="26" t="str">
        <f ca="1">IFERROR(__xludf.DUMMYFUNCTION("""COMPUTED_VALUE"""),"REA-06916")</f>
        <v>REA-06916</v>
      </c>
    </row>
    <row r="3255" spans="1:5" x14ac:dyDescent="0.2">
      <c r="A3255" s="22">
        <f ca="1">IFERROR(__xludf.DUMMYFUNCTION("""COMPUTED_VALUE"""),44344)</f>
        <v>44344</v>
      </c>
      <c r="B3255" s="23" t="str">
        <f ca="1">IFERROR(__xludf.DUMMYFUNCTION("""COMPUTED_VALUE"""),"ERLO 05 CHROME SZCZOTKA WC")</f>
        <v>ERLO 05 CHROME SZCZOTKA WC</v>
      </c>
      <c r="C3255" s="23"/>
      <c r="D3255" s="24">
        <f ca="1">IFERROR(__xludf.DUMMYFUNCTION("""COMPUTED_VALUE"""),59)</f>
        <v>59</v>
      </c>
      <c r="E3255" s="26" t="str">
        <f ca="1">IFERROR(__xludf.DUMMYFUNCTION("""COMPUTED_VALUE"""),"REA-80012")</f>
        <v>REA-80012</v>
      </c>
    </row>
    <row r="3256" spans="1:5" x14ac:dyDescent="0.2">
      <c r="A3256" s="22">
        <f ca="1">IFERROR(__xludf.DUMMYFUNCTION("""COMPUTED_VALUE"""),44344)</f>
        <v>44344</v>
      </c>
      <c r="B3256" s="23" t="str">
        <f ca="1">IFERROR(__xludf.DUMMYFUNCTION("""COMPUTED_VALUE"""),"MIST 06 CHROME SZCZOTKA WC")</f>
        <v>MIST 06 CHROME SZCZOTKA WC</v>
      </c>
      <c r="C3256" s="23"/>
      <c r="D3256" s="24">
        <f ca="1">IFERROR(__xludf.DUMMYFUNCTION("""COMPUTED_VALUE"""),55)</f>
        <v>55</v>
      </c>
      <c r="E3256" s="26" t="str">
        <f ca="1">IFERROR(__xludf.DUMMYFUNCTION("""COMPUTED_VALUE"""),"REA-80030")</f>
        <v>REA-80030</v>
      </c>
    </row>
    <row r="3257" spans="1:5" x14ac:dyDescent="0.2">
      <c r="A3257" s="22">
        <f ca="1">IFERROR(__xludf.DUMMYFUNCTION("""COMPUTED_VALUE"""),44344)</f>
        <v>44344</v>
      </c>
      <c r="B3257" s="23" t="str">
        <f ca="1">IFERROR(__xludf.DUMMYFUNCTION("""COMPUTED_VALUE"""),"OSTE 07 CHROME SZCZOTKA WC")</f>
        <v>OSTE 07 CHROME SZCZOTKA WC</v>
      </c>
      <c r="C3257" s="23"/>
      <c r="D3257" s="24">
        <f ca="1">IFERROR(__xludf.DUMMYFUNCTION("""COMPUTED_VALUE"""),59)</f>
        <v>59</v>
      </c>
      <c r="E3257" s="26" t="str">
        <f ca="1">IFERROR(__xludf.DUMMYFUNCTION("""COMPUTED_VALUE"""),"REA-80049")</f>
        <v>REA-80049</v>
      </c>
    </row>
    <row r="3258" spans="1:5" x14ac:dyDescent="0.2">
      <c r="A3258" s="22">
        <f ca="1">IFERROR(__xludf.DUMMYFUNCTION("""COMPUTED_VALUE"""),44344)</f>
        <v>44344</v>
      </c>
      <c r="B3258" s="23" t="str">
        <f ca="1">IFERROR(__xludf.DUMMYFUNCTION("""COMPUTED_VALUE"""),"SZCZOTKA WC BLACK/GOLD 322120")</f>
        <v>SZCZOTKA WC BLACK/GOLD 322120</v>
      </c>
      <c r="C3258" s="23"/>
      <c r="D3258" s="24">
        <f ca="1">IFERROR(__xludf.DUMMYFUNCTION("""COMPUTED_VALUE"""),49)</f>
        <v>49</v>
      </c>
      <c r="E3258" s="26" t="str">
        <f ca="1">IFERROR(__xludf.DUMMYFUNCTION("""COMPUTED_VALUE"""),"REA-07200")</f>
        <v>REA-07200</v>
      </c>
    </row>
    <row r="3259" spans="1:5" x14ac:dyDescent="0.2">
      <c r="A3259" s="22">
        <f ca="1">IFERROR(__xludf.DUMMYFUNCTION("""COMPUTED_VALUE"""),44344)</f>
        <v>44344</v>
      </c>
      <c r="B3259" s="23" t="str">
        <f ca="1">IFERROR(__xludf.DUMMYFUNCTION("""COMPUTED_VALUE"""),"SZCZOTKA WC CZARNA MOON 322195A")</f>
        <v>SZCZOTKA WC CZARNA MOON 322195A</v>
      </c>
      <c r="C3259" s="23"/>
      <c r="D3259" s="24">
        <f ca="1">IFERROR(__xludf.DUMMYFUNCTION("""COMPUTED_VALUE"""),62)</f>
        <v>62</v>
      </c>
      <c r="E3259" s="26" t="str">
        <f ca="1">IFERROR(__xludf.DUMMYFUNCTION("""COMPUTED_VALUE"""),"REA-77076")</f>
        <v>REA-77076</v>
      </c>
    </row>
    <row r="3260" spans="1:5" x14ac:dyDescent="0.2">
      <c r="A3260" s="22">
        <f ca="1">IFERROR(__xludf.DUMMYFUNCTION("""COMPUTED_VALUE"""),44344)</f>
        <v>44344</v>
      </c>
      <c r="B3260" s="23" t="str">
        <f ca="1">IFERROR(__xludf.DUMMYFUNCTION("""COMPUTED_VALUE"""),"SZCZOTKA WC CZARNA 322214")</f>
        <v>SZCZOTKA WC CZARNA 322214</v>
      </c>
      <c r="C3260" s="23"/>
      <c r="D3260" s="24">
        <f ca="1">IFERROR(__xludf.DUMMYFUNCTION("""COMPUTED_VALUE"""),55)</f>
        <v>55</v>
      </c>
      <c r="E3260" s="26" t="str">
        <f ca="1">IFERROR(__xludf.DUMMYFUNCTION("""COMPUTED_VALUE"""),"REA-77044")</f>
        <v>REA-77044</v>
      </c>
    </row>
    <row r="3261" spans="1:5" x14ac:dyDescent="0.2">
      <c r="A3261" s="22">
        <f ca="1">IFERROR(__xludf.DUMMYFUNCTION("""COMPUTED_VALUE"""),44344)</f>
        <v>44344</v>
      </c>
      <c r="B3261" s="23" t="str">
        <f ca="1">IFERROR(__xludf.DUMMYFUNCTION("""COMPUTED_VALUE"""),"SZCZOTKA WC CZARNA DUO 322222A")</f>
        <v>SZCZOTKA WC CZARNA DUO 322222A</v>
      </c>
      <c r="C3261" s="23"/>
      <c r="D3261" s="24">
        <f ca="1">IFERROR(__xludf.DUMMYFUNCTION("""COMPUTED_VALUE"""),89)</f>
        <v>89</v>
      </c>
      <c r="E3261" s="26" t="str">
        <f ca="1">IFERROR(__xludf.DUMMYFUNCTION("""COMPUTED_VALUE"""),"REA-77013")</f>
        <v>REA-77013</v>
      </c>
    </row>
    <row r="3262" spans="1:5" x14ac:dyDescent="0.2">
      <c r="A3262" s="22">
        <f ca="1">IFERROR(__xludf.DUMMYFUNCTION("""COMPUTED_VALUE"""),44344)</f>
        <v>44344</v>
      </c>
      <c r="B3262" s="23" t="str">
        <f ca="1">IFERROR(__xludf.DUMMYFUNCTION("""COMPUTED_VALUE"""),"SZCZOTKA WC CZARNA LEO 322234C")</f>
        <v>SZCZOTKA WC CZARNA LEO 322234C</v>
      </c>
      <c r="C3262" s="23"/>
      <c r="D3262" s="24">
        <f ca="1">IFERROR(__xludf.DUMMYFUNCTION("""COMPUTED_VALUE"""),109)</f>
        <v>109</v>
      </c>
      <c r="E3262" s="26" t="str">
        <f ca="1">IFERROR(__xludf.DUMMYFUNCTION("""COMPUTED_VALUE"""),"REA-77103")</f>
        <v>REA-77103</v>
      </c>
    </row>
    <row r="3263" spans="1:5" x14ac:dyDescent="0.2">
      <c r="A3263" s="22">
        <f ca="1">IFERROR(__xludf.DUMMYFUNCTION("""COMPUTED_VALUE"""),44344)</f>
        <v>44344</v>
      </c>
      <c r="B3263" s="23" t="str">
        <f ca="1">IFERROR(__xludf.DUMMYFUNCTION("""COMPUTED_VALUE"""),"SZCZOTKA WC CZARNA 322265")</f>
        <v>SZCZOTKA WC CZARNA 322265</v>
      </c>
      <c r="C3263" s="23"/>
      <c r="D3263" s="24">
        <f ca="1">IFERROR(__xludf.DUMMYFUNCTION("""COMPUTED_VALUE"""),69)</f>
        <v>69</v>
      </c>
      <c r="E3263" s="26" t="str">
        <f ca="1">IFERROR(__xludf.DUMMYFUNCTION("""COMPUTED_VALUE"""),"REA-77093")</f>
        <v>REA-77093</v>
      </c>
    </row>
    <row r="3264" spans="1:5" x14ac:dyDescent="0.2">
      <c r="A3264" s="22">
        <f ca="1">IFERROR(__xludf.DUMMYFUNCTION("""COMPUTED_VALUE"""),44344)</f>
        <v>44344</v>
      </c>
      <c r="B3264" s="23" t="str">
        <f ca="1">IFERROR(__xludf.DUMMYFUNCTION("""COMPUTED_VALUE"""),"ERLO 05 BLAaCK SZCZOTKA WC 332918")</f>
        <v>ERLO 05 BLAaCK SZCZOTKA WC 332918</v>
      </c>
      <c r="C3264" s="23"/>
      <c r="D3264" s="24">
        <f ca="1">IFERROR(__xludf.DUMMYFUNCTION("""COMPUTED_VALUE"""),129)</f>
        <v>129</v>
      </c>
      <c r="E3264" s="26" t="str">
        <f ca="1">IFERROR(__xludf.DUMMYFUNCTION("""COMPUTED_VALUE"""),"REA-06910")</f>
        <v>REA-06910</v>
      </c>
    </row>
    <row r="3265" spans="1:5" x14ac:dyDescent="0.2">
      <c r="A3265" s="22">
        <f ca="1">IFERROR(__xludf.DUMMYFUNCTION("""COMPUTED_VALUE"""),44344)</f>
        <v>44344</v>
      </c>
      <c r="B3265" s="23" t="str">
        <f ca="1">IFERROR(__xludf.DUMMYFUNCTION("""COMPUTED_VALUE"""),"ERLO 05 BLACK SZCZOTKA WC")</f>
        <v>ERLO 05 BLACK SZCZOTKA WC</v>
      </c>
      <c r="C3265" s="23"/>
      <c r="D3265" s="24">
        <f ca="1">IFERROR(__xludf.DUMMYFUNCTION("""COMPUTED_VALUE"""),69)</f>
        <v>69</v>
      </c>
      <c r="E3265" s="26" t="str">
        <f ca="1">IFERROR(__xludf.DUMMYFUNCTION("""COMPUTED_VALUE"""),"REA-80013")</f>
        <v>REA-80013</v>
      </c>
    </row>
    <row r="3266" spans="1:5" x14ac:dyDescent="0.2">
      <c r="A3266" s="22">
        <f ca="1">IFERROR(__xludf.DUMMYFUNCTION("""COMPUTED_VALUE"""),44344)</f>
        <v>44344</v>
      </c>
      <c r="B3266" s="23" t="str">
        <f ca="1">IFERROR(__xludf.DUMMYFUNCTION("""COMPUTED_VALUE"""),"MIST 06 BLACK SZCZOTKA WC")</f>
        <v>MIST 06 BLACK SZCZOTKA WC</v>
      </c>
      <c r="C3266" s="23"/>
      <c r="D3266" s="24">
        <f ca="1">IFERROR(__xludf.DUMMYFUNCTION("""COMPUTED_VALUE"""),59)</f>
        <v>59</v>
      </c>
      <c r="E3266" s="26" t="str">
        <f ca="1">IFERROR(__xludf.DUMMYFUNCTION("""COMPUTED_VALUE"""),"REA-80031")</f>
        <v>REA-80031</v>
      </c>
    </row>
    <row r="3267" spans="1:5" x14ac:dyDescent="0.2">
      <c r="A3267" s="22">
        <f ca="1">IFERROR(__xludf.DUMMYFUNCTION("""COMPUTED_VALUE"""),44344)</f>
        <v>44344</v>
      </c>
      <c r="B3267" s="23" t="str">
        <f ca="1">IFERROR(__xludf.DUMMYFUNCTION("""COMPUTED_VALUE"""),"OSTE 07 BLACK SZCZOTKA WC")</f>
        <v>OSTE 07 BLACK SZCZOTKA WC</v>
      </c>
      <c r="C3267" s="23"/>
      <c r="D3267" s="24">
        <f ca="1">IFERROR(__xludf.DUMMYFUNCTION("""COMPUTED_VALUE"""),65)</f>
        <v>65</v>
      </c>
      <c r="E3267" s="26" t="str">
        <f ca="1">IFERROR(__xludf.DUMMYFUNCTION("""COMPUTED_VALUE"""),"REA-80050")</f>
        <v>REA-80050</v>
      </c>
    </row>
    <row r="3268" spans="1:5" x14ac:dyDescent="0.2">
      <c r="A3268" s="22">
        <f ca="1">IFERROR(__xludf.DUMMYFUNCTION("""COMPUTED_VALUE"""),44344)</f>
        <v>44344</v>
      </c>
      <c r="B3268" s="23" t="str">
        <f ca="1">IFERROR(__xludf.DUMMYFUNCTION("""COMPUTED_VALUE"""),"SZCZOTKA WC LEO TYTAN 322234A")</f>
        <v>SZCZOTKA WC LEO TYTAN 322234A</v>
      </c>
      <c r="C3268" s="23"/>
      <c r="D3268" s="24">
        <f ca="1">IFERROR(__xludf.DUMMYFUNCTION("""COMPUTED_VALUE"""),149)</f>
        <v>149</v>
      </c>
      <c r="E3268" s="26" t="str">
        <f ca="1">IFERROR(__xludf.DUMMYFUNCTION("""COMPUTED_VALUE"""),"REA-77099")</f>
        <v>REA-77099</v>
      </c>
    </row>
    <row r="3269" spans="1:5" x14ac:dyDescent="0.2">
      <c r="A3269" s="22">
        <f ca="1">IFERROR(__xludf.DUMMYFUNCTION("""COMPUTED_VALUE"""),44344)</f>
        <v>44344</v>
      </c>
      <c r="B3269" s="23" t="str">
        <f ca="1">IFERROR(__xludf.DUMMYFUNCTION("""COMPUTED_VALUE"""),"SZCZOTKA WC NIKIEL SZCZOTKOWANY DUO 322222")</f>
        <v>SZCZOTKA WC NIKIEL SZCZOTKOWANY DUO 322222</v>
      </c>
      <c r="C3269" s="23"/>
      <c r="D3269" s="24">
        <f ca="1">IFERROR(__xludf.DUMMYFUNCTION("""COMPUTED_VALUE"""),69)</f>
        <v>69</v>
      </c>
      <c r="E3269" s="26" t="str">
        <f ca="1">IFERROR(__xludf.DUMMYFUNCTION("""COMPUTED_VALUE"""),"REA-77011")</f>
        <v>REA-77011</v>
      </c>
    </row>
    <row r="3270" spans="1:5" x14ac:dyDescent="0.2">
      <c r="A3270" s="22">
        <f ca="1">IFERROR(__xludf.DUMMYFUNCTION("""COMPUTED_VALUE"""),44344)</f>
        <v>44344</v>
      </c>
      <c r="B3270" s="23" t="str">
        <f ca="1">IFERROR(__xludf.DUMMYFUNCTION("""COMPUTED_VALUE"""),"SZCZOTKA WC CHROM CRIST 322229")</f>
        <v>SZCZOTKA WC CHROM CRIST 322229</v>
      </c>
      <c r="C3270" s="23"/>
      <c r="D3270" s="24">
        <f ca="1">IFERROR(__xludf.DUMMYFUNCTION("""COMPUTED_VALUE"""),99)</f>
        <v>99</v>
      </c>
      <c r="E3270" s="26" t="str">
        <f ca="1">IFERROR(__xludf.DUMMYFUNCTION("""COMPUTED_VALUE"""),"REA-77061")</f>
        <v>REA-77061</v>
      </c>
    </row>
    <row r="3271" spans="1:5" x14ac:dyDescent="0.2">
      <c r="A3271" s="22">
        <f ca="1">IFERROR(__xludf.DUMMYFUNCTION("""COMPUTED_VALUE"""),44344)</f>
        <v>44344</v>
      </c>
      <c r="B3271" s="23" t="str">
        <f ca="1">IFERROR(__xludf.DUMMYFUNCTION("""COMPUTED_VALUE"""),"SZCZOTKA WC WHITE/GOLD 322120A")</f>
        <v>SZCZOTKA WC WHITE/GOLD 322120A</v>
      </c>
      <c r="C3271" s="23"/>
      <c r="D3271" s="24">
        <f ca="1">IFERROR(__xludf.DUMMYFUNCTION("""COMPUTED_VALUE"""),39)</f>
        <v>39</v>
      </c>
      <c r="E3271" s="26" t="str">
        <f ca="1">IFERROR(__xludf.DUMMYFUNCTION("""COMPUTED_VALUE"""),"REA-07201")</f>
        <v>REA-07201</v>
      </c>
    </row>
    <row r="3272" spans="1:5" x14ac:dyDescent="0.2">
      <c r="A3272" s="22">
        <f ca="1">IFERROR(__xludf.DUMMYFUNCTION("""COMPUTED_VALUE"""),44344)</f>
        <v>44344</v>
      </c>
      <c r="B3272" s="23" t="str">
        <f ca="1">IFERROR(__xludf.DUMMYFUNCTION("""COMPUTED_VALUE"""),"SZCZOTKA WC ZŁOTA 322195")</f>
        <v>SZCZOTKA WC ZŁOTA 322195</v>
      </c>
      <c r="C3272" s="23"/>
      <c r="D3272" s="24">
        <f ca="1">IFERROR(__xludf.DUMMYFUNCTION("""COMPUTED_VALUE"""),79)</f>
        <v>79</v>
      </c>
      <c r="E3272" s="26" t="str">
        <f ca="1">IFERROR(__xludf.DUMMYFUNCTION("""COMPUTED_VALUE"""),"REA-77051")</f>
        <v>REA-77051</v>
      </c>
    </row>
    <row r="3273" spans="1:5" x14ac:dyDescent="0.2">
      <c r="A3273" s="22">
        <f ca="1">IFERROR(__xludf.DUMMYFUNCTION("""COMPUTED_VALUE"""),44344)</f>
        <v>44344</v>
      </c>
      <c r="B3273" s="23" t="str">
        <f ca="1">IFERROR(__xludf.DUMMYFUNCTION("""COMPUTED_VALUE"""),"SZCZOTKA WC ZŁOTY HILL 322200A")</f>
        <v>SZCZOTKA WC ZŁOTY HILL 322200A</v>
      </c>
      <c r="C3273" s="23"/>
      <c r="D3273" s="24">
        <f ca="1">IFERROR(__xludf.DUMMYFUNCTION("""COMPUTED_VALUE"""),79)</f>
        <v>79</v>
      </c>
      <c r="E3273" s="26" t="str">
        <f ca="1">IFERROR(__xludf.DUMMYFUNCTION("""COMPUTED_VALUE"""),"REA-77083")</f>
        <v>REA-77083</v>
      </c>
    </row>
    <row r="3274" spans="1:5" x14ac:dyDescent="0.2">
      <c r="A3274" s="22">
        <f ca="1">IFERROR(__xludf.DUMMYFUNCTION("""COMPUTED_VALUE"""),44344)</f>
        <v>44344</v>
      </c>
      <c r="B3274" s="23" t="str">
        <f ca="1">IFERROR(__xludf.DUMMYFUNCTION("""COMPUTED_VALUE"""),"SZCZOTKA WC ZŁOTA 322214A")</f>
        <v>SZCZOTKA WC ZŁOTA 322214A</v>
      </c>
      <c r="C3274" s="23"/>
      <c r="D3274" s="24">
        <f ca="1">IFERROR(__xludf.DUMMYFUNCTION("""COMPUTED_VALUE"""),79)</f>
        <v>79</v>
      </c>
      <c r="E3274" s="26" t="str">
        <f ca="1">IFERROR(__xludf.DUMMYFUNCTION("""COMPUTED_VALUE"""),"REA-77104")</f>
        <v>REA-77104</v>
      </c>
    </row>
    <row r="3275" spans="1:5" x14ac:dyDescent="0.2">
      <c r="A3275" s="22">
        <f ca="1">IFERROR(__xludf.DUMMYFUNCTION("""COMPUTED_VALUE"""),44344)</f>
        <v>44344</v>
      </c>
      <c r="B3275" s="23" t="str">
        <f ca="1">IFERROR(__xludf.DUMMYFUNCTION("""COMPUTED_VALUE"""),"SZCZOTKA WC ZŁOTY DUO 322222B")</f>
        <v>SZCZOTKA WC ZŁOTY DUO 322222B</v>
      </c>
      <c r="C3275" s="23"/>
      <c r="D3275" s="24">
        <f ca="1">IFERROR(__xludf.DUMMYFUNCTION("""COMPUTED_VALUE"""),109)</f>
        <v>109</v>
      </c>
      <c r="E3275" s="26" t="str">
        <f ca="1">IFERROR(__xludf.DUMMYFUNCTION("""COMPUTED_VALUE"""),"REA-77032")</f>
        <v>REA-77032</v>
      </c>
    </row>
    <row r="3276" spans="1:5" x14ac:dyDescent="0.2">
      <c r="A3276" s="22">
        <f ca="1">IFERROR(__xludf.DUMMYFUNCTION("""COMPUTED_VALUE"""),44344)</f>
        <v>44344</v>
      </c>
      <c r="B3276" s="23" t="str">
        <f ca="1">IFERROR(__xludf.DUMMYFUNCTION("""COMPUTED_VALUE"""),"SZCZOTKA WC ZŁOTY CRIS 322229B")</f>
        <v>SZCZOTKA WC ZŁOTY CRIS 322229B</v>
      </c>
      <c r="C3276" s="23"/>
      <c r="D3276" s="24">
        <f ca="1">IFERROR(__xludf.DUMMYFUNCTION("""COMPUTED_VALUE"""),139)</f>
        <v>139</v>
      </c>
      <c r="E3276" s="26" t="str">
        <f ca="1">IFERROR(__xludf.DUMMYFUNCTION("""COMPUTED_VALUE"""),"REA-77062")</f>
        <v>REA-77062</v>
      </c>
    </row>
    <row r="3277" spans="1:5" x14ac:dyDescent="0.2">
      <c r="A3277" s="22">
        <f ca="1">IFERROR(__xludf.DUMMYFUNCTION("""COMPUTED_VALUE"""),44344)</f>
        <v>44344</v>
      </c>
      <c r="B3277" s="23" t="str">
        <f ca="1">IFERROR(__xludf.DUMMYFUNCTION("""COMPUTED_VALUE"""),"SZCZOTKA WC ZŁOTA SZCZOTKOWANA 322234")</f>
        <v>SZCZOTKA WC ZŁOTA SZCZOTKOWANA 322234</v>
      </c>
      <c r="C3277" s="23"/>
      <c r="D3277" s="24">
        <f ca="1">IFERROR(__xludf.DUMMYFUNCTION("""COMPUTED_VALUE"""),149)</f>
        <v>149</v>
      </c>
      <c r="E3277" s="26" t="str">
        <f ca="1">IFERROR(__xludf.DUMMYFUNCTION("""COMPUTED_VALUE"""),"REA-77096")</f>
        <v>REA-77096</v>
      </c>
    </row>
    <row r="3278" spans="1:5" x14ac:dyDescent="0.2">
      <c r="A3278" s="22">
        <f ca="1">IFERROR(__xludf.DUMMYFUNCTION("""COMPUTED_VALUE"""),44344)</f>
        <v>44344</v>
      </c>
      <c r="B3278" s="23" t="str">
        <f ca="1">IFERROR(__xludf.DUMMYFUNCTION("""COMPUTED_VALUE"""),"ERLO 05 BRUSH GOLD SZCZOTKA WC 332918A")</f>
        <v>ERLO 05 BRUSH GOLD SZCZOTKA WC 332918A</v>
      </c>
      <c r="C3278" s="23"/>
      <c r="D3278" s="24">
        <f ca="1">IFERROR(__xludf.DUMMYFUNCTION("""COMPUTED_VALUE"""),139)</f>
        <v>139</v>
      </c>
      <c r="E3278" s="26" t="str">
        <f ca="1">IFERROR(__xludf.DUMMYFUNCTION("""COMPUTED_VALUE"""),"REA-06911")</f>
        <v>REA-06911</v>
      </c>
    </row>
    <row r="3279" spans="1:5" x14ac:dyDescent="0.2">
      <c r="A3279" s="22">
        <f ca="1">IFERROR(__xludf.DUMMYFUNCTION("""COMPUTED_VALUE"""),44344)</f>
        <v>44344</v>
      </c>
      <c r="B3279" s="23" t="str">
        <f ca="1">IFERROR(__xludf.DUMMYFUNCTION("""COMPUTED_VALUE"""),"ERLO 05 L.GOLD SZCZOTKA WC")</f>
        <v>ERLO 05 L.GOLD SZCZOTKA WC</v>
      </c>
      <c r="C3279" s="23"/>
      <c r="D3279" s="24">
        <f ca="1">IFERROR(__xludf.DUMMYFUNCTION("""COMPUTED_VALUE"""),79)</f>
        <v>79</v>
      </c>
      <c r="E3279" s="26" t="str">
        <f ca="1">IFERROR(__xludf.DUMMYFUNCTION("""COMPUTED_VALUE"""),"REA-80014")</f>
        <v>REA-80014</v>
      </c>
    </row>
    <row r="3280" spans="1:5" x14ac:dyDescent="0.2">
      <c r="A3280" s="22">
        <f ca="1">IFERROR(__xludf.DUMMYFUNCTION("""COMPUTED_VALUE"""),44344)</f>
        <v>44344</v>
      </c>
      <c r="B3280" s="23" t="str">
        <f ca="1">IFERROR(__xludf.DUMMYFUNCTION("""COMPUTED_VALUE"""),"MIST 06 L.GOLD SZCZOTKA WC")</f>
        <v>MIST 06 L.GOLD SZCZOTKA WC</v>
      </c>
      <c r="C3280" s="23"/>
      <c r="D3280" s="24">
        <f ca="1">IFERROR(__xludf.DUMMYFUNCTION("""COMPUTED_VALUE"""),69)</f>
        <v>69</v>
      </c>
      <c r="E3280" s="26" t="str">
        <f ca="1">IFERROR(__xludf.DUMMYFUNCTION("""COMPUTED_VALUE"""),"REA-80032")</f>
        <v>REA-80032</v>
      </c>
    </row>
    <row r="3281" spans="1:5" x14ac:dyDescent="0.2">
      <c r="A3281" s="22">
        <f ca="1">IFERROR(__xludf.DUMMYFUNCTION("""COMPUTED_VALUE"""),44344)</f>
        <v>44344</v>
      </c>
      <c r="B3281" s="23" t="str">
        <f ca="1">IFERROR(__xludf.DUMMYFUNCTION("""COMPUTED_VALUE"""),"ŚCIĄGACZKA YZ-G04 CHROM")</f>
        <v>ŚCIĄGACZKA YZ-G04 CHROM</v>
      </c>
      <c r="C3281" s="23"/>
      <c r="D3281" s="24">
        <f ca="1">IFERROR(__xludf.DUMMYFUNCTION("""COMPUTED_VALUE"""),59)</f>
        <v>59</v>
      </c>
      <c r="E3281" s="26" t="str">
        <f ca="1">IFERROR(__xludf.DUMMYFUNCTION("""COMPUTED_VALUE"""),"REA-70000")</f>
        <v>REA-70000</v>
      </c>
    </row>
    <row r="3282" spans="1:5" x14ac:dyDescent="0.2">
      <c r="A3282" s="22">
        <f ca="1">IFERROR(__xludf.DUMMYFUNCTION("""COMPUTED_VALUE"""),44344)</f>
        <v>44344</v>
      </c>
      <c r="B3282" s="23" t="str">
        <f ca="1">IFERROR(__xludf.DUMMYFUNCTION("""COMPUTED_VALUE"""),"ŚCIĄGACZKA YZ-G04 BLACK")</f>
        <v>ŚCIĄGACZKA YZ-G04 BLACK</v>
      </c>
      <c r="C3282" s="23"/>
      <c r="D3282" s="24">
        <f ca="1">IFERROR(__xludf.DUMMYFUNCTION("""COMPUTED_VALUE"""),69)</f>
        <v>69</v>
      </c>
      <c r="E3282" s="26" t="str">
        <f ca="1">IFERROR(__xludf.DUMMYFUNCTION("""COMPUTED_VALUE"""),"REA-70001")</f>
        <v>REA-70001</v>
      </c>
    </row>
    <row r="3283" spans="1:5" x14ac:dyDescent="0.2">
      <c r="A3283" s="22">
        <f ca="1">IFERROR(__xludf.DUMMYFUNCTION("""COMPUTED_VALUE"""),44344)</f>
        <v>44344</v>
      </c>
      <c r="B3283" s="23" t="str">
        <f ca="1">IFERROR(__xludf.DUMMYFUNCTION("""COMPUTED_VALUE"""),"MIST 04 L.GOLD WIESZAK NA PAPIER")</f>
        <v>MIST 04 L.GOLD WIESZAK NA PAPIER</v>
      </c>
      <c r="C3283" s="23"/>
      <c r="D3283" s="24">
        <f ca="1">IFERROR(__xludf.DUMMYFUNCTION("""COMPUTED_VALUE"""),49)</f>
        <v>49</v>
      </c>
      <c r="E3283" s="26" t="str">
        <f ca="1">IFERROR(__xludf.DUMMYFUNCTION("""COMPUTED_VALUE"""),"REA-80026")</f>
        <v>REA-80026</v>
      </c>
    </row>
    <row r="3284" spans="1:5" x14ac:dyDescent="0.2">
      <c r="A3284" s="22">
        <f ca="1">IFERROR(__xludf.DUMMYFUNCTION("""COMPUTED_VALUE"""),44344)</f>
        <v>44344</v>
      </c>
      <c r="B3284" s="23" t="str">
        <f ca="1">IFERROR(__xludf.DUMMYFUNCTION("""COMPUTED_VALUE"""),"UCHWYT NA PAPIER CZARNY MOON 322191A")</f>
        <v>UCHWYT NA PAPIER CZARNY MOON 322191A</v>
      </c>
      <c r="C3284" s="23"/>
      <c r="D3284" s="24">
        <f ca="1">IFERROR(__xludf.DUMMYFUNCTION("""COMPUTED_VALUE"""),39)</f>
        <v>39</v>
      </c>
      <c r="E3284" s="26" t="str">
        <f ca="1">IFERROR(__xludf.DUMMYFUNCTION("""COMPUTED_VALUE"""),"REA-77105")</f>
        <v>REA-77105</v>
      </c>
    </row>
    <row r="3285" spans="1:5" x14ac:dyDescent="0.2">
      <c r="A3285" s="22">
        <f ca="1">IFERROR(__xludf.DUMMYFUNCTION("""COMPUTED_VALUE"""),44344)</f>
        <v>44344</v>
      </c>
      <c r="B3285" s="23" t="str">
        <f ca="1">IFERROR(__xludf.DUMMYFUNCTION("""COMPUTED_VALUE"""),"UCHWYT NA PAPIER CZARNY HILL 322199")</f>
        <v>UCHWYT NA PAPIER CZARNY HILL 322199</v>
      </c>
      <c r="C3285" s="23"/>
      <c r="D3285" s="24">
        <f ca="1">IFERROR(__xludf.DUMMYFUNCTION("""COMPUTED_VALUE"""),39)</f>
        <v>39</v>
      </c>
      <c r="E3285" s="26" t="str">
        <f ca="1">IFERROR(__xludf.DUMMYFUNCTION("""COMPUTED_VALUE"""),"REA-77000")</f>
        <v>REA-77000</v>
      </c>
    </row>
    <row r="3286" spans="1:5" x14ac:dyDescent="0.2">
      <c r="A3286" s="22">
        <f ca="1">IFERROR(__xludf.DUMMYFUNCTION("""COMPUTED_VALUE"""),44344)</f>
        <v>44344</v>
      </c>
      <c r="B3286" s="23" t="str">
        <f ca="1">IFERROR(__xludf.DUMMYFUNCTION("""COMPUTED_VALUE"""),"UCHWYT NA PAPIER ZŁOTY HILL 322199A")</f>
        <v>UCHWYT NA PAPIER ZŁOTY HILL 322199A</v>
      </c>
      <c r="C3286" s="23"/>
      <c r="D3286" s="24">
        <f ca="1">IFERROR(__xludf.DUMMYFUNCTION("""COMPUTED_VALUE"""),55)</f>
        <v>55</v>
      </c>
      <c r="E3286" s="26" t="str">
        <f ca="1">IFERROR(__xludf.DUMMYFUNCTION("""COMPUTED_VALUE"""),"REA-77001")</f>
        <v>REA-77001</v>
      </c>
    </row>
    <row r="3287" spans="1:5" x14ac:dyDescent="0.2">
      <c r="A3287" s="22">
        <f ca="1">IFERROR(__xludf.DUMMYFUNCTION("""COMPUTED_VALUE"""),44344)</f>
        <v>44344</v>
      </c>
      <c r="B3287" s="23" t="str">
        <f ca="1">IFERROR(__xludf.DUMMYFUNCTION("""COMPUTED_VALUE"""),"UCHWYT NA PAPIER ZŁOTY 322199B")</f>
        <v>UCHWYT NA PAPIER ZŁOTY 322199B</v>
      </c>
      <c r="C3287" s="23"/>
      <c r="D3287" s="24">
        <f ca="1">IFERROR(__xludf.DUMMYFUNCTION("""COMPUTED_VALUE"""),55)</f>
        <v>55</v>
      </c>
      <c r="E3287" s="26" t="str">
        <f ca="1">IFERROR(__xludf.DUMMYFUNCTION("""COMPUTED_VALUE"""),"REA-06917")</f>
        <v>REA-06917</v>
      </c>
    </row>
    <row r="3288" spans="1:5" x14ac:dyDescent="0.2">
      <c r="A3288" s="22">
        <f ca="1">IFERROR(__xludf.DUMMYFUNCTION("""COMPUTED_VALUE"""),44344)</f>
        <v>44344</v>
      </c>
      <c r="B3288" s="23" t="str">
        <f ca="1">IFERROR(__xludf.DUMMYFUNCTION("""COMPUTED_VALUE"""),"UCHWYT NA PAPIER CZARNY NER 322203")</f>
        <v>UCHWYT NA PAPIER CZARNY NER 322203</v>
      </c>
      <c r="C3288" s="23"/>
      <c r="D3288" s="24">
        <f ca="1">IFERROR(__xludf.DUMMYFUNCTION("""COMPUTED_VALUE"""),39)</f>
        <v>39</v>
      </c>
      <c r="E3288" s="26" t="str">
        <f ca="1">IFERROR(__xludf.DUMMYFUNCTION("""COMPUTED_VALUE"""),"REA-77014")</f>
        <v>REA-77014</v>
      </c>
    </row>
    <row r="3289" spans="1:5" x14ac:dyDescent="0.2">
      <c r="A3289" s="22">
        <f ca="1">IFERROR(__xludf.DUMMYFUNCTION("""COMPUTED_VALUE"""),44344)</f>
        <v>44344</v>
      </c>
      <c r="B3289" s="23" t="str">
        <f ca="1">IFERROR(__xludf.DUMMYFUNCTION("""COMPUTED_VALUE"""),"UCHWYT NA PAPIER ZŁOTY 322203A")</f>
        <v>UCHWYT NA PAPIER ZŁOTY 322203A</v>
      </c>
      <c r="C3289" s="23"/>
      <c r="D3289" s="24">
        <f ca="1">IFERROR(__xludf.DUMMYFUNCTION("""COMPUTED_VALUE"""),69)</f>
        <v>69</v>
      </c>
      <c r="E3289" s="26" t="str">
        <f ca="1">IFERROR(__xludf.DUMMYFUNCTION("""COMPUTED_VALUE"""),"REA-77066")</f>
        <v>REA-77066</v>
      </c>
    </row>
    <row r="3290" spans="1:5" x14ac:dyDescent="0.2">
      <c r="A3290" s="22">
        <f ca="1">IFERROR(__xludf.DUMMYFUNCTION("""COMPUTED_VALUE"""),44344)</f>
        <v>44344</v>
      </c>
      <c r="B3290" s="23" t="str">
        <f ca="1">IFERROR(__xludf.DUMMYFUNCTION("""COMPUTED_VALUE"""),"UCHWYT NA PAPIER CZARNY NER 322204")</f>
        <v>UCHWYT NA PAPIER CZARNY NER 322204</v>
      </c>
      <c r="C3290" s="23"/>
      <c r="D3290" s="24">
        <f ca="1">IFERROR(__xludf.DUMMYFUNCTION("""COMPUTED_VALUE"""),49)</f>
        <v>49</v>
      </c>
      <c r="E3290" s="26" t="str">
        <f ca="1">IFERROR(__xludf.DUMMYFUNCTION("""COMPUTED_VALUE"""),"REA-77033")</f>
        <v>REA-77033</v>
      </c>
    </row>
    <row r="3291" spans="1:5" x14ac:dyDescent="0.2">
      <c r="A3291" s="22">
        <f ca="1">IFERROR(__xludf.DUMMYFUNCTION("""COMPUTED_VALUE"""),44344)</f>
        <v>44344</v>
      </c>
      <c r="B3291" s="23" t="str">
        <f ca="1">IFERROR(__xludf.DUMMYFUNCTION("""COMPUTED_VALUE"""),"UCHWYT NA PAPIER NIKIEL SZCZOTKOWANY DUZO 322219")</f>
        <v>UCHWYT NA PAPIER NIKIEL SZCZOTKOWANY DUZO 322219</v>
      </c>
      <c r="C3291" s="23"/>
      <c r="D3291" s="24">
        <f ca="1">IFERROR(__xludf.DUMMYFUNCTION("""COMPUTED_VALUE"""),65)</f>
        <v>65</v>
      </c>
      <c r="E3291" s="26" t="str">
        <f ca="1">IFERROR(__xludf.DUMMYFUNCTION("""COMPUTED_VALUE"""),"REA-77090")</f>
        <v>REA-77090</v>
      </c>
    </row>
    <row r="3292" spans="1:5" x14ac:dyDescent="0.2">
      <c r="A3292" s="22">
        <f ca="1">IFERROR(__xludf.DUMMYFUNCTION("""COMPUTED_VALUE"""),44344)</f>
        <v>44344</v>
      </c>
      <c r="B3292" s="23" t="str">
        <f ca="1">IFERROR(__xludf.DUMMYFUNCTION("""COMPUTED_VALUE"""),"UCHWYT NA PAPIER CHROM DUO 322220")</f>
        <v>UCHWYT NA PAPIER CHROM DUO 322220</v>
      </c>
      <c r="C3292" s="23"/>
      <c r="D3292" s="24">
        <f ca="1">IFERROR(__xludf.DUMMYFUNCTION("""COMPUTED_VALUE"""),59)</f>
        <v>59</v>
      </c>
      <c r="E3292" s="26" t="str">
        <f ca="1">IFERROR(__xludf.DUMMYFUNCTION("""COMPUTED_VALUE"""),"REA-77058")</f>
        <v>REA-77058</v>
      </c>
    </row>
    <row r="3293" spans="1:5" x14ac:dyDescent="0.2">
      <c r="A3293" s="22">
        <f ca="1">IFERROR(__xludf.DUMMYFUNCTION("""COMPUTED_VALUE"""),44344)</f>
        <v>44344</v>
      </c>
      <c r="B3293" s="23" t="str">
        <f ca="1">IFERROR(__xludf.DUMMYFUNCTION("""COMPUTED_VALUE"""),"UCHWYT NA PAPIER 322747")</f>
        <v>UCHWYT NA PAPIER 322747</v>
      </c>
      <c r="C3293" s="23"/>
      <c r="D3293" s="24">
        <f ca="1">IFERROR(__xludf.DUMMYFUNCTION("""COMPUTED_VALUE"""),49)</f>
        <v>49</v>
      </c>
      <c r="E3293" s="26" t="str">
        <f ca="1">IFERROR(__xludf.DUMMYFUNCTION("""COMPUTED_VALUE"""),"REA-07010")</f>
        <v>REA-07010</v>
      </c>
    </row>
    <row r="3294" spans="1:5" x14ac:dyDescent="0.2">
      <c r="A3294" s="22">
        <f ca="1">IFERROR(__xludf.DUMMYFUNCTION("""COMPUTED_VALUE"""),44344)</f>
        <v>44344</v>
      </c>
      <c r="B3294" s="23" t="str">
        <f ca="1">IFERROR(__xludf.DUMMYFUNCTION("""COMPUTED_VALUE"""),"UCHWYT NA PAPIER 322747A")</f>
        <v>UCHWYT NA PAPIER 322747A</v>
      </c>
      <c r="C3294" s="23"/>
      <c r="D3294" s="24">
        <f ca="1">IFERROR(__xludf.DUMMYFUNCTION("""COMPUTED_VALUE"""),29)</f>
        <v>29</v>
      </c>
      <c r="E3294" s="26" t="str">
        <f ca="1">IFERROR(__xludf.DUMMYFUNCTION("""COMPUTED_VALUE"""),"REA-07011")</f>
        <v>REA-07011</v>
      </c>
    </row>
    <row r="3295" spans="1:5" x14ac:dyDescent="0.2">
      <c r="A3295" s="22">
        <f ca="1">IFERROR(__xludf.DUMMYFUNCTION("""COMPUTED_VALUE"""),44344)</f>
        <v>44344</v>
      </c>
      <c r="B3295" s="23" t="str">
        <f ca="1">IFERROR(__xludf.DUMMYFUNCTION("""COMPUTED_VALUE"""),"UCHWYT NA PAPIER 322750")</f>
        <v>UCHWYT NA PAPIER 322750</v>
      </c>
      <c r="C3295" s="23"/>
      <c r="D3295" s="24">
        <f ca="1">IFERROR(__xludf.DUMMYFUNCTION("""COMPUTED_VALUE"""),35)</f>
        <v>35</v>
      </c>
      <c r="E3295" s="26" t="str">
        <f ca="1">IFERROR(__xludf.DUMMYFUNCTION("""COMPUTED_VALUE"""),"REA-07015")</f>
        <v>REA-07015</v>
      </c>
    </row>
    <row r="3296" spans="1:5" x14ac:dyDescent="0.2">
      <c r="A3296" s="22">
        <f ca="1">IFERROR(__xludf.DUMMYFUNCTION("""COMPUTED_VALUE"""),44344)</f>
        <v>44344</v>
      </c>
      <c r="B3296" s="23" t="str">
        <f ca="1">IFERROR(__xludf.DUMMYFUNCTION("""COMPUTED_VALUE"""),"UCHWYT NA PAPIER 322752")</f>
        <v>UCHWYT NA PAPIER 322752</v>
      </c>
      <c r="C3296" s="23"/>
      <c r="D3296" s="24">
        <f ca="1">IFERROR(__xludf.DUMMYFUNCTION("""COMPUTED_VALUE"""),39)</f>
        <v>39</v>
      </c>
      <c r="E3296" s="26" t="str">
        <f ca="1">IFERROR(__xludf.DUMMYFUNCTION("""COMPUTED_VALUE"""),"REA-07020")</f>
        <v>REA-07020</v>
      </c>
    </row>
    <row r="3297" spans="1:5" x14ac:dyDescent="0.2">
      <c r="A3297" s="22">
        <f ca="1">IFERROR(__xludf.DUMMYFUNCTION("""COMPUTED_VALUE"""),44344)</f>
        <v>44344</v>
      </c>
      <c r="B3297" s="23" t="str">
        <f ca="1">IFERROR(__xludf.DUMMYFUNCTION("""COMPUTED_VALUE"""),"UCHWYT NA PAPIER 322753")</f>
        <v>UCHWYT NA PAPIER 322753</v>
      </c>
      <c r="C3297" s="23"/>
      <c r="D3297" s="24">
        <f ca="1">IFERROR(__xludf.DUMMYFUNCTION("""COMPUTED_VALUE"""),9.9)</f>
        <v>9.9</v>
      </c>
      <c r="E3297" s="26" t="str">
        <f ca="1">IFERROR(__xludf.DUMMYFUNCTION("""COMPUTED_VALUE"""),"REA-07006")</f>
        <v>REA-07006</v>
      </c>
    </row>
    <row r="3298" spans="1:5" x14ac:dyDescent="0.2">
      <c r="A3298" s="22">
        <f ca="1">IFERROR(__xludf.DUMMYFUNCTION("""COMPUTED_VALUE"""),44344)</f>
        <v>44344</v>
      </c>
      <c r="B3298" s="23" t="str">
        <f ca="1">IFERROR(__xludf.DUMMYFUNCTION("""COMPUTED_VALUE"""),"UCHWYT NA PAPIER ZŁOTY RETRO 332869")</f>
        <v>UCHWYT NA PAPIER ZŁOTY RETRO 332869</v>
      </c>
      <c r="C3298" s="23"/>
      <c r="D3298" s="24">
        <f ca="1">IFERROR(__xludf.DUMMYFUNCTION("""COMPUTED_VALUE"""),39)</f>
        <v>39</v>
      </c>
      <c r="E3298" s="26" t="str">
        <f ca="1">IFERROR(__xludf.DUMMYFUNCTION("""COMPUTED_VALUE"""),"REA-06920")</f>
        <v>REA-06920</v>
      </c>
    </row>
    <row r="3299" spans="1:5" x14ac:dyDescent="0.2">
      <c r="A3299" s="22">
        <f ca="1">IFERROR(__xludf.DUMMYFUNCTION("""COMPUTED_VALUE"""),44344)</f>
        <v>44344</v>
      </c>
      <c r="B3299" s="23" t="str">
        <f ca="1">IFERROR(__xludf.DUMMYFUNCTION("""COMPUTED_VALUE"""),"UCHWYT NA PAPIER CZARNY RETRO 332869A")</f>
        <v>UCHWYT NA PAPIER CZARNY RETRO 332869A</v>
      </c>
      <c r="C3299" s="23"/>
      <c r="D3299" s="24">
        <f ca="1">IFERROR(__xludf.DUMMYFUNCTION("""COMPUTED_VALUE"""),35)</f>
        <v>35</v>
      </c>
      <c r="E3299" s="26" t="str">
        <f ca="1">IFERROR(__xludf.DUMMYFUNCTION("""COMPUTED_VALUE"""),"REA-06925")</f>
        <v>REA-06925</v>
      </c>
    </row>
    <row r="3300" spans="1:5" x14ac:dyDescent="0.2">
      <c r="A3300" s="22">
        <f ca="1">IFERROR(__xludf.DUMMYFUNCTION("""COMPUTED_VALUE"""),44344)</f>
        <v>44344</v>
      </c>
      <c r="B3300" s="23" t="str">
        <f ca="1">IFERROR(__xludf.DUMMYFUNCTION("""COMPUTED_VALUE"""),"UCHWYT NA PAPIER ANTYCZNY BRĄZ RETRO 332869B")</f>
        <v>UCHWYT NA PAPIER ANTYCZNY BRĄZ RETRO 332869B</v>
      </c>
      <c r="C3300" s="23"/>
      <c r="D3300" s="24">
        <f ca="1">IFERROR(__xludf.DUMMYFUNCTION("""COMPUTED_VALUE"""),39)</f>
        <v>39</v>
      </c>
      <c r="E3300" s="26" t="str">
        <f ca="1">IFERROR(__xludf.DUMMYFUNCTION("""COMPUTED_VALUE"""),"REA-06928")</f>
        <v>REA-06928</v>
      </c>
    </row>
    <row r="3301" spans="1:5" x14ac:dyDescent="0.2">
      <c r="A3301" s="22">
        <f ca="1">IFERROR(__xludf.DUMMYFUNCTION("""COMPUTED_VALUE"""),44344)</f>
        <v>44344</v>
      </c>
      <c r="B3301" s="23" t="str">
        <f ca="1">IFERROR(__xludf.DUMMYFUNCTION("""COMPUTED_VALUE"""),"OSTE 04 BLACK WIESZAK NA PAPIER 332921")</f>
        <v>OSTE 04 BLACK WIESZAK NA PAPIER 332921</v>
      </c>
      <c r="C3301" s="23"/>
      <c r="D3301" s="24">
        <f ca="1">IFERROR(__xludf.DUMMYFUNCTION("""COMPUTED_VALUE"""),59)</f>
        <v>59</v>
      </c>
      <c r="E3301" s="26" t="str">
        <f ca="1">IFERROR(__xludf.DUMMYFUNCTION("""COMPUTED_VALUE"""),"REA-06912")</f>
        <v>REA-06912</v>
      </c>
    </row>
    <row r="3302" spans="1:5" x14ac:dyDescent="0.2">
      <c r="A3302" s="22">
        <f ca="1">IFERROR(__xludf.DUMMYFUNCTION("""COMPUTED_VALUE"""),44344)</f>
        <v>44344</v>
      </c>
      <c r="B3302" s="23" t="str">
        <f ca="1">IFERROR(__xludf.DUMMYFUNCTION("""COMPUTED_VALUE"""),"OSTE 04 GOLD WIESZAK NA PAPIER 332921A")</f>
        <v>OSTE 04 GOLD WIESZAK NA PAPIER 332921A</v>
      </c>
      <c r="C3302" s="23"/>
      <c r="D3302" s="24">
        <f ca="1">IFERROR(__xludf.DUMMYFUNCTION("""COMPUTED_VALUE"""),69)</f>
        <v>69</v>
      </c>
      <c r="E3302" s="26" t="str">
        <f ca="1">IFERROR(__xludf.DUMMYFUNCTION("""COMPUTED_VALUE"""),"REA-06913")</f>
        <v>REA-06913</v>
      </c>
    </row>
    <row r="3303" spans="1:5" x14ac:dyDescent="0.2">
      <c r="A3303" s="22">
        <f ca="1">IFERROR(__xludf.DUMMYFUNCTION("""COMPUTED_VALUE"""),44344)</f>
        <v>44344</v>
      </c>
      <c r="B3303" s="23" t="str">
        <f ca="1">IFERROR(__xludf.DUMMYFUNCTION("""COMPUTED_VALUE"""),"UCHWYT NA PAPIER 381698 CHROM")</f>
        <v>UCHWYT NA PAPIER 381698 CHROM</v>
      </c>
      <c r="C3303" s="23"/>
      <c r="D3303" s="24">
        <f ca="1">IFERROR(__xludf.DUMMYFUNCTION("""COMPUTED_VALUE"""),29)</f>
        <v>29</v>
      </c>
      <c r="E3303" s="26" t="str">
        <f ca="1">IFERROR(__xludf.DUMMYFUNCTION("""COMPUTED_VALUE"""),"HOM-00013")</f>
        <v>HOM-00013</v>
      </c>
    </row>
    <row r="3304" spans="1:5" x14ac:dyDescent="0.2">
      <c r="A3304" s="22">
        <f ca="1">IFERROR(__xludf.DUMMYFUNCTION("""COMPUTED_VALUE"""),44344)</f>
        <v>44344</v>
      </c>
      <c r="B3304" s="23" t="str">
        <f ca="1">IFERROR(__xludf.DUMMYFUNCTION("""COMPUTED_VALUE"""),"UCHWYT NA PAPIER 381698 BLACK")</f>
        <v>UCHWYT NA PAPIER 381698 BLACK</v>
      </c>
      <c r="C3304" s="23"/>
      <c r="D3304" s="24">
        <f ca="1">IFERROR(__xludf.DUMMYFUNCTION("""COMPUTED_VALUE"""),29)</f>
        <v>29</v>
      </c>
      <c r="E3304" s="26" t="str">
        <f ca="1">IFERROR(__xludf.DUMMYFUNCTION("""COMPUTED_VALUE"""),"HOM-00554")</f>
        <v>HOM-00554</v>
      </c>
    </row>
    <row r="3305" spans="1:5" x14ac:dyDescent="0.2">
      <c r="A3305" s="22">
        <f ca="1">IFERROR(__xludf.DUMMYFUNCTION("""COMPUTED_VALUE"""),44344)</f>
        <v>44344</v>
      </c>
      <c r="B3305" s="23" t="str">
        <f ca="1">IFERROR(__xludf.DUMMYFUNCTION("""COMPUTED_VALUE"""),"UCHWYT NA PAPIER BIAŁY 322231B")</f>
        <v>UCHWYT NA PAPIER BIAŁY 322231B</v>
      </c>
      <c r="C3305" s="23"/>
      <c r="D3305" s="24">
        <f ca="1">IFERROR(__xludf.DUMMYFUNCTION("""COMPUTED_VALUE"""),49)</f>
        <v>49</v>
      </c>
      <c r="E3305" s="26" t="str">
        <f ca="1">IFERROR(__xludf.DUMMYFUNCTION("""COMPUTED_VALUE"""),"REA-77077")</f>
        <v>REA-77077</v>
      </c>
    </row>
    <row r="3306" spans="1:5" x14ac:dyDescent="0.2">
      <c r="A3306" s="22">
        <f ca="1">IFERROR(__xludf.DUMMYFUNCTION("""COMPUTED_VALUE"""),44344)</f>
        <v>44344</v>
      </c>
      <c r="B3306" s="23" t="str">
        <f ca="1">IFERROR(__xludf.DUMMYFUNCTION("""COMPUTED_VALUE"""),"UCHWYT NA PAPIER 322736")</f>
        <v>UCHWYT NA PAPIER 322736</v>
      </c>
      <c r="C3306" s="23"/>
      <c r="D3306" s="24">
        <f ca="1">IFERROR(__xludf.DUMMYFUNCTION("""COMPUTED_VALUE"""),9.9)</f>
        <v>9.9</v>
      </c>
      <c r="E3306" s="26" t="str">
        <f ca="1">IFERROR(__xludf.DUMMYFUNCTION("""COMPUTED_VALUE"""),"REA-07007")</f>
        <v>REA-07007</v>
      </c>
    </row>
    <row r="3307" spans="1:5" x14ac:dyDescent="0.2">
      <c r="A3307" s="22">
        <f ca="1">IFERROR(__xludf.DUMMYFUNCTION("""COMPUTED_VALUE"""),44344)</f>
        <v>44344</v>
      </c>
      <c r="B3307" s="23" t="str">
        <f ca="1">IFERROR(__xludf.DUMMYFUNCTION("""COMPUTED_VALUE"""),"ERLO 04 CHROME WIESZAK NA PAPIER")</f>
        <v>ERLO 04 CHROME WIESZAK NA PAPIER</v>
      </c>
      <c r="C3307" s="23"/>
      <c r="D3307" s="24">
        <f ca="1">IFERROR(__xludf.DUMMYFUNCTION("""COMPUTED_VALUE"""),45)</f>
        <v>45</v>
      </c>
      <c r="E3307" s="26" t="str">
        <f ca="1">IFERROR(__xludf.DUMMYFUNCTION("""COMPUTED_VALUE"""),"REA-80009")</f>
        <v>REA-80009</v>
      </c>
    </row>
    <row r="3308" spans="1:5" x14ac:dyDescent="0.2">
      <c r="A3308" s="22">
        <f ca="1">IFERROR(__xludf.DUMMYFUNCTION("""COMPUTED_VALUE"""),44344)</f>
        <v>44344</v>
      </c>
      <c r="B3308" s="23" t="str">
        <f ca="1">IFERROR(__xludf.DUMMYFUNCTION("""COMPUTED_VALUE"""),"MIST 04 CHROME WIESZAK NA PAPIER")</f>
        <v>MIST 04 CHROME WIESZAK NA PAPIER</v>
      </c>
      <c r="C3308" s="23"/>
      <c r="D3308" s="24">
        <f ca="1">IFERROR(__xludf.DUMMYFUNCTION("""COMPUTED_VALUE"""),29)</f>
        <v>29</v>
      </c>
      <c r="E3308" s="26" t="str">
        <f ca="1">IFERROR(__xludf.DUMMYFUNCTION("""COMPUTED_VALUE"""),"REA-80024")</f>
        <v>REA-80024</v>
      </c>
    </row>
    <row r="3309" spans="1:5" x14ac:dyDescent="0.2">
      <c r="A3309" s="22">
        <f ca="1">IFERROR(__xludf.DUMMYFUNCTION("""COMPUTED_VALUE"""),44344)</f>
        <v>44344</v>
      </c>
      <c r="B3309" s="23" t="str">
        <f ca="1">IFERROR(__xludf.DUMMYFUNCTION("""COMPUTED_VALUE"""),"OSTE 04 CHROME WIESZAK NA PAPIER")</f>
        <v>OSTE 04 CHROME WIESZAK NA PAPIER</v>
      </c>
      <c r="C3309" s="23"/>
      <c r="D3309" s="24">
        <f ca="1">IFERROR(__xludf.DUMMYFUNCTION("""COMPUTED_VALUE"""),39)</f>
        <v>39</v>
      </c>
      <c r="E3309" s="26" t="str">
        <f ca="1">IFERROR(__xludf.DUMMYFUNCTION("""COMPUTED_VALUE"""),"REA-80041")</f>
        <v>REA-80041</v>
      </c>
    </row>
    <row r="3310" spans="1:5" x14ac:dyDescent="0.2">
      <c r="A3310" s="22">
        <f ca="1">IFERROR(__xludf.DUMMYFUNCTION("""COMPUTED_VALUE"""),44344)</f>
        <v>44344</v>
      </c>
      <c r="B3310" s="23" t="str">
        <f ca="1">IFERROR(__xludf.DUMMYFUNCTION("""COMPUTED_VALUE"""),"OSTE 05 CHROME WIESZAK NA PAPIER")</f>
        <v>OSTE 05 CHROME WIESZAK NA PAPIER</v>
      </c>
      <c r="C3310" s="23"/>
      <c r="D3310" s="24">
        <f ca="1">IFERROR(__xludf.DUMMYFUNCTION("""COMPUTED_VALUE"""),35)</f>
        <v>35</v>
      </c>
      <c r="E3310" s="26" t="str">
        <f ca="1">IFERROR(__xludf.DUMMYFUNCTION("""COMPUTED_VALUE"""),"REA-80044")</f>
        <v>REA-80044</v>
      </c>
    </row>
    <row r="3311" spans="1:5" x14ac:dyDescent="0.2">
      <c r="A3311" s="22">
        <f ca="1">IFERROR(__xludf.DUMMYFUNCTION("""COMPUTED_VALUE"""),44344)</f>
        <v>44344</v>
      </c>
      <c r="B3311" s="23" t="str">
        <f ca="1">IFERROR(__xludf.DUMMYFUNCTION("""COMPUTED_VALUE"""),"UCHWYT NA PAPIER CZARNY TIL 322186")</f>
        <v>UCHWYT NA PAPIER CZARNY TIL 322186</v>
      </c>
      <c r="C3311" s="23"/>
      <c r="D3311" s="24">
        <f ca="1">IFERROR(__xludf.DUMMYFUNCTION("""COMPUTED_VALUE"""),29)</f>
        <v>29</v>
      </c>
      <c r="E3311" s="26" t="str">
        <f ca="1">IFERROR(__xludf.DUMMYFUNCTION("""COMPUTED_VALUE"""),"REA-77047")</f>
        <v>REA-77047</v>
      </c>
    </row>
    <row r="3312" spans="1:5" x14ac:dyDescent="0.2">
      <c r="A3312" s="22">
        <f ca="1">IFERROR(__xludf.DUMMYFUNCTION("""COMPUTED_VALUE"""),44344)</f>
        <v>44344</v>
      </c>
      <c r="B3312" s="23" t="str">
        <f ca="1">IFERROR(__xludf.DUMMYFUNCTION("""COMPUTED_VALUE"""),"UCHWYT NA PAPIER CZARNY 322213")</f>
        <v>UCHWYT NA PAPIER CZARNY 322213</v>
      </c>
      <c r="C3312" s="23"/>
      <c r="D3312" s="24">
        <f ca="1">IFERROR(__xludf.DUMMYFUNCTION("""COMPUTED_VALUE"""),39)</f>
        <v>39</v>
      </c>
      <c r="E3312" s="26" t="str">
        <f ca="1">IFERROR(__xludf.DUMMYFUNCTION("""COMPUTED_VALUE"""),"REA-77004")</f>
        <v>REA-77004</v>
      </c>
    </row>
    <row r="3313" spans="1:5" x14ac:dyDescent="0.2">
      <c r="A3313" s="22">
        <f ca="1">IFERROR(__xludf.DUMMYFUNCTION("""COMPUTED_VALUE"""),44344)</f>
        <v>44344</v>
      </c>
      <c r="B3313" s="23" t="str">
        <f ca="1">IFERROR(__xludf.DUMMYFUNCTION("""COMPUTED_VALUE"""),"UCHWYT NA PAPIER CZARNY 322213B")</f>
        <v>UCHWYT NA PAPIER CZARNY 322213B</v>
      </c>
      <c r="C3313" s="23"/>
      <c r="D3313" s="24">
        <f ca="1">IFERROR(__xludf.DUMMYFUNCTION("""COMPUTED_VALUE"""),39)</f>
        <v>39</v>
      </c>
      <c r="E3313" s="26" t="str">
        <f ca="1">IFERROR(__xludf.DUMMYFUNCTION("""COMPUTED_VALUE"""),"REA-77002")</f>
        <v>REA-77002</v>
      </c>
    </row>
    <row r="3314" spans="1:5" x14ac:dyDescent="0.2">
      <c r="A3314" s="22">
        <f ca="1">IFERROR(__xludf.DUMMYFUNCTION("""COMPUTED_VALUE"""),44344)</f>
        <v>44344</v>
      </c>
      <c r="B3314" s="23" t="str">
        <f ca="1">IFERROR(__xludf.DUMMYFUNCTION("""COMPUTED_VALUE"""),"UCHWYT NA PAPIER CZARNY DUO 322219A")</f>
        <v>UCHWYT NA PAPIER CZARNY DUO 322219A</v>
      </c>
      <c r="C3314" s="23"/>
      <c r="D3314" s="24">
        <f ca="1">IFERROR(__xludf.DUMMYFUNCTION("""COMPUTED_VALUE"""),69)</f>
        <v>69</v>
      </c>
      <c r="E3314" s="26" t="str">
        <f ca="1">IFERROR(__xludf.DUMMYFUNCTION("""COMPUTED_VALUE"""),"REA-77057")</f>
        <v>REA-77057</v>
      </c>
    </row>
    <row r="3315" spans="1:5" x14ac:dyDescent="0.2">
      <c r="A3315" s="22">
        <f ca="1">IFERROR(__xludf.DUMMYFUNCTION("""COMPUTED_VALUE"""),44344)</f>
        <v>44344</v>
      </c>
      <c r="B3315" s="23" t="str">
        <f ca="1">IFERROR(__xludf.DUMMYFUNCTION("""COMPUTED_VALUE"""),"UCHWYT NA PAPIER CZARNY DUO 322220A")</f>
        <v>UCHWYT NA PAPIER CZARNY DUO 322220A</v>
      </c>
      <c r="C3315" s="23"/>
      <c r="D3315" s="24">
        <f ca="1">IFERROR(__xludf.DUMMYFUNCTION("""COMPUTED_VALUE"""),59)</f>
        <v>59</v>
      </c>
      <c r="E3315" s="26" t="str">
        <f ca="1">IFERROR(__xludf.DUMMYFUNCTION("""COMPUTED_VALUE"""),"REA-77102")</f>
        <v>REA-77102</v>
      </c>
    </row>
    <row r="3316" spans="1:5" x14ac:dyDescent="0.2">
      <c r="A3316" s="22">
        <f ca="1">IFERROR(__xludf.DUMMYFUNCTION("""COMPUTED_VALUE"""),44344)</f>
        <v>44344</v>
      </c>
      <c r="B3316" s="23" t="str">
        <f ca="1">IFERROR(__xludf.DUMMYFUNCTION("""COMPUTED_VALUE"""),"UCHWYT NA PAPIER CZARNY 322231C")</f>
        <v>UCHWYT NA PAPIER CZARNY 322231C</v>
      </c>
      <c r="C3316" s="23"/>
      <c r="D3316" s="24">
        <f ca="1">IFERROR(__xludf.DUMMYFUNCTION("""COMPUTED_VALUE"""),49)</f>
        <v>49</v>
      </c>
      <c r="E3316" s="26" t="str">
        <f ca="1">IFERROR(__xludf.DUMMYFUNCTION("""COMPUTED_VALUE"""),"REA-77079")</f>
        <v>REA-77079</v>
      </c>
    </row>
    <row r="3317" spans="1:5" x14ac:dyDescent="0.2">
      <c r="A3317" s="22">
        <f ca="1">IFERROR(__xludf.DUMMYFUNCTION("""COMPUTED_VALUE"""),44344)</f>
        <v>44344</v>
      </c>
      <c r="B3317" s="23" t="str">
        <f ca="1">IFERROR(__xludf.DUMMYFUNCTION("""COMPUTED_VALUE"""),"UCHWYT NA PAPIER 392599")</f>
        <v>UCHWYT NA PAPIER 392599</v>
      </c>
      <c r="C3317" s="23"/>
      <c r="D3317" s="24">
        <f ca="1">IFERROR(__xludf.DUMMYFUNCTION("""COMPUTED_VALUE"""),69)</f>
        <v>69</v>
      </c>
      <c r="E3317" s="26" t="str">
        <f ca="1">IFERROR(__xludf.DUMMYFUNCTION("""COMPUTED_VALUE"""),"HOM-02001")</f>
        <v>HOM-02001</v>
      </c>
    </row>
    <row r="3318" spans="1:5" x14ac:dyDescent="0.2">
      <c r="A3318" s="22">
        <f ca="1">IFERROR(__xludf.DUMMYFUNCTION("""COMPUTED_VALUE"""),44344)</f>
        <v>44344</v>
      </c>
      <c r="B3318" s="23" t="str">
        <f ca="1">IFERROR(__xludf.DUMMYFUNCTION("""COMPUTED_VALUE"""),"UCHWYT NA PAPIER 392602")</f>
        <v>UCHWYT NA PAPIER 392602</v>
      </c>
      <c r="C3318" s="23"/>
      <c r="D3318" s="24">
        <f ca="1">IFERROR(__xludf.DUMMYFUNCTION("""COMPUTED_VALUE"""),39)</f>
        <v>39</v>
      </c>
      <c r="E3318" s="26" t="str">
        <f ca="1">IFERROR(__xludf.DUMMYFUNCTION("""COMPUTED_VALUE"""),"HOM-02000")</f>
        <v>HOM-02000</v>
      </c>
    </row>
    <row r="3319" spans="1:5" x14ac:dyDescent="0.2">
      <c r="A3319" s="22">
        <f ca="1">IFERROR(__xludf.DUMMYFUNCTION("""COMPUTED_VALUE"""),44344)</f>
        <v>44344</v>
      </c>
      <c r="B3319" s="23" t="str">
        <f ca="1">IFERROR(__xludf.DUMMYFUNCTION("""COMPUTED_VALUE"""),"ERLO 04 BLACK WIESZAK NA PAPIER")</f>
        <v>ERLO 04 BLACK WIESZAK NA PAPIER</v>
      </c>
      <c r="C3319" s="23"/>
      <c r="D3319" s="24">
        <f ca="1">IFERROR(__xludf.DUMMYFUNCTION("""COMPUTED_VALUE"""),59)</f>
        <v>59</v>
      </c>
      <c r="E3319" s="26" t="str">
        <f ca="1">IFERROR(__xludf.DUMMYFUNCTION("""COMPUTED_VALUE"""),"REA-80010")</f>
        <v>REA-80010</v>
      </c>
    </row>
    <row r="3320" spans="1:5" x14ac:dyDescent="0.2">
      <c r="A3320" s="22">
        <f ca="1">IFERROR(__xludf.DUMMYFUNCTION("""COMPUTED_VALUE"""),44344)</f>
        <v>44344</v>
      </c>
      <c r="B3320" s="23" t="str">
        <f ca="1">IFERROR(__xludf.DUMMYFUNCTION("""COMPUTED_VALUE"""),"MIST 04 BLACK WIESZAK NA PAPIER")</f>
        <v>MIST 04 BLACK WIESZAK NA PAPIER</v>
      </c>
      <c r="C3320" s="23"/>
      <c r="D3320" s="24">
        <f ca="1">IFERROR(__xludf.DUMMYFUNCTION("""COMPUTED_VALUE"""),39)</f>
        <v>39</v>
      </c>
      <c r="E3320" s="26" t="str">
        <f ca="1">IFERROR(__xludf.DUMMYFUNCTION("""COMPUTED_VALUE"""),"REA-80025")</f>
        <v>REA-80025</v>
      </c>
    </row>
    <row r="3321" spans="1:5" x14ac:dyDescent="0.2">
      <c r="A3321" s="22">
        <f ca="1">IFERROR(__xludf.DUMMYFUNCTION("""COMPUTED_VALUE"""),44344)</f>
        <v>44344</v>
      </c>
      <c r="B3321" s="23" t="str">
        <f ca="1">IFERROR(__xludf.DUMMYFUNCTION("""COMPUTED_VALUE"""),"OSTE 04 BLACK WIESZAK NA PAPIER")</f>
        <v>OSTE 04 BLACK WIESZAK NA PAPIER</v>
      </c>
      <c r="C3321" s="23"/>
      <c r="D3321" s="24">
        <f ca="1">IFERROR(__xludf.DUMMYFUNCTION("""COMPUTED_VALUE"""),39)</f>
        <v>39</v>
      </c>
      <c r="E3321" s="26" t="str">
        <f ca="1">IFERROR(__xludf.DUMMYFUNCTION("""COMPUTED_VALUE"""),"REA-80042")</f>
        <v>REA-80042</v>
      </c>
    </row>
    <row r="3322" spans="1:5" x14ac:dyDescent="0.2">
      <c r="A3322" s="22">
        <f ca="1">IFERROR(__xludf.DUMMYFUNCTION("""COMPUTED_VALUE"""),44344)</f>
        <v>44344</v>
      </c>
      <c r="B3322" s="23" t="str">
        <f ca="1">IFERROR(__xludf.DUMMYFUNCTION("""COMPUTED_VALUE"""),"OSTE 05 BLACK WIESZAK NA PAPIER")</f>
        <v>OSTE 05 BLACK WIESZAK NA PAPIER</v>
      </c>
      <c r="C3322" s="23"/>
      <c r="D3322" s="24">
        <f ca="1">IFERROR(__xludf.DUMMYFUNCTION("""COMPUTED_VALUE"""),45)</f>
        <v>45</v>
      </c>
      <c r="E3322" s="26" t="str">
        <f ca="1">IFERROR(__xludf.DUMMYFUNCTION("""COMPUTED_VALUE"""),"REA-80045")</f>
        <v>REA-80045</v>
      </c>
    </row>
    <row r="3323" spans="1:5" x14ac:dyDescent="0.2">
      <c r="A3323" s="22">
        <f ca="1">IFERROR(__xludf.DUMMYFUNCTION("""COMPUTED_VALUE"""),44344)</f>
        <v>44344</v>
      </c>
      <c r="B3323" s="23" t="str">
        <f ca="1">IFERROR(__xludf.DUMMYFUNCTION("""COMPUTED_VALUE"""),"UCHWYT NA PAPIER TYTAN LEO 322231A")</f>
        <v>UCHWYT NA PAPIER TYTAN LEO 322231A</v>
      </c>
      <c r="C3323" s="23"/>
      <c r="D3323" s="24">
        <f ca="1">IFERROR(__xludf.DUMMYFUNCTION("""COMPUTED_VALUE"""),59)</f>
        <v>59</v>
      </c>
      <c r="E3323" s="26" t="str">
        <f ca="1">IFERROR(__xludf.DUMMYFUNCTION("""COMPUTED_VALUE"""),"REA-77074")</f>
        <v>REA-77074</v>
      </c>
    </row>
    <row r="3324" spans="1:5" x14ac:dyDescent="0.2">
      <c r="A3324" s="22">
        <f ca="1">IFERROR(__xludf.DUMMYFUNCTION("""COMPUTED_VALUE"""),44344)</f>
        <v>44344</v>
      </c>
      <c r="B3324" s="23" t="str">
        <f ca="1">IFERROR(__xludf.DUMMYFUNCTION("""COMPUTED_VALUE"""),"UCHWYT NA PAPIER NIKIEL SZCZOTKOWANY FAR 322226")</f>
        <v>UCHWYT NA PAPIER NIKIEL SZCZOTKOWANY FAR 322226</v>
      </c>
      <c r="C3324" s="23"/>
      <c r="D3324" s="24">
        <f ca="1">IFERROR(__xludf.DUMMYFUNCTION("""COMPUTED_VALUE"""),65)</f>
        <v>65</v>
      </c>
      <c r="E3324" s="26" t="str">
        <f ca="1">IFERROR(__xludf.DUMMYFUNCTION("""COMPUTED_VALUE"""),"REA-77046")</f>
        <v>REA-77046</v>
      </c>
    </row>
    <row r="3325" spans="1:5" x14ac:dyDescent="0.2">
      <c r="A3325" s="22">
        <f ca="1">IFERROR(__xludf.DUMMYFUNCTION("""COMPUTED_VALUE"""),44344)</f>
        <v>44344</v>
      </c>
      <c r="B3325" s="23" t="str">
        <f ca="1">IFERROR(__xludf.DUMMYFUNCTION("""COMPUTED_VALUE"""),"UCHWYT NA PAPIER BLACK 390226")</f>
        <v>UCHWYT NA PAPIER BLACK 390226</v>
      </c>
      <c r="C3325" s="23"/>
      <c r="D3325" s="24">
        <f ca="1">IFERROR(__xludf.DUMMYFUNCTION("""COMPUTED_VALUE"""),29)</f>
        <v>29</v>
      </c>
      <c r="E3325" s="26" t="str">
        <f ca="1">IFERROR(__xludf.DUMMYFUNCTION("""COMPUTED_VALUE"""),"HOM-00552")</f>
        <v>HOM-00552</v>
      </c>
    </row>
    <row r="3326" spans="1:5" x14ac:dyDescent="0.2">
      <c r="A3326" s="22">
        <f ca="1">IFERROR(__xludf.DUMMYFUNCTION("""COMPUTED_VALUE"""),44344)</f>
        <v>44344</v>
      </c>
      <c r="B3326" s="23" t="str">
        <f ca="1">IFERROR(__xludf.DUMMYFUNCTION("""COMPUTED_VALUE"""),"UCHWYT NA PAPIER CHROM 390175A")</f>
        <v>UCHWYT NA PAPIER CHROM 390175A</v>
      </c>
      <c r="C3326" s="23"/>
      <c r="D3326" s="24">
        <f ca="1">IFERROR(__xludf.DUMMYFUNCTION("""COMPUTED_VALUE"""),39)</f>
        <v>39</v>
      </c>
      <c r="E3326" s="26" t="str">
        <f ca="1">IFERROR(__xludf.DUMMYFUNCTION("""COMPUTED_VALUE"""),"HOM-00551")</f>
        <v>HOM-00551</v>
      </c>
    </row>
    <row r="3327" spans="1:5" x14ac:dyDescent="0.2">
      <c r="A3327" s="22">
        <f ca="1">IFERROR(__xludf.DUMMYFUNCTION("""COMPUTED_VALUE"""),44344)</f>
        <v>44344</v>
      </c>
      <c r="B3327" s="23" t="str">
        <f ca="1">IFERROR(__xludf.DUMMYFUNCTION("""COMPUTED_VALUE"""),"UCHWYT NA PAPIER ZŁOTY TIL 322186A")</f>
        <v>UCHWYT NA PAPIER ZŁOTY TIL 322186A</v>
      </c>
      <c r="C3327" s="23"/>
      <c r="D3327" s="24">
        <f ca="1">IFERROR(__xludf.DUMMYFUNCTION("""COMPUTED_VALUE"""),45)</f>
        <v>45</v>
      </c>
      <c r="E3327" s="26" t="str">
        <f ca="1">IFERROR(__xludf.DUMMYFUNCTION("""COMPUTED_VALUE"""),"REA-77012")</f>
        <v>REA-77012</v>
      </c>
    </row>
    <row r="3328" spans="1:5" x14ac:dyDescent="0.2">
      <c r="A3328" s="22">
        <f ca="1">IFERROR(__xludf.DUMMYFUNCTION("""COMPUTED_VALUE"""),44344)</f>
        <v>44344</v>
      </c>
      <c r="B3328" s="23" t="str">
        <f ca="1">IFERROR(__xludf.DUMMYFUNCTION("""COMPUTED_VALUE"""),"UCHWYT NA PAPIER ZŁOTY MOON 322191")</f>
        <v>UCHWYT NA PAPIER ZŁOTY MOON 322191</v>
      </c>
      <c r="C3328" s="23"/>
      <c r="D3328" s="24">
        <f ca="1">IFERROR(__xludf.DUMMYFUNCTION("""COMPUTED_VALUE"""),45)</f>
        <v>45</v>
      </c>
      <c r="E3328" s="26" t="str">
        <f ca="1">IFERROR(__xludf.DUMMYFUNCTION("""COMPUTED_VALUE"""),"REA-77034")</f>
        <v>REA-77034</v>
      </c>
    </row>
    <row r="3329" spans="1:5" x14ac:dyDescent="0.2">
      <c r="A3329" s="22">
        <f ca="1">IFERROR(__xludf.DUMMYFUNCTION("""COMPUTED_VALUE"""),44344)</f>
        <v>44344</v>
      </c>
      <c r="B3329" s="23" t="str">
        <f ca="1">IFERROR(__xludf.DUMMYFUNCTION("""COMPUTED_VALUE"""),"UCHWYT NA PAPIER ZŁOTY 322204A")</f>
        <v>UCHWYT NA PAPIER ZŁOTY 322204A</v>
      </c>
      <c r="C3329" s="23"/>
      <c r="D3329" s="24">
        <f ca="1">IFERROR(__xludf.DUMMYFUNCTION("""COMPUTED_VALUE"""),75)</f>
        <v>75</v>
      </c>
      <c r="E3329" s="26" t="str">
        <f ca="1">IFERROR(__xludf.DUMMYFUNCTION("""COMPUTED_VALUE"""),"REA-77088")</f>
        <v>REA-77088</v>
      </c>
    </row>
    <row r="3330" spans="1:5" x14ac:dyDescent="0.2">
      <c r="A3330" s="22">
        <f ca="1">IFERROR(__xludf.DUMMYFUNCTION("""COMPUTED_VALUE"""),44344)</f>
        <v>44344</v>
      </c>
      <c r="B3330" s="23" t="str">
        <f ca="1">IFERROR(__xludf.DUMMYFUNCTION("""COMPUTED_VALUE"""),"UCHWYT NA PAPIER ZŁOTY 322213A")</f>
        <v>UCHWYT NA PAPIER ZŁOTY 322213A</v>
      </c>
      <c r="C3330" s="23"/>
      <c r="D3330" s="24">
        <f ca="1">IFERROR(__xludf.DUMMYFUNCTION("""COMPUTED_VALUE"""),39)</f>
        <v>39</v>
      </c>
      <c r="E3330" s="26" t="str">
        <f ca="1">IFERROR(__xludf.DUMMYFUNCTION("""COMPUTED_VALUE"""),"REA-77005")</f>
        <v>REA-77005</v>
      </c>
    </row>
    <row r="3331" spans="1:5" x14ac:dyDescent="0.2">
      <c r="A3331" s="22">
        <f ca="1">IFERROR(__xludf.DUMMYFUNCTION("""COMPUTED_VALUE"""),44344)</f>
        <v>44344</v>
      </c>
      <c r="B3331" s="23" t="str">
        <f ca="1">IFERROR(__xludf.DUMMYFUNCTION("""COMPUTED_VALUE"""),"UCHWYT NA PAPIER ZŁOTY 322213C")</f>
        <v>UCHWYT NA PAPIER ZŁOTY 322213C</v>
      </c>
      <c r="C3331" s="23"/>
      <c r="D3331" s="24">
        <f ca="1">IFERROR(__xludf.DUMMYFUNCTION("""COMPUTED_VALUE"""),55)</f>
        <v>55</v>
      </c>
      <c r="E3331" s="26" t="str">
        <f ca="1">IFERROR(__xludf.DUMMYFUNCTION("""COMPUTED_VALUE"""),"REA-77003")</f>
        <v>REA-77003</v>
      </c>
    </row>
    <row r="3332" spans="1:5" x14ac:dyDescent="0.2">
      <c r="A3332" s="22">
        <f ca="1">IFERROR(__xludf.DUMMYFUNCTION("""COMPUTED_VALUE"""),44344)</f>
        <v>44344</v>
      </c>
      <c r="B3332" s="23" t="str">
        <f ca="1">IFERROR(__xludf.DUMMYFUNCTION("""COMPUTED_VALUE"""),"UCHWYT NA PAPIER ZŁOTY DUO 322220B")</f>
        <v>UCHWYT NA PAPIER ZŁOTY DUO 322220B</v>
      </c>
      <c r="C3332" s="23"/>
      <c r="D3332" s="24">
        <f ca="1">IFERROR(__xludf.DUMMYFUNCTION("""COMPUTED_VALUE"""),89)</f>
        <v>89</v>
      </c>
      <c r="E3332" s="26" t="str">
        <f ca="1">IFERROR(__xludf.DUMMYFUNCTION("""COMPUTED_VALUE"""),"REA-77060")</f>
        <v>REA-77060</v>
      </c>
    </row>
    <row r="3333" spans="1:5" x14ac:dyDescent="0.2">
      <c r="A3333" s="22">
        <f ca="1">IFERROR(__xludf.DUMMYFUNCTION("""COMPUTED_VALUE"""),44344)</f>
        <v>44344</v>
      </c>
      <c r="B3333" s="23" t="str">
        <f ca="1">IFERROR(__xludf.DUMMYFUNCTION("""COMPUTED_VALUE"""),"ERLO 04 L.GOLD WIESZAK NA PAPIER")</f>
        <v>ERLO 04 L.GOLD WIESZAK NA PAPIER</v>
      </c>
      <c r="C3333" s="23"/>
      <c r="D3333" s="24">
        <f ca="1">IFERROR(__xludf.DUMMYFUNCTION("""COMPUTED_VALUE"""),69)</f>
        <v>69</v>
      </c>
      <c r="E3333" s="26" t="str">
        <f ca="1">IFERROR(__xludf.DUMMYFUNCTION("""COMPUTED_VALUE"""),"REA-80011")</f>
        <v>REA-80011</v>
      </c>
    </row>
    <row r="3334" spans="1:5" x14ac:dyDescent="0.2">
      <c r="A3334" s="22">
        <f ca="1">IFERROR(__xludf.DUMMYFUNCTION("""COMPUTED_VALUE"""),44344)</f>
        <v>44344</v>
      </c>
      <c r="B3334" s="23" t="str">
        <f ca="1">IFERROR(__xludf.DUMMYFUNCTION("""COMPUTED_VALUE"""),"OSTE 04 L.GOLD WIESZAK NA PAPIER")</f>
        <v>OSTE 04 L.GOLD WIESZAK NA PAPIER</v>
      </c>
      <c r="C3334" s="23"/>
      <c r="D3334" s="24">
        <f ca="1">IFERROR(__xludf.DUMMYFUNCTION("""COMPUTED_VALUE"""),49)</f>
        <v>49</v>
      </c>
      <c r="E3334" s="26" t="str">
        <f ca="1">IFERROR(__xludf.DUMMYFUNCTION("""COMPUTED_VALUE"""),"REA-80043")</f>
        <v>REA-80043</v>
      </c>
    </row>
    <row r="3335" spans="1:5" x14ac:dyDescent="0.2">
      <c r="A3335" s="22">
        <f ca="1">IFERROR(__xludf.DUMMYFUNCTION("""COMPUTED_VALUE"""),44344)</f>
        <v>44344</v>
      </c>
      <c r="B3335" s="23" t="str">
        <f ca="1">IFERROR(__xludf.DUMMYFUNCTION("""COMPUTED_VALUE"""),"OSTE 05 L.GOLD WIESZAK NA PAPIER")</f>
        <v>OSTE 05 L.GOLD WIESZAK NA PAPIER</v>
      </c>
      <c r="C3335" s="23"/>
      <c r="D3335" s="24">
        <f ca="1">IFERROR(__xludf.DUMMYFUNCTION("""COMPUTED_VALUE"""),49)</f>
        <v>49</v>
      </c>
      <c r="E3335" s="26" t="str">
        <f ca="1">IFERROR(__xludf.DUMMYFUNCTION("""COMPUTED_VALUE"""),"REA-80080")</f>
        <v>REA-80080</v>
      </c>
    </row>
    <row r="3336" spans="1:5" x14ac:dyDescent="0.2">
      <c r="A3336" s="22">
        <f ca="1">IFERROR(__xludf.DUMMYFUNCTION("""COMPUTED_VALUE"""),44344)</f>
        <v>44344</v>
      </c>
      <c r="B3336" s="23" t="str">
        <f ca="1">IFERROR(__xludf.DUMMYFUNCTION("""COMPUTED_VALUE"""),"UCHWYT NA PAPIER ZŁOTY 322219B")</f>
        <v>UCHWYT NA PAPIER ZŁOTY 322219B</v>
      </c>
      <c r="C3336" s="23"/>
      <c r="D3336" s="24">
        <f ca="1">IFERROR(__xludf.DUMMYFUNCTION("""COMPUTED_VALUE"""),99)</f>
        <v>99</v>
      </c>
      <c r="E3336" s="26" t="str">
        <f ca="1">IFERROR(__xludf.DUMMYFUNCTION("""COMPUTED_VALUE"""),"REA-77080")</f>
        <v>REA-77080</v>
      </c>
    </row>
    <row r="3337" spans="1:5" x14ac:dyDescent="0.2">
      <c r="A3337" s="22">
        <f ca="1">IFERROR(__xludf.DUMMYFUNCTION("""COMPUTED_VALUE"""),44344)</f>
        <v>44344</v>
      </c>
      <c r="B3337" s="23" t="str">
        <f ca="1">IFERROR(__xludf.DUMMYFUNCTION("""COMPUTED_VALUE"""),"UCHWYT NA PAPIER ZŁOTY SZCZOTKOWANY FAR 322226B")</f>
        <v>UCHWYT NA PAPIER ZŁOTY SZCZOTKOWANY FAR 322226B</v>
      </c>
      <c r="C3337" s="23"/>
      <c r="D3337" s="24">
        <f ca="1">IFERROR(__xludf.DUMMYFUNCTION("""COMPUTED_VALUE"""),99)</f>
        <v>99</v>
      </c>
      <c r="E3337" s="26" t="str">
        <f ca="1">IFERROR(__xludf.DUMMYFUNCTION("""COMPUTED_VALUE"""),"REA-77050")</f>
        <v>REA-77050</v>
      </c>
    </row>
    <row r="3338" spans="1:5" x14ac:dyDescent="0.2">
      <c r="A3338" s="22">
        <f ca="1">IFERROR(__xludf.DUMMYFUNCTION("""COMPUTED_VALUE"""),44344)</f>
        <v>44344</v>
      </c>
      <c r="B3338" s="23" t="str">
        <f ca="1">IFERROR(__xludf.DUMMYFUNCTION("""COMPUTED_VALUE"""),"UCHWYT NA PAPIER ZŁOTY SZCZOTKOWANY 322231")</f>
        <v>UCHWYT NA PAPIER ZŁOTY SZCZOTKOWANY 322231</v>
      </c>
      <c r="C3338" s="23"/>
      <c r="D3338" s="24">
        <f ca="1">IFERROR(__xludf.DUMMYFUNCTION("""COMPUTED_VALUE"""),59)</f>
        <v>59</v>
      </c>
      <c r="E3338" s="26" t="str">
        <f ca="1">IFERROR(__xludf.DUMMYFUNCTION("""COMPUTED_VALUE"""),"REA-77071")</f>
        <v>REA-77071</v>
      </c>
    </row>
    <row r="3339" spans="1:5" x14ac:dyDescent="0.2">
      <c r="A3339" s="22">
        <f ca="1">IFERROR(__xludf.DUMMYFUNCTION("""COMPUTED_VALUE"""),44344)</f>
        <v>44344</v>
      </c>
      <c r="B3339" s="23" t="str">
        <f ca="1">IFERROR(__xludf.DUMMYFUNCTION("""COMPUTED_VALUE"""),"WIESZAK ŁAZIENKOWY CZARNY MOON 322188A")</f>
        <v>WIESZAK ŁAZIENKOWY CZARNY MOON 322188A</v>
      </c>
      <c r="C3339" s="23"/>
      <c r="D3339" s="24">
        <f ca="1">IFERROR(__xludf.DUMMYFUNCTION("""COMPUTED_VALUE"""),19)</f>
        <v>19</v>
      </c>
      <c r="E3339" s="26" t="str">
        <f ca="1">IFERROR(__xludf.DUMMYFUNCTION("""COMPUTED_VALUE"""),"REA-77072")</f>
        <v>REA-77072</v>
      </c>
    </row>
    <row r="3340" spans="1:5" x14ac:dyDescent="0.2">
      <c r="A3340" s="22">
        <f ca="1">IFERROR(__xludf.DUMMYFUNCTION("""COMPUTED_VALUE"""),44344)</f>
        <v>44344</v>
      </c>
      <c r="B3340" s="23" t="str">
        <f ca="1">IFERROR(__xludf.DUMMYFUNCTION("""COMPUTED_VALUE"""),"WIESZAK ŁAZIENKOWY CZARNY 322210")</f>
        <v>WIESZAK ŁAZIENKOWY CZARNY 322210</v>
      </c>
      <c r="C3340" s="23"/>
      <c r="D3340" s="24">
        <f ca="1">IFERROR(__xludf.DUMMYFUNCTION("""COMPUTED_VALUE"""),29)</f>
        <v>29</v>
      </c>
      <c r="E3340" s="26" t="str">
        <f ca="1">IFERROR(__xludf.DUMMYFUNCTION("""COMPUTED_VALUE"""),"REA-77023")</f>
        <v>REA-77023</v>
      </c>
    </row>
    <row r="3341" spans="1:5" x14ac:dyDescent="0.2">
      <c r="A3341" s="22">
        <f ca="1">IFERROR(__xludf.DUMMYFUNCTION("""COMPUTED_VALUE"""),44344)</f>
        <v>44344</v>
      </c>
      <c r="B3341" s="23" t="str">
        <f ca="1">IFERROR(__xludf.DUMMYFUNCTION("""COMPUTED_VALUE"""),"WIESZAK NA RĘCZNIK 4-RAMIENNY BLACK")</f>
        <v>WIESZAK NA RĘCZNIK 4-RAMIENNY BLACK</v>
      </c>
      <c r="C3341" s="23"/>
      <c r="D3341" s="24">
        <f ca="1">IFERROR(__xludf.DUMMYFUNCTION("""COMPUTED_VALUE"""),74)</f>
        <v>74</v>
      </c>
      <c r="E3341" s="26" t="str">
        <f ca="1">IFERROR(__xludf.DUMMYFUNCTION("""COMPUTED_VALUE"""),"REA-A0909")</f>
        <v>REA-A0909</v>
      </c>
    </row>
    <row r="3342" spans="1:5" x14ac:dyDescent="0.2">
      <c r="A3342" s="22">
        <f ca="1">IFERROR(__xludf.DUMMYFUNCTION("""COMPUTED_VALUE"""),44344)</f>
        <v>44344</v>
      </c>
      <c r="B3342" s="23" t="str">
        <f ca="1">IFERROR(__xludf.DUMMYFUNCTION("""COMPUTED_VALUE"""),"WIESZAK ŁAZIENKOWY BIAŁY 322230B")</f>
        <v>WIESZAK ŁAZIENKOWY BIAŁY 322230B</v>
      </c>
      <c r="C3342" s="23"/>
      <c r="D3342" s="24">
        <f ca="1">IFERROR(__xludf.DUMMYFUNCTION("""COMPUTED_VALUE"""),39)</f>
        <v>39</v>
      </c>
      <c r="E3342" s="26" t="str">
        <f ca="1">IFERROR(__xludf.DUMMYFUNCTION("""COMPUTED_VALUE"""),"REA-77020")</f>
        <v>REA-77020</v>
      </c>
    </row>
    <row r="3343" spans="1:5" x14ac:dyDescent="0.2">
      <c r="A3343" s="22">
        <f ca="1">IFERROR(__xludf.DUMMYFUNCTION("""COMPUTED_VALUE"""),44344)</f>
        <v>44344</v>
      </c>
      <c r="B3343" s="23" t="str">
        <f ca="1">IFERROR(__xludf.DUMMYFUNCTION("""COMPUTED_VALUE"""),"WIESZAK ŁAZIENKOWY CZARNY 322196")</f>
        <v>WIESZAK ŁAZIENKOWY CZARNY 322196</v>
      </c>
      <c r="C3343" s="23"/>
      <c r="D3343" s="24">
        <f ca="1">IFERROR(__xludf.DUMMYFUNCTION("""COMPUTED_VALUE"""),29)</f>
        <v>29</v>
      </c>
      <c r="E3343" s="26" t="str">
        <f ca="1">IFERROR(__xludf.DUMMYFUNCTION("""COMPUTED_VALUE"""),"REA-77024")</f>
        <v>REA-77024</v>
      </c>
    </row>
    <row r="3344" spans="1:5" x14ac:dyDescent="0.2">
      <c r="A3344" s="22">
        <f ca="1">IFERROR(__xludf.DUMMYFUNCTION("""COMPUTED_VALUE"""),44344)</f>
        <v>44344</v>
      </c>
      <c r="B3344" s="23" t="str">
        <f ca="1">IFERROR(__xludf.DUMMYFUNCTION("""COMPUTED_VALUE"""),"WIESZAK ŁAZIENKOWY CZARNY 322230C")</f>
        <v>WIESZAK ŁAZIENKOWY CZARNY 322230C</v>
      </c>
      <c r="C3344" s="23"/>
      <c r="D3344" s="24">
        <f ca="1">IFERROR(__xludf.DUMMYFUNCTION("""COMPUTED_VALUE"""),39)</f>
        <v>39</v>
      </c>
      <c r="E3344" s="26" t="str">
        <f ca="1">IFERROR(__xludf.DUMMYFUNCTION("""COMPUTED_VALUE"""),"REA-77017")</f>
        <v>REA-77017</v>
      </c>
    </row>
    <row r="3345" spans="1:5" x14ac:dyDescent="0.2">
      <c r="A3345" s="22">
        <f ca="1">IFERROR(__xludf.DUMMYFUNCTION("""COMPUTED_VALUE"""),44344)</f>
        <v>44344</v>
      </c>
      <c r="B3345" s="23" t="str">
        <f ca="1">IFERROR(__xludf.DUMMYFUNCTION("""COMPUTED_VALUE"""),"WIESZAK ŁAZIENKOWY CZARNY TIL 322184")</f>
        <v>WIESZAK ŁAZIENKOWY CZARNY TIL 322184</v>
      </c>
      <c r="C3345" s="23"/>
      <c r="D3345" s="24">
        <f ca="1">IFERROR(__xludf.DUMMYFUNCTION("""COMPUTED_VALUE"""),25)</f>
        <v>25</v>
      </c>
      <c r="E3345" s="26" t="str">
        <f ca="1">IFERROR(__xludf.DUMMYFUNCTION("""COMPUTED_VALUE"""),"REA-77021")</f>
        <v>REA-77021</v>
      </c>
    </row>
    <row r="3346" spans="1:5" x14ac:dyDescent="0.2">
      <c r="A3346" s="22">
        <f ca="1">IFERROR(__xludf.DUMMYFUNCTION("""COMPUTED_VALUE"""),44344)</f>
        <v>44344</v>
      </c>
      <c r="B3346" s="23" t="str">
        <f ca="1">IFERROR(__xludf.DUMMYFUNCTION("""COMPUTED_VALUE"""),"WIESZAK ŁAZIENKOWY ZŁOTY TIL 322184A")</f>
        <v>WIESZAK ŁAZIENKOWY ZŁOTY TIL 322184A</v>
      </c>
      <c r="C3346" s="23"/>
      <c r="D3346" s="24">
        <f ca="1">IFERROR(__xludf.DUMMYFUNCTION("""COMPUTED_VALUE"""),39)</f>
        <v>39</v>
      </c>
      <c r="E3346" s="26" t="str">
        <f ca="1">IFERROR(__xludf.DUMMYFUNCTION("""COMPUTED_VALUE"""),"REA-77022")</f>
        <v>REA-77022</v>
      </c>
    </row>
    <row r="3347" spans="1:5" x14ac:dyDescent="0.2">
      <c r="A3347" s="22">
        <f ca="1">IFERROR(__xludf.DUMMYFUNCTION("""COMPUTED_VALUE"""),44344)</f>
        <v>44344</v>
      </c>
      <c r="B3347" s="23" t="str">
        <f ca="1">IFERROR(__xludf.DUMMYFUNCTION("""COMPUTED_VALUE"""),"WIESZAK ŁAZIENKOWY CHROM 322216")</f>
        <v>WIESZAK ŁAZIENKOWY CHROM 322216</v>
      </c>
      <c r="C3347" s="23"/>
      <c r="D3347" s="24">
        <f ca="1">IFERROR(__xludf.DUMMYFUNCTION("""COMPUTED_VALUE"""),39)</f>
        <v>39</v>
      </c>
      <c r="E3347" s="26" t="str">
        <f ca="1">IFERROR(__xludf.DUMMYFUNCTION("""COMPUTED_VALUE"""),"REA-77008")</f>
        <v>REA-77008</v>
      </c>
    </row>
    <row r="3348" spans="1:5" x14ac:dyDescent="0.2">
      <c r="A3348" s="22">
        <f ca="1">IFERROR(__xludf.DUMMYFUNCTION("""COMPUTED_VALUE"""),44344)</f>
        <v>44344</v>
      </c>
      <c r="B3348" s="23" t="str">
        <f ca="1">IFERROR(__xludf.DUMMYFUNCTION("""COMPUTED_VALUE"""),"WIESZAK ŁAZIENKOWY ZŁOTY 332868")</f>
        <v>WIESZAK ŁAZIENKOWY ZŁOTY 332868</v>
      </c>
      <c r="C3348" s="23"/>
      <c r="D3348" s="24">
        <f ca="1">IFERROR(__xludf.DUMMYFUNCTION("""COMPUTED_VALUE"""),29)</f>
        <v>29</v>
      </c>
      <c r="E3348" s="26" t="str">
        <f ca="1">IFERROR(__xludf.DUMMYFUNCTION("""COMPUTED_VALUE"""),"REA-06919")</f>
        <v>REA-06919</v>
      </c>
    </row>
    <row r="3349" spans="1:5" x14ac:dyDescent="0.2">
      <c r="A3349" s="22">
        <f ca="1">IFERROR(__xludf.DUMMYFUNCTION("""COMPUTED_VALUE"""),44344)</f>
        <v>44344</v>
      </c>
      <c r="B3349" s="23" t="str">
        <f ca="1">IFERROR(__xludf.DUMMYFUNCTION("""COMPUTED_VALUE"""),"WIESZAK ŁAZIENKOWY CZARNY RETRO 332868A")</f>
        <v>WIESZAK ŁAZIENKOWY CZARNY RETRO 332868A</v>
      </c>
      <c r="C3349" s="23"/>
      <c r="D3349" s="24">
        <f ca="1">IFERROR(__xludf.DUMMYFUNCTION("""COMPUTED_VALUE"""),27)</f>
        <v>27</v>
      </c>
      <c r="E3349" s="26" t="str">
        <f ca="1">IFERROR(__xludf.DUMMYFUNCTION("""COMPUTED_VALUE"""),"REA-06924")</f>
        <v>REA-06924</v>
      </c>
    </row>
    <row r="3350" spans="1:5" x14ac:dyDescent="0.2">
      <c r="A3350" s="22">
        <f ca="1">IFERROR(__xludf.DUMMYFUNCTION("""COMPUTED_VALUE"""),44344)</f>
        <v>44344</v>
      </c>
      <c r="B3350" s="23" t="str">
        <f ca="1">IFERROR(__xludf.DUMMYFUNCTION("""COMPUTED_VALUE"""),"WIESZAK ŁAZIENKOWY ANTYCZNY BRĄZ RETRO 332868B")</f>
        <v>WIESZAK ŁAZIENKOWY ANTYCZNY BRĄZ RETRO 332868B</v>
      </c>
      <c r="C3350" s="23"/>
      <c r="D3350" s="24">
        <f ca="1">IFERROR(__xludf.DUMMYFUNCTION("""COMPUTED_VALUE"""),29)</f>
        <v>29</v>
      </c>
      <c r="E3350" s="26" t="str">
        <f ca="1">IFERROR(__xludf.DUMMYFUNCTION("""COMPUTED_VALUE"""),"REA-06929")</f>
        <v>REA-06929</v>
      </c>
    </row>
    <row r="3351" spans="1:5" x14ac:dyDescent="0.2">
      <c r="A3351" s="22">
        <f ca="1">IFERROR(__xludf.DUMMYFUNCTION("""COMPUTED_VALUE"""),44344)</f>
        <v>44344</v>
      </c>
      <c r="B3351" s="23" t="str">
        <f ca="1">IFERROR(__xludf.DUMMYFUNCTION("""COMPUTED_VALUE"""),"MIST 02 BRUSH NICKIEL WIESZAK PODWÓJNY 332914")</f>
        <v>MIST 02 BRUSH NICKIEL WIESZAK PODWÓJNY 332914</v>
      </c>
      <c r="C3351" s="23"/>
      <c r="D3351" s="24">
        <f ca="1">IFERROR(__xludf.DUMMYFUNCTION("""COMPUTED_VALUE"""),49)</f>
        <v>49</v>
      </c>
      <c r="E3351" s="26" t="str">
        <f ca="1">IFERROR(__xludf.DUMMYFUNCTION("""COMPUTED_VALUE"""),"REA-06900")</f>
        <v>REA-06900</v>
      </c>
    </row>
    <row r="3352" spans="1:5" x14ac:dyDescent="0.2">
      <c r="A3352" s="22">
        <f ca="1">IFERROR(__xludf.DUMMYFUNCTION("""COMPUTED_VALUE"""),44344)</f>
        <v>44344</v>
      </c>
      <c r="B3352" s="23" t="str">
        <f ca="1">IFERROR(__xludf.DUMMYFUNCTION("""COMPUTED_VALUE"""),"MIST 02 BLACK WIESZAK PODWÓJNY 332914A")</f>
        <v>MIST 02 BLACK WIESZAK PODWÓJNY 332914A</v>
      </c>
      <c r="C3352" s="23"/>
      <c r="D3352" s="24">
        <f ca="1">IFERROR(__xludf.DUMMYFUNCTION("""COMPUTED_VALUE"""),59)</f>
        <v>59</v>
      </c>
      <c r="E3352" s="26" t="str">
        <f ca="1">IFERROR(__xludf.DUMMYFUNCTION("""COMPUTED_VALUE"""),"REA-06901")</f>
        <v>REA-06901</v>
      </c>
    </row>
    <row r="3353" spans="1:5" x14ac:dyDescent="0.2">
      <c r="A3353" s="22">
        <f ca="1">IFERROR(__xludf.DUMMYFUNCTION("""COMPUTED_VALUE"""),44344)</f>
        <v>44344</v>
      </c>
      <c r="B3353" s="23" t="str">
        <f ca="1">IFERROR(__xludf.DUMMYFUNCTION("""COMPUTED_VALUE"""),"MIST 02 BRUSH GOLD WIESZAK PODWÓJNY 332914B")</f>
        <v>MIST 02 BRUSH GOLD WIESZAK PODWÓJNY 332914B</v>
      </c>
      <c r="C3353" s="23"/>
      <c r="D3353" s="24">
        <f ca="1">IFERROR(__xludf.DUMMYFUNCTION("""COMPUTED_VALUE"""),69)</f>
        <v>69</v>
      </c>
      <c r="E3353" s="26" t="str">
        <f ca="1">IFERROR(__xludf.DUMMYFUNCTION("""COMPUTED_VALUE"""),"REA-06902")</f>
        <v>REA-06902</v>
      </c>
    </row>
    <row r="3354" spans="1:5" x14ac:dyDescent="0.2">
      <c r="A3354" s="22">
        <f ca="1">IFERROR(__xludf.DUMMYFUNCTION("""COMPUTED_VALUE"""),44344)</f>
        <v>44344</v>
      </c>
      <c r="B3354" s="23" t="str">
        <f ca="1">IFERROR(__xludf.DUMMYFUNCTION("""COMPUTED_VALUE"""),"WIESZAK ŁAZIENKOWY CZARNY 322202")</f>
        <v>WIESZAK ŁAZIENKOWY CZARNY 322202</v>
      </c>
      <c r="C3354" s="23"/>
      <c r="D3354" s="24">
        <f ca="1">IFERROR(__xludf.DUMMYFUNCTION("""COMPUTED_VALUE"""),35)</f>
        <v>35</v>
      </c>
      <c r="E3354" s="26" t="str">
        <f ca="1">IFERROR(__xludf.DUMMYFUNCTION("""COMPUTED_VALUE"""),"REA-77015")</f>
        <v>REA-77015</v>
      </c>
    </row>
    <row r="3355" spans="1:5" x14ac:dyDescent="0.2">
      <c r="A3355" s="22">
        <f ca="1">IFERROR(__xludf.DUMMYFUNCTION("""COMPUTED_VALUE"""),44344)</f>
        <v>44344</v>
      </c>
      <c r="B3355" s="23" t="str">
        <f ca="1">IFERROR(__xludf.DUMMYFUNCTION("""COMPUTED_VALUE"""),"WIESZAK ŁAZIENKOWY CZARNY 322216A")</f>
        <v>WIESZAK ŁAZIENKOWY CZARNY 322216A</v>
      </c>
      <c r="C3355" s="23"/>
      <c r="D3355" s="24">
        <f ca="1">IFERROR(__xludf.DUMMYFUNCTION("""COMPUTED_VALUE"""),44)</f>
        <v>44</v>
      </c>
      <c r="E3355" s="26" t="str">
        <f ca="1">IFERROR(__xludf.DUMMYFUNCTION("""COMPUTED_VALUE"""),"REA-77006")</f>
        <v>REA-77006</v>
      </c>
    </row>
    <row r="3356" spans="1:5" x14ac:dyDescent="0.2">
      <c r="A3356" s="22">
        <f ca="1">IFERROR(__xludf.DUMMYFUNCTION("""COMPUTED_VALUE"""),44344)</f>
        <v>44344</v>
      </c>
      <c r="B3356" s="23" t="str">
        <f ca="1">IFERROR(__xludf.DUMMYFUNCTION("""COMPUTED_VALUE"""),"WIESZAK ŁAZIENKOWY ZŁOTY 322202A")</f>
        <v>WIESZAK ŁAZIENKOWY ZŁOTY 322202A</v>
      </c>
      <c r="C3356" s="23"/>
      <c r="D3356" s="24">
        <f ca="1">IFERROR(__xludf.DUMMYFUNCTION("""COMPUTED_VALUE"""),45)</f>
        <v>45</v>
      </c>
      <c r="E3356" s="26" t="str">
        <f ca="1">IFERROR(__xludf.DUMMYFUNCTION("""COMPUTED_VALUE"""),"REA-77016")</f>
        <v>REA-77016</v>
      </c>
    </row>
    <row r="3357" spans="1:5" x14ac:dyDescent="0.2">
      <c r="A3357" s="22">
        <f ca="1">IFERROR(__xludf.DUMMYFUNCTION("""COMPUTED_VALUE"""),44344)</f>
        <v>44344</v>
      </c>
      <c r="B3357" s="23" t="str">
        <f ca="1">IFERROR(__xludf.DUMMYFUNCTION("""COMPUTED_VALUE"""),"WIESZAK ŁAZIENKOWY ZŁOTY 322216B")</f>
        <v>WIESZAK ŁAZIENKOWY ZŁOTY 322216B</v>
      </c>
      <c r="C3357" s="23"/>
      <c r="D3357" s="24">
        <f ca="1">IFERROR(__xludf.DUMMYFUNCTION("""COMPUTED_VALUE"""),59)</f>
        <v>59</v>
      </c>
      <c r="E3357" s="26" t="str">
        <f ca="1">IFERROR(__xludf.DUMMYFUNCTION("""COMPUTED_VALUE"""),"REA-77007")</f>
        <v>REA-77007</v>
      </c>
    </row>
    <row r="3358" spans="1:5" x14ac:dyDescent="0.2">
      <c r="A3358" s="22">
        <f ca="1">IFERROR(__xludf.DUMMYFUNCTION("""COMPUTED_VALUE"""),44344)</f>
        <v>44344</v>
      </c>
      <c r="B3358" s="23" t="str">
        <f ca="1">IFERROR(__xludf.DUMMYFUNCTION("""COMPUTED_VALUE"""),"WIESZAK ŁAZIENKOWY TYTAN LEO 322230A")</f>
        <v>WIESZAK ŁAZIENKOWY TYTAN LEO 322230A</v>
      </c>
      <c r="C3358" s="23"/>
      <c r="D3358" s="24">
        <f ca="1">IFERROR(__xludf.DUMMYFUNCTION("""COMPUTED_VALUE"""),49)</f>
        <v>49</v>
      </c>
      <c r="E3358" s="26" t="str">
        <f ca="1">IFERROR(__xludf.DUMMYFUNCTION("""COMPUTED_VALUE"""),"REA-77019")</f>
        <v>REA-77019</v>
      </c>
    </row>
    <row r="3359" spans="1:5" x14ac:dyDescent="0.2">
      <c r="A3359" s="22">
        <f ca="1">IFERROR(__xludf.DUMMYFUNCTION("""COMPUTED_VALUE"""),44344)</f>
        <v>44344</v>
      </c>
      <c r="B3359" s="23" t="str">
        <f ca="1">IFERROR(__xludf.DUMMYFUNCTION("""COMPUTED_VALUE"""),"WIESZAK ŁAZIENKOWY CZARNY TIL 322187")</f>
        <v>WIESZAK ŁAZIENKOWY CZARNY TIL 322187</v>
      </c>
      <c r="C3359" s="23"/>
      <c r="D3359" s="24">
        <f ca="1">IFERROR(__xludf.DUMMYFUNCTION("""COMPUTED_VALUE"""),59)</f>
        <v>59</v>
      </c>
      <c r="E3359" s="26" t="str">
        <f ca="1">IFERROR(__xludf.DUMMYFUNCTION("""COMPUTED_VALUE"""),"REA-77098")</f>
        <v>REA-77098</v>
      </c>
    </row>
    <row r="3360" spans="1:5" x14ac:dyDescent="0.2">
      <c r="A3360" s="22">
        <f ca="1">IFERROR(__xludf.DUMMYFUNCTION("""COMPUTED_VALUE"""),44344)</f>
        <v>44344</v>
      </c>
      <c r="B3360" s="23" t="str">
        <f ca="1">IFERROR(__xludf.DUMMYFUNCTION("""COMPUTED_VALUE"""),"WIESZAK ŁAZIENKOWY ZŁOTY TIL 322187A")</f>
        <v>WIESZAK ŁAZIENKOWY ZŁOTY TIL 322187A</v>
      </c>
      <c r="C3360" s="23"/>
      <c r="D3360" s="24">
        <f ca="1">IFERROR(__xludf.DUMMYFUNCTION("""COMPUTED_VALUE"""),89)</f>
        <v>89</v>
      </c>
      <c r="E3360" s="26" t="str">
        <f ca="1">IFERROR(__xludf.DUMMYFUNCTION("""COMPUTED_VALUE"""),"REA-77035")</f>
        <v>REA-77035</v>
      </c>
    </row>
    <row r="3361" spans="1:5" x14ac:dyDescent="0.2">
      <c r="A3361" s="22">
        <f ca="1">IFERROR(__xludf.DUMMYFUNCTION("""COMPUTED_VALUE"""),44344)</f>
        <v>44344</v>
      </c>
      <c r="B3361" s="23" t="str">
        <f ca="1">IFERROR(__xludf.DUMMYFUNCTION("""COMPUTED_VALUE"""),"WIESZAK ŁAZIENKOWY CZARNY MOON 322194A")</f>
        <v>WIESZAK ŁAZIENKOWY CZARNY MOON 322194A</v>
      </c>
      <c r="C3361" s="23"/>
      <c r="D3361" s="24">
        <f ca="1">IFERROR(__xludf.DUMMYFUNCTION("""COMPUTED_VALUE"""),69)</f>
        <v>69</v>
      </c>
      <c r="E3361" s="26" t="str">
        <f ca="1">IFERROR(__xludf.DUMMYFUNCTION("""COMPUTED_VALUE"""),"REA-77095")</f>
        <v>REA-77095</v>
      </c>
    </row>
    <row r="3362" spans="1:5" x14ac:dyDescent="0.2">
      <c r="A3362" s="22">
        <f ca="1">IFERROR(__xludf.DUMMYFUNCTION("""COMPUTED_VALUE"""),44344)</f>
        <v>44344</v>
      </c>
      <c r="B3362" s="23" t="str">
        <f ca="1">IFERROR(__xludf.DUMMYFUNCTION("""COMPUTED_VALUE"""),"WIESZAK ŁAZIENKOWY CZARNY HILL 322201")</f>
        <v>WIESZAK ŁAZIENKOWY CZARNY HILL 322201</v>
      </c>
      <c r="C3362" s="23"/>
      <c r="D3362" s="24">
        <f ca="1">IFERROR(__xludf.DUMMYFUNCTION("""COMPUTED_VALUE"""),45)</f>
        <v>45</v>
      </c>
      <c r="E3362" s="26" t="str">
        <f ca="1">IFERROR(__xludf.DUMMYFUNCTION("""COMPUTED_VALUE"""),"REA-77031")</f>
        <v>REA-77031</v>
      </c>
    </row>
    <row r="3363" spans="1:5" x14ac:dyDescent="0.2">
      <c r="A3363" s="22">
        <f ca="1">IFERROR(__xludf.DUMMYFUNCTION("""COMPUTED_VALUE"""),44344)</f>
        <v>44344</v>
      </c>
      <c r="B3363" s="23" t="str">
        <f ca="1">IFERROR(__xludf.DUMMYFUNCTION("""COMPUTED_VALUE"""),"WIESZAK ŁAZIENKOWY ZŁOTY HILL 322201A")</f>
        <v>WIESZAK ŁAZIENKOWY ZŁOTY HILL 322201A</v>
      </c>
      <c r="C3363" s="23"/>
      <c r="D3363" s="24">
        <f ca="1">IFERROR(__xludf.DUMMYFUNCTION("""COMPUTED_VALUE"""),65)</f>
        <v>65</v>
      </c>
      <c r="E3363" s="26" t="str">
        <f ca="1">IFERROR(__xludf.DUMMYFUNCTION("""COMPUTED_VALUE"""),"REA-77064")</f>
        <v>REA-77064</v>
      </c>
    </row>
    <row r="3364" spans="1:5" x14ac:dyDescent="0.2">
      <c r="A3364" s="22">
        <f ca="1">IFERROR(__xludf.DUMMYFUNCTION("""COMPUTED_VALUE"""),44344)</f>
        <v>44344</v>
      </c>
      <c r="B3364" s="23" t="str">
        <f ca="1">IFERROR(__xludf.DUMMYFUNCTION("""COMPUTED_VALUE"""),"WIESZAK ŁAZIENKOWY CZARNY TOM 322215")</f>
        <v>WIESZAK ŁAZIENKOWY CZARNY TOM 322215</v>
      </c>
      <c r="C3364" s="23"/>
      <c r="D3364" s="24">
        <f ca="1">IFERROR(__xludf.DUMMYFUNCTION("""COMPUTED_VALUE"""),39)</f>
        <v>39</v>
      </c>
      <c r="E3364" s="26" t="str">
        <f ca="1">IFERROR(__xludf.DUMMYFUNCTION("""COMPUTED_VALUE"""),"REA-77048")</f>
        <v>REA-77048</v>
      </c>
    </row>
    <row r="3365" spans="1:5" x14ac:dyDescent="0.2">
      <c r="A3365" s="22">
        <f ca="1">IFERROR(__xludf.DUMMYFUNCTION("""COMPUTED_VALUE"""),44344)</f>
        <v>44344</v>
      </c>
      <c r="B3365" s="23" t="str">
        <f ca="1">IFERROR(__xludf.DUMMYFUNCTION("""COMPUTED_VALUE"""),"WIESZAK ŁAZIENKOWY ZŁOTY TOM 322215A")</f>
        <v>WIESZAK ŁAZIENKOWY ZŁOTY TOM 322215A</v>
      </c>
      <c r="C3365" s="23"/>
      <c r="D3365" s="24">
        <f ca="1">IFERROR(__xludf.DUMMYFUNCTION("""COMPUTED_VALUE"""),69)</f>
        <v>69</v>
      </c>
      <c r="E3365" s="26" t="str">
        <f ca="1">IFERROR(__xludf.DUMMYFUNCTION("""COMPUTED_VALUE"""),"REA-77073")</f>
        <v>REA-77073</v>
      </c>
    </row>
    <row r="3366" spans="1:5" x14ac:dyDescent="0.2">
      <c r="A3366" s="22">
        <f ca="1">IFERROR(__xludf.DUMMYFUNCTION("""COMPUTED_VALUE"""),44344)</f>
        <v>44344</v>
      </c>
      <c r="B3366" s="23" t="str">
        <f ca="1">IFERROR(__xludf.DUMMYFUNCTION("""COMPUTED_VALUE"""),"WIESZAK ŁAZIENKOWY 60cm NIKIEL SZCZOT DUO 322221")</f>
        <v>WIESZAK ŁAZIENKOWY 60cm NIKIEL SZCZOT DUO 322221</v>
      </c>
      <c r="C3366" s="23"/>
      <c r="D3366" s="24">
        <f ca="1">IFERROR(__xludf.DUMMYFUNCTION("""COMPUTED_VALUE"""),69)</f>
        <v>69</v>
      </c>
      <c r="E3366" s="26" t="str">
        <f ca="1">IFERROR(__xludf.DUMMYFUNCTION("""COMPUTED_VALUE"""),"REA-77027")</f>
        <v>REA-77027</v>
      </c>
    </row>
    <row r="3367" spans="1:5" x14ac:dyDescent="0.2">
      <c r="A3367" s="22">
        <f ca="1">IFERROR(__xludf.DUMMYFUNCTION("""COMPUTED_VALUE"""),44344)</f>
        <v>44344</v>
      </c>
      <c r="B3367" s="23" t="str">
        <f ca="1">IFERROR(__xludf.DUMMYFUNCTION("""COMPUTED_VALUE"""),"WIESZAK NA RĘCZNIK ZŁOTY RETRO 332870")</f>
        <v>WIESZAK NA RĘCZNIK ZŁOTY RETRO 332870</v>
      </c>
      <c r="C3367" s="23"/>
      <c r="D3367" s="24">
        <f ca="1">IFERROR(__xludf.DUMMYFUNCTION("""COMPUTED_VALUE"""),79)</f>
        <v>79</v>
      </c>
      <c r="E3367" s="26" t="str">
        <f ca="1">IFERROR(__xludf.DUMMYFUNCTION("""COMPUTED_VALUE"""),"REA-06921")</f>
        <v>REA-06921</v>
      </c>
    </row>
    <row r="3368" spans="1:5" x14ac:dyDescent="0.2">
      <c r="A3368" s="22">
        <f ca="1">IFERROR(__xludf.DUMMYFUNCTION("""COMPUTED_VALUE"""),44344)</f>
        <v>44344</v>
      </c>
      <c r="B3368" s="23" t="str">
        <f ca="1">IFERROR(__xludf.DUMMYFUNCTION("""COMPUTED_VALUE"""),"WIESZAK NA RĘCZNIK CZARNY RETRO 332870A")</f>
        <v>WIESZAK NA RĘCZNIK CZARNY RETRO 332870A</v>
      </c>
      <c r="C3368" s="23"/>
      <c r="D3368" s="24">
        <f ca="1">IFERROR(__xludf.DUMMYFUNCTION("""COMPUTED_VALUE"""),75)</f>
        <v>75</v>
      </c>
      <c r="E3368" s="26" t="str">
        <f ca="1">IFERROR(__xludf.DUMMYFUNCTION("""COMPUTED_VALUE"""),"REA-06926")</f>
        <v>REA-06926</v>
      </c>
    </row>
    <row r="3369" spans="1:5" x14ac:dyDescent="0.2">
      <c r="A3369" s="22">
        <f ca="1">IFERROR(__xludf.DUMMYFUNCTION("""COMPUTED_VALUE"""),44344)</f>
        <v>44344</v>
      </c>
      <c r="B3369" s="23" t="str">
        <f ca="1">IFERROR(__xludf.DUMMYFUNCTION("""COMPUTED_VALUE"""),"WIESZAK NA RĘCZNIK ANTYCZNY BRĄZ RETRO 332870B")</f>
        <v>WIESZAK NA RĘCZNIK ANTYCZNY BRĄZ RETRO 332870B</v>
      </c>
      <c r="C3369" s="23"/>
      <c r="D3369" s="24">
        <f ca="1">IFERROR(__xludf.DUMMYFUNCTION("""COMPUTED_VALUE"""),79)</f>
        <v>79</v>
      </c>
      <c r="E3369" s="26" t="str">
        <f ca="1">IFERROR(__xludf.DUMMYFUNCTION("""COMPUTED_VALUE"""),"REA-06927")</f>
        <v>REA-06927</v>
      </c>
    </row>
    <row r="3370" spans="1:5" x14ac:dyDescent="0.2">
      <c r="A3370" s="22">
        <f ca="1">IFERROR(__xludf.DUMMYFUNCTION("""COMPUTED_VALUE"""),44344)</f>
        <v>44344</v>
      </c>
      <c r="B3370" s="23" t="str">
        <f ca="1">IFERROR(__xludf.DUMMYFUNCTION("""COMPUTED_VALUE"""),"WIESZAK ŁAZIENKOWY BIAŁY LEO 322232B")</f>
        <v>WIESZAK ŁAZIENKOWY BIAŁY LEO 322232B</v>
      </c>
      <c r="C3370" s="23"/>
      <c r="D3370" s="24">
        <f ca="1">IFERROR(__xludf.DUMMYFUNCTION("""COMPUTED_VALUE"""),89)</f>
        <v>89</v>
      </c>
      <c r="E3370" s="26" t="str">
        <f ca="1">IFERROR(__xludf.DUMMYFUNCTION("""COMPUTED_VALUE"""),"REA-77084")</f>
        <v>REA-77084</v>
      </c>
    </row>
    <row r="3371" spans="1:5" x14ac:dyDescent="0.2">
      <c r="A3371" s="22">
        <f ca="1">IFERROR(__xludf.DUMMYFUNCTION("""COMPUTED_VALUE"""),44344)</f>
        <v>44344</v>
      </c>
      <c r="B3371" s="23" t="str">
        <f ca="1">IFERROR(__xludf.DUMMYFUNCTION("""COMPUTED_VALUE"""),"WIESZAK ŁAZIENKOWY 60cm CZARNY DUO 322221A")</f>
        <v>WIESZAK ŁAZIENKOWY 60cm CZARNY DUO 322221A</v>
      </c>
      <c r="C3371" s="23"/>
      <c r="D3371" s="24">
        <f ca="1">IFERROR(__xludf.DUMMYFUNCTION("""COMPUTED_VALUE"""),75)</f>
        <v>75</v>
      </c>
      <c r="E3371" s="26" t="str">
        <f ca="1">IFERROR(__xludf.DUMMYFUNCTION("""COMPUTED_VALUE"""),"REA-77029")</f>
        <v>REA-77029</v>
      </c>
    </row>
    <row r="3372" spans="1:5" x14ac:dyDescent="0.2">
      <c r="A3372" s="22">
        <f ca="1">IFERROR(__xludf.DUMMYFUNCTION("""COMPUTED_VALUE"""),44344)</f>
        <v>44344</v>
      </c>
      <c r="B3372" s="23" t="str">
        <f ca="1">IFERROR(__xludf.DUMMYFUNCTION("""COMPUTED_VALUE"""),"WIESZAK ŁAZIENKOWY CZARNY LEO 322232C")</f>
        <v>WIESZAK ŁAZIENKOWY CZARNY LEO 322232C</v>
      </c>
      <c r="C3372" s="23"/>
      <c r="D3372" s="24">
        <f ca="1">IFERROR(__xludf.DUMMYFUNCTION("""COMPUTED_VALUE"""),89)</f>
        <v>89</v>
      </c>
      <c r="E3372" s="26" t="str">
        <f ca="1">IFERROR(__xludf.DUMMYFUNCTION("""COMPUTED_VALUE"""),"REA-77086")</f>
        <v>REA-77086</v>
      </c>
    </row>
    <row r="3373" spans="1:5" x14ac:dyDescent="0.2">
      <c r="A3373" s="22">
        <f ca="1">IFERROR(__xludf.DUMMYFUNCTION("""COMPUTED_VALUE"""),44344)</f>
        <v>44344</v>
      </c>
      <c r="B3373" s="23" t="str">
        <f ca="1">IFERROR(__xludf.DUMMYFUNCTION("""COMPUTED_VALUE"""),"WIESZAK ŁAZIENKOWY TYTAN LEO 322232A")</f>
        <v>WIESZAK ŁAZIENKOWY TYTAN LEO 322232A</v>
      </c>
      <c r="C3373" s="23"/>
      <c r="D3373" s="24">
        <f ca="1">IFERROR(__xludf.DUMMYFUNCTION("""COMPUTED_VALUE"""),99)</f>
        <v>99</v>
      </c>
      <c r="E3373" s="26" t="str">
        <f ca="1">IFERROR(__xludf.DUMMYFUNCTION("""COMPUTED_VALUE"""),"REA-77082")</f>
        <v>REA-77082</v>
      </c>
    </row>
    <row r="3374" spans="1:5" x14ac:dyDescent="0.2">
      <c r="A3374" s="22">
        <f ca="1">IFERROR(__xludf.DUMMYFUNCTION("""COMPUTED_VALUE"""),44344)</f>
        <v>44344</v>
      </c>
      <c r="B3374" s="23" t="str">
        <f ca="1">IFERROR(__xludf.DUMMYFUNCTION("""COMPUTED_VALUE"""),"WIESZAK ŁAZIENKOWY CHROM FAR 322228")</f>
        <v>WIESZAK ŁAZIENKOWY CHROM FAR 322228</v>
      </c>
      <c r="C3374" s="23"/>
      <c r="D3374" s="24">
        <f ca="1">IFERROR(__xludf.DUMMYFUNCTION("""COMPUTED_VALUE"""),59)</f>
        <v>59</v>
      </c>
      <c r="E3374" s="26" t="str">
        <f ca="1">IFERROR(__xludf.DUMMYFUNCTION("""COMPUTED_VALUE"""),"REA-77056")</f>
        <v>REA-77056</v>
      </c>
    </row>
    <row r="3375" spans="1:5" x14ac:dyDescent="0.2">
      <c r="A3375" s="22">
        <f ca="1">IFERROR(__xludf.DUMMYFUNCTION("""COMPUTED_VALUE"""),44344)</f>
        <v>44344</v>
      </c>
      <c r="B3375" s="23" t="str">
        <f ca="1">IFERROR(__xludf.DUMMYFUNCTION("""COMPUTED_VALUE"""),"WIESZAK ŁAZIENKOWY ZŁOTY MOON 322194")</f>
        <v>WIESZAK ŁAZIENKOWY ZŁOTY MOON 322194</v>
      </c>
      <c r="C3375" s="23"/>
      <c r="D3375" s="24">
        <f ca="1">IFERROR(__xludf.DUMMYFUNCTION("""COMPUTED_VALUE"""),79)</f>
        <v>79</v>
      </c>
      <c r="E3375" s="26" t="str">
        <f ca="1">IFERROR(__xludf.DUMMYFUNCTION("""COMPUTED_VALUE"""),"REA-77055")</f>
        <v>REA-77055</v>
      </c>
    </row>
    <row r="3376" spans="1:5" x14ac:dyDescent="0.2">
      <c r="A3376" s="22">
        <f ca="1">IFERROR(__xludf.DUMMYFUNCTION("""COMPUTED_VALUE"""),44344)</f>
        <v>44344</v>
      </c>
      <c r="B3376" s="23" t="str">
        <f ca="1">IFERROR(__xludf.DUMMYFUNCTION("""COMPUTED_VALUE"""),"WIESZAK ŁAZIENKOWY 60cm ZŁOTY DUO 322221B")</f>
        <v>WIESZAK ŁAZIENKOWY 60cm ZŁOTY DUO 322221B</v>
      </c>
      <c r="C3376" s="23"/>
      <c r="D3376" s="24">
        <f ca="1">IFERROR(__xludf.DUMMYFUNCTION("""COMPUTED_VALUE"""),109)</f>
        <v>109</v>
      </c>
      <c r="E3376" s="26" t="str">
        <f ca="1">IFERROR(__xludf.DUMMYFUNCTION("""COMPUTED_VALUE"""),"REA-77030")</f>
        <v>REA-77030</v>
      </c>
    </row>
    <row r="3377" spans="1:5" x14ac:dyDescent="0.2">
      <c r="A3377" s="22">
        <f ca="1">IFERROR(__xludf.DUMMYFUNCTION("""COMPUTED_VALUE"""),44344)</f>
        <v>44344</v>
      </c>
      <c r="B3377" s="23" t="str">
        <f ca="1">IFERROR(__xludf.DUMMYFUNCTION("""COMPUTED_VALUE"""),"WIESZAK ŁAZIENKOWY FAR 322228B")</f>
        <v>WIESZAK ŁAZIENKOWY FAR 322228B</v>
      </c>
      <c r="C3377" s="23"/>
      <c r="D3377" s="24">
        <f ca="1">IFERROR(__xludf.DUMMYFUNCTION("""COMPUTED_VALUE"""),99)</f>
        <v>99</v>
      </c>
      <c r="E3377" s="26" t="str">
        <f ca="1">IFERROR(__xludf.DUMMYFUNCTION("""COMPUTED_VALUE"""),"REA-77059")</f>
        <v>REA-77059</v>
      </c>
    </row>
    <row r="3378" spans="1:5" x14ac:dyDescent="0.2">
      <c r="A3378" s="22">
        <f ca="1">IFERROR(__xludf.DUMMYFUNCTION("""COMPUTED_VALUE"""),44344)</f>
        <v>44344</v>
      </c>
      <c r="B3378" s="23" t="str">
        <f ca="1">IFERROR(__xludf.DUMMYFUNCTION("""COMPUTED_VALUE"""),"WIESZAK ŁAZIENKOWY ZŁOTY SZCZOTKOWANY LEO 322232")</f>
        <v>WIESZAK ŁAZIENKOWY ZŁOTY SZCZOTKOWANY LEO 322232</v>
      </c>
      <c r="C3378" s="23"/>
      <c r="D3378" s="24">
        <f ca="1">IFERROR(__xludf.DUMMYFUNCTION("""COMPUTED_VALUE"""),99)</f>
        <v>99</v>
      </c>
      <c r="E3378" s="26" t="str">
        <f ca="1">IFERROR(__xludf.DUMMYFUNCTION("""COMPUTED_VALUE"""),"REA-77081")</f>
        <v>REA-77081</v>
      </c>
    </row>
    <row r="3379" spans="1:5" x14ac:dyDescent="0.2">
      <c r="A3379" s="22">
        <f ca="1">IFERROR(__xludf.DUMMYFUNCTION("""COMPUTED_VALUE"""),44344)</f>
        <v>44344</v>
      </c>
      <c r="B3379" s="23" t="str">
        <f ca="1">IFERROR(__xludf.DUMMYFUNCTION("""COMPUTED_VALUE"""),"WIESZAK BRUSH GOLD 332916A")</f>
        <v>WIESZAK BRUSH GOLD 332916A</v>
      </c>
      <c r="C3379" s="23"/>
      <c r="D3379" s="24">
        <f ca="1">IFERROR(__xludf.DUMMYFUNCTION("""COMPUTED_VALUE"""),55)</f>
        <v>55</v>
      </c>
      <c r="E3379" s="26" t="str">
        <f ca="1">IFERROR(__xludf.DUMMYFUNCTION("""COMPUTED_VALUE"""),"REA-06914")</f>
        <v>REA-06914</v>
      </c>
    </row>
    <row r="3380" spans="1:5" x14ac:dyDescent="0.2">
      <c r="A3380" s="22">
        <f ca="1">IFERROR(__xludf.DUMMYFUNCTION("""COMPUTED_VALUE"""),44344)</f>
        <v>44344</v>
      </c>
      <c r="B3380" s="23" t="str">
        <f ca="1">IFERROR(__xludf.DUMMYFUNCTION("""COMPUTED_VALUE"""),"WIESZAK ŁAZIENKOWY CZARNY 332920")</f>
        <v>WIESZAK ŁAZIENKOWY CZARNY 332920</v>
      </c>
      <c r="C3380" s="23"/>
      <c r="D3380" s="24">
        <f ca="1">IFERROR(__xludf.DUMMYFUNCTION("""COMPUTED_VALUE"""),39)</f>
        <v>39</v>
      </c>
      <c r="E3380" s="26" t="str">
        <f ca="1">IFERROR(__xludf.DUMMYFUNCTION("""COMPUTED_VALUE"""),"REA-06930")</f>
        <v>REA-06930</v>
      </c>
    </row>
    <row r="3381" spans="1:5" x14ac:dyDescent="0.2">
      <c r="A3381" s="22">
        <f ca="1">IFERROR(__xludf.DUMMYFUNCTION("""COMPUTED_VALUE"""),44344)</f>
        <v>44344</v>
      </c>
      <c r="B3381" s="23" t="str">
        <f ca="1">IFERROR(__xludf.DUMMYFUNCTION("""COMPUTED_VALUE"""),"OSTE 03 GOLD WIESZAK PODWÓJNY 332920A")</f>
        <v>OSTE 03 GOLD WIESZAK PODWÓJNY 332920A</v>
      </c>
      <c r="C3381" s="23"/>
      <c r="D3381" s="24">
        <f ca="1">IFERROR(__xludf.DUMMYFUNCTION("""COMPUTED_VALUE"""),49)</f>
        <v>49</v>
      </c>
      <c r="E3381" s="26" t="str">
        <f ca="1">IFERROR(__xludf.DUMMYFUNCTION("""COMPUTED_VALUE"""),"REA-06915")</f>
        <v>REA-06915</v>
      </c>
    </row>
    <row r="3382" spans="1:5" x14ac:dyDescent="0.2">
      <c r="A3382" s="22">
        <f ca="1">IFERROR(__xludf.DUMMYFUNCTION("""COMPUTED_VALUE"""),44344)</f>
        <v>44344</v>
      </c>
      <c r="B3382" s="23" t="str">
        <f ca="1">IFERROR(__xludf.DUMMYFUNCTION("""COMPUTED_VALUE"""),"MIST 02 BLACK WIESZAK NA RĘCZNIK PODWÓJNY")</f>
        <v>MIST 02 BLACK WIESZAK NA RĘCZNIK PODWÓJNY</v>
      </c>
      <c r="C3382" s="23"/>
      <c r="D3382" s="24">
        <f ca="1">IFERROR(__xludf.DUMMYFUNCTION("""COMPUTED_VALUE"""),39)</f>
        <v>39</v>
      </c>
      <c r="E3382" s="26" t="str">
        <f ca="1">IFERROR(__xludf.DUMMYFUNCTION("""COMPUTED_VALUE"""),"REA-80019")</f>
        <v>REA-80019</v>
      </c>
    </row>
    <row r="3383" spans="1:5" x14ac:dyDescent="0.2">
      <c r="A3383" s="22">
        <f ca="1">IFERROR(__xludf.DUMMYFUNCTION("""COMPUTED_VALUE"""),44344)</f>
        <v>44344</v>
      </c>
      <c r="B3383" s="23" t="str">
        <f ca="1">IFERROR(__xludf.DUMMYFUNCTION("""COMPUTED_VALUE"""),"OSTE 02 BLACK WIESZAK NA RĘCZNIK PODWÓJNY")</f>
        <v>OSTE 02 BLACK WIESZAK NA RĘCZNIK PODWÓJNY</v>
      </c>
      <c r="C3383" s="23"/>
      <c r="D3383" s="24">
        <f ca="1">IFERROR(__xludf.DUMMYFUNCTION("""COMPUTED_VALUE"""),89)</f>
        <v>89</v>
      </c>
      <c r="E3383" s="26" t="str">
        <f ca="1">IFERROR(__xludf.DUMMYFUNCTION("""COMPUTED_VALUE"""),"REA-80036")</f>
        <v>REA-80036</v>
      </c>
    </row>
    <row r="3384" spans="1:5" x14ac:dyDescent="0.2">
      <c r="A3384" s="22">
        <f ca="1">IFERROR(__xludf.DUMMYFUNCTION("""COMPUTED_VALUE"""),44344)</f>
        <v>44344</v>
      </c>
      <c r="B3384" s="23" t="str">
        <f ca="1">IFERROR(__xludf.DUMMYFUNCTION("""COMPUTED_VALUE"""),"OSTE 03 BLACK WIESZAK ŁAZIENKOWY PODWÓJNY")</f>
        <v>OSTE 03 BLACK WIESZAK ŁAZIENKOWY PODWÓJNY</v>
      </c>
      <c r="C3384" s="23"/>
      <c r="D3384" s="24">
        <f ca="1">IFERROR(__xludf.DUMMYFUNCTION("""COMPUTED_VALUE"""),39)</f>
        <v>39</v>
      </c>
      <c r="E3384" s="26" t="str">
        <f ca="1">IFERROR(__xludf.DUMMYFUNCTION("""COMPUTED_VALUE"""),"REA-80039")</f>
        <v>REA-80039</v>
      </c>
    </row>
    <row r="3385" spans="1:5" x14ac:dyDescent="0.2">
      <c r="A3385" s="22">
        <f ca="1">IFERROR(__xludf.DUMMYFUNCTION("""COMPUTED_VALUE"""),44344)</f>
        <v>44344</v>
      </c>
      <c r="B3385" s="23" t="str">
        <f ca="1">IFERROR(__xludf.DUMMYFUNCTION("""COMPUTED_VALUE"""),"ERLO 02 CHROME WIESZAK NA RĘCZNIK PODWÓJNY")</f>
        <v>ERLO 02 CHROME WIESZAK NA RĘCZNIK PODWÓJNY</v>
      </c>
      <c r="C3385" s="23"/>
      <c r="D3385" s="24">
        <f ca="1">IFERROR(__xludf.DUMMYFUNCTION("""COMPUTED_VALUE"""),85)</f>
        <v>85</v>
      </c>
      <c r="E3385" s="26" t="str">
        <f ca="1">IFERROR(__xludf.DUMMYFUNCTION("""COMPUTED_VALUE"""),"REA-80003")</f>
        <v>REA-80003</v>
      </c>
    </row>
    <row r="3386" spans="1:5" x14ac:dyDescent="0.2">
      <c r="A3386" s="22">
        <f ca="1">IFERROR(__xludf.DUMMYFUNCTION("""COMPUTED_VALUE"""),44344)</f>
        <v>44344</v>
      </c>
      <c r="B3386" s="23" t="str">
        <f ca="1">IFERROR(__xludf.DUMMYFUNCTION("""COMPUTED_VALUE"""),"MIST 02 CHROME WIESZAK NA RĘCZNIK PODWÓJNY")</f>
        <v>MIST 02 CHROME WIESZAK NA RĘCZNIK PODWÓJNY</v>
      </c>
      <c r="C3386" s="23"/>
      <c r="D3386" s="24">
        <f ca="1">IFERROR(__xludf.DUMMYFUNCTION("""COMPUTED_VALUE"""),29)</f>
        <v>29</v>
      </c>
      <c r="E3386" s="26" t="str">
        <f ca="1">IFERROR(__xludf.DUMMYFUNCTION("""COMPUTED_VALUE"""),"REA-80018")</f>
        <v>REA-80018</v>
      </c>
    </row>
    <row r="3387" spans="1:5" x14ac:dyDescent="0.2">
      <c r="A3387" s="22">
        <f ca="1">IFERROR(__xludf.DUMMYFUNCTION("""COMPUTED_VALUE"""),44344)</f>
        <v>44344</v>
      </c>
      <c r="B3387" s="23" t="str">
        <f ca="1">IFERROR(__xludf.DUMMYFUNCTION("""COMPUTED_VALUE"""),"OSTE 02 CHROME WIESZAK NA RĘCZNIK PODWÓJNY")</f>
        <v>OSTE 02 CHROME WIESZAK NA RĘCZNIK PODWÓJNY</v>
      </c>
      <c r="C3387" s="23"/>
      <c r="D3387" s="24">
        <f ca="1">IFERROR(__xludf.DUMMYFUNCTION("""COMPUTED_VALUE"""),75)</f>
        <v>75</v>
      </c>
      <c r="E3387" s="26" t="str">
        <f ca="1">IFERROR(__xludf.DUMMYFUNCTION("""COMPUTED_VALUE"""),"REA-80035")</f>
        <v>REA-80035</v>
      </c>
    </row>
    <row r="3388" spans="1:5" x14ac:dyDescent="0.2">
      <c r="A3388" s="22">
        <f ca="1">IFERROR(__xludf.DUMMYFUNCTION("""COMPUTED_VALUE"""),44344)</f>
        <v>44344</v>
      </c>
      <c r="B3388" s="23" t="str">
        <f ca="1">IFERROR(__xludf.DUMMYFUNCTION("""COMPUTED_VALUE"""),"OSTE 03 CHROME WIESZAK ŁAZIENKOWY PODWÓJNY")</f>
        <v>OSTE 03 CHROME WIESZAK ŁAZIENKOWY PODWÓJNY</v>
      </c>
      <c r="C3388" s="23"/>
      <c r="D3388" s="24">
        <f ca="1">IFERROR(__xludf.DUMMYFUNCTION("""COMPUTED_VALUE"""),29)</f>
        <v>29</v>
      </c>
      <c r="E3388" s="26" t="str">
        <f ca="1">IFERROR(__xludf.DUMMYFUNCTION("""COMPUTED_VALUE"""),"REA-80038")</f>
        <v>REA-80038</v>
      </c>
    </row>
    <row r="3389" spans="1:5" x14ac:dyDescent="0.2">
      <c r="A3389" s="22">
        <f ca="1">IFERROR(__xludf.DUMMYFUNCTION("""COMPUTED_VALUE"""),44344)</f>
        <v>44344</v>
      </c>
      <c r="B3389" s="23" t="str">
        <f ca="1">IFERROR(__xludf.DUMMYFUNCTION("""COMPUTED_VALUE"""),"ERLO 02 BLACK WIESZAK PODWÓJNY 332919")</f>
        <v>ERLO 02 BLACK WIESZAK PODWÓJNY 332919</v>
      </c>
      <c r="C3389" s="23"/>
      <c r="D3389" s="24">
        <f ca="1">IFERROR(__xludf.DUMMYFUNCTION("""COMPUTED_VALUE"""),129)</f>
        <v>129</v>
      </c>
      <c r="E3389" s="26" t="str">
        <f ca="1">IFERROR(__xludf.DUMMYFUNCTION("""COMPUTED_VALUE"""),"REA-06908")</f>
        <v>REA-06908</v>
      </c>
    </row>
    <row r="3390" spans="1:5" x14ac:dyDescent="0.2">
      <c r="A3390" s="22">
        <f ca="1">IFERROR(__xludf.DUMMYFUNCTION("""COMPUTED_VALUE"""),44344)</f>
        <v>44344</v>
      </c>
      <c r="B3390" s="23" t="str">
        <f ca="1">IFERROR(__xludf.DUMMYFUNCTION("""COMPUTED_VALUE"""),"ERLO 02 BLACK WIESZAK NA RĘCZNIK PODWÓJNY")</f>
        <v>ERLO 02 BLACK WIESZAK NA RĘCZNIK PODWÓJNY</v>
      </c>
      <c r="C3390" s="23"/>
      <c r="D3390" s="24">
        <f ca="1">IFERROR(__xludf.DUMMYFUNCTION("""COMPUTED_VALUE"""),99)</f>
        <v>99</v>
      </c>
      <c r="E3390" s="26" t="str">
        <f ca="1">IFERROR(__xludf.DUMMYFUNCTION("""COMPUTED_VALUE"""),"REA-80004")</f>
        <v>REA-80004</v>
      </c>
    </row>
    <row r="3391" spans="1:5" x14ac:dyDescent="0.2">
      <c r="A3391" s="22">
        <f ca="1">IFERROR(__xludf.DUMMYFUNCTION("""COMPUTED_VALUE"""),44344)</f>
        <v>44344</v>
      </c>
      <c r="B3391" s="23" t="str">
        <f ca="1">IFERROR(__xludf.DUMMYFUNCTION("""COMPUTED_VALUE"""),"MIST 02 L.GOLD WIESZAK NA RĘCZNIK PODWÓJNY")</f>
        <v>MIST 02 L.GOLD WIESZAK NA RĘCZNIK PODWÓJNY</v>
      </c>
      <c r="C3391" s="23"/>
      <c r="D3391" s="24">
        <f ca="1">IFERROR(__xludf.DUMMYFUNCTION("""COMPUTED_VALUE"""),49)</f>
        <v>49</v>
      </c>
      <c r="E3391" s="26" t="str">
        <f ca="1">IFERROR(__xludf.DUMMYFUNCTION("""COMPUTED_VALUE"""),"REA-80020")</f>
        <v>REA-80020</v>
      </c>
    </row>
    <row r="3392" spans="1:5" x14ac:dyDescent="0.2">
      <c r="A3392" s="22">
        <f ca="1">IFERROR(__xludf.DUMMYFUNCTION("""COMPUTED_VALUE"""),44344)</f>
        <v>44344</v>
      </c>
      <c r="B3392" s="23" t="str">
        <f ca="1">IFERROR(__xludf.DUMMYFUNCTION("""COMPUTED_VALUE"""),"OSTE 03 L.GOLD WIESZAK ŁAZIENKOWY PODWÓJNY")</f>
        <v>OSTE 03 L.GOLD WIESZAK ŁAZIENKOWY PODWÓJNY</v>
      </c>
      <c r="C3392" s="23"/>
      <c r="D3392" s="24">
        <f ca="1">IFERROR(__xludf.DUMMYFUNCTION("""COMPUTED_VALUE"""),45)</f>
        <v>45</v>
      </c>
      <c r="E3392" s="26" t="str">
        <f ca="1">IFERROR(__xludf.DUMMYFUNCTION("""COMPUTED_VALUE"""),"REA-80040")</f>
        <v>REA-80040</v>
      </c>
    </row>
    <row r="3393" spans="1:5" x14ac:dyDescent="0.2">
      <c r="A3393" s="22">
        <f ca="1">IFERROR(__xludf.DUMMYFUNCTION("""COMPUTED_VALUE"""),44344)</f>
        <v>44344</v>
      </c>
      <c r="B3393" s="23" t="str">
        <f ca="1">IFERROR(__xludf.DUMMYFUNCTION("""COMPUTED_VALUE"""),"ERLO 02 L.GOLD WIESZAK NA RĘCZNIK PODWÓJNY")</f>
        <v>ERLO 02 L.GOLD WIESZAK NA RĘCZNIK PODWÓJNY</v>
      </c>
      <c r="C3393" s="23"/>
      <c r="D3393" s="24">
        <f ca="1">IFERROR(__xludf.DUMMYFUNCTION("""COMPUTED_VALUE"""),109)</f>
        <v>109</v>
      </c>
      <c r="E3393" s="26" t="str">
        <f ca="1">IFERROR(__xludf.DUMMYFUNCTION("""COMPUTED_VALUE"""),"REA-80005")</f>
        <v>REA-80005</v>
      </c>
    </row>
    <row r="3394" spans="1:5" x14ac:dyDescent="0.2">
      <c r="A3394" s="22">
        <f ca="1">IFERROR(__xludf.DUMMYFUNCTION("""COMPUTED_VALUE"""),44344)</f>
        <v>44344</v>
      </c>
      <c r="B3394" s="23" t="str">
        <f ca="1">IFERROR(__xludf.DUMMYFUNCTION("""COMPUTED_VALUE"""),"ERLO 02 BRUSH GOLD WIESZAK PODWÓJNY 332919A")</f>
        <v>ERLO 02 BRUSH GOLD WIESZAK PODWÓJNY 332919A</v>
      </c>
      <c r="C3394" s="23"/>
      <c r="D3394" s="24">
        <f ca="1">IFERROR(__xludf.DUMMYFUNCTION("""COMPUTED_VALUE"""),149)</f>
        <v>149</v>
      </c>
      <c r="E3394" s="26" t="str">
        <f ca="1">IFERROR(__xludf.DUMMYFUNCTION("""COMPUTED_VALUE"""),"REA-06909")</f>
        <v>REA-06909</v>
      </c>
    </row>
    <row r="3395" spans="1:5" x14ac:dyDescent="0.2">
      <c r="A3395" s="22">
        <f ca="1">IFERROR(__xludf.DUMMYFUNCTION("""COMPUTED_VALUE"""),44344)</f>
        <v>44344</v>
      </c>
      <c r="B3395" s="23" t="str">
        <f ca="1">IFERROR(__xludf.DUMMYFUNCTION("""COMPUTED_VALUE"""),"ERLO 03 BLACK WIESZAK ŁAZIENKOWY")</f>
        <v>ERLO 03 BLACK WIESZAK ŁAZIENKOWY</v>
      </c>
      <c r="C3395" s="23"/>
      <c r="D3395" s="24">
        <f ca="1">IFERROR(__xludf.DUMMYFUNCTION("""COMPUTED_VALUE"""),39)</f>
        <v>39</v>
      </c>
      <c r="E3395" s="26" t="str">
        <f ca="1">IFERROR(__xludf.DUMMYFUNCTION("""COMPUTED_VALUE"""),"REA-80007")</f>
        <v>REA-80007</v>
      </c>
    </row>
    <row r="3396" spans="1:5" x14ac:dyDescent="0.2">
      <c r="A3396" s="22">
        <f ca="1">IFERROR(__xludf.DUMMYFUNCTION("""COMPUTED_VALUE"""),44344)</f>
        <v>44344</v>
      </c>
      <c r="B3396" s="23" t="str">
        <f ca="1">IFERROR(__xludf.DUMMYFUNCTION("""COMPUTED_VALUE"""),"MIST 03 BLACK WIESZAK ŁAZIENKOWY POJEDYŃCZY")</f>
        <v>MIST 03 BLACK WIESZAK ŁAZIENKOWY POJEDYŃCZY</v>
      </c>
      <c r="C3396" s="23"/>
      <c r="D3396" s="24">
        <f ca="1">IFERROR(__xludf.DUMMYFUNCTION("""COMPUTED_VALUE"""),35)</f>
        <v>35</v>
      </c>
      <c r="E3396" s="26" t="str">
        <f ca="1">IFERROR(__xludf.DUMMYFUNCTION("""COMPUTED_VALUE"""),"REA-80022")</f>
        <v>REA-80022</v>
      </c>
    </row>
    <row r="3397" spans="1:5" x14ac:dyDescent="0.2">
      <c r="A3397" s="22">
        <f ca="1">IFERROR(__xludf.DUMMYFUNCTION("""COMPUTED_VALUE"""),44344)</f>
        <v>44344</v>
      </c>
      <c r="B3397" s="23" t="str">
        <f ca="1">IFERROR(__xludf.DUMMYFUNCTION("""COMPUTED_VALUE"""),"ERLO 01 CHROME WIESZAK NA RĘCZNIK POJEDYŃCZY")</f>
        <v>ERLO 01 CHROME WIESZAK NA RĘCZNIK POJEDYŃCZY</v>
      </c>
      <c r="C3397" s="23"/>
      <c r="D3397" s="24">
        <f ca="1">IFERROR(__xludf.DUMMYFUNCTION("""COMPUTED_VALUE"""),59)</f>
        <v>59</v>
      </c>
      <c r="E3397" s="26" t="str">
        <f ca="1">IFERROR(__xludf.DUMMYFUNCTION("""COMPUTED_VALUE"""),"REA-80000")</f>
        <v>REA-80000</v>
      </c>
    </row>
    <row r="3398" spans="1:5" x14ac:dyDescent="0.2">
      <c r="A3398" s="22">
        <f ca="1">IFERROR(__xludf.DUMMYFUNCTION("""COMPUTED_VALUE"""),44344)</f>
        <v>44344</v>
      </c>
      <c r="B3398" s="23" t="str">
        <f ca="1">IFERROR(__xludf.DUMMYFUNCTION("""COMPUTED_VALUE"""),"ERLO 03 CHROME WIESZAK ŁAZIENKOWY")</f>
        <v>ERLO 03 CHROME WIESZAK ŁAZIENKOWY</v>
      </c>
      <c r="C3398" s="23"/>
      <c r="D3398" s="24">
        <f ca="1">IFERROR(__xludf.DUMMYFUNCTION("""COMPUTED_VALUE"""),29)</f>
        <v>29</v>
      </c>
      <c r="E3398" s="26" t="str">
        <f ca="1">IFERROR(__xludf.DUMMYFUNCTION("""COMPUTED_VALUE"""),"REA-80006")</f>
        <v>REA-80006</v>
      </c>
    </row>
    <row r="3399" spans="1:5" x14ac:dyDescent="0.2">
      <c r="A3399" s="22">
        <f ca="1">IFERROR(__xludf.DUMMYFUNCTION("""COMPUTED_VALUE"""),44344)</f>
        <v>44344</v>
      </c>
      <c r="B3399" s="23" t="str">
        <f ca="1">IFERROR(__xludf.DUMMYFUNCTION("""COMPUTED_VALUE"""),"MIST 01 CHROME WIESZAK NA RĘCZNIK POJEDYŃCZY")</f>
        <v>MIST 01 CHROME WIESZAK NA RĘCZNIK POJEDYŃCZY</v>
      </c>
      <c r="C3399" s="23"/>
      <c r="D3399" s="24">
        <f ca="1">IFERROR(__xludf.DUMMYFUNCTION("""COMPUTED_VALUE"""),49)</f>
        <v>49</v>
      </c>
      <c r="E3399" s="26" t="str">
        <f ca="1">IFERROR(__xludf.DUMMYFUNCTION("""COMPUTED_VALUE"""),"REA-80015")</f>
        <v>REA-80015</v>
      </c>
    </row>
    <row r="3400" spans="1:5" x14ac:dyDescent="0.2">
      <c r="A3400" s="22">
        <f ca="1">IFERROR(__xludf.DUMMYFUNCTION("""COMPUTED_VALUE"""),44344)</f>
        <v>44344</v>
      </c>
      <c r="B3400" s="23" t="str">
        <f ca="1">IFERROR(__xludf.DUMMYFUNCTION("""COMPUTED_VALUE"""),"MIST 03 CHROME WIESZAK ŁAZIENKOWY POJEDYŃCZY")</f>
        <v>MIST 03 CHROME WIESZAK ŁAZIENKOWY POJEDYŃCZY</v>
      </c>
      <c r="C3400" s="23"/>
      <c r="D3400" s="24">
        <f ca="1">IFERROR(__xludf.DUMMYFUNCTION("""COMPUTED_VALUE"""),25)</f>
        <v>25</v>
      </c>
      <c r="E3400" s="26" t="str">
        <f ca="1">IFERROR(__xludf.DUMMYFUNCTION("""COMPUTED_VALUE"""),"REA-80021")</f>
        <v>REA-80021</v>
      </c>
    </row>
    <row r="3401" spans="1:5" x14ac:dyDescent="0.2">
      <c r="A3401" s="22">
        <f ca="1">IFERROR(__xludf.DUMMYFUNCTION("""COMPUTED_VALUE"""),44344)</f>
        <v>44344</v>
      </c>
      <c r="B3401" s="23" t="str">
        <f ca="1">IFERROR(__xludf.DUMMYFUNCTION("""COMPUTED_VALUE"""),"OSTE 01 CHROME WIESZAK NA RĘCZNIK POJEDYŃCZY")</f>
        <v>OSTE 01 CHROME WIESZAK NA RĘCZNIK POJEDYŃCZY</v>
      </c>
      <c r="C3401" s="23"/>
      <c r="D3401" s="24">
        <f ca="1">IFERROR(__xludf.DUMMYFUNCTION("""COMPUTED_VALUE"""),65)</f>
        <v>65</v>
      </c>
      <c r="E3401" s="26" t="str">
        <f ca="1">IFERROR(__xludf.DUMMYFUNCTION("""COMPUTED_VALUE"""),"REA-80033")</f>
        <v>REA-80033</v>
      </c>
    </row>
    <row r="3402" spans="1:5" x14ac:dyDescent="0.2">
      <c r="A3402" s="22">
        <f ca="1">IFERROR(__xludf.DUMMYFUNCTION("""COMPUTED_VALUE"""),44344)</f>
        <v>44344</v>
      </c>
      <c r="B3402" s="23" t="str">
        <f ca="1">IFERROR(__xludf.DUMMYFUNCTION("""COMPUTED_VALUE"""),"ERLO 01 BLACK WIESZAK POJEDYNCZY 332917")</f>
        <v>ERLO 01 BLACK WIESZAK POJEDYNCZY 332917</v>
      </c>
      <c r="C3402" s="23"/>
      <c r="D3402" s="24">
        <f ca="1">IFERROR(__xludf.DUMMYFUNCTION("""COMPUTED_VALUE"""),119)</f>
        <v>119</v>
      </c>
      <c r="E3402" s="26" t="str">
        <f ca="1">IFERROR(__xludf.DUMMYFUNCTION("""COMPUTED_VALUE"""),"REA-06906")</f>
        <v>REA-06906</v>
      </c>
    </row>
    <row r="3403" spans="1:5" x14ac:dyDescent="0.2">
      <c r="A3403" s="22">
        <f ca="1">IFERROR(__xludf.DUMMYFUNCTION("""COMPUTED_VALUE"""),44344)</f>
        <v>44344</v>
      </c>
      <c r="B3403" s="23" t="str">
        <f ca="1">IFERROR(__xludf.DUMMYFUNCTION("""COMPUTED_VALUE"""),"ERLO 01 BLACK WIESZAK NA RĘCZNIK POJEDYŃCZY")</f>
        <v>ERLO 01 BLACK WIESZAK NA RĘCZNIK POJEDYŃCZY</v>
      </c>
      <c r="C3403" s="23"/>
      <c r="D3403" s="24">
        <f ca="1">IFERROR(__xludf.DUMMYFUNCTION("""COMPUTED_VALUE"""),79)</f>
        <v>79</v>
      </c>
      <c r="E3403" s="26" t="str">
        <f ca="1">IFERROR(__xludf.DUMMYFUNCTION("""COMPUTED_VALUE"""),"REA-80001")</f>
        <v>REA-80001</v>
      </c>
    </row>
    <row r="3404" spans="1:5" x14ac:dyDescent="0.2">
      <c r="A3404" s="22">
        <f ca="1">IFERROR(__xludf.DUMMYFUNCTION("""COMPUTED_VALUE"""),44344)</f>
        <v>44344</v>
      </c>
      <c r="B3404" s="23" t="str">
        <f ca="1">IFERROR(__xludf.DUMMYFUNCTION("""COMPUTED_VALUE"""),"MIST 01 BLACK WIESZAK NA RĘCZNIK POJEDYŃCZY")</f>
        <v>MIST 01 BLACK WIESZAK NA RĘCZNIK POJEDYŃCZY</v>
      </c>
      <c r="C3404" s="23"/>
      <c r="D3404" s="24">
        <f ca="1">IFERROR(__xludf.DUMMYFUNCTION("""COMPUTED_VALUE"""),65)</f>
        <v>65</v>
      </c>
      <c r="E3404" s="26" t="str">
        <f ca="1">IFERROR(__xludf.DUMMYFUNCTION("""COMPUTED_VALUE"""),"REA-80016")</f>
        <v>REA-80016</v>
      </c>
    </row>
    <row r="3405" spans="1:5" x14ac:dyDescent="0.2">
      <c r="A3405" s="22">
        <f ca="1">IFERROR(__xludf.DUMMYFUNCTION("""COMPUTED_VALUE"""),44344)</f>
        <v>44344</v>
      </c>
      <c r="B3405" s="23" t="str">
        <f ca="1">IFERROR(__xludf.DUMMYFUNCTION("""COMPUTED_VALUE"""),"OSTE 01 BLACK WIESZAK NA RĘCZNIK POJEDYŃCZY")</f>
        <v>OSTE 01 BLACK WIESZAK NA RĘCZNIK POJEDYŃCZY</v>
      </c>
      <c r="C3405" s="23"/>
      <c r="D3405" s="24">
        <f ca="1">IFERROR(__xludf.DUMMYFUNCTION("""COMPUTED_VALUE"""),69)</f>
        <v>69</v>
      </c>
      <c r="E3405" s="26" t="str">
        <f ca="1">IFERROR(__xludf.DUMMYFUNCTION("""COMPUTED_VALUE"""),"REA-80034")</f>
        <v>REA-80034</v>
      </c>
    </row>
    <row r="3406" spans="1:5" x14ac:dyDescent="0.2">
      <c r="A3406" s="22">
        <f ca="1">IFERROR(__xludf.DUMMYFUNCTION("""COMPUTED_VALUE"""),44344)</f>
        <v>44344</v>
      </c>
      <c r="B3406" s="23" t="str">
        <f ca="1">IFERROR(__xludf.DUMMYFUNCTION("""COMPUTED_VALUE"""),"ERLO 03 L.GOLD WIESZAK ŁAZIENKOWY")</f>
        <v>ERLO 03 L.GOLD WIESZAK ŁAZIENKOWY</v>
      </c>
      <c r="C3406" s="23"/>
      <c r="D3406" s="24">
        <f ca="1">IFERROR(__xludf.DUMMYFUNCTION("""COMPUTED_VALUE"""),45)</f>
        <v>45</v>
      </c>
      <c r="E3406" s="26" t="str">
        <f ca="1">IFERROR(__xludf.DUMMYFUNCTION("""COMPUTED_VALUE"""),"REA-80008")</f>
        <v>REA-80008</v>
      </c>
    </row>
    <row r="3407" spans="1:5" x14ac:dyDescent="0.2">
      <c r="A3407" s="22">
        <f ca="1">IFERROR(__xludf.DUMMYFUNCTION("""COMPUTED_VALUE"""),44344)</f>
        <v>44344</v>
      </c>
      <c r="B3407" s="23" t="str">
        <f ca="1">IFERROR(__xludf.DUMMYFUNCTION("""COMPUTED_VALUE"""),"MIST 03 L.GOLD WIESZAK ŁAZIENKOWY POJEDYŃCZY")</f>
        <v>MIST 03 L.GOLD WIESZAK ŁAZIENKOWY POJEDYŃCZY</v>
      </c>
      <c r="C3407" s="23"/>
      <c r="D3407" s="24">
        <f ca="1">IFERROR(__xludf.DUMMYFUNCTION("""COMPUTED_VALUE"""),39)</f>
        <v>39</v>
      </c>
      <c r="E3407" s="26" t="str">
        <f ca="1">IFERROR(__xludf.DUMMYFUNCTION("""COMPUTED_VALUE"""),"REA-80023")</f>
        <v>REA-80023</v>
      </c>
    </row>
    <row r="3408" spans="1:5" x14ac:dyDescent="0.2">
      <c r="A3408" s="22">
        <f ca="1">IFERROR(__xludf.DUMMYFUNCTION("""COMPUTED_VALUE"""),44344)</f>
        <v>44344</v>
      </c>
      <c r="B3408" s="23" t="str">
        <f ca="1">IFERROR(__xludf.DUMMYFUNCTION("""COMPUTED_VALUE"""),"ERLO 01 BRUSH GOLD WIESZAK POJEDYNCZY 332917A")</f>
        <v>ERLO 01 BRUSH GOLD WIESZAK POJEDYNCZY 332917A</v>
      </c>
      <c r="C3408" s="23"/>
      <c r="D3408" s="24">
        <f ca="1">IFERROR(__xludf.DUMMYFUNCTION("""COMPUTED_VALUE"""),129)</f>
        <v>129</v>
      </c>
      <c r="E3408" s="26" t="str">
        <f ca="1">IFERROR(__xludf.DUMMYFUNCTION("""COMPUTED_VALUE"""),"REA-06907")</f>
        <v>REA-06907</v>
      </c>
    </row>
    <row r="3409" spans="1:5" x14ac:dyDescent="0.2">
      <c r="A3409" s="22">
        <f ca="1">IFERROR(__xludf.DUMMYFUNCTION("""COMPUTED_VALUE"""),44344)</f>
        <v>44344</v>
      </c>
      <c r="B3409" s="23" t="str">
        <f ca="1">IFERROR(__xludf.DUMMYFUNCTION("""COMPUTED_VALUE"""),"ERLO 01 L.GOLD WIESZAK NA RĘCZNIK POJEDYŃCZY")</f>
        <v>ERLO 01 L.GOLD WIESZAK NA RĘCZNIK POJEDYŃCZY</v>
      </c>
      <c r="C3409" s="23"/>
      <c r="D3409" s="24">
        <f ca="1">IFERROR(__xludf.DUMMYFUNCTION("""COMPUTED_VALUE"""),85)</f>
        <v>85</v>
      </c>
      <c r="E3409" s="26" t="str">
        <f ca="1">IFERROR(__xludf.DUMMYFUNCTION("""COMPUTED_VALUE"""),"REA-80002")</f>
        <v>REA-80002</v>
      </c>
    </row>
    <row r="3410" spans="1:5" x14ac:dyDescent="0.2">
      <c r="A3410" s="22">
        <f ca="1">IFERROR(__xludf.DUMMYFUNCTION("""COMPUTED_VALUE"""),44344)</f>
        <v>44344</v>
      </c>
      <c r="B3410" s="23" t="str">
        <f ca="1">IFERROR(__xludf.DUMMYFUNCTION("""COMPUTED_VALUE"""),"MIST 01 L.GOLD WIESZAK NA RĘCZNIK POJEDYŃCZY")</f>
        <v>MIST 01 L.GOLD WIESZAK NA RĘCZNIK POJEDYŃCZY</v>
      </c>
      <c r="C3410" s="23"/>
      <c r="D3410" s="24">
        <f ca="1">IFERROR(__xludf.DUMMYFUNCTION("""COMPUTED_VALUE"""),75)</f>
        <v>75</v>
      </c>
      <c r="E3410" s="26" t="str">
        <f ca="1">IFERROR(__xludf.DUMMYFUNCTION("""COMPUTED_VALUE"""),"REA-80017")</f>
        <v>REA-80017</v>
      </c>
    </row>
    <row r="3411" spans="1:5" x14ac:dyDescent="0.2">
      <c r="A3411" s="22">
        <f ca="1">IFERROR(__xludf.DUMMYFUNCTION("""COMPUTED_VALUE"""),44344)</f>
        <v>44344</v>
      </c>
      <c r="B3411" s="23" t="str">
        <f ca="1">IFERROR(__xludf.DUMMYFUNCTION("""COMPUTED_VALUE"""),"MIST 05 L.GOLD WIESZAK NA RĘCZNIK")</f>
        <v>MIST 05 L.GOLD WIESZAK NA RĘCZNIK</v>
      </c>
      <c r="C3411" s="23"/>
      <c r="D3411" s="24">
        <f ca="1">IFERROR(__xludf.DUMMYFUNCTION("""COMPUTED_VALUE"""),49)</f>
        <v>49</v>
      </c>
      <c r="E3411" s="26" t="str">
        <f ca="1">IFERROR(__xludf.DUMMYFUNCTION("""COMPUTED_VALUE"""),"REA-80029")</f>
        <v>REA-80029</v>
      </c>
    </row>
    <row r="3412" spans="1:5" x14ac:dyDescent="0.2">
      <c r="A3412" s="22">
        <f ca="1">IFERROR(__xludf.DUMMYFUNCTION("""COMPUTED_VALUE"""),44344)</f>
        <v>44344</v>
      </c>
      <c r="B3412" s="23" t="str">
        <f ca="1">IFERROR(__xludf.DUMMYFUNCTION("""COMPUTED_VALUE"""),"MIST 05 BLACK WIESZAK NA RĘCZNIK")</f>
        <v>MIST 05 BLACK WIESZAK NA RĘCZNIK</v>
      </c>
      <c r="C3412" s="23"/>
      <c r="D3412" s="24">
        <f ca="1">IFERROR(__xludf.DUMMYFUNCTION("""COMPUTED_VALUE"""),39)</f>
        <v>39</v>
      </c>
      <c r="E3412" s="26" t="str">
        <f ca="1">IFERROR(__xludf.DUMMYFUNCTION("""COMPUTED_VALUE"""),"REA-80028")</f>
        <v>REA-80028</v>
      </c>
    </row>
    <row r="3413" spans="1:5" x14ac:dyDescent="0.2">
      <c r="A3413" s="22">
        <f ca="1">IFERROR(__xludf.DUMMYFUNCTION("""COMPUTED_VALUE"""),44344)</f>
        <v>44344</v>
      </c>
      <c r="B3413" s="23" t="str">
        <f ca="1">IFERROR(__xludf.DUMMYFUNCTION("""COMPUTED_VALUE"""),"MIST 05 CHROME WIESZAK NA RĘCZNIK")</f>
        <v>MIST 05 CHROME WIESZAK NA RĘCZNIK</v>
      </c>
      <c r="C3413" s="23"/>
      <c r="D3413" s="24">
        <f ca="1">IFERROR(__xludf.DUMMYFUNCTION("""COMPUTED_VALUE"""),35)</f>
        <v>35</v>
      </c>
      <c r="E3413" s="26" t="str">
        <f ca="1">IFERROR(__xludf.DUMMYFUNCTION("""COMPUTED_VALUE"""),"REA-80027")</f>
        <v>REA-80027</v>
      </c>
    </row>
    <row r="3414" spans="1:5" x14ac:dyDescent="0.2">
      <c r="A3414" s="22">
        <f ca="1">IFERROR(__xludf.DUMMYFUNCTION("""COMPUTED_VALUE"""),44344)</f>
        <v>44344</v>
      </c>
      <c r="B3414" s="23" t="str">
        <f ca="1">IFERROR(__xludf.DUMMYFUNCTION("""COMPUTED_VALUE"""),"WIESZAK ŁAZIENKOWY NIKIEL SZCZOTKOWANY FAR 322223")</f>
        <v>WIESZAK ŁAZIENKOWY NIKIEL SZCZOTKOWANY FAR 322223</v>
      </c>
      <c r="C3414" s="23"/>
      <c r="D3414" s="24">
        <f ca="1">IFERROR(__xludf.DUMMYFUNCTION("""COMPUTED_VALUE"""),29)</f>
        <v>29</v>
      </c>
      <c r="E3414" s="26" t="str">
        <f ca="1">IFERROR(__xludf.DUMMYFUNCTION("""COMPUTED_VALUE"""),"REA-77010")</f>
        <v>REA-77010</v>
      </c>
    </row>
    <row r="3415" spans="1:5" x14ac:dyDescent="0.2">
      <c r="A3415" s="22">
        <f ca="1">IFERROR(__xludf.DUMMYFUNCTION("""COMPUTED_VALUE"""),44344)</f>
        <v>44344</v>
      </c>
      <c r="B3415" s="23" t="str">
        <f ca="1">IFERROR(__xludf.DUMMYFUNCTION("""COMPUTED_VALUE"""),"WIESZAK NA RĘCZNIK ZŁOTY RETRO 332867")</f>
        <v>WIESZAK NA RĘCZNIK ZŁOTY RETRO 332867</v>
      </c>
      <c r="C3415" s="23"/>
      <c r="D3415" s="24">
        <f ca="1">IFERROR(__xludf.DUMMYFUNCTION("""COMPUTED_VALUE"""),59)</f>
        <v>59</v>
      </c>
      <c r="E3415" s="26" t="str">
        <f ca="1">IFERROR(__xludf.DUMMYFUNCTION("""COMPUTED_VALUE"""),"REA-06918")</f>
        <v>REA-06918</v>
      </c>
    </row>
    <row r="3416" spans="1:5" x14ac:dyDescent="0.2">
      <c r="A3416" s="22">
        <f ca="1">IFERROR(__xludf.DUMMYFUNCTION("""COMPUTED_VALUE"""),44344)</f>
        <v>44344</v>
      </c>
      <c r="B3416" s="23" t="str">
        <f ca="1">IFERROR(__xludf.DUMMYFUNCTION("""COMPUTED_VALUE"""),"WIESZAK NA RĘCZNIK CZARNY RETRO 332867A")</f>
        <v>WIESZAK NA RĘCZNIK CZARNY RETRO 332867A</v>
      </c>
      <c r="C3416" s="23"/>
      <c r="D3416" s="24">
        <f ca="1">IFERROR(__xludf.DUMMYFUNCTION("""COMPUTED_VALUE"""),49)</f>
        <v>49</v>
      </c>
      <c r="E3416" s="26" t="str">
        <f ca="1">IFERROR(__xludf.DUMMYFUNCTION("""COMPUTED_VALUE"""),"REA-06922")</f>
        <v>REA-06922</v>
      </c>
    </row>
    <row r="3417" spans="1:5" x14ac:dyDescent="0.2">
      <c r="A3417" s="22">
        <f ca="1">IFERROR(__xludf.DUMMYFUNCTION("""COMPUTED_VALUE"""),44344)</f>
        <v>44344</v>
      </c>
      <c r="B3417" s="23" t="str">
        <f ca="1">IFERROR(__xludf.DUMMYFUNCTION("""COMPUTED_VALUE"""),"WIESZAK NA RĘCZNIK ANTYCZNY BRĄZ RETRO 332867B")</f>
        <v>WIESZAK NA RĘCZNIK ANTYCZNY BRĄZ RETRO 332867B</v>
      </c>
      <c r="C3417" s="23"/>
      <c r="D3417" s="24">
        <f ca="1">IFERROR(__xludf.DUMMYFUNCTION("""COMPUTED_VALUE"""),59)</f>
        <v>59</v>
      </c>
      <c r="E3417" s="26" t="str">
        <f ca="1">IFERROR(__xludf.DUMMYFUNCTION("""COMPUTED_VALUE"""),"REA-06923")</f>
        <v>REA-06923</v>
      </c>
    </row>
    <row r="3418" spans="1:5" x14ac:dyDescent="0.2">
      <c r="A3418" s="22">
        <f ca="1">IFERROR(__xludf.DUMMYFUNCTION("""COMPUTED_VALUE"""),44344)</f>
        <v>44344</v>
      </c>
      <c r="B3418" s="23" t="str">
        <f ca="1">IFERROR(__xludf.DUMMYFUNCTION("""COMPUTED_VALUE"""),"MIST 05 BRUSH NICKIEL WIESZAK NA RĘCZNIK 332915")</f>
        <v>MIST 05 BRUSH NICKIEL WIESZAK NA RĘCZNIK 332915</v>
      </c>
      <c r="C3418" s="23"/>
      <c r="D3418" s="24">
        <f ca="1">IFERROR(__xludf.DUMMYFUNCTION("""COMPUTED_VALUE"""),79)</f>
        <v>79</v>
      </c>
      <c r="E3418" s="26" t="str">
        <f ca="1">IFERROR(__xludf.DUMMYFUNCTION("""COMPUTED_VALUE"""),"REA-06903")</f>
        <v>REA-06903</v>
      </c>
    </row>
    <row r="3419" spans="1:5" x14ac:dyDescent="0.2">
      <c r="A3419" s="22">
        <f ca="1">IFERROR(__xludf.DUMMYFUNCTION("""COMPUTED_VALUE"""),44344)</f>
        <v>44344</v>
      </c>
      <c r="B3419" s="23" t="str">
        <f ca="1">IFERROR(__xludf.DUMMYFUNCTION("""COMPUTED_VALUE"""),"MIST 05 BLACK WIESZAK NA RĘCZNIK 332915A")</f>
        <v>MIST 05 BLACK WIESZAK NA RĘCZNIK 332915A</v>
      </c>
      <c r="C3419" s="23"/>
      <c r="D3419" s="24">
        <f ca="1">IFERROR(__xludf.DUMMYFUNCTION("""COMPUTED_VALUE"""),79)</f>
        <v>79</v>
      </c>
      <c r="E3419" s="26" t="str">
        <f ca="1">IFERROR(__xludf.DUMMYFUNCTION("""COMPUTED_VALUE"""),"REA-06904")</f>
        <v>REA-06904</v>
      </c>
    </row>
    <row r="3420" spans="1:5" x14ac:dyDescent="0.2">
      <c r="A3420" s="22">
        <f ca="1">IFERROR(__xludf.DUMMYFUNCTION("""COMPUTED_VALUE"""),44344)</f>
        <v>44344</v>
      </c>
      <c r="B3420" s="23" t="str">
        <f ca="1">IFERROR(__xludf.DUMMYFUNCTION("""COMPUTED_VALUE"""),"MIST 05 BRUSH GOLD WIESZAK NA RĘCZNIK 332915B")</f>
        <v>MIST 05 BRUSH GOLD WIESZAK NA RĘCZNIK 332915B</v>
      </c>
      <c r="C3420" s="23"/>
      <c r="D3420" s="24">
        <f ca="1">IFERROR(__xludf.DUMMYFUNCTION("""COMPUTED_VALUE"""),89)</f>
        <v>89</v>
      </c>
      <c r="E3420" s="26" t="str">
        <f ca="1">IFERROR(__xludf.DUMMYFUNCTION("""COMPUTED_VALUE"""),"REA-06905")</f>
        <v>REA-06905</v>
      </c>
    </row>
    <row r="3421" spans="1:5" x14ac:dyDescent="0.2">
      <c r="A3421" s="22">
        <f ca="1">IFERROR(__xludf.DUMMYFUNCTION("""COMPUTED_VALUE"""),44344)</f>
        <v>44344</v>
      </c>
      <c r="B3421" s="23" t="str">
        <f ca="1">IFERROR(__xludf.DUMMYFUNCTION("""COMPUTED_VALUE"""),"WIESZAK ŁAZIENKOWY ZŁOTY MOON 322188")</f>
        <v>WIESZAK ŁAZIENKOWY ZŁOTY MOON 322188</v>
      </c>
      <c r="C3421" s="23"/>
      <c r="D3421" s="24">
        <f ca="1">IFERROR(__xludf.DUMMYFUNCTION("""COMPUTED_VALUE"""),25)</f>
        <v>25</v>
      </c>
      <c r="E3421" s="26" t="str">
        <f ca="1">IFERROR(__xludf.DUMMYFUNCTION("""COMPUTED_VALUE"""),"REA-77068")</f>
        <v>REA-77068</v>
      </c>
    </row>
    <row r="3422" spans="1:5" x14ac:dyDescent="0.2">
      <c r="A3422" s="22">
        <f ca="1">IFERROR(__xludf.DUMMYFUNCTION("""COMPUTED_VALUE"""),44344)</f>
        <v>44344</v>
      </c>
      <c r="B3422" s="23" t="str">
        <f ca="1">IFERROR(__xludf.DUMMYFUNCTION("""COMPUTED_VALUE"""),"WIESZAK ŁAZIENKOWY ZŁOTY HILL 322196A")</f>
        <v>WIESZAK ŁAZIENKOWY ZŁOTY HILL 322196A</v>
      </c>
      <c r="C3422" s="23"/>
      <c r="D3422" s="24">
        <f ca="1">IFERROR(__xludf.DUMMYFUNCTION("""COMPUTED_VALUE"""),29)</f>
        <v>29</v>
      </c>
      <c r="E3422" s="26" t="str">
        <f ca="1">IFERROR(__xludf.DUMMYFUNCTION("""COMPUTED_VALUE"""),"REA-77025")</f>
        <v>REA-77025</v>
      </c>
    </row>
    <row r="3423" spans="1:5" x14ac:dyDescent="0.2">
      <c r="A3423" s="22">
        <f ca="1">IFERROR(__xludf.DUMMYFUNCTION("""COMPUTED_VALUE"""),44344)</f>
        <v>44344</v>
      </c>
      <c r="B3423" s="23" t="str">
        <f ca="1">IFERROR(__xludf.DUMMYFUNCTION("""COMPUTED_VALUE"""),"WIESZAK ŁAZIENKOWY ZŁOTY 322210A")</f>
        <v>WIESZAK ŁAZIENKOWY ZŁOTY 322210A</v>
      </c>
      <c r="C3423" s="23"/>
      <c r="D3423" s="24">
        <f ca="1">IFERROR(__xludf.DUMMYFUNCTION("""COMPUTED_VALUE"""),29)</f>
        <v>29</v>
      </c>
      <c r="E3423" s="26" t="str">
        <f ca="1">IFERROR(__xludf.DUMMYFUNCTION("""COMPUTED_VALUE"""),"REA-77065")</f>
        <v>REA-77065</v>
      </c>
    </row>
    <row r="3424" spans="1:5" x14ac:dyDescent="0.2">
      <c r="A3424" s="22">
        <f ca="1">IFERROR(__xludf.DUMMYFUNCTION("""COMPUTED_VALUE"""),44344)</f>
        <v>44344</v>
      </c>
      <c r="B3424" s="23" t="str">
        <f ca="1">IFERROR(__xludf.DUMMYFUNCTION("""COMPUTED_VALUE"""),"WIESZAK ŁAZIENKOWY ZŁOTY SZCZOTKOWANY FAR 322223B")</f>
        <v>WIESZAK ŁAZIENKOWY ZŁOTY SZCZOTKOWANY FAR 322223B</v>
      </c>
      <c r="C3424" s="23"/>
      <c r="D3424" s="24">
        <f ca="1">IFERROR(__xludf.DUMMYFUNCTION("""COMPUTED_VALUE"""),47)</f>
        <v>47</v>
      </c>
      <c r="E3424" s="26" t="str">
        <f ca="1">IFERROR(__xludf.DUMMYFUNCTION("""COMPUTED_VALUE"""),"REA-77009")</f>
        <v>REA-77009</v>
      </c>
    </row>
    <row r="3425" spans="1:5" x14ac:dyDescent="0.2">
      <c r="A3425" s="22">
        <f ca="1">IFERROR(__xludf.DUMMYFUNCTION("""COMPUTED_VALUE"""),44344)</f>
        <v>44344</v>
      </c>
      <c r="B3425" s="23" t="str">
        <f ca="1">IFERROR(__xludf.DUMMYFUNCTION("""COMPUTED_VALUE"""),"WIESZAK ŁAZIENKOWY ZŁOTY SZCZOTKOWANY 322230")</f>
        <v>WIESZAK ŁAZIENKOWY ZŁOTY SZCZOTKOWANY 322230</v>
      </c>
      <c r="C3425" s="23"/>
      <c r="D3425" s="24">
        <f ca="1">IFERROR(__xludf.DUMMYFUNCTION("""COMPUTED_VALUE"""),49)</f>
        <v>49</v>
      </c>
      <c r="E3425" s="26" t="str">
        <f ca="1">IFERROR(__xludf.DUMMYFUNCTION("""COMPUTED_VALUE"""),"REA-77018")</f>
        <v>REA-77018</v>
      </c>
    </row>
    <row r="3426" spans="1:5" x14ac:dyDescent="0.2">
      <c r="A3426" s="22">
        <f ca="1">IFERROR(__xludf.DUMMYFUNCTION("""COMPUTED_VALUE"""),44344)</f>
        <v>44344</v>
      </c>
      <c r="B3426" s="23" t="str">
        <f ca="1">IFERROR(__xludf.DUMMYFUNCTION("""COMPUTED_VALUE"""),"WIESZAK NA PAPIER BAMBUSOWY 390227")</f>
        <v>WIESZAK NA PAPIER BAMBUSOWY 390227</v>
      </c>
      <c r="C3426" s="23"/>
      <c r="D3426" s="24">
        <f ca="1">IFERROR(__xludf.DUMMYFUNCTION("""COMPUTED_VALUE"""),29)</f>
        <v>29</v>
      </c>
      <c r="E3426" s="26" t="str">
        <f ca="1">IFERROR(__xludf.DUMMYFUNCTION("""COMPUTED_VALUE"""),"HOM-07501")</f>
        <v>HOM-07501</v>
      </c>
    </row>
    <row r="3427" spans="1:5" x14ac:dyDescent="0.2">
      <c r="A3427" s="22">
        <f ca="1">IFERROR(__xludf.DUMMYFUNCTION("""COMPUTED_VALUE"""),44344)</f>
        <v>44344</v>
      </c>
      <c r="B3427" s="23" t="str">
        <f ca="1">IFERROR(__xludf.DUMMYFUNCTION("""COMPUTED_VALUE"""),"ZESTAW ŁAZIENKOWY CERAMICZNY CZARNY 322125")</f>
        <v>ZESTAW ŁAZIENKOWY CERAMICZNY CZARNY 322125</v>
      </c>
      <c r="C3427" s="23"/>
      <c r="D3427" s="24">
        <f ca="1">IFERROR(__xludf.DUMMYFUNCTION("""COMPUTED_VALUE"""),39)</f>
        <v>39</v>
      </c>
      <c r="E3427" s="26" t="str">
        <f ca="1">IFERROR(__xludf.DUMMYFUNCTION("""COMPUTED_VALUE"""),"HOM-01107")</f>
        <v>HOM-01107</v>
      </c>
    </row>
    <row r="3428" spans="1:5" x14ac:dyDescent="0.2">
      <c r="A3428" s="22">
        <f ca="1">IFERROR(__xludf.DUMMYFUNCTION("""COMPUTED_VALUE"""),44344)</f>
        <v>44344</v>
      </c>
      <c r="B3428" s="23" t="str">
        <f ca="1">IFERROR(__xludf.DUMMYFUNCTION("""COMPUTED_VALUE"""),"ZESTAW ŁAZIENKOWY CERAMICZNY ZŁOTY 322127")</f>
        <v>ZESTAW ŁAZIENKOWY CERAMICZNY ZŁOTY 322127</v>
      </c>
      <c r="C3428" s="23"/>
      <c r="D3428" s="24">
        <f ca="1">IFERROR(__xludf.DUMMYFUNCTION("""COMPUTED_VALUE"""),59)</f>
        <v>59</v>
      </c>
      <c r="E3428" s="26" t="str">
        <f ca="1">IFERROR(__xludf.DUMMYFUNCTION("""COMPUTED_VALUE"""),"HOM-01108")</f>
        <v>HOM-01108</v>
      </c>
    </row>
    <row r="3429" spans="1:5" x14ac:dyDescent="0.2">
      <c r="A3429" s="22">
        <f ca="1">IFERROR(__xludf.DUMMYFUNCTION("""COMPUTED_VALUE"""),44344)</f>
        <v>44344</v>
      </c>
      <c r="B3429" s="23" t="str">
        <f ca="1">IFERROR(__xludf.DUMMYFUNCTION("""COMPUTED_VALUE"""),"LUSTRO P11229 LED CLOUD B 100x70cm")</f>
        <v>LUSTRO P11229 LED CLOUD B 100x70cm</v>
      </c>
      <c r="C3429" s="23"/>
      <c r="D3429" s="24">
        <f ca="1">IFERROR(__xludf.DUMMYFUNCTION("""COMPUTED_VALUE"""),339)</f>
        <v>339</v>
      </c>
      <c r="E3429" s="26" t="str">
        <f ca="1">IFERROR(__xludf.DUMMYFUNCTION("""COMPUTED_VALUE"""),"HOM-05502")</f>
        <v>HOM-05502</v>
      </c>
    </row>
    <row r="3430" spans="1:5" x14ac:dyDescent="0.2">
      <c r="A3430" s="22">
        <f ca="1">IFERROR(__xludf.DUMMYFUNCTION("""COMPUTED_VALUE"""),44344)</f>
        <v>44344</v>
      </c>
      <c r="B3430" s="23" t="str">
        <f ca="1">IFERROR(__xludf.DUMMYFUNCTION("""COMPUTED_VALUE"""),"LUSTRO P11239 LED BAS 50cm")</f>
        <v>LUSTRO P11239 LED BAS 50cm</v>
      </c>
      <c r="C3430" s="23"/>
      <c r="D3430" s="24">
        <f ca="1">IFERROR(__xludf.DUMMYFUNCTION("""COMPUTED_VALUE"""),269)</f>
        <v>269</v>
      </c>
      <c r="E3430" s="26" t="str">
        <f ca="1">IFERROR(__xludf.DUMMYFUNCTION("""COMPUTED_VALUE"""),"HOM-05517")</f>
        <v>HOM-05517</v>
      </c>
    </row>
    <row r="3431" spans="1:5" x14ac:dyDescent="0.2">
      <c r="A3431" s="22">
        <f ca="1">IFERROR(__xludf.DUMMYFUNCTION("""COMPUTED_VALUE"""),44344)</f>
        <v>44344</v>
      </c>
      <c r="B3431" s="23" t="str">
        <f ca="1">IFERROR(__xludf.DUMMYFUNCTION("""COMPUTED_VALUE"""),"LUSTRO LED FFJ 50CM")</f>
        <v>LUSTRO LED FFJ 50CM</v>
      </c>
      <c r="C3431" s="23"/>
      <c r="D3431" s="24">
        <f ca="1">IFERROR(__xludf.DUMMYFUNCTION("""COMPUTED_VALUE"""),229)</f>
        <v>229</v>
      </c>
      <c r="E3431" s="26" t="str">
        <f ca="1">IFERROR(__xludf.DUMMYFUNCTION("""COMPUTED_VALUE"""),"HOM-02836")</f>
        <v>HOM-02836</v>
      </c>
    </row>
    <row r="3432" spans="1:5" x14ac:dyDescent="0.2">
      <c r="A3432" s="22">
        <f ca="1">IFERROR(__xludf.DUMMYFUNCTION("""COMPUTED_VALUE"""),44344)</f>
        <v>44344</v>
      </c>
      <c r="B3432" s="23" t="str">
        <f ca="1">IFERROR(__xludf.DUMMYFUNCTION("""COMPUTED_VALUE"""),"LUSTRO LED HZJ 50CM")</f>
        <v>LUSTRO LED HZJ 50CM</v>
      </c>
      <c r="C3432" s="23"/>
      <c r="D3432" s="24">
        <f ca="1">IFERROR(__xludf.DUMMYFUNCTION("""COMPUTED_VALUE"""),239)</f>
        <v>239</v>
      </c>
      <c r="E3432" s="26" t="str">
        <f ca="1">IFERROR(__xludf.DUMMYFUNCTION("""COMPUTED_VALUE"""),"HOM-02820")</f>
        <v>HOM-02820</v>
      </c>
    </row>
    <row r="3433" spans="1:5" x14ac:dyDescent="0.2">
      <c r="A3433" s="22">
        <f ca="1">IFERROR(__xludf.DUMMYFUNCTION("""COMPUTED_VALUE"""),44344)</f>
        <v>44344</v>
      </c>
      <c r="B3433" s="23" t="str">
        <f ca="1">IFERROR(__xludf.DUMMYFUNCTION("""COMPUTED_VALUE"""),"LUSTRO LED MMJ GOLD 50CM")</f>
        <v>LUSTRO LED MMJ GOLD 50CM</v>
      </c>
      <c r="C3433" s="23"/>
      <c r="D3433" s="24">
        <f ca="1">IFERROR(__xludf.DUMMYFUNCTION("""COMPUTED_VALUE"""),399)</f>
        <v>399</v>
      </c>
      <c r="E3433" s="26" t="str">
        <f ca="1">IFERROR(__xludf.DUMMYFUNCTION("""COMPUTED_VALUE"""),"HOM-02500")</f>
        <v>HOM-02500</v>
      </c>
    </row>
    <row r="3434" spans="1:5" x14ac:dyDescent="0.2">
      <c r="A3434" s="22">
        <f ca="1">IFERROR(__xludf.DUMMYFUNCTION("""COMPUTED_VALUE"""),44344)</f>
        <v>44344</v>
      </c>
      <c r="B3434" s="23" t="str">
        <f ca="1">IFERROR(__xludf.DUMMYFUNCTION("""COMPUTED_VALUE"""),"LUSTRO LED MMJ BRUSH GOLD 50cm")</f>
        <v>LUSTRO LED MMJ BRUSH GOLD 50cm</v>
      </c>
      <c r="C3434" s="23"/>
      <c r="D3434" s="24">
        <f ca="1">IFERROR(__xludf.DUMMYFUNCTION("""COMPUTED_VALUE"""),229)</f>
        <v>229</v>
      </c>
      <c r="E3434" s="26" t="str">
        <f ca="1">IFERROR(__xludf.DUMMYFUNCTION("""COMPUTED_VALUE"""),"HOM-05505")</f>
        <v>HOM-05505</v>
      </c>
    </row>
    <row r="3435" spans="1:5" x14ac:dyDescent="0.2">
      <c r="A3435" s="22">
        <f ca="1">IFERROR(__xludf.DUMMYFUNCTION("""COMPUTED_VALUE"""),44344)</f>
        <v>44344</v>
      </c>
      <c r="B3435" s="23" t="str">
        <f ca="1">IFERROR(__xludf.DUMMYFUNCTION("""COMPUTED_VALUE"""),"LUSTRO P11394 LED MMJ MIEDŹ SZCZOTKOWANA 50cm")</f>
        <v>LUSTRO P11394 LED MMJ MIEDŹ SZCZOTKOWANA 50cm</v>
      </c>
      <c r="C3435" s="23"/>
      <c r="D3435" s="24">
        <f ca="1">IFERROR(__xludf.DUMMYFUNCTION("""COMPUTED_VALUE"""),229)</f>
        <v>229</v>
      </c>
      <c r="E3435" s="26" t="str">
        <f ca="1">IFERROR(__xludf.DUMMYFUNCTION("""COMPUTED_VALUE"""),"HOM-05490")</f>
        <v>HOM-05490</v>
      </c>
    </row>
    <row r="3436" spans="1:5" x14ac:dyDescent="0.2">
      <c r="A3436" s="22">
        <f ca="1">IFERROR(__xludf.DUMMYFUNCTION("""COMPUTED_VALUE"""),44344)</f>
        <v>44344</v>
      </c>
      <c r="B3436" s="23" t="str">
        <f ca="1">IFERROR(__xludf.DUMMYFUNCTION("""COMPUTED_VALUE"""),"LUSTRO P11240 LED BAS 60cm")</f>
        <v>LUSTRO P11240 LED BAS 60cm</v>
      </c>
      <c r="C3436" s="23"/>
      <c r="D3436" s="24">
        <f ca="1">IFERROR(__xludf.DUMMYFUNCTION("""COMPUTED_VALUE"""),299)</f>
        <v>299</v>
      </c>
      <c r="E3436" s="26" t="str">
        <f ca="1">IFERROR(__xludf.DUMMYFUNCTION("""COMPUTED_VALUE"""),"HOM-05518")</f>
        <v>HOM-05518</v>
      </c>
    </row>
    <row r="3437" spans="1:5" x14ac:dyDescent="0.2">
      <c r="A3437" s="22">
        <f ca="1">IFERROR(__xludf.DUMMYFUNCTION("""COMPUTED_VALUE"""),44344)</f>
        <v>44344</v>
      </c>
      <c r="B3437" s="23" t="str">
        <f ca="1">IFERROR(__xludf.DUMMYFUNCTION("""COMPUTED_VALUE"""),"LUSTRO LED MMJ GOLD 60CM")</f>
        <v>LUSTRO LED MMJ GOLD 60CM</v>
      </c>
      <c r="C3437" s="23"/>
      <c r="D3437" s="24">
        <f ca="1">IFERROR(__xludf.DUMMYFUNCTION("""COMPUTED_VALUE"""),439)</f>
        <v>439</v>
      </c>
      <c r="E3437" s="26" t="str">
        <f ca="1">IFERROR(__xludf.DUMMYFUNCTION("""COMPUTED_VALUE"""),"HOM-02501")</f>
        <v>HOM-02501</v>
      </c>
    </row>
    <row r="3438" spans="1:5" x14ac:dyDescent="0.2">
      <c r="A3438" s="22">
        <f ca="1">IFERROR(__xludf.DUMMYFUNCTION("""COMPUTED_VALUE"""),44344)</f>
        <v>44344</v>
      </c>
      <c r="B3438" s="23" t="str">
        <f ca="1">IFERROR(__xludf.DUMMYFUNCTION("""COMPUTED_VALUE"""),"LUSTRO LED MMJ BRUSH GOLD 60cm")</f>
        <v>LUSTRO LED MMJ BRUSH GOLD 60cm</v>
      </c>
      <c r="C3438" s="23"/>
      <c r="D3438" s="24">
        <f ca="1">IFERROR(__xludf.DUMMYFUNCTION("""COMPUTED_VALUE"""),259)</f>
        <v>259</v>
      </c>
      <c r="E3438" s="26" t="str">
        <f ca="1">IFERROR(__xludf.DUMMYFUNCTION("""COMPUTED_VALUE"""),"HOM-05506")</f>
        <v>HOM-05506</v>
      </c>
    </row>
    <row r="3439" spans="1:5" x14ac:dyDescent="0.2">
      <c r="A3439" s="22">
        <f ca="1">IFERROR(__xludf.DUMMYFUNCTION("""COMPUTED_VALUE"""),44344)</f>
        <v>44344</v>
      </c>
      <c r="B3439" s="23" t="str">
        <f ca="1">IFERROR(__xludf.DUMMYFUNCTION("""COMPUTED_VALUE"""),"LUSTRO P11395 LED MMJ MIEDŹ SZCZOTKOWANA 60cm")</f>
        <v>LUSTRO P11395 LED MMJ MIEDŹ SZCZOTKOWANA 60cm</v>
      </c>
      <c r="C3439" s="23"/>
      <c r="D3439" s="24">
        <f ca="1">IFERROR(__xludf.DUMMYFUNCTION("""COMPUTED_VALUE"""),259)</f>
        <v>259</v>
      </c>
      <c r="E3439" s="26" t="str">
        <f ca="1">IFERROR(__xludf.DUMMYFUNCTION("""COMPUTED_VALUE"""),"HOM-05491")</f>
        <v>HOM-05491</v>
      </c>
    </row>
    <row r="3440" spans="1:5" x14ac:dyDescent="0.2">
      <c r="A3440" s="22">
        <f ca="1">IFERROR(__xludf.DUMMYFUNCTION("""COMPUTED_VALUE"""),44344)</f>
        <v>44344</v>
      </c>
      <c r="B3440" s="23" t="str">
        <f ca="1">IFERROR(__xludf.DUMMYFUNCTION("""COMPUTED_VALUE"""),"LUSTRO LED MMJ BRUSH SS 60CM")</f>
        <v>LUSTRO LED MMJ BRUSH SS 60CM</v>
      </c>
      <c r="C3440" s="23"/>
      <c r="D3440" s="24">
        <f ca="1">IFERROR(__xludf.DUMMYFUNCTION("""COMPUTED_VALUE"""),329)</f>
        <v>329</v>
      </c>
      <c r="E3440" s="26" t="str">
        <f ca="1">IFERROR(__xludf.DUMMYFUNCTION("""COMPUTED_VALUE"""),"HOM-06505")</f>
        <v>HOM-06505</v>
      </c>
    </row>
    <row r="3441" spans="1:5" x14ac:dyDescent="0.2">
      <c r="A3441" s="22">
        <f ca="1">IFERROR(__xludf.DUMMYFUNCTION("""COMPUTED_VALUE"""),44344)</f>
        <v>44344</v>
      </c>
      <c r="B3441" s="23" t="str">
        <f ca="1">IFERROR(__xludf.DUMMYFUNCTION("""COMPUTED_VALUE"""),"LUSTRO LED DASH BLACK 60X100CM")</f>
        <v>LUSTRO LED DASH BLACK 60X100CM</v>
      </c>
      <c r="C3441" s="23"/>
      <c r="D3441" s="24">
        <f ca="1">IFERROR(__xludf.DUMMYFUNCTION("""COMPUTED_VALUE"""),399)</f>
        <v>399</v>
      </c>
      <c r="E3441" s="26" t="str">
        <f ca="1">IFERROR(__xludf.DUMMYFUNCTION("""COMPUTED_VALUE"""),"HOM-06504")</f>
        <v>HOM-06504</v>
      </c>
    </row>
    <row r="3442" spans="1:5" x14ac:dyDescent="0.2">
      <c r="A3442" s="22">
        <f ca="1">IFERROR(__xludf.DUMMYFUNCTION("""COMPUTED_VALUE"""),44344)</f>
        <v>44344</v>
      </c>
      <c r="B3442" s="23" t="str">
        <f ca="1">IFERROR(__xludf.DUMMYFUNCTION("""COMPUTED_VALUE"""),"LUSTRO P11241 LED BAS 70cm")</f>
        <v>LUSTRO P11241 LED BAS 70cm</v>
      </c>
      <c r="C3442" s="23"/>
      <c r="D3442" s="24">
        <f ca="1">IFERROR(__xludf.DUMMYFUNCTION("""COMPUTED_VALUE"""),359)</f>
        <v>359</v>
      </c>
      <c r="E3442" s="26" t="str">
        <f ca="1">IFERROR(__xludf.DUMMYFUNCTION("""COMPUTED_VALUE"""),"HOM-05519")</f>
        <v>HOM-05519</v>
      </c>
    </row>
    <row r="3443" spans="1:5" x14ac:dyDescent="0.2">
      <c r="A3443" s="22">
        <f ca="1">IFERROR(__xludf.DUMMYFUNCTION("""COMPUTED_VALUE"""),44344)</f>
        <v>44344</v>
      </c>
      <c r="B3443" s="23" t="str">
        <f ca="1">IFERROR(__xludf.DUMMYFUNCTION("""COMPUTED_VALUE"""),"LUSTRO LED FFJ 70CM")</f>
        <v>LUSTRO LED FFJ 70CM</v>
      </c>
      <c r="C3443" s="23"/>
      <c r="D3443" s="24">
        <f ca="1">IFERROR(__xludf.DUMMYFUNCTION("""COMPUTED_VALUE"""),289)</f>
        <v>289</v>
      </c>
      <c r="E3443" s="26" t="str">
        <f ca="1">IFERROR(__xludf.DUMMYFUNCTION("""COMPUTED_VALUE"""),"HOM-02823")</f>
        <v>HOM-02823</v>
      </c>
    </row>
    <row r="3444" spans="1:5" x14ac:dyDescent="0.2">
      <c r="A3444" s="22">
        <f ca="1">IFERROR(__xludf.DUMMYFUNCTION("""COMPUTED_VALUE"""),44344)</f>
        <v>44344</v>
      </c>
      <c r="B3444" s="23" t="str">
        <f ca="1">IFERROR(__xludf.DUMMYFUNCTION("""COMPUTED_VALUE"""),"LUSTRO LED MMJ GOLD 70CM")</f>
        <v>LUSTRO LED MMJ GOLD 70CM</v>
      </c>
      <c r="C3444" s="23"/>
      <c r="D3444" s="24">
        <f ca="1">IFERROR(__xludf.DUMMYFUNCTION("""COMPUTED_VALUE"""),479)</f>
        <v>479</v>
      </c>
      <c r="E3444" s="26" t="str">
        <f ca="1">IFERROR(__xludf.DUMMYFUNCTION("""COMPUTED_VALUE"""),"HOM-02502")</f>
        <v>HOM-02502</v>
      </c>
    </row>
    <row r="3445" spans="1:5" x14ac:dyDescent="0.2">
      <c r="A3445" s="22">
        <f ca="1">IFERROR(__xludf.DUMMYFUNCTION("""COMPUTED_VALUE"""),44344)</f>
        <v>44344</v>
      </c>
      <c r="B3445" s="23" t="str">
        <f ca="1">IFERROR(__xludf.DUMMYFUNCTION("""COMPUTED_VALUE"""),"LUSTRO P11396 LED MMJ BLACK 70cm")</f>
        <v>LUSTRO P11396 LED MMJ BLACK 70cm</v>
      </c>
      <c r="C3445" s="23"/>
      <c r="D3445" s="24">
        <f ca="1">IFERROR(__xludf.DUMMYFUNCTION("""COMPUTED_VALUE"""),359)</f>
        <v>359</v>
      </c>
      <c r="E3445" s="26" t="str">
        <f ca="1">IFERROR(__xludf.DUMMYFUNCTION("""COMPUTED_VALUE"""),"HOM-05513")</f>
        <v>HOM-05513</v>
      </c>
    </row>
    <row r="3446" spans="1:5" x14ac:dyDescent="0.2">
      <c r="A3446" s="22">
        <f ca="1">IFERROR(__xludf.DUMMYFUNCTION("""COMPUTED_VALUE"""),44344)</f>
        <v>44344</v>
      </c>
      <c r="B3446" s="23" t="str">
        <f ca="1">IFERROR(__xludf.DUMMYFUNCTION("""COMPUTED_VALUE"""),"LUSTRO P11396 LED MMJ BRUSH ROSE GOLD 70cm")</f>
        <v>LUSTRO P11396 LED MMJ BRUSH ROSE GOLD 70cm</v>
      </c>
      <c r="C3446" s="23"/>
      <c r="D3446" s="24">
        <f ca="1">IFERROR(__xludf.DUMMYFUNCTION("""COMPUTED_VALUE"""),289)</f>
        <v>289</v>
      </c>
      <c r="E3446" s="26" t="str">
        <f ca="1">IFERROR(__xludf.DUMMYFUNCTION("""COMPUTED_VALUE"""),"HOM-05507")</f>
        <v>HOM-05507</v>
      </c>
    </row>
    <row r="3447" spans="1:5" x14ac:dyDescent="0.2">
      <c r="A3447" s="22">
        <f ca="1">IFERROR(__xludf.DUMMYFUNCTION("""COMPUTED_VALUE"""),44344)</f>
        <v>44344</v>
      </c>
      <c r="B3447" s="23" t="str">
        <f ca="1">IFERROR(__xludf.DUMMYFUNCTION("""COMPUTED_VALUE"""),"LUSTRO LED MMJ BRUSH SS 70CM")</f>
        <v>LUSTRO LED MMJ BRUSH SS 70CM</v>
      </c>
      <c r="C3447" s="23"/>
      <c r="D3447" s="24">
        <f ca="1">IFERROR(__xludf.DUMMYFUNCTION("""COMPUTED_VALUE"""),379)</f>
        <v>379</v>
      </c>
      <c r="E3447" s="26" t="str">
        <f ca="1">IFERROR(__xludf.DUMMYFUNCTION("""COMPUTED_VALUE"""),"HOM-06506")</f>
        <v>HOM-06506</v>
      </c>
    </row>
    <row r="3448" spans="1:5" x14ac:dyDescent="0.2">
      <c r="A3448" s="22">
        <f ca="1">IFERROR(__xludf.DUMMYFUNCTION("""COMPUTED_VALUE"""),44344)</f>
        <v>44344</v>
      </c>
      <c r="B3448" s="23" t="str">
        <f ca="1">IFERROR(__xludf.DUMMYFUNCTION("""COMPUTED_VALUE"""),"LUSTRO P11242 LED BAS 80cm")</f>
        <v>LUSTRO P11242 LED BAS 80cm</v>
      </c>
      <c r="C3448" s="23"/>
      <c r="D3448" s="24">
        <f ca="1">IFERROR(__xludf.DUMMYFUNCTION("""COMPUTED_VALUE"""),459)</f>
        <v>459</v>
      </c>
      <c r="E3448" s="26" t="str">
        <f ca="1">IFERROR(__xludf.DUMMYFUNCTION("""COMPUTED_VALUE"""),"HOM-05520")</f>
        <v>HOM-05520</v>
      </c>
    </row>
    <row r="3449" spans="1:5" x14ac:dyDescent="0.2">
      <c r="A3449" s="22">
        <f ca="1">IFERROR(__xludf.DUMMYFUNCTION("""COMPUTED_VALUE"""),44344)</f>
        <v>44344</v>
      </c>
      <c r="B3449" s="23" t="str">
        <f ca="1">IFERROR(__xludf.DUMMYFUNCTION("""COMPUTED_VALUE"""),"LUSTRO LED HZJ 80CM")</f>
        <v>LUSTRO LED HZJ 80CM</v>
      </c>
      <c r="C3449" s="23"/>
      <c r="D3449" s="24">
        <f ca="1">IFERROR(__xludf.DUMMYFUNCTION("""COMPUTED_VALUE"""),299)</f>
        <v>299</v>
      </c>
      <c r="E3449" s="26" t="str">
        <f ca="1">IFERROR(__xludf.DUMMYFUNCTION("""COMPUTED_VALUE"""),"HOM-02801")</f>
        <v>HOM-02801</v>
      </c>
    </row>
    <row r="3450" spans="1:5" x14ac:dyDescent="0.2">
      <c r="A3450" s="22">
        <f ca="1">IFERROR(__xludf.DUMMYFUNCTION("""COMPUTED_VALUE"""),44344)</f>
        <v>44344</v>
      </c>
      <c r="B3450" s="23" t="str">
        <f ca="1">IFERROR(__xludf.DUMMYFUNCTION("""COMPUTED_VALUE"""),"LUSTRO LED MMJ GOLD 80CM")</f>
        <v>LUSTRO LED MMJ GOLD 80CM</v>
      </c>
      <c r="C3450" s="23"/>
      <c r="D3450" s="24">
        <f ca="1">IFERROR(__xludf.DUMMYFUNCTION("""COMPUTED_VALUE"""),499)</f>
        <v>499</v>
      </c>
      <c r="E3450" s="26" t="str">
        <f ca="1">IFERROR(__xludf.DUMMYFUNCTION("""COMPUTED_VALUE"""),"HOM-02503")</f>
        <v>HOM-02503</v>
      </c>
    </row>
    <row r="3451" spans="1:5" x14ac:dyDescent="0.2">
      <c r="A3451" s="22">
        <f ca="1">IFERROR(__xludf.DUMMYFUNCTION("""COMPUTED_VALUE"""),44344)</f>
        <v>44344</v>
      </c>
      <c r="B3451" s="23" t="str">
        <f ca="1">IFERROR(__xludf.DUMMYFUNCTION("""COMPUTED_VALUE"""),"LUSTRO P11397 LED MMJ BLACK 80cm")</f>
        <v>LUSTRO P11397 LED MMJ BLACK 80cm</v>
      </c>
      <c r="C3451" s="23"/>
      <c r="D3451" s="24">
        <f ca="1">IFERROR(__xludf.DUMMYFUNCTION("""COMPUTED_VALUE"""),379)</f>
        <v>379</v>
      </c>
      <c r="E3451" s="26" t="str">
        <f ca="1">IFERROR(__xludf.DUMMYFUNCTION("""COMPUTED_VALUE"""),"HOM-05514")</f>
        <v>HOM-05514</v>
      </c>
    </row>
    <row r="3452" spans="1:5" x14ac:dyDescent="0.2">
      <c r="A3452" s="22">
        <f ca="1">IFERROR(__xludf.DUMMYFUNCTION("""COMPUTED_VALUE"""),44344)</f>
        <v>44344</v>
      </c>
      <c r="B3452" s="23" t="str">
        <f ca="1">IFERROR(__xludf.DUMMYFUNCTION("""COMPUTED_VALUE"""),"LUSTRO LED MMJ BRUSH GOLD 80cm")</f>
        <v>LUSTRO LED MMJ BRUSH GOLD 80cm</v>
      </c>
      <c r="C3452" s="23"/>
      <c r="D3452" s="24">
        <f ca="1">IFERROR(__xludf.DUMMYFUNCTION("""COMPUTED_VALUE"""),299)</f>
        <v>299</v>
      </c>
      <c r="E3452" s="26" t="str">
        <f ca="1">IFERROR(__xludf.DUMMYFUNCTION("""COMPUTED_VALUE"""),"HOM-05509")</f>
        <v>HOM-05509</v>
      </c>
    </row>
    <row r="3453" spans="1:5" x14ac:dyDescent="0.2">
      <c r="A3453" s="22">
        <f ca="1">IFERROR(__xludf.DUMMYFUNCTION("""COMPUTED_VALUE"""),44344)</f>
        <v>44344</v>
      </c>
      <c r="B3453" s="23" t="str">
        <f ca="1">IFERROR(__xludf.DUMMYFUNCTION("""COMPUTED_VALUE"""),"LUSTRO LED MMJ BRUSH SS 80CM")</f>
        <v>LUSTRO LED MMJ BRUSH SS 80CM</v>
      </c>
      <c r="C3453" s="23"/>
      <c r="D3453" s="24">
        <f ca="1">IFERROR(__xludf.DUMMYFUNCTION("""COMPUTED_VALUE"""),399)</f>
        <v>399</v>
      </c>
      <c r="E3453" s="26" t="str">
        <f ca="1">IFERROR(__xludf.DUMMYFUNCTION("""COMPUTED_VALUE"""),"HOM-06507")</f>
        <v>HOM-06507</v>
      </c>
    </row>
    <row r="3454" spans="1:5" x14ac:dyDescent="0.2">
      <c r="A3454" s="22">
        <f ca="1">IFERROR(__xludf.DUMMYFUNCTION("""COMPUTED_VALUE"""),44344)</f>
        <v>44344</v>
      </c>
      <c r="B3454" s="23" t="str">
        <f ca="1">IFERROR(__xludf.DUMMYFUNCTION("""COMPUTED_VALUE"""),"LUSTRO P11230 LED CLOUD C 80x60cm")</f>
        <v>LUSTRO P11230 LED CLOUD C 80x60cm</v>
      </c>
      <c r="C3454" s="23"/>
      <c r="D3454" s="24">
        <f ca="1">IFERROR(__xludf.DUMMYFUNCTION("""COMPUTED_VALUE"""),399)</f>
        <v>399</v>
      </c>
      <c r="E3454" s="26" t="str">
        <f ca="1">IFERROR(__xludf.DUMMYFUNCTION("""COMPUTED_VALUE"""),"HOM-05504")</f>
        <v>HOM-05504</v>
      </c>
    </row>
    <row r="3455" spans="1:5" x14ac:dyDescent="0.2">
      <c r="A3455" s="22">
        <f ca="1">IFERROR(__xludf.DUMMYFUNCTION("""COMPUTED_VALUE"""),44344)</f>
        <v>44344</v>
      </c>
      <c r="B3455" s="23" t="str">
        <f ca="1">IFERROR(__xludf.DUMMYFUNCTION("""COMPUTED_VALUE"""),"LUSTRO LED SQUARE 80X60CM zzj")</f>
        <v>LUSTRO LED SQUARE 80X60CM zzj</v>
      </c>
      <c r="C3455" s="23"/>
      <c r="D3455" s="24">
        <f ca="1">IFERROR(__xludf.DUMMYFUNCTION("""COMPUTED_VALUE"""),339)</f>
        <v>339</v>
      </c>
      <c r="E3455" s="26" t="str">
        <f ca="1">IFERROR(__xludf.DUMMYFUNCTION("""COMPUTED_VALUE"""),"HOM-02829")</f>
        <v>HOM-02829</v>
      </c>
    </row>
    <row r="3456" spans="1:5" x14ac:dyDescent="0.2">
      <c r="A3456" s="22">
        <f ca="1">IFERROR(__xludf.DUMMYFUNCTION("""COMPUTED_VALUE"""),44344)</f>
        <v>44344</v>
      </c>
      <c r="B3456" s="23" t="str">
        <f ca="1">IFERROR(__xludf.DUMMYFUNCTION("""COMPUTED_VALUE"""),"LUSTRO P11416 LED BAS 90cm")</f>
        <v>LUSTRO P11416 LED BAS 90cm</v>
      </c>
      <c r="C3456" s="23"/>
      <c r="D3456" s="24">
        <f ca="1">IFERROR(__xludf.DUMMYFUNCTION("""COMPUTED_VALUE"""),449)</f>
        <v>449</v>
      </c>
      <c r="E3456" s="26" t="str">
        <f ca="1">IFERROR(__xludf.DUMMYFUNCTION("""COMPUTED_VALUE"""),"HOM-05521")</f>
        <v>HOM-05521</v>
      </c>
    </row>
    <row r="3457" spans="1:5" x14ac:dyDescent="0.2">
      <c r="A3457" s="22">
        <f ca="1">IFERROR(__xludf.DUMMYFUNCTION("""COMPUTED_VALUE"""),44344)</f>
        <v>44344</v>
      </c>
      <c r="B3457" s="23" t="str">
        <f ca="1">IFERROR(__xludf.DUMMYFUNCTION("""COMPUTED_VALUE"""),"LUSTRO LED FFJ 90CM")</f>
        <v>LUSTRO LED FFJ 90CM</v>
      </c>
      <c r="C3457" s="23"/>
      <c r="D3457" s="24">
        <f ca="1">IFERROR(__xludf.DUMMYFUNCTION("""COMPUTED_VALUE"""),359)</f>
        <v>359</v>
      </c>
      <c r="E3457" s="26" t="str">
        <f ca="1">IFERROR(__xludf.DUMMYFUNCTION("""COMPUTED_VALUE"""),"HOM-04400")</f>
        <v>HOM-04400</v>
      </c>
    </row>
    <row r="3458" spans="1:5" x14ac:dyDescent="0.2">
      <c r="A3458" s="22">
        <f ca="1">IFERROR(__xludf.DUMMYFUNCTION("""COMPUTED_VALUE"""),44344)</f>
        <v>44344</v>
      </c>
      <c r="B3458" s="23" t="str">
        <f ca="1">IFERROR(__xludf.DUMMYFUNCTION("""COMPUTED_VALUE"""),"LUSTRO LED HZJ 90CM")</f>
        <v>LUSTRO LED HZJ 90CM</v>
      </c>
      <c r="C3458" s="23"/>
      <c r="D3458" s="24">
        <f ca="1">IFERROR(__xludf.DUMMYFUNCTION("""COMPUTED_VALUE"""),329)</f>
        <v>329</v>
      </c>
      <c r="E3458" s="26" t="str">
        <f ca="1">IFERROR(__xludf.DUMMYFUNCTION("""COMPUTED_VALUE"""),"HOM-02822")</f>
        <v>HOM-02822</v>
      </c>
    </row>
    <row r="3459" spans="1:5" x14ac:dyDescent="0.2">
      <c r="A3459" s="22">
        <f ca="1">IFERROR(__xludf.DUMMYFUNCTION("""COMPUTED_VALUE"""),44344)</f>
        <v>44344</v>
      </c>
      <c r="B3459" s="23" t="str">
        <f ca="1">IFERROR(__xludf.DUMMYFUNCTION("""COMPUTED_VALUE"""),"LUSTRO LED MMJ GOLD 90CM")</f>
        <v>LUSTRO LED MMJ GOLD 90CM</v>
      </c>
      <c r="C3459" s="23"/>
      <c r="D3459" s="24">
        <f ca="1">IFERROR(__xludf.DUMMYFUNCTION("""COMPUTED_VALUE"""),529)</f>
        <v>529</v>
      </c>
      <c r="E3459" s="26" t="str">
        <f ca="1">IFERROR(__xludf.DUMMYFUNCTION("""COMPUTED_VALUE"""),"HOM-02504")</f>
        <v>HOM-02504</v>
      </c>
    </row>
    <row r="3460" spans="1:5" x14ac:dyDescent="0.2">
      <c r="A3460" s="22">
        <f ca="1">IFERROR(__xludf.DUMMYFUNCTION("""COMPUTED_VALUE"""),44344)</f>
        <v>44344</v>
      </c>
      <c r="B3460" s="23" t="str">
        <f ca="1">IFERROR(__xludf.DUMMYFUNCTION("""COMPUTED_VALUE"""),"LUSTRO P11398 LED MMJ BLACK 90cm")</f>
        <v>LUSTRO P11398 LED MMJ BLACK 90cm</v>
      </c>
      <c r="C3460" s="23"/>
      <c r="D3460" s="24">
        <f ca="1">IFERROR(__xludf.DUMMYFUNCTION("""COMPUTED_VALUE"""),429)</f>
        <v>429</v>
      </c>
      <c r="E3460" s="26" t="str">
        <f ca="1">IFERROR(__xludf.DUMMYFUNCTION("""COMPUTED_VALUE"""),"HOM-05515")</f>
        <v>HOM-05515</v>
      </c>
    </row>
    <row r="3461" spans="1:5" x14ac:dyDescent="0.2">
      <c r="A3461" s="22">
        <f ca="1">IFERROR(__xludf.DUMMYFUNCTION("""COMPUTED_VALUE"""),44344)</f>
        <v>44344</v>
      </c>
      <c r="B3461" s="23" t="str">
        <f ca="1">IFERROR(__xludf.DUMMYFUNCTION("""COMPUTED_VALUE"""),"LUSTRO LED MMJ BRUSH GOLD 90cm")</f>
        <v>LUSTRO LED MMJ BRUSH GOLD 90cm</v>
      </c>
      <c r="C3461" s="23"/>
      <c r="D3461" s="24">
        <f ca="1">IFERROR(__xludf.DUMMYFUNCTION("""COMPUTED_VALUE"""),339)</f>
        <v>339</v>
      </c>
      <c r="E3461" s="26" t="str">
        <f ca="1">IFERROR(__xludf.DUMMYFUNCTION("""COMPUTED_VALUE"""),"HOM-05510")</f>
        <v>HOM-05510</v>
      </c>
    </row>
    <row r="3462" spans="1:5" x14ac:dyDescent="0.2">
      <c r="A3462" s="22">
        <f ca="1">IFERROR(__xludf.DUMMYFUNCTION("""COMPUTED_VALUE"""),44344)</f>
        <v>44344</v>
      </c>
      <c r="B3462" s="23" t="str">
        <f ca="1">IFERROR(__xludf.DUMMYFUNCTION("""COMPUTED_VALUE"""),"LUSTRO P11398 LED MMJ MIEDŹ SZCZOTKOWANA 90cm")</f>
        <v>LUSTRO P11398 LED MMJ MIEDŹ SZCZOTKOWANA 90cm</v>
      </c>
      <c r="C3462" s="23"/>
      <c r="D3462" s="24">
        <f ca="1">IFERROR(__xludf.DUMMYFUNCTION("""COMPUTED_VALUE"""),339)</f>
        <v>339</v>
      </c>
      <c r="E3462" s="26" t="str">
        <f ca="1">IFERROR(__xludf.DUMMYFUNCTION("""COMPUTED_VALUE"""),"HOM-05494")</f>
        <v>HOM-05494</v>
      </c>
    </row>
    <row r="3463" spans="1:5" x14ac:dyDescent="0.2">
      <c r="A3463" s="22">
        <f ca="1">IFERROR(__xludf.DUMMYFUNCTION("""COMPUTED_VALUE"""),44344)</f>
        <v>44344</v>
      </c>
      <c r="B3463" s="23" t="str">
        <f ca="1">IFERROR(__xludf.DUMMYFUNCTION("""COMPUTED_VALUE"""),"LUSTRO LED BLUETOOTH FFJ 60CM")</f>
        <v>LUSTRO LED BLUETOOTH FFJ 60CM</v>
      </c>
      <c r="C3463" s="23"/>
      <c r="D3463" s="24">
        <f ca="1">IFERROR(__xludf.DUMMYFUNCTION("""COMPUTED_VALUE"""),439)</f>
        <v>439</v>
      </c>
      <c r="E3463" s="26" t="str">
        <f ca="1">IFERROR(__xludf.DUMMYFUNCTION("""COMPUTED_VALUE"""),"HOM-06501")</f>
        <v>HOM-06501</v>
      </c>
    </row>
    <row r="3464" spans="1:5" x14ac:dyDescent="0.2">
      <c r="A3464" s="22">
        <f ca="1">IFERROR(__xludf.DUMMYFUNCTION("""COMPUTED_VALUE"""),44344)</f>
        <v>44344</v>
      </c>
      <c r="B3464" s="23" t="str">
        <f ca="1">IFERROR(__xludf.DUMMYFUNCTION("""COMPUTED_VALUE"""),"#N/A")</f>
        <v>#N/A</v>
      </c>
      <c r="C3464" s="23"/>
      <c r="D3464" s="24" t="str">
        <f ca="1">IFERROR(__xludf.DUMMYFUNCTION("""COMPUTED_VALUE"""),"#N/A")</f>
        <v>#N/A</v>
      </c>
      <c r="E3464" s="26" t="str">
        <f ca="1">IFERROR(__xludf.DUMMYFUNCTION("""COMPUTED_VALUE"""),"HOM-06555")</f>
        <v>HOM-06555</v>
      </c>
    </row>
    <row r="3465" spans="1:5" x14ac:dyDescent="0.2">
      <c r="A3465" s="22">
        <f ca="1">IFERROR(__xludf.DUMMYFUNCTION("""COMPUTED_VALUE"""),44344)</f>
        <v>44344</v>
      </c>
      <c r="B3465" s="23" t="str">
        <f ca="1">IFERROR(__xludf.DUMMYFUNCTION("""COMPUTED_VALUE"""),"LUSTRO P11428 LED EGG 60x80cm")</f>
        <v>LUSTRO P11428 LED EGG 60x80cm</v>
      </c>
      <c r="C3465" s="23"/>
      <c r="D3465" s="24">
        <f ca="1">IFERROR(__xludf.DUMMYFUNCTION("""COMPUTED_VALUE"""),259)</f>
        <v>259</v>
      </c>
      <c r="E3465" s="26" t="str">
        <f ca="1">IFERROR(__xludf.DUMMYFUNCTION("""COMPUTED_VALUE"""),"HOM-05523")</f>
        <v>HOM-05523</v>
      </c>
    </row>
    <row r="3466" spans="1:5" x14ac:dyDescent="0.2">
      <c r="A3466" s="22">
        <f ca="1">IFERROR(__xludf.DUMMYFUNCTION("""COMPUTED_VALUE"""),44344)</f>
        <v>44344</v>
      </c>
      <c r="B3466" s="23" t="str">
        <f ca="1">IFERROR(__xludf.DUMMYFUNCTION("""COMPUTED_VALUE"""),"LUSTRO P11429 LED EGJ 50x90cm")</f>
        <v>LUSTRO P11429 LED EGJ 50x90cm</v>
      </c>
      <c r="C3466" s="23"/>
      <c r="D3466" s="24">
        <f ca="1">IFERROR(__xludf.DUMMYFUNCTION("""COMPUTED_VALUE"""),339)</f>
        <v>339</v>
      </c>
      <c r="E3466" s="26" t="str">
        <f ca="1">IFERROR(__xludf.DUMMYFUNCTION("""COMPUTED_VALUE"""),"HOM-05524")</f>
        <v>HOM-05524</v>
      </c>
    </row>
    <row r="3467" spans="1:5" x14ac:dyDescent="0.2">
      <c r="A3467" s="22">
        <f ca="1">IFERROR(__xludf.DUMMYFUNCTION("""COMPUTED_VALUE"""),44344)</f>
        <v>44344</v>
      </c>
      <c r="B3467" s="23" t="str">
        <f ca="1">IFERROR(__xludf.DUMMYFUNCTION("""COMPUTED_VALUE"""),"LUSTRO P11429 LED EGJ 50x90cm")</f>
        <v>LUSTRO P11429 LED EGJ 50x90cm</v>
      </c>
      <c r="C3467" s="23"/>
      <c r="D3467" s="24">
        <f ca="1">IFERROR(__xludf.DUMMYFUNCTION("""COMPUTED_VALUE"""),339)</f>
        <v>339</v>
      </c>
      <c r="E3467" s="26" t="str">
        <f ca="1">IFERROR(__xludf.DUMMYFUNCTION("""COMPUTED_VALUE"""),"HOM-05524")</f>
        <v>HOM-05524</v>
      </c>
    </row>
    <row r="3468" spans="1:5" x14ac:dyDescent="0.2">
      <c r="A3468" s="22">
        <f ca="1">IFERROR(__xludf.DUMMYFUNCTION("""COMPUTED_VALUE"""),44344)</f>
        <v>44344</v>
      </c>
      <c r="B3468" s="23" t="str">
        <f ca="1">IFERROR(__xludf.DUMMYFUNCTION("""COMPUTED_VALUE"""),"LUSTRO LED OVL BLACK 50X100CM")</f>
        <v>LUSTRO LED OVL BLACK 50X100CM</v>
      </c>
      <c r="C3468" s="23"/>
      <c r="D3468" s="24">
        <f ca="1">IFERROR(__xludf.DUMMYFUNCTION("""COMPUTED_VALUE"""),499)</f>
        <v>499</v>
      </c>
      <c r="E3468" s="26" t="str">
        <f ca="1">IFERROR(__xludf.DUMMYFUNCTION("""COMPUTED_VALUE"""),"HOM-02505")</f>
        <v>HOM-02505</v>
      </c>
    </row>
    <row r="3469" spans="1:5" x14ac:dyDescent="0.2">
      <c r="A3469" s="22">
        <f ca="1">IFERROR(__xludf.DUMMYFUNCTION("""COMPUTED_VALUE"""),44344)</f>
        <v>44344</v>
      </c>
      <c r="B3469" s="23" t="str">
        <f ca="1">IFERROR(__xludf.DUMMYFUNCTION("""COMPUTED_VALUE"""),"LUSTRO LED OVL GOLD 50X100CM")</f>
        <v>LUSTRO LED OVL GOLD 50X100CM</v>
      </c>
      <c r="C3469" s="23"/>
      <c r="D3469" s="24">
        <f ca="1">IFERROR(__xludf.DUMMYFUNCTION("""COMPUTED_VALUE"""),539)</f>
        <v>539</v>
      </c>
      <c r="E3469" s="26" t="str">
        <f ca="1">IFERROR(__xludf.DUMMYFUNCTION("""COMPUTED_VALUE"""),"HOM-02606")</f>
        <v>HOM-02606</v>
      </c>
    </row>
    <row r="3470" spans="1:5" x14ac:dyDescent="0.2">
      <c r="A3470" s="22">
        <f ca="1">IFERROR(__xludf.DUMMYFUNCTION("""COMPUTED_VALUE"""),44344)</f>
        <v>44344</v>
      </c>
      <c r="B3470" s="23" t="str">
        <f ca="1">IFERROR(__xludf.DUMMYFUNCTION("""COMPUTED_VALUE"""),"LUSTRO LED OVL BRUSH GOLD 50X100CM")</f>
        <v>LUSTRO LED OVL BRUSH GOLD 50X100CM</v>
      </c>
      <c r="C3470" s="23"/>
      <c r="D3470" s="24">
        <f ca="1">IFERROR(__xludf.DUMMYFUNCTION("""COMPUTED_VALUE"""),639)</f>
        <v>639</v>
      </c>
      <c r="E3470" s="26" t="str">
        <f ca="1">IFERROR(__xludf.DUMMYFUNCTION("""COMPUTED_VALUE"""),"HOM-02506")</f>
        <v>HOM-02506</v>
      </c>
    </row>
    <row r="3471" spans="1:5" x14ac:dyDescent="0.2">
      <c r="A3471" s="22">
        <f ca="1">IFERROR(__xludf.DUMMYFUNCTION("""COMPUTED_VALUE"""),44344)</f>
        <v>44344</v>
      </c>
      <c r="B3471" s="23" t="str">
        <f ca="1">IFERROR(__xludf.DUMMYFUNCTION("""COMPUTED_VALUE"""),"LUSTRO LED SQR 50X100CM")</f>
        <v>LUSTRO LED SQR 50X100CM</v>
      </c>
      <c r="C3471" s="23"/>
      <c r="D3471" s="24">
        <f ca="1">IFERROR(__xludf.DUMMYFUNCTION("""COMPUTED_VALUE"""),299)</f>
        <v>299</v>
      </c>
      <c r="E3471" s="26" t="str">
        <f ca="1">IFERROR(__xludf.DUMMYFUNCTION("""COMPUTED_VALUE"""),"HOM-02507")</f>
        <v>HOM-02507</v>
      </c>
    </row>
    <row r="3472" spans="1:5" x14ac:dyDescent="0.2">
      <c r="A3472" s="22">
        <f ca="1">IFERROR(__xludf.DUMMYFUNCTION("""COMPUTED_VALUE"""),44344)</f>
        <v>44344</v>
      </c>
      <c r="B3472" s="23" t="str">
        <f ca="1">IFERROR(__xludf.DUMMYFUNCTION("""COMPUTED_VALUE"""),"LUSTRO LED ROUND AKRYL 80CM")</f>
        <v>LUSTRO LED ROUND AKRYL 80CM</v>
      </c>
      <c r="C3472" s="23"/>
      <c r="D3472" s="24">
        <f ca="1">IFERROR(__xludf.DUMMYFUNCTION("""COMPUTED_VALUE"""),549)</f>
        <v>549</v>
      </c>
      <c r="E3472" s="26" t="str">
        <f ca="1">IFERROR(__xludf.DUMMYFUNCTION("""COMPUTED_VALUE"""),"HOM-06528")</f>
        <v>HOM-06528</v>
      </c>
    </row>
    <row r="3473" spans="1:5" x14ac:dyDescent="0.2">
      <c r="A3473" s="22">
        <f ca="1">IFERROR(__xludf.DUMMYFUNCTION("""COMPUTED_VALUE"""),44344)</f>
        <v>44344</v>
      </c>
      <c r="B3473" s="23" t="str">
        <f ca="1">IFERROR(__xludf.DUMMYFUNCTION("""COMPUTED_VALUE"""),"LUSTRO LED OLL BRUSH GOLD 60X90CM")</f>
        <v>LUSTRO LED OLL BRUSH GOLD 60X90CM</v>
      </c>
      <c r="C3473" s="23"/>
      <c r="D3473" s="24">
        <f ca="1">IFERROR(__xludf.DUMMYFUNCTION("""COMPUTED_VALUE"""),499)</f>
        <v>499</v>
      </c>
      <c r="E3473" s="26" t="str">
        <f ca="1">IFERROR(__xludf.DUMMYFUNCTION("""COMPUTED_VALUE"""),"HOM-02509")</f>
        <v>HOM-02509</v>
      </c>
    </row>
    <row r="3474" spans="1:5" x14ac:dyDescent="0.2">
      <c r="A3474" s="22">
        <f ca="1">IFERROR(__xludf.DUMMYFUNCTION("""COMPUTED_VALUE"""),44524)</f>
        <v>44524</v>
      </c>
      <c r="B3474" s="23" t="str">
        <f ca="1">IFERROR(__xludf.DUMMYFUNCTION("""COMPUTED_VALUE"""),"Umywalka blatowa")</f>
        <v>Umywalka blatowa</v>
      </c>
      <c r="C3474" s="23" t="str">
        <f ca="1">IFERROR(__xludf.DUMMYFUNCTION("""COMPUTED_VALUE"""),"Ida")</f>
        <v>Ida</v>
      </c>
      <c r="D3474" s="24">
        <f ca="1">IFERROR(__xludf.DUMMYFUNCTION("""COMPUTED_VALUE"""),209)</f>
        <v>209</v>
      </c>
      <c r="E3474" s="26" t="str">
        <f ca="1">IFERROR(__xludf.DUMMYFUNCTION("""COMPUTED_VALUE"""),"REA-U7400")</f>
        <v>REA-U7400</v>
      </c>
    </row>
    <row r="3475" spans="1:5" x14ac:dyDescent="0.2">
      <c r="A3475" s="22">
        <f ca="1">IFERROR(__xludf.DUMMYFUNCTION("""COMPUTED_VALUE"""),44524)</f>
        <v>44524</v>
      </c>
      <c r="B3475" s="23" t="str">
        <f ca="1">IFERROR(__xludf.DUMMYFUNCTION("""COMPUTED_VALUE"""),"Umywalka ścienna/blatowa")</f>
        <v>Umywalka ścienna/blatowa</v>
      </c>
      <c r="C3475" s="23" t="str">
        <f ca="1">IFERROR(__xludf.DUMMYFUNCTION("""COMPUTED_VALUE"""),"Valeria ""N""")</f>
        <v>Valeria "N"</v>
      </c>
      <c r="D3475" s="24">
        <f ca="1">IFERROR(__xludf.DUMMYFUNCTION("""COMPUTED_VALUE"""),319)</f>
        <v>319</v>
      </c>
      <c r="E3475" s="26" t="str">
        <f ca="1">IFERROR(__xludf.DUMMYFUNCTION("""COMPUTED_VALUE"""),"REA-U5000")</f>
        <v>REA-U5000</v>
      </c>
    </row>
    <row r="3476" spans="1:5" x14ac:dyDescent="0.2">
      <c r="A3476" s="22">
        <f ca="1">IFERROR(__xludf.DUMMYFUNCTION("""COMPUTED_VALUE"""),44524)</f>
        <v>44524</v>
      </c>
      <c r="B3476" s="23" t="str">
        <f ca="1">IFERROR(__xludf.DUMMYFUNCTION("""COMPUTED_VALUE"""),"Umywalka blatowa")</f>
        <v>Umywalka blatowa</v>
      </c>
      <c r="C3476" s="23" t="str">
        <f ca="1">IFERROR(__xludf.DUMMYFUNCTION("""COMPUTED_VALUE"""),"Hana SLIM")</f>
        <v>Hana SLIM</v>
      </c>
      <c r="D3476" s="24">
        <f ca="1">IFERROR(__xludf.DUMMYFUNCTION("""COMPUTED_VALUE"""),359)</f>
        <v>359</v>
      </c>
      <c r="E3476" s="26" t="str">
        <f ca="1">IFERROR(__xludf.DUMMYFUNCTION("""COMPUTED_VALUE"""),"REA-U1951")</f>
        <v>REA-U1951</v>
      </c>
    </row>
    <row r="3477" spans="1:5" x14ac:dyDescent="0.2">
      <c r="A3477" s="22">
        <f ca="1">IFERROR(__xludf.DUMMYFUNCTION("""COMPUTED_VALUE"""),44524)</f>
        <v>44524</v>
      </c>
      <c r="B3477" s="23" t="str">
        <f ca="1">IFERROR(__xludf.DUMMYFUNCTION("""COMPUTED_VALUE"""),"Umywalka ścienna/blatowa")</f>
        <v>Umywalka ścienna/blatowa</v>
      </c>
      <c r="C3477" s="23" t="str">
        <f ca="1">IFERROR(__xludf.DUMMYFUNCTION("""COMPUTED_VALUE"""),"Xara")</f>
        <v>Xara</v>
      </c>
      <c r="D3477" s="24">
        <f ca="1">IFERROR(__xludf.DUMMYFUNCTION("""COMPUTED_VALUE"""),279)</f>
        <v>279</v>
      </c>
      <c r="E3477" s="26" t="str">
        <f ca="1">IFERROR(__xludf.DUMMYFUNCTION("""COMPUTED_VALUE"""),"REA-U0140")</f>
        <v>REA-U0140</v>
      </c>
    </row>
    <row r="3478" spans="1:5" x14ac:dyDescent="0.2">
      <c r="A3478" s="22">
        <f ca="1">IFERROR(__xludf.DUMMYFUNCTION("""COMPUTED_VALUE"""),44524)</f>
        <v>44524</v>
      </c>
      <c r="B3478" s="23" t="str">
        <f ca="1">IFERROR(__xludf.DUMMYFUNCTION("""COMPUTED_VALUE"""),"Odpływ liniowy + syfon + nóżki + mankiet uszczelniający")</f>
        <v>Odpływ liniowy + syfon + nóżki + mankiet uszczelniający</v>
      </c>
      <c r="C3478" s="23" t="str">
        <f ca="1">IFERROR(__xludf.DUMMYFUNCTION("""COMPUTED_VALUE"""),"Neo&amp;Pure 800 N Brush")</f>
        <v>Neo&amp;Pure 800 N Brush</v>
      </c>
      <c r="D3478" s="24">
        <f ca="1">IFERROR(__xludf.DUMMYFUNCTION("""COMPUTED_VALUE"""),239)</f>
        <v>239</v>
      </c>
      <c r="E3478" s="26" t="str">
        <f ca="1">IFERROR(__xludf.DUMMYFUNCTION("""COMPUTED_VALUE"""),"REA-G0093")</f>
        <v>REA-G0093</v>
      </c>
    </row>
    <row r="3479" spans="1:5" x14ac:dyDescent="0.2">
      <c r="A3479" s="22">
        <f ca="1">IFERROR(__xludf.DUMMYFUNCTION("""COMPUTED_VALUE"""),44512)</f>
        <v>44512</v>
      </c>
      <c r="B3479" s="23" t="str">
        <f ca="1">IFERROR(__xludf.DUMMYFUNCTION("""COMPUTED_VALUE"""),"Odpływ liniowy + syfon + nóżki + mankiet uszczelniający")</f>
        <v>Odpływ liniowy + syfon + nóżki + mankiet uszczelniający</v>
      </c>
      <c r="C3479" s="23" t="str">
        <f ca="1">IFERROR(__xludf.DUMMYFUNCTION("""COMPUTED_VALUE"""),"Neo&amp;Pure 900 N Brush")</f>
        <v>Neo&amp;Pure 900 N Brush</v>
      </c>
      <c r="D3479" s="24">
        <f ca="1">IFERROR(__xludf.DUMMYFUNCTION("""COMPUTED_VALUE"""),249)</f>
        <v>249</v>
      </c>
      <c r="E3479" s="26" t="str">
        <f ca="1">IFERROR(__xludf.DUMMYFUNCTION("""COMPUTED_VALUE"""),"REA-G0094")</f>
        <v>REA-G0094</v>
      </c>
    </row>
    <row r="3480" spans="1:5" x14ac:dyDescent="0.2">
      <c r="A3480" s="22">
        <f ca="1">IFERROR(__xludf.DUMMYFUNCTION("""COMPUTED_VALUE"""),44512)</f>
        <v>44512</v>
      </c>
      <c r="B3480" s="23" t="str">
        <f ca="1">IFERROR(__xludf.DUMMYFUNCTION("""COMPUTED_VALUE"""),"Bateria umywalkowa /wysoka/")</f>
        <v>Bateria umywalkowa /wysoka/</v>
      </c>
      <c r="C3480" s="23" t="str">
        <f ca="1">IFERROR(__xludf.DUMMYFUNCTION("""COMPUTED_VALUE"""),"Lugano")</f>
        <v>Lugano</v>
      </c>
      <c r="D3480" s="24">
        <f ca="1">IFERROR(__xludf.DUMMYFUNCTION("""COMPUTED_VALUE"""),259)</f>
        <v>259</v>
      </c>
      <c r="E3480" s="26" t="str">
        <f ca="1">IFERROR(__xludf.DUMMYFUNCTION("""COMPUTED_VALUE"""),"REA-B5000")</f>
        <v>REA-B5000</v>
      </c>
    </row>
    <row r="3481" spans="1:5" x14ac:dyDescent="0.2">
      <c r="A3481" s="22">
        <f ca="1">IFERROR(__xludf.DUMMYFUNCTION("""COMPUTED_VALUE"""),44512)</f>
        <v>44512</v>
      </c>
      <c r="B3481" s="23" t="str">
        <f ca="1">IFERROR(__xludf.DUMMYFUNCTION("""COMPUTED_VALUE"""),"Kabina prysznicowa")</f>
        <v>Kabina prysznicowa</v>
      </c>
      <c r="C3481" s="23" t="str">
        <f ca="1">IFERROR(__xludf.DUMMYFUNCTION("""COMPUTED_VALUE"""),"KABINA FARGO BLACK 80X100 U")</f>
        <v>KABINA FARGO BLACK 80X100 U</v>
      </c>
      <c r="D3481" s="24">
        <f ca="1">IFERROR(__xludf.DUMMYFUNCTION("""COMPUTED_VALUE"""),1859)</f>
        <v>1859</v>
      </c>
      <c r="E3481" s="26" t="str">
        <f ca="1">IFERROR(__xludf.DUMMYFUNCTION("""COMPUTED_VALUE"""),"REA-K6950")</f>
        <v>REA-K6950</v>
      </c>
    </row>
    <row r="3482" spans="1:5" x14ac:dyDescent="0.2">
      <c r="A3482" s="22">
        <f ca="1">IFERROR(__xludf.DUMMYFUNCTION("""COMPUTED_VALUE"""),44512)</f>
        <v>44512</v>
      </c>
      <c r="B3482" s="23" t="str">
        <f ca="1">IFERROR(__xludf.DUMMYFUNCTION("""COMPUTED_VALUE"""),"Ścianka prysznicowa BLER-1")</f>
        <v>Ścianka prysznicowa BLER-1</v>
      </c>
      <c r="C3482" s="23">
        <f ca="1">IFERROR(__xludf.DUMMYFUNCTION("""COMPUTED_VALUE"""),90)</f>
        <v>90</v>
      </c>
      <c r="D3482" s="24">
        <f ca="1">IFERROR(__xludf.DUMMYFUNCTION("""COMPUTED_VALUE"""),889)</f>
        <v>889</v>
      </c>
      <c r="E3482" s="26" t="str">
        <f ca="1">IFERROR(__xludf.DUMMYFUNCTION("""COMPUTED_VALUE"""),"REA-K7953")</f>
        <v>REA-K7953</v>
      </c>
    </row>
    <row r="3483" spans="1:5" x14ac:dyDescent="0.2">
      <c r="A3483" s="22">
        <f ca="1">IFERROR(__xludf.DUMMYFUNCTION("""COMPUTED_VALUE"""),44512)</f>
        <v>44512</v>
      </c>
      <c r="B3483" s="23" t="str">
        <f ca="1">IFERROR(__xludf.DUMMYFUNCTION("""COMPUTED_VALUE"""),"Kabina prysznicowa")</f>
        <v>Kabina prysznicowa</v>
      </c>
      <c r="C3483" s="23" t="str">
        <f ca="1">IFERROR(__xludf.DUMMYFUNCTION("""COMPUTED_VALUE"""),"Diamond 90x90")</f>
        <v>Diamond 90x90</v>
      </c>
      <c r="D3483" s="24">
        <f ca="1">IFERROR(__xludf.DUMMYFUNCTION("""COMPUTED_VALUE"""),1669)</f>
        <v>1669</v>
      </c>
      <c r="E3483" s="26" t="str">
        <f ca="1">IFERROR(__xludf.DUMMYFUNCTION("""COMPUTED_VALUE"""),"REA-K5622")</f>
        <v>REA-K5622</v>
      </c>
    </row>
    <row r="3484" spans="1:5" x14ac:dyDescent="0.2">
      <c r="A3484" s="22">
        <f ca="1">IFERROR(__xludf.DUMMYFUNCTION("""COMPUTED_VALUE"""),44512)</f>
        <v>44512</v>
      </c>
      <c r="B3484" s="23" t="str">
        <f ca="1">IFERROR(__xludf.DUMMYFUNCTION("""COMPUTED_VALUE"""),"Kabina prysznicowa")</f>
        <v>Kabina prysznicowa</v>
      </c>
      <c r="C3484" s="23" t="str">
        <f ca="1">IFERROR(__xludf.DUMMYFUNCTION("""COMPUTED_VALUE"""),"Fargo Gold 80x100")</f>
        <v>Fargo Gold 80x100</v>
      </c>
      <c r="D3484" s="24">
        <f ca="1">IFERROR(__xludf.DUMMYFUNCTION("""COMPUTED_VALUE"""),2299)</f>
        <v>2299</v>
      </c>
      <c r="E3484" s="26" t="str">
        <f ca="1">IFERROR(__xludf.DUMMYFUNCTION("""COMPUTED_VALUE"""),"REA-K4907")</f>
        <v>REA-K4907</v>
      </c>
    </row>
    <row r="3485" spans="1:5" x14ac:dyDescent="0.2">
      <c r="A3485" s="22">
        <f ca="1">IFERROR(__xludf.DUMMYFUNCTION("""COMPUTED_VALUE"""),44512)</f>
        <v>44512</v>
      </c>
      <c r="B3485" s="23" t="str">
        <f ca="1">IFERROR(__xludf.DUMMYFUNCTION("""COMPUTED_VALUE"""),"Kabina prysznicowa")</f>
        <v>Kabina prysznicowa</v>
      </c>
      <c r="C3485" s="23" t="str">
        <f ca="1">IFERROR(__xludf.DUMMYFUNCTION("""COMPUTED_VALUE"""),"Fargo Gold 90x90")</f>
        <v>Fargo Gold 90x90</v>
      </c>
      <c r="D3485" s="24">
        <f ca="1">IFERROR(__xludf.DUMMYFUNCTION("""COMPUTED_VALUE"""),2299)</f>
        <v>2299</v>
      </c>
      <c r="E3485" s="26" t="str">
        <f ca="1">IFERROR(__xludf.DUMMYFUNCTION("""COMPUTED_VALUE"""),"REA-K4903")</f>
        <v>REA-K4903</v>
      </c>
    </row>
    <row r="3486" spans="1:5" x14ac:dyDescent="0.2">
      <c r="A3486" s="22">
        <f ca="1">IFERROR(__xludf.DUMMYFUNCTION("""COMPUTED_VALUE"""),44512)</f>
        <v>44512</v>
      </c>
      <c r="B3486" s="23" t="str">
        <f ca="1">IFERROR(__xludf.DUMMYFUNCTION("""COMPUTED_VALUE"""),"DRZWI PRYSZNICOWE ALEX-805 120")</f>
        <v>DRZWI PRYSZNICOWE ALEX-805 120</v>
      </c>
      <c r="C3486" s="23" t="str">
        <f ca="1">IFERROR(__xludf.DUMMYFUNCTION("""COMPUTED_VALUE"""),"Alex")</f>
        <v>Alex</v>
      </c>
      <c r="D3486" s="24">
        <f ca="1">IFERROR(__xludf.DUMMYFUNCTION("""COMPUTED_VALUE"""),1009)</f>
        <v>1009</v>
      </c>
      <c r="E3486" s="26" t="str">
        <f ca="1">IFERROR(__xludf.DUMMYFUNCTION("""COMPUTED_VALUE"""),"REA-K0921")</f>
        <v>REA-K0921</v>
      </c>
    </row>
    <row r="3487" spans="1:5" x14ac:dyDescent="0.2">
      <c r="A3487" s="22">
        <f ca="1">IFERROR(__xludf.DUMMYFUNCTION("""COMPUTED_VALUE"""),44512)</f>
        <v>44512</v>
      </c>
      <c r="B3487" s="23" t="str">
        <f ca="1">IFERROR(__xludf.DUMMYFUNCTION("""COMPUTED_VALUE"""),"DRZWI PRYSZNICOWE ALEX-805 130")</f>
        <v>DRZWI PRYSZNICOWE ALEX-805 130</v>
      </c>
      <c r="C3487" s="23" t="str">
        <f ca="1">IFERROR(__xludf.DUMMYFUNCTION("""COMPUTED_VALUE"""),"Alex")</f>
        <v>Alex</v>
      </c>
      <c r="D3487" s="24">
        <f ca="1">IFERROR(__xludf.DUMMYFUNCTION("""COMPUTED_VALUE"""),1069)</f>
        <v>1069</v>
      </c>
      <c r="E3487" s="26" t="str">
        <f ca="1">IFERROR(__xludf.DUMMYFUNCTION("""COMPUTED_VALUE"""),"REA-K0923")</f>
        <v>REA-K0923</v>
      </c>
    </row>
    <row r="3488" spans="1:5" x14ac:dyDescent="0.2">
      <c r="A3488" s="22">
        <f ca="1">IFERROR(__xludf.DUMMYFUNCTION("""COMPUTED_VALUE"""),44512)</f>
        <v>44512</v>
      </c>
      <c r="B3488" s="23" t="str">
        <f ca="1">IFERROR(__xludf.DUMMYFUNCTION("""COMPUTED_VALUE"""),"Drzwi prysznicowe")</f>
        <v>Drzwi prysznicowe</v>
      </c>
      <c r="C3488" s="23" t="str">
        <f ca="1">IFERROR(__xludf.DUMMYFUNCTION("""COMPUTED_VALUE"""),"FARGO 120")</f>
        <v>FARGO 120</v>
      </c>
      <c r="D3488" s="24">
        <f ca="1">IFERROR(__xludf.DUMMYFUNCTION("""COMPUTED_VALUE"""),1129)</f>
        <v>1129</v>
      </c>
      <c r="E3488" s="26" t="str">
        <f ca="1">IFERROR(__xludf.DUMMYFUNCTION("""COMPUTED_VALUE"""),"REA-K6328")</f>
        <v>REA-K6328</v>
      </c>
    </row>
    <row r="3489" spans="1:5" x14ac:dyDescent="0.2">
      <c r="A3489" s="22">
        <f ca="1">IFERROR(__xludf.DUMMYFUNCTION("""COMPUTED_VALUE"""),44512)</f>
        <v>44512</v>
      </c>
      <c r="B3489" s="23" t="str">
        <f ca="1">IFERROR(__xludf.DUMMYFUNCTION("""COMPUTED_VALUE"""),"Umywalka blatowa")</f>
        <v>Umywalka blatowa</v>
      </c>
      <c r="C3489" s="23" t="str">
        <f ca="1">IFERROR(__xludf.DUMMYFUNCTION("""COMPUTED_VALUE"""),"Meryl Black")</f>
        <v>Meryl Black</v>
      </c>
      <c r="D3489" s="24">
        <f ca="1">IFERROR(__xludf.DUMMYFUNCTION("""COMPUTED_VALUE"""),639)</f>
        <v>639</v>
      </c>
      <c r="E3489" s="26" t="str">
        <f ca="1">IFERROR(__xludf.DUMMYFUNCTION("""COMPUTED_VALUE"""),"REA-U8811")</f>
        <v>REA-U8811</v>
      </c>
    </row>
    <row r="3490" spans="1:5" x14ac:dyDescent="0.2">
      <c r="A3490" s="22">
        <f ca="1">IFERROR(__xludf.DUMMYFUNCTION("""COMPUTED_VALUE"""),44512)</f>
        <v>44512</v>
      </c>
      <c r="B3490" s="23" t="str">
        <f ca="1">IFERROR(__xludf.DUMMYFUNCTION("""COMPUTED_VALUE"""),"Umywalka blatowa")</f>
        <v>Umywalka blatowa</v>
      </c>
      <c r="C3490" s="23" t="str">
        <f ca="1">IFERROR(__xludf.DUMMYFUNCTION("""COMPUTED_VALUE"""),"Greta 75")</f>
        <v>Greta 75</v>
      </c>
      <c r="D3490" s="24">
        <f ca="1">IFERROR(__xludf.DUMMYFUNCTION("""COMPUTED_VALUE"""),489)</f>
        <v>489</v>
      </c>
      <c r="E3490" s="26" t="str">
        <f ca="1">IFERROR(__xludf.DUMMYFUNCTION("""COMPUTED_VALUE"""),"REA-U1500")</f>
        <v>REA-U1500</v>
      </c>
    </row>
    <row r="3491" spans="1:5" x14ac:dyDescent="0.2">
      <c r="A3491" s="22">
        <f ca="1">IFERROR(__xludf.DUMMYFUNCTION("""COMPUTED_VALUE"""),44512)</f>
        <v>44512</v>
      </c>
      <c r="B3491" s="23" t="str">
        <f ca="1">IFERROR(__xludf.DUMMYFUNCTION("""COMPUTED_VALUE"""),"Umywalka blatowa")</f>
        <v>Umywalka blatowa</v>
      </c>
      <c r="C3491" s="23" t="str">
        <f ca="1">IFERROR(__xludf.DUMMYFUNCTION("""COMPUTED_VALUE"""),"Wendy")</f>
        <v>Wendy</v>
      </c>
      <c r="D3491" s="24">
        <f ca="1">IFERROR(__xludf.DUMMYFUNCTION("""COMPUTED_VALUE"""),249)</f>
        <v>249</v>
      </c>
      <c r="E3491" s="26" t="str">
        <f ca="1">IFERROR(__xludf.DUMMYFUNCTION("""COMPUTED_VALUE"""),"REA-U0157")</f>
        <v>REA-U0157</v>
      </c>
    </row>
    <row r="3492" spans="1:5" x14ac:dyDescent="0.2">
      <c r="A3492" s="22">
        <f ca="1">IFERROR(__xludf.DUMMYFUNCTION("""COMPUTED_VALUE"""),44512)</f>
        <v>44512</v>
      </c>
      <c r="B3492" s="23" t="str">
        <f ca="1">IFERROR(__xludf.DUMMYFUNCTION("""COMPUTED_VALUE"""),"Umywalka blatowa")</f>
        <v>Umywalka blatowa</v>
      </c>
      <c r="C3492" s="23" t="str">
        <f ca="1">IFERROR(__xludf.DUMMYFUNCTION("""COMPUTED_VALUE"""),"Lara Stone")</f>
        <v>Lara Stone</v>
      </c>
      <c r="D3492" s="24">
        <f ca="1">IFERROR(__xludf.DUMMYFUNCTION("""COMPUTED_VALUE"""),309)</f>
        <v>309</v>
      </c>
      <c r="E3492" s="26" t="str">
        <f ca="1">IFERROR(__xludf.DUMMYFUNCTION("""COMPUTED_VALUE"""),"REA-U9888")</f>
        <v>REA-U9888</v>
      </c>
    </row>
    <row r="3493" spans="1:5" x14ac:dyDescent="0.2">
      <c r="A3493" s="22">
        <f ca="1">IFERROR(__xludf.DUMMYFUNCTION("""COMPUTED_VALUE"""),44512)</f>
        <v>44512</v>
      </c>
      <c r="B3493" s="23" t="str">
        <f ca="1">IFERROR(__xludf.DUMMYFUNCTION("""COMPUTED_VALUE"""),"Umywalka blatowa")</f>
        <v>Umywalka blatowa</v>
      </c>
      <c r="C3493" s="23" t="str">
        <f ca="1">IFERROR(__xludf.DUMMYFUNCTION("""COMPUTED_VALUE"""),"Lara Beige")</f>
        <v>Lara Beige</v>
      </c>
      <c r="D3493" s="24">
        <f ca="1">IFERROR(__xludf.DUMMYFUNCTION("""COMPUTED_VALUE"""),309)</f>
        <v>309</v>
      </c>
      <c r="E3493" s="26" t="str">
        <f ca="1">IFERROR(__xludf.DUMMYFUNCTION("""COMPUTED_VALUE"""),"REA-U9887")</f>
        <v>REA-U9887</v>
      </c>
    </row>
    <row r="3494" spans="1:5" x14ac:dyDescent="0.2">
      <c r="A3494" s="22">
        <f ca="1">IFERROR(__xludf.DUMMYFUNCTION("""COMPUTED_VALUE"""),44510)</f>
        <v>44510</v>
      </c>
      <c r="B3494" s="23" t="str">
        <f ca="1">IFERROR(__xludf.DUMMYFUNCTION("""COMPUTED_VALUE"""),"Umywalka blatowa")</f>
        <v>Umywalka blatowa</v>
      </c>
      <c r="C3494" s="23" t="str">
        <f ca="1">IFERROR(__xludf.DUMMYFUNCTION("""COMPUTED_VALUE"""),"Lara Grey")</f>
        <v>Lara Grey</v>
      </c>
      <c r="D3494" s="24">
        <f ca="1">IFERROR(__xludf.DUMMYFUNCTION("""COMPUTED_VALUE"""),309)</f>
        <v>309</v>
      </c>
      <c r="E3494" s="26" t="str">
        <f ca="1">IFERROR(__xludf.DUMMYFUNCTION("""COMPUTED_VALUE"""),"REA-U9889")</f>
        <v>REA-U9889</v>
      </c>
    </row>
    <row r="3495" spans="1:5" x14ac:dyDescent="0.2">
      <c r="A3495" s="22">
        <f ca="1">IFERROR(__xludf.DUMMYFUNCTION("""COMPUTED_VALUE"""),44510)</f>
        <v>44510</v>
      </c>
      <c r="B3495" s="23" t="str">
        <f ca="1">IFERROR(__xludf.DUMMYFUNCTION("""COMPUTED_VALUE"""),"Umywalka blatowa")</f>
        <v>Umywalka blatowa</v>
      </c>
      <c r="C3495" s="23" t="str">
        <f ca="1">IFERROR(__xludf.DUMMYFUNCTION("""COMPUTED_VALUE"""),"Gina 60")</f>
        <v>Gina 60</v>
      </c>
      <c r="D3495" s="24">
        <f ca="1">IFERROR(__xludf.DUMMYFUNCTION("""COMPUTED_VALUE"""),409)</f>
        <v>409</v>
      </c>
      <c r="E3495" s="26" t="str">
        <f ca="1">IFERROR(__xludf.DUMMYFUNCTION("""COMPUTED_VALUE"""),"REA-U0677")</f>
        <v>REA-U0677</v>
      </c>
    </row>
    <row r="3496" spans="1:5" x14ac:dyDescent="0.2">
      <c r="A3496" s="22">
        <f ca="1">IFERROR(__xludf.DUMMYFUNCTION("""COMPUTED_VALUE"""),44510)</f>
        <v>44510</v>
      </c>
      <c r="B3496" s="23" t="str">
        <f ca="1">IFERROR(__xludf.DUMMYFUNCTION("""COMPUTED_VALUE"""),"Umywalka blatowa")</f>
        <v>Umywalka blatowa</v>
      </c>
      <c r="C3496" s="23" t="str">
        <f ca="1">IFERROR(__xludf.DUMMYFUNCTION("""COMPUTED_VALUE"""),"Tango")</f>
        <v>Tango</v>
      </c>
      <c r="D3496" s="24">
        <f ca="1">IFERROR(__xludf.DUMMYFUNCTION("""COMPUTED_VALUE"""),299)</f>
        <v>299</v>
      </c>
      <c r="E3496" s="26" t="str">
        <f ca="1">IFERROR(__xludf.DUMMYFUNCTION("""COMPUTED_VALUE"""),"REA-U5610")</f>
        <v>REA-U5610</v>
      </c>
    </row>
    <row r="3497" spans="1:5" x14ac:dyDescent="0.2">
      <c r="A3497" s="22">
        <f ca="1">IFERROR(__xludf.DUMMYFUNCTION("""COMPUTED_VALUE"""),44510)</f>
        <v>44510</v>
      </c>
      <c r="B3497" s="23" t="str">
        <f ca="1">IFERROR(__xludf.DUMMYFUNCTION("""COMPUTED_VALUE"""),"Bateria umywalkowa /wysoka/")</f>
        <v>Bateria umywalkowa /wysoka/</v>
      </c>
      <c r="C3497" s="23" t="str">
        <f ca="1">IFERROR(__xludf.DUMMYFUNCTION("""COMPUTED_VALUE"""),"Lugano Gold")</f>
        <v>Lugano Gold</v>
      </c>
      <c r="D3497" s="24">
        <f ca="1">IFERROR(__xludf.DUMMYFUNCTION("""COMPUTED_VALUE"""),319)</f>
        <v>319</v>
      </c>
      <c r="E3497" s="26" t="str">
        <f ca="1">IFERROR(__xludf.DUMMYFUNCTION("""COMPUTED_VALUE"""),"REA-B5002")</f>
        <v>REA-B5002</v>
      </c>
    </row>
    <row r="3498" spans="1:5" x14ac:dyDescent="0.2">
      <c r="A3498" s="22">
        <f ca="1">IFERROR(__xludf.DUMMYFUNCTION("""COMPUTED_VALUE"""),44510)</f>
        <v>44510</v>
      </c>
      <c r="B3498" s="23" t="str">
        <f ca="1">IFERROR(__xludf.DUMMYFUNCTION("""COMPUTED_VALUE"""),"Bateria umywalkowa")</f>
        <v>Bateria umywalkowa</v>
      </c>
      <c r="C3498" s="23" t="str">
        <f ca="1">IFERROR(__xludf.DUMMYFUNCTION("""COMPUTED_VALUE"""),"Lungo rose gold wysoka")</f>
        <v>Lungo rose gold wysoka</v>
      </c>
      <c r="D3498" s="24">
        <f ca="1">IFERROR(__xludf.DUMMYFUNCTION("""COMPUTED_VALUE"""),279)</f>
        <v>279</v>
      </c>
      <c r="E3498" s="26" t="str">
        <f ca="1">IFERROR(__xludf.DUMMYFUNCTION("""COMPUTED_VALUE"""),"REA-B6321")</f>
        <v>REA-B6321</v>
      </c>
    </row>
    <row r="3499" spans="1:5" x14ac:dyDescent="0.2">
      <c r="A3499" s="22">
        <f ca="1">IFERROR(__xludf.DUMMYFUNCTION("""COMPUTED_VALUE"""),44510)</f>
        <v>44510</v>
      </c>
      <c r="B3499" s="23" t="str">
        <f ca="1">IFERROR(__xludf.DUMMYFUNCTION("""COMPUTED_VALUE"""),"Bateria umywalkowa podtynkowa + box")</f>
        <v>Bateria umywalkowa podtynkowa + box</v>
      </c>
      <c r="C3499" s="23" t="str">
        <f ca="1">IFERROR(__xludf.DUMMYFUNCTION("""COMPUTED_VALUE"""),"Viva L.Gold")</f>
        <v>Viva L.Gold</v>
      </c>
      <c r="D3499" s="24">
        <f ca="1">IFERROR(__xludf.DUMMYFUNCTION("""COMPUTED_VALUE"""),429)</f>
        <v>429</v>
      </c>
      <c r="E3499" s="26" t="str">
        <f ca="1">IFERROR(__xludf.DUMMYFUNCTION("""COMPUTED_VALUE"""),"REA-B6251")</f>
        <v>REA-B6251</v>
      </c>
    </row>
    <row r="3500" spans="1:5" x14ac:dyDescent="0.2">
      <c r="A3500" s="22">
        <f ca="1">IFERROR(__xludf.DUMMYFUNCTION("""COMPUTED_VALUE"""),44510)</f>
        <v>44510</v>
      </c>
      <c r="B3500" s="23" t="str">
        <f ca="1">IFERROR(__xludf.DUMMYFUNCTION("""COMPUTED_VALUE"""),"Bateria wannowa STOJĄCA")</f>
        <v>Bateria wannowa STOJĄCA</v>
      </c>
      <c r="C3500" s="23" t="str">
        <f ca="1">IFERROR(__xludf.DUMMYFUNCTION("""COMPUTED_VALUE"""),"Carat Black")</f>
        <v>Carat Black</v>
      </c>
      <c r="D3500" s="24">
        <f ca="1">IFERROR(__xludf.DUMMYFUNCTION("""COMPUTED_VALUE"""),1379)</f>
        <v>1379</v>
      </c>
      <c r="E3500" s="26" t="str">
        <f ca="1">IFERROR(__xludf.DUMMYFUNCTION("""COMPUTED_VALUE"""),"REA-B5423")</f>
        <v>REA-B5423</v>
      </c>
    </row>
    <row r="3501" spans="1:5" x14ac:dyDescent="0.2">
      <c r="A3501" s="22">
        <f ca="1">IFERROR(__xludf.DUMMYFUNCTION("""COMPUTED_VALUE"""),44510)</f>
        <v>44510</v>
      </c>
      <c r="B3501" s="23" t="str">
        <f ca="1">IFERROR(__xludf.DUMMYFUNCTION("""COMPUTED_VALUE"""),"Bateria nawannowa 3-otworowa")</f>
        <v>Bateria nawannowa 3-otworowa</v>
      </c>
      <c r="C3501" s="23" t="str">
        <f ca="1">IFERROR(__xludf.DUMMYFUNCTION("""COMPUTED_VALUE"""),"Glen Black")</f>
        <v>Glen Black</v>
      </c>
      <c r="D3501" s="24">
        <f ca="1">IFERROR(__xludf.DUMMYFUNCTION("""COMPUTED_VALUE"""),819)</f>
        <v>819</v>
      </c>
      <c r="E3501" s="26" t="str">
        <f ca="1">IFERROR(__xludf.DUMMYFUNCTION("""COMPUTED_VALUE"""),"REA-B6630")</f>
        <v>REA-B6630</v>
      </c>
    </row>
    <row r="3502" spans="1:5" x14ac:dyDescent="0.2">
      <c r="A3502" s="22">
        <f ca="1">IFERROR(__xludf.DUMMYFUNCTION("""COMPUTED_VALUE"""),44510)</f>
        <v>44510</v>
      </c>
      <c r="B3502" s="23" t="str">
        <f ca="1">IFERROR(__xludf.DUMMYFUNCTION("""COMPUTED_VALUE"""),"Bateria nawannowa 3-otworowa")</f>
        <v>Bateria nawannowa 3-otworowa</v>
      </c>
      <c r="C3502" s="23" t="str">
        <f ca="1">IFERROR(__xludf.DUMMYFUNCTION("""COMPUTED_VALUE"""),"Glen Gold")</f>
        <v>Glen Gold</v>
      </c>
      <c r="D3502" s="24">
        <f ca="1">IFERROR(__xludf.DUMMYFUNCTION("""COMPUTED_VALUE"""),859)</f>
        <v>859</v>
      </c>
      <c r="E3502" s="26" t="str">
        <f ca="1">IFERROR(__xludf.DUMMYFUNCTION("""COMPUTED_VALUE"""),"REA-B6631")</f>
        <v>REA-B6631</v>
      </c>
    </row>
    <row r="3503" spans="1:5" x14ac:dyDescent="0.2">
      <c r="A3503" s="22">
        <f ca="1">IFERROR(__xludf.DUMMYFUNCTION("""COMPUTED_VALUE"""),44510)</f>
        <v>44510</v>
      </c>
      <c r="B3503" s="23" t="str">
        <f ca="1">IFERROR(__xludf.DUMMYFUNCTION("""COMPUTED_VALUE"""),"Bateria bidetowa")</f>
        <v>Bateria bidetowa</v>
      </c>
      <c r="C3503" s="23" t="str">
        <f ca="1">IFERROR(__xludf.DUMMYFUNCTION("""COMPUTED_VALUE"""),"Loop L. Gold")</f>
        <v>Loop L. Gold</v>
      </c>
      <c r="D3503" s="24">
        <f ca="1">IFERROR(__xludf.DUMMYFUNCTION("""COMPUTED_VALUE"""),349)</f>
        <v>349</v>
      </c>
      <c r="E3503" s="26" t="str">
        <f ca="1">IFERROR(__xludf.DUMMYFUNCTION("""COMPUTED_VALUE"""),"REA-B8979")</f>
        <v>REA-B8979</v>
      </c>
    </row>
    <row r="3504" spans="1:5" x14ac:dyDescent="0.2">
      <c r="A3504" s="22">
        <f ca="1">IFERROR(__xludf.DUMMYFUNCTION("""COMPUTED_VALUE"""),44510)</f>
        <v>44510</v>
      </c>
      <c r="B3504" s="23" t="str">
        <f ca="1">IFERROR(__xludf.DUMMYFUNCTION("""COMPUTED_VALUE"""),"Zestaw natryskowy podtynkowy")</f>
        <v>Zestaw natryskowy podtynkowy</v>
      </c>
      <c r="C3504" s="23" t="str">
        <f ca="1">IFERROR(__xludf.DUMMYFUNCTION("""COMPUTED_VALUE"""),"Exit Black")</f>
        <v>Exit Black</v>
      </c>
      <c r="D3504" s="24">
        <f ca="1">IFERROR(__xludf.DUMMYFUNCTION("""COMPUTED_VALUE"""),1099)</f>
        <v>1099</v>
      </c>
      <c r="E3504" s="26" t="str">
        <f ca="1">IFERROR(__xludf.DUMMYFUNCTION("""COMPUTED_VALUE"""),"REA-P8000")</f>
        <v>REA-P8000</v>
      </c>
    </row>
    <row r="3505" spans="1:5" x14ac:dyDescent="0.2">
      <c r="A3505" s="22">
        <f ca="1">IFERROR(__xludf.DUMMYFUNCTION("""COMPUTED_VALUE"""),44510)</f>
        <v>44510</v>
      </c>
      <c r="B3505" s="23" t="str">
        <f ca="1">IFERROR(__xludf.DUMMYFUNCTION("""COMPUTED_VALUE"""),"Zestaw natryskowy")</f>
        <v>Zestaw natryskowy</v>
      </c>
      <c r="C3505" s="23" t="str">
        <f ca="1">IFERROR(__xludf.DUMMYFUNCTION("""COMPUTED_VALUE"""),"Roger Gold")</f>
        <v>Roger Gold</v>
      </c>
      <c r="D3505" s="24">
        <f ca="1">IFERROR(__xludf.DUMMYFUNCTION("""COMPUTED_VALUE"""),1029)</f>
        <v>1029</v>
      </c>
      <c r="E3505" s="26" t="str">
        <f ca="1">IFERROR(__xludf.DUMMYFUNCTION("""COMPUTED_VALUE"""),"REA-P0692")</f>
        <v>REA-P0692</v>
      </c>
    </row>
    <row r="3506" spans="1:5" x14ac:dyDescent="0.2">
      <c r="A3506" s="22">
        <f ca="1">IFERROR(__xludf.DUMMYFUNCTION("""COMPUTED_VALUE"""),44510)</f>
        <v>44510</v>
      </c>
      <c r="B3506" s="23" t="str">
        <f ca="1">IFERROR(__xludf.DUMMYFUNCTION("""COMPUTED_VALUE"""),"Zestaw natryskowy podtynkowy z baterią, deszczownicą i ramienimiem ściennym, słuchawką")</f>
        <v>Zestaw natryskowy podtynkowy z baterią, deszczownicą i ramienimiem ściennym, słuchawką</v>
      </c>
      <c r="C3506" s="23" t="str">
        <f ca="1">IFERROR(__xludf.DUMMYFUNCTION("""COMPUTED_VALUE"""),"Sonic Black")</f>
        <v>Sonic Black</v>
      </c>
      <c r="D3506" s="24">
        <f ca="1">IFERROR(__xludf.DUMMYFUNCTION("""COMPUTED_VALUE"""),939)</f>
        <v>939</v>
      </c>
      <c r="E3506" s="26" t="str">
        <f ca="1">IFERROR(__xludf.DUMMYFUNCTION("""COMPUTED_VALUE"""),"REA-P0369")</f>
        <v>REA-P0369</v>
      </c>
    </row>
    <row r="3507" spans="1:5" x14ac:dyDescent="0.2">
      <c r="A3507" s="22">
        <f ca="1">IFERROR(__xludf.DUMMYFUNCTION("""COMPUTED_VALUE"""),44510)</f>
        <v>44510</v>
      </c>
      <c r="B3507" s="23" t="str">
        <f ca="1">IFERROR(__xludf.DUMMYFUNCTION("""COMPUTED_VALUE"""),"Zestaw natryskowy")</f>
        <v>Zestaw natryskowy</v>
      </c>
      <c r="C3507" s="23" t="str">
        <f ca="1">IFERROR(__xludf.DUMMYFUNCTION("""COMPUTED_VALUE"""),"Vincent L.Gold")</f>
        <v>Vincent L.Gold</v>
      </c>
      <c r="D3507" s="24">
        <f ca="1">IFERROR(__xludf.DUMMYFUNCTION("""COMPUTED_VALUE"""),909)</f>
        <v>909</v>
      </c>
      <c r="E3507" s="26" t="str">
        <f ca="1">IFERROR(__xludf.DUMMYFUNCTION("""COMPUTED_VALUE"""),"REA-P8005")</f>
        <v>REA-P8005</v>
      </c>
    </row>
    <row r="3508" spans="1:5" x14ac:dyDescent="0.2">
      <c r="A3508" s="22">
        <f ca="1">IFERROR(__xludf.DUMMYFUNCTION("""COMPUTED_VALUE"""),44510)</f>
        <v>44510</v>
      </c>
      <c r="B3508" s="23" t="str">
        <f ca="1">IFERROR(__xludf.DUMMYFUNCTION("""COMPUTED_VALUE"""),"Zestaw natryskowy")</f>
        <v>Zestaw natryskowy</v>
      </c>
      <c r="C3508" s="23" t="str">
        <f ca="1">IFERROR(__xludf.DUMMYFUNCTION("""COMPUTED_VALUE"""),"Bento L. Gold")</f>
        <v>Bento L. Gold</v>
      </c>
      <c r="D3508" s="24">
        <f ca="1">IFERROR(__xludf.DUMMYFUNCTION("""COMPUTED_VALUE"""),1079)</f>
        <v>1079</v>
      </c>
      <c r="E3508" s="26" t="str">
        <f ca="1">IFERROR(__xludf.DUMMYFUNCTION("""COMPUTED_VALUE"""),"REA-P4893")</f>
        <v>REA-P4893</v>
      </c>
    </row>
    <row r="3509" spans="1:5" x14ac:dyDescent="0.2">
      <c r="A3509" s="22">
        <f ca="1">IFERROR(__xludf.DUMMYFUNCTION("""COMPUTED_VALUE"""),44510)</f>
        <v>44510</v>
      </c>
      <c r="B3509" s="23" t="str">
        <f ca="1">IFERROR(__xludf.DUMMYFUNCTION("""COMPUTED_VALUE"""),"Bateria umywalkowa")</f>
        <v>Bateria umywalkowa</v>
      </c>
      <c r="C3509" s="23" t="str">
        <f ca="1">IFERROR(__xludf.DUMMYFUNCTION("""COMPUTED_VALUE"""),"Kent Chrome")</f>
        <v>Kent Chrome</v>
      </c>
      <c r="D3509" s="24">
        <f ca="1">IFERROR(__xludf.DUMMYFUNCTION("""COMPUTED_VALUE"""),249)</f>
        <v>249</v>
      </c>
      <c r="E3509" s="26" t="str">
        <f ca="1">IFERROR(__xludf.DUMMYFUNCTION("""COMPUTED_VALUE"""),"NOWOŚĆ")</f>
        <v>NOWOŚĆ</v>
      </c>
    </row>
    <row r="3510" spans="1:5" x14ac:dyDescent="0.2">
      <c r="A3510" s="22">
        <f ca="1">IFERROR(__xludf.DUMMYFUNCTION("""COMPUTED_VALUE"""),44510)</f>
        <v>44510</v>
      </c>
      <c r="B3510" s="23" t="str">
        <f ca="1">IFERROR(__xludf.DUMMYFUNCTION("""COMPUTED_VALUE"""),"Beteria umywalka")</f>
        <v>Beteria umywalka</v>
      </c>
      <c r="C3510" s="23" t="str">
        <f ca="1">IFERROR(__xludf.DUMMYFUNCTION("""COMPUTED_VALUE"""),"Kent Black")</f>
        <v>Kent Black</v>
      </c>
      <c r="D3510" s="24">
        <f ca="1">IFERROR(__xludf.DUMMYFUNCTION("""COMPUTED_VALUE"""),269)</f>
        <v>269</v>
      </c>
      <c r="E3510" s="26" t="str">
        <f ca="1">IFERROR(__xludf.DUMMYFUNCTION("""COMPUTED_VALUE"""),"NOWOŚĆ")</f>
        <v>NOWOŚĆ</v>
      </c>
    </row>
    <row r="3511" spans="1:5" x14ac:dyDescent="0.2">
      <c r="A3511" s="22">
        <f ca="1">IFERROR(__xludf.DUMMYFUNCTION("""COMPUTED_VALUE"""),44508)</f>
        <v>44508</v>
      </c>
      <c r="B3511" s="23" t="str">
        <f ca="1">IFERROR(__xludf.DUMMYFUNCTION("""COMPUTED_VALUE"""),"Bateria umywalkowa")</f>
        <v>Bateria umywalkowa</v>
      </c>
      <c r="C3511" s="23" t="str">
        <f ca="1">IFERROR(__xludf.DUMMYFUNCTION("""COMPUTED_VALUE"""),"Kent Gold")</f>
        <v>Kent Gold</v>
      </c>
      <c r="D3511" s="24">
        <f ca="1">IFERROR(__xludf.DUMMYFUNCTION("""COMPUTED_VALUE"""),299)</f>
        <v>299</v>
      </c>
      <c r="E3511" s="26" t="str">
        <f ca="1">IFERROR(__xludf.DUMMYFUNCTION("""COMPUTED_VALUE"""),"NOWOŚĆ")</f>
        <v>NOWOŚĆ</v>
      </c>
    </row>
    <row r="3512" spans="1:5" x14ac:dyDescent="0.2">
      <c r="A3512" s="22">
        <f ca="1">IFERROR(__xludf.DUMMYFUNCTION("""COMPUTED_VALUE"""),44508)</f>
        <v>44508</v>
      </c>
      <c r="B3512" s="23" t="str">
        <f ca="1">IFERROR(__xludf.DUMMYFUNCTION("""COMPUTED_VALUE"""),"Bateria wannowa STOJĄCA")</f>
        <v>Bateria wannowa STOJĄCA</v>
      </c>
      <c r="C3512" s="23" t="str">
        <f ca="1">IFERROR(__xludf.DUMMYFUNCTION("""COMPUTED_VALUE"""),"Ortis L.Gold")</f>
        <v>Ortis L.Gold</v>
      </c>
      <c r="D3512" s="24">
        <f ca="1">IFERROR(__xludf.DUMMYFUNCTION("""COMPUTED_VALUE"""),1249)</f>
        <v>1249</v>
      </c>
      <c r="E3512" s="26" t="str">
        <f ca="1">IFERROR(__xludf.DUMMYFUNCTION("""COMPUTED_VALUE"""),"REA-B7430")</f>
        <v>REA-B7430</v>
      </c>
    </row>
    <row r="3513" spans="1:5" x14ac:dyDescent="0.2">
      <c r="A3513" s="22">
        <f ca="1">IFERROR(__xludf.DUMMYFUNCTION("""COMPUTED_VALUE"""),44508)</f>
        <v>44508</v>
      </c>
      <c r="B3513" s="23" t="str">
        <f ca="1">IFERROR(__xludf.DUMMYFUNCTION("""COMPUTED_VALUE"""),"Bateria bidetowa")</f>
        <v>Bateria bidetowa</v>
      </c>
      <c r="C3513" s="23" t="str">
        <f ca="1">IFERROR(__xludf.DUMMYFUNCTION("""COMPUTED_VALUE"""),"Loop Black")</f>
        <v>Loop Black</v>
      </c>
      <c r="D3513" s="24">
        <f ca="1">IFERROR(__xludf.DUMMYFUNCTION("""COMPUTED_VALUE"""),359)</f>
        <v>359</v>
      </c>
      <c r="E3513" s="26" t="str">
        <f ca="1">IFERROR(__xludf.DUMMYFUNCTION("""COMPUTED_VALUE"""),"REA-B8978")</f>
        <v>REA-B8978</v>
      </c>
    </row>
    <row r="3514" spans="1:5" x14ac:dyDescent="0.2">
      <c r="A3514" s="22">
        <f ca="1">IFERROR(__xludf.DUMMYFUNCTION("""COMPUTED_VALUE"""),44508)</f>
        <v>44508</v>
      </c>
      <c r="B3514" s="23" t="str">
        <f ca="1">IFERROR(__xludf.DUMMYFUNCTION("""COMPUTED_VALUE"""),"Bateria bidetowa")</f>
        <v>Bateria bidetowa</v>
      </c>
      <c r="C3514" s="23" t="str">
        <f ca="1">IFERROR(__xludf.DUMMYFUNCTION("""COMPUTED_VALUE"""),"Loop")</f>
        <v>Loop</v>
      </c>
      <c r="D3514" s="24">
        <f ca="1">IFERROR(__xludf.DUMMYFUNCTION("""COMPUTED_VALUE"""),299)</f>
        <v>299</v>
      </c>
      <c r="E3514" s="26" t="str">
        <f ca="1">IFERROR(__xludf.DUMMYFUNCTION("""COMPUTED_VALUE"""),"REA-B4106")</f>
        <v>REA-B4106</v>
      </c>
    </row>
    <row r="3515" spans="1:5" x14ac:dyDescent="0.2">
      <c r="A3515" s="22">
        <f ca="1">IFERROR(__xludf.DUMMYFUNCTION("""COMPUTED_VALUE"""),44508)</f>
        <v>44508</v>
      </c>
      <c r="B3515" s="23" t="str">
        <f ca="1">IFERROR(__xludf.DUMMYFUNCTION("""COMPUTED_VALUE"""),"Bateria kuchenna")</f>
        <v>Bateria kuchenna</v>
      </c>
      <c r="C3515" s="23" t="str">
        <f ca="1">IFERROR(__xludf.DUMMYFUNCTION("""COMPUTED_VALUE"""),"Castor black Mat")</f>
        <v>Castor black Mat</v>
      </c>
      <c r="D3515" s="24">
        <f ca="1">IFERROR(__xludf.DUMMYFUNCTION("""COMPUTED_VALUE"""),499)</f>
        <v>499</v>
      </c>
      <c r="E3515" s="26" t="str">
        <f ca="1">IFERROR(__xludf.DUMMYFUNCTION("""COMPUTED_VALUE"""),"REA-B6935")</f>
        <v>REA-B6935</v>
      </c>
    </row>
    <row r="3516" spans="1:5" x14ac:dyDescent="0.2">
      <c r="A3516" s="22">
        <f ca="1">IFERROR(__xludf.DUMMYFUNCTION("""COMPUTED_VALUE"""),44508)</f>
        <v>44508</v>
      </c>
      <c r="B3516" s="23" t="str">
        <f ca="1">IFERROR(__xludf.DUMMYFUNCTION("""COMPUTED_VALUE"""),"Bateria wannowa")</f>
        <v>Bateria wannowa</v>
      </c>
      <c r="C3516" s="23" t="str">
        <f ca="1">IFERROR(__xludf.DUMMYFUNCTION("""COMPUTED_VALUE"""),"Fenix L. Gold")</f>
        <v>Fenix L. Gold</v>
      </c>
      <c r="D3516" s="24">
        <f ca="1">IFERROR(__xludf.DUMMYFUNCTION("""COMPUTED_VALUE"""),629)</f>
        <v>629</v>
      </c>
      <c r="E3516" s="26" t="str">
        <f ca="1">IFERROR(__xludf.DUMMYFUNCTION("""COMPUTED_VALUE"""),"REA-B5666")</f>
        <v>REA-B5666</v>
      </c>
    </row>
    <row r="3517" spans="1:5" x14ac:dyDescent="0.2">
      <c r="A3517" s="22">
        <f ca="1">IFERROR(__xludf.DUMMYFUNCTION("""COMPUTED_VALUE"""),44508)</f>
        <v>44508</v>
      </c>
      <c r="B3517" s="23" t="str">
        <f ca="1">IFERROR(__xludf.DUMMYFUNCTION("""COMPUTED_VALUE"""),"Bateria wannowa")</f>
        <v>Bateria wannowa</v>
      </c>
      <c r="C3517" s="23" t="str">
        <f ca="1">IFERROR(__xludf.DUMMYFUNCTION("""COMPUTED_VALUE"""),"Lungo L.Gold")</f>
        <v>Lungo L.Gold</v>
      </c>
      <c r="D3517" s="24">
        <f ca="1">IFERROR(__xludf.DUMMYFUNCTION("""COMPUTED_VALUE"""),599)</f>
        <v>599</v>
      </c>
      <c r="E3517" s="26" t="str">
        <f ca="1">IFERROR(__xludf.DUMMYFUNCTION("""COMPUTED_VALUE"""),"REA-B6635")</f>
        <v>REA-B6635</v>
      </c>
    </row>
    <row r="3518" spans="1:5" x14ac:dyDescent="0.2">
      <c r="A3518" s="22">
        <f ca="1">IFERROR(__xludf.DUMMYFUNCTION("""COMPUTED_VALUE"""),44508)</f>
        <v>44508</v>
      </c>
      <c r="B3518" s="23" t="str">
        <f ca="1">IFERROR(__xludf.DUMMYFUNCTION("""COMPUTED_VALUE"""),"Bateria kuchenna")</f>
        <v>Bateria kuchenna</v>
      </c>
      <c r="C3518" s="23" t="str">
        <f ca="1">IFERROR(__xludf.DUMMYFUNCTION("""COMPUTED_VALUE"""),"Talisa Black mat")</f>
        <v>Talisa Black mat</v>
      </c>
      <c r="D3518" s="24">
        <f ca="1">IFERROR(__xludf.DUMMYFUNCTION("""COMPUTED_VALUE"""),209)</f>
        <v>209</v>
      </c>
      <c r="E3518" s="26" t="str">
        <f ca="1">IFERROR(__xludf.DUMMYFUNCTION("""COMPUTED_VALUE"""),"REA-B0978")</f>
        <v>REA-B0978</v>
      </c>
    </row>
    <row r="3519" spans="1:5" x14ac:dyDescent="0.2">
      <c r="A3519" s="22">
        <f ca="1">IFERROR(__xludf.DUMMYFUNCTION("""COMPUTED_VALUE"""),44508)</f>
        <v>44508</v>
      </c>
      <c r="B3519" s="23" t="str">
        <f ca="1">IFERROR(__xludf.DUMMYFUNCTION("""COMPUTED_VALUE"""),"Bateria kuchenna")</f>
        <v>Bateria kuchenna</v>
      </c>
      <c r="C3519" s="23" t="str">
        <f ca="1">IFERROR(__xludf.DUMMYFUNCTION("""COMPUTED_VALUE"""),"Talisa Gold")</f>
        <v>Talisa Gold</v>
      </c>
      <c r="D3519" s="24">
        <f ca="1">IFERROR(__xludf.DUMMYFUNCTION("""COMPUTED_VALUE"""),239)</f>
        <v>239</v>
      </c>
      <c r="E3519" s="26" t="str">
        <f ca="1">IFERROR(__xludf.DUMMYFUNCTION("""COMPUTED_VALUE"""),"REA-B1020")</f>
        <v>REA-B1020</v>
      </c>
    </row>
    <row r="3520" spans="1:5" x14ac:dyDescent="0.2">
      <c r="A3520" s="22">
        <f ca="1">IFERROR(__xludf.DUMMYFUNCTION("""COMPUTED_VALUE"""),44508)</f>
        <v>44508</v>
      </c>
      <c r="B3520" s="23" t="str">
        <f ca="1">IFERROR(__xludf.DUMMYFUNCTION("""COMPUTED_VALUE"""),"Bateria umywalkowa")</f>
        <v>Bateria umywalkowa</v>
      </c>
      <c r="C3520" s="23" t="str">
        <f ca="1">IFERROR(__xludf.DUMMYFUNCTION("""COMPUTED_VALUE"""),"Vertigo Up")</f>
        <v>Vertigo Up</v>
      </c>
      <c r="D3520" s="24">
        <f ca="1">IFERROR(__xludf.DUMMYFUNCTION("""COMPUTED_VALUE"""),259)</f>
        <v>259</v>
      </c>
      <c r="E3520" s="26" t="str">
        <f ca="1">IFERROR(__xludf.DUMMYFUNCTION("""COMPUTED_VALUE"""),"REA-B3921")</f>
        <v>REA-B3921</v>
      </c>
    </row>
    <row r="3521" spans="1:5" x14ac:dyDescent="0.2">
      <c r="A3521" s="22">
        <f ca="1">IFERROR(__xludf.DUMMYFUNCTION("""COMPUTED_VALUE"""),44508)</f>
        <v>44508</v>
      </c>
      <c r="B3521" s="23" t="str">
        <f ca="1">IFERROR(__xludf.DUMMYFUNCTION("""COMPUTED_VALUE"""),"Kabina prysznicowa")</f>
        <v>Kabina prysznicowa</v>
      </c>
      <c r="C3521" s="23" t="str">
        <f ca="1">IFERROR(__xludf.DUMMYFUNCTION("""COMPUTED_VALUE"""),"Diamond 90x90")</f>
        <v>Diamond 90x90</v>
      </c>
      <c r="D3521" s="24">
        <f ca="1">IFERROR(__xludf.DUMMYFUNCTION("""COMPUTED_VALUE"""),1599)</f>
        <v>1599</v>
      </c>
      <c r="E3521" s="26" t="str">
        <f ca="1">IFERROR(__xludf.DUMMYFUNCTION("""COMPUTED_VALUE"""),"REA-K5622")</f>
        <v>REA-K5622</v>
      </c>
    </row>
    <row r="3522" spans="1:5" x14ac:dyDescent="0.2">
      <c r="A3522" s="22">
        <f ca="1">IFERROR(__xludf.DUMMYFUNCTION("""COMPUTED_VALUE"""),44508)</f>
        <v>44508</v>
      </c>
      <c r="B3522" s="23" t="str">
        <f ca="1">IFERROR(__xludf.DUMMYFUNCTION("""COMPUTED_VALUE"""),"Drzwi prysznicowe")</f>
        <v>Drzwi prysznicowe</v>
      </c>
      <c r="C3522" s="23" t="str">
        <f ca="1">IFERROR(__xludf.DUMMYFUNCTION("""COMPUTED_VALUE"""),"RAPID SLIDE 140")</f>
        <v>RAPID SLIDE 140</v>
      </c>
      <c r="D3522" s="24">
        <f ca="1">IFERROR(__xludf.DUMMYFUNCTION("""COMPUTED_VALUE"""),1099)</f>
        <v>1099</v>
      </c>
      <c r="E3522" s="26" t="str">
        <f ca="1">IFERROR(__xludf.DUMMYFUNCTION("""COMPUTED_VALUE"""),"REA-K6404")</f>
        <v>REA-K6404</v>
      </c>
    </row>
    <row r="3523" spans="1:5" x14ac:dyDescent="0.2">
      <c r="A3523" s="22">
        <f ca="1">IFERROR(__xludf.DUMMYFUNCTION("""COMPUTED_VALUE"""),44508)</f>
        <v>44508</v>
      </c>
      <c r="B3523" s="23" t="str">
        <f ca="1">IFERROR(__xludf.DUMMYFUNCTION("""COMPUTED_VALUE"""),"DRZWI PRYSZNICOWE ALEX-805 100")</f>
        <v>DRZWI PRYSZNICOWE ALEX-805 100</v>
      </c>
      <c r="C3523" s="23" t="str">
        <f ca="1">IFERROR(__xludf.DUMMYFUNCTION("""COMPUTED_VALUE"""),"Alex")</f>
        <v>Alex</v>
      </c>
      <c r="D3523" s="24">
        <f ca="1">IFERROR(__xludf.DUMMYFUNCTION("""COMPUTED_VALUE"""),879)</f>
        <v>879</v>
      </c>
      <c r="E3523" s="26" t="str">
        <f ca="1">IFERROR(__xludf.DUMMYFUNCTION("""COMPUTED_VALUE"""),"REA-K0546")</f>
        <v>REA-K0546</v>
      </c>
    </row>
    <row r="3524" spans="1:5" x14ac:dyDescent="0.2">
      <c r="A3524" s="22">
        <f ca="1">IFERROR(__xludf.DUMMYFUNCTION("""COMPUTED_VALUE"""),44508)</f>
        <v>44508</v>
      </c>
      <c r="B3524" s="23" t="str">
        <f ca="1">IFERROR(__xludf.DUMMYFUNCTION("""COMPUTED_VALUE"""),"Drzwi prysznicowe")</f>
        <v>Drzwi prysznicowe</v>
      </c>
      <c r="C3524" s="23" t="str">
        <f ca="1">IFERROR(__xludf.DUMMYFUNCTION("""COMPUTED_VALUE"""),"RAPID SLIDE 110")</f>
        <v>RAPID SLIDE 110</v>
      </c>
      <c r="D3524" s="24">
        <f ca="1">IFERROR(__xludf.DUMMYFUNCTION("""COMPUTED_VALUE"""),969)</f>
        <v>969</v>
      </c>
      <c r="E3524" s="26" t="str">
        <f ca="1">IFERROR(__xludf.DUMMYFUNCTION("""COMPUTED_VALUE"""),"REA-K6401")</f>
        <v>REA-K6401</v>
      </c>
    </row>
    <row r="3525" spans="1:5" x14ac:dyDescent="0.2">
      <c r="A3525" s="22">
        <f ca="1">IFERROR(__xludf.DUMMYFUNCTION("""COMPUTED_VALUE"""),44508)</f>
        <v>44508</v>
      </c>
      <c r="B3525" s="23" t="str">
        <f ca="1">IFERROR(__xludf.DUMMYFUNCTION("""COMPUTED_VALUE"""),"Drzwi prysznicowe")</f>
        <v>Drzwi prysznicowe</v>
      </c>
      <c r="C3525" s="23" t="str">
        <f ca="1">IFERROR(__xludf.DUMMYFUNCTION("""COMPUTED_VALUE"""),"RAPID SLIDE 150")</f>
        <v>RAPID SLIDE 150</v>
      </c>
      <c r="D3525" s="24">
        <f ca="1">IFERROR(__xludf.DUMMYFUNCTION("""COMPUTED_VALUE"""),1129)</f>
        <v>1129</v>
      </c>
      <c r="E3525" s="26" t="str">
        <f ca="1">IFERROR(__xludf.DUMMYFUNCTION("""COMPUTED_VALUE"""),"REA-K6405")</f>
        <v>REA-K6405</v>
      </c>
    </row>
    <row r="3526" spans="1:5" x14ac:dyDescent="0.2">
      <c r="A3526" s="22">
        <f ca="1">IFERROR(__xludf.DUMMYFUNCTION("""COMPUTED_VALUE"""),44508)</f>
        <v>44508</v>
      </c>
      <c r="B3526" s="23" t="str">
        <f ca="1">IFERROR(__xludf.DUMMYFUNCTION("""COMPUTED_VALUE"""),"Drzwi prysznicowe")</f>
        <v>Drzwi prysznicowe</v>
      </c>
      <c r="C3526" s="23" t="str">
        <f ca="1">IFERROR(__xludf.DUMMYFUNCTION("""COMPUTED_VALUE"""),"RAPID SLIDE 160")</f>
        <v>RAPID SLIDE 160</v>
      </c>
      <c r="D3526" s="24">
        <f ca="1">IFERROR(__xludf.DUMMYFUNCTION("""COMPUTED_VALUE"""),1179)</f>
        <v>1179</v>
      </c>
      <c r="E3526" s="26" t="str">
        <f ca="1">IFERROR(__xludf.DUMMYFUNCTION("""COMPUTED_VALUE"""),"REA-K6406")</f>
        <v>REA-K6406</v>
      </c>
    </row>
    <row r="3527" spans="1:5" x14ac:dyDescent="0.2">
      <c r="A3527" s="22">
        <f ca="1">IFERROR(__xludf.DUMMYFUNCTION("""COMPUTED_VALUE"""),44508)</f>
        <v>44508</v>
      </c>
      <c r="B3527" s="23" t="str">
        <f ca="1">IFERROR(__xludf.DUMMYFUNCTION("""COMPUTED_VALUE"""),"DRZWI PRYSZNICOWE NIXON-2 120 L")</f>
        <v>DRZWI PRYSZNICOWE NIXON-2 120 L</v>
      </c>
      <c r="C3527" s="23" t="str">
        <f ca="1">IFERROR(__xludf.DUMMYFUNCTION("""COMPUTED_VALUE"""),"Drzwi Nixon-2")</f>
        <v>Drzwi Nixon-2</v>
      </c>
      <c r="D3527" s="24">
        <f ca="1">IFERROR(__xludf.DUMMYFUNCTION("""COMPUTED_VALUE"""),1289)</f>
        <v>1289</v>
      </c>
      <c r="E3527" s="26" t="str">
        <f ca="1">IFERROR(__xludf.DUMMYFUNCTION("""COMPUTED_VALUE"""),"REA-K5002")</f>
        <v>REA-K5002</v>
      </c>
    </row>
    <row r="3528" spans="1:5" x14ac:dyDescent="0.2">
      <c r="A3528" s="22">
        <f ca="1">IFERROR(__xludf.DUMMYFUNCTION("""COMPUTED_VALUE"""),44508)</f>
        <v>44508</v>
      </c>
      <c r="B3528" s="23" t="str">
        <f ca="1">IFERROR(__xludf.DUMMYFUNCTION("""COMPUTED_VALUE"""),"DRZWI PRYSZNICOWE NIXON-2 120 p")</f>
        <v>DRZWI PRYSZNICOWE NIXON-2 120 p</v>
      </c>
      <c r="C3528" s="23" t="str">
        <f ca="1">IFERROR(__xludf.DUMMYFUNCTION("""COMPUTED_VALUE"""),"Drzwi Nixon-2")</f>
        <v>Drzwi Nixon-2</v>
      </c>
      <c r="D3528" s="24">
        <f ca="1">IFERROR(__xludf.DUMMYFUNCTION("""COMPUTED_VALUE"""),1289)</f>
        <v>1289</v>
      </c>
      <c r="E3528" s="26" t="str">
        <f ca="1">IFERROR(__xludf.DUMMYFUNCTION("""COMPUTED_VALUE"""),"REA-K5003")</f>
        <v>REA-K5003</v>
      </c>
    </row>
    <row r="3529" spans="1:5" x14ac:dyDescent="0.2">
      <c r="A3529" s="22">
        <f ca="1">IFERROR(__xludf.DUMMYFUNCTION("""COMPUTED_VALUE"""),44508)</f>
        <v>44508</v>
      </c>
      <c r="B3529" s="23" t="str">
        <f ca="1">IFERROR(__xludf.DUMMYFUNCTION("""COMPUTED_VALUE"""),"Drzwi prysznicowe SOLAR")</f>
        <v>Drzwi prysznicowe SOLAR</v>
      </c>
      <c r="C3529" s="23" t="str">
        <f ca="1">IFERROR(__xludf.DUMMYFUNCTION("""COMPUTED_VALUE"""),"Solar 120")</f>
        <v>Solar 120</v>
      </c>
      <c r="D3529" s="24">
        <f ca="1">IFERROR(__xludf.DUMMYFUNCTION("""COMPUTED_VALUE"""),949)</f>
        <v>949</v>
      </c>
      <c r="E3529" s="26" t="str">
        <f ca="1">IFERROR(__xludf.DUMMYFUNCTION("""COMPUTED_VALUE"""),"REA-K6312")</f>
        <v>REA-K6312</v>
      </c>
    </row>
    <row r="3530" spans="1:5" x14ac:dyDescent="0.2">
      <c r="A3530" s="22">
        <f ca="1">IFERROR(__xludf.DUMMYFUNCTION("""COMPUTED_VALUE"""),44508)</f>
        <v>44508</v>
      </c>
      <c r="B3530" s="23" t="str">
        <f ca="1">IFERROR(__xludf.DUMMYFUNCTION("""COMPUTED_VALUE"""),"Ścianka do Kabin Nixon")</f>
        <v>Ścianka do Kabin Nixon</v>
      </c>
      <c r="C3530" s="23" t="str">
        <f ca="1">IFERROR(__xludf.DUMMYFUNCTION("""COMPUTED_VALUE"""),"Nixon 100")</f>
        <v>Nixon 100</v>
      </c>
      <c r="D3530" s="24">
        <f ca="1">IFERROR(__xludf.DUMMYFUNCTION("""COMPUTED_VALUE"""),710)</f>
        <v>710</v>
      </c>
      <c r="E3530" s="26" t="str">
        <f ca="1">IFERROR(__xludf.DUMMYFUNCTION("""COMPUTED_VALUE"""),"REA-K5014")</f>
        <v>REA-K5014</v>
      </c>
    </row>
    <row r="3531" spans="1:5" x14ac:dyDescent="0.2">
      <c r="A3531" s="22">
        <f ca="1">IFERROR(__xludf.DUMMYFUNCTION("""COMPUTED_VALUE"""),44508)</f>
        <v>44508</v>
      </c>
      <c r="B3531" s="23" t="str">
        <f ca="1">IFERROR(__xludf.DUMMYFUNCTION("""COMPUTED_VALUE"""),"ŚCIANKA PRYSZNICOWA AERO 120 ""N""")</f>
        <v>ŚCIANKA PRYSZNICOWA AERO 120 "N"</v>
      </c>
      <c r="C3531" s="23" t="str">
        <f ca="1">IFERROR(__xludf.DUMMYFUNCTION("""COMPUTED_VALUE"""),"Aero ""N""")</f>
        <v>Aero "N"</v>
      </c>
      <c r="D3531" s="24">
        <f ca="1">IFERROR(__xludf.DUMMYFUNCTION("""COMPUTED_VALUE"""),1049)</f>
        <v>1049</v>
      </c>
      <c r="E3531" s="26" t="str">
        <f ca="1">IFERROR(__xludf.DUMMYFUNCTION("""COMPUTED_VALUE"""),"REA-K7550")</f>
        <v>REA-K7550</v>
      </c>
    </row>
    <row r="3532" spans="1:5" x14ac:dyDescent="0.2">
      <c r="A3532" s="22">
        <f ca="1">IFERROR(__xludf.DUMMYFUNCTION("""COMPUTED_VALUE"""),44508)</f>
        <v>44508</v>
      </c>
      <c r="B3532" s="23" t="str">
        <f ca="1">IFERROR(__xludf.DUMMYFUNCTION("""COMPUTED_VALUE"""),"Ścianka prysznicowa CORTIS")</f>
        <v>Ścianka prysznicowa CORTIS</v>
      </c>
      <c r="C3532" s="23">
        <f ca="1">IFERROR(__xludf.DUMMYFUNCTION("""COMPUTED_VALUE"""),120)</f>
        <v>120</v>
      </c>
      <c r="D3532" s="24">
        <f ca="1">IFERROR(__xludf.DUMMYFUNCTION("""COMPUTED_VALUE"""),1169)</f>
        <v>1169</v>
      </c>
      <c r="E3532" s="26" t="str">
        <f ca="1">IFERROR(__xludf.DUMMYFUNCTION("""COMPUTED_VALUE"""),"REA-K7211")</f>
        <v>REA-K7211</v>
      </c>
    </row>
    <row r="3533" spans="1:5" x14ac:dyDescent="0.2">
      <c r="A3533" s="22">
        <f ca="1">IFERROR(__xludf.DUMMYFUNCTION("""COMPUTED_VALUE"""),44508)</f>
        <v>44508</v>
      </c>
      <c r="B3533" s="23" t="str">
        <f ca="1">IFERROR(__xludf.DUMMYFUNCTION("""COMPUTED_VALUE"""),"Ścianka prysznicowa CORTIS")</f>
        <v>Ścianka prysznicowa CORTIS</v>
      </c>
      <c r="C3533" s="23" t="str">
        <f ca="1">IFERROR(__xludf.DUMMYFUNCTION("""COMPUTED_VALUE"""),"Black 120")</f>
        <v>Black 120</v>
      </c>
      <c r="D3533" s="24">
        <f ca="1">IFERROR(__xludf.DUMMYFUNCTION("""COMPUTED_VALUE"""),1169)</f>
        <v>1169</v>
      </c>
      <c r="E3533" s="26" t="str">
        <f ca="1">IFERROR(__xludf.DUMMYFUNCTION("""COMPUTED_VALUE"""),"REA-K8880")</f>
        <v>REA-K8880</v>
      </c>
    </row>
    <row r="3534" spans="1:5" x14ac:dyDescent="0.2">
      <c r="A3534" s="22">
        <f ca="1">IFERROR(__xludf.DUMMYFUNCTION("""COMPUTED_VALUE"""),44508)</f>
        <v>44508</v>
      </c>
      <c r="B3534" s="23" t="str">
        <f ca="1">IFERROR(__xludf.DUMMYFUNCTION("""COMPUTED_VALUE"""),"Ścianka prysznicowa")</f>
        <v>Ścianka prysznicowa</v>
      </c>
      <c r="C3534" s="23" t="str">
        <f ca="1">IFERROR(__xludf.DUMMYFUNCTION("""COMPUTED_VALUE"""),"Aero GOLD 110")</f>
        <v>Aero GOLD 110</v>
      </c>
      <c r="D3534" s="24">
        <f ca="1">IFERROR(__xludf.DUMMYFUNCTION("""COMPUTED_VALUE"""),1159)</f>
        <v>1159</v>
      </c>
      <c r="E3534" s="26" t="str">
        <f ca="1">IFERROR(__xludf.DUMMYFUNCTION("""COMPUTED_VALUE"""),"REA-K8441")</f>
        <v>REA-K8441</v>
      </c>
    </row>
    <row r="3535" spans="1:5" x14ac:dyDescent="0.2">
      <c r="A3535" s="22">
        <f ca="1">IFERROR(__xludf.DUMMYFUNCTION("""COMPUTED_VALUE"""),44508)</f>
        <v>44508</v>
      </c>
      <c r="B3535" s="23" t="str">
        <f ca="1">IFERROR(__xludf.DUMMYFUNCTION("""COMPUTED_VALUE"""),"Scianka prysznicowa")</f>
        <v>Scianka prysznicowa</v>
      </c>
      <c r="C3535" s="23" t="str">
        <f ca="1">IFERROR(__xludf.DUMMYFUNCTION("""COMPUTED_VALUE"""),"Aero GOLD 100")</f>
        <v>Aero GOLD 100</v>
      </c>
      <c r="D3535" s="24">
        <f ca="1">IFERROR(__xludf.DUMMYFUNCTION("""COMPUTED_VALUE"""),1099)</f>
        <v>1099</v>
      </c>
      <c r="E3535" s="26" t="str">
        <f ca="1">IFERROR(__xludf.DUMMYFUNCTION("""COMPUTED_VALUE"""),"REA-K8440")</f>
        <v>REA-K8440</v>
      </c>
    </row>
    <row r="3536" spans="1:5" x14ac:dyDescent="0.2">
      <c r="A3536" s="22">
        <f ca="1">IFERROR(__xludf.DUMMYFUNCTION("""COMPUTED_VALUE"""),44508)</f>
        <v>44508</v>
      </c>
      <c r="B3536" s="23" t="str">
        <f ca="1">IFERROR(__xludf.DUMMYFUNCTION("""COMPUTED_VALUE"""),"Ścianka prysznicowa")</f>
        <v>Ścianka prysznicowa</v>
      </c>
      <c r="C3536" s="23" t="str">
        <f ca="1">IFERROR(__xludf.DUMMYFUNCTION("""COMPUTED_VALUE"""),"Aero GOLD 90")</f>
        <v>Aero GOLD 90</v>
      </c>
      <c r="D3536" s="24">
        <f ca="1">IFERROR(__xludf.DUMMYFUNCTION("""COMPUTED_VALUE"""),1049)</f>
        <v>1049</v>
      </c>
      <c r="E3536" s="26" t="str">
        <f ca="1">IFERROR(__xludf.DUMMYFUNCTION("""COMPUTED_VALUE"""),"REA-K8442")</f>
        <v>REA-K8442</v>
      </c>
    </row>
    <row r="3537" spans="1:5" x14ac:dyDescent="0.2">
      <c r="A3537" s="22">
        <f ca="1">IFERROR(__xludf.DUMMYFUNCTION("""COMPUTED_VALUE"""),44508)</f>
        <v>44508</v>
      </c>
      <c r="B3537" s="23" t="str">
        <f ca="1">IFERROR(__xludf.DUMMYFUNCTION("""COMPUTED_VALUE"""),"Ścianka prysznicowa")</f>
        <v>Ścianka prysznicowa</v>
      </c>
      <c r="C3537" s="23" t="str">
        <f ca="1">IFERROR(__xludf.DUMMYFUNCTION("""COMPUTED_VALUE"""),"Aero GOLD 80")</f>
        <v>Aero GOLD 80</v>
      </c>
      <c r="D3537" s="24">
        <f ca="1">IFERROR(__xludf.DUMMYFUNCTION("""COMPUTED_VALUE"""),999)</f>
        <v>999</v>
      </c>
      <c r="E3537" s="26" t="str">
        <f ca="1">IFERROR(__xludf.DUMMYFUNCTION("""COMPUTED_VALUE"""),"REA-K8439")</f>
        <v>REA-K8439</v>
      </c>
    </row>
    <row r="3538" spans="1:5" x14ac:dyDescent="0.2">
      <c r="A3538" s="22">
        <f ca="1">IFERROR(__xludf.DUMMYFUNCTION("""COMPUTED_VALUE"""),44508)</f>
        <v>44508</v>
      </c>
      <c r="B3538" s="23" t="str">
        <f ca="1">IFERROR(__xludf.DUMMYFUNCTION("""COMPUTED_VALUE"""),"ŚCIANKA PRYSZNICOWA AERO 120 GOLD")</f>
        <v>ŚCIANKA PRYSZNICOWA AERO 120 GOLD</v>
      </c>
      <c r="C3538" s="23" t="str">
        <f ca="1">IFERROR(__xludf.DUMMYFUNCTION("""COMPUTED_VALUE"""),"AERO GOLD 120")</f>
        <v>AERO GOLD 120</v>
      </c>
      <c r="D3538" s="24">
        <f ca="1">IFERROR(__xludf.DUMMYFUNCTION("""COMPUTED_VALUE"""),1199)</f>
        <v>1199</v>
      </c>
      <c r="E3538" s="26" t="str">
        <f ca="1">IFERROR(__xludf.DUMMYFUNCTION("""COMPUTED_VALUE"""),"REA-K8443")</f>
        <v>REA-K8443</v>
      </c>
    </row>
    <row r="3539" spans="1:5" x14ac:dyDescent="0.2">
      <c r="A3539" s="22">
        <f ca="1">IFERROR(__xludf.DUMMYFUNCTION("""COMPUTED_VALUE"""),44508)</f>
        <v>44508</v>
      </c>
      <c r="B3539" s="23" t="str">
        <f ca="1">IFERROR(__xludf.DUMMYFUNCTION("""COMPUTED_VALUE"""),"ŚCIANKA PRYSZNICOWA AERO 80 ""N""")</f>
        <v>ŚCIANKA PRYSZNICOWA AERO 80 "N"</v>
      </c>
      <c r="C3539" s="23" t="str">
        <f ca="1">IFERROR(__xludf.DUMMYFUNCTION("""COMPUTED_VALUE"""),"Aero ""N""")</f>
        <v>Aero "N"</v>
      </c>
      <c r="D3539" s="24">
        <f ca="1">IFERROR(__xludf.DUMMYFUNCTION("""COMPUTED_VALUE"""),829)</f>
        <v>829</v>
      </c>
      <c r="E3539" s="26" t="str">
        <f ca="1">IFERROR(__xludf.DUMMYFUNCTION("""COMPUTED_VALUE"""),"REA-K7552")</f>
        <v>REA-K7552</v>
      </c>
    </row>
    <row r="3540" spans="1:5" x14ac:dyDescent="0.2">
      <c r="A3540" s="22">
        <f ca="1">IFERROR(__xludf.DUMMYFUNCTION("""COMPUTED_VALUE"""),44508)</f>
        <v>44508</v>
      </c>
      <c r="B3540" s="23" t="str">
        <f ca="1">IFERROR(__xludf.DUMMYFUNCTION("""COMPUTED_VALUE"""),"ŚCIANKA PRYSZNICOWA AERO 90 ""N""")</f>
        <v>ŚCIANKA PRYSZNICOWA AERO 90 "N"</v>
      </c>
      <c r="C3540" s="23" t="str">
        <f ca="1">IFERROR(__xludf.DUMMYFUNCTION("""COMPUTED_VALUE"""),"Aero ""N""")</f>
        <v>Aero "N"</v>
      </c>
      <c r="D3540" s="24">
        <f ca="1">IFERROR(__xludf.DUMMYFUNCTION("""COMPUTED_VALUE"""),899)</f>
        <v>899</v>
      </c>
      <c r="E3540" s="26" t="str">
        <f ca="1">IFERROR(__xludf.DUMMYFUNCTION("""COMPUTED_VALUE"""),"REA-K7553")</f>
        <v>REA-K7553</v>
      </c>
    </row>
    <row r="3541" spans="1:5" x14ac:dyDescent="0.2">
      <c r="A3541" s="22">
        <f ca="1">IFERROR(__xludf.DUMMYFUNCTION("""COMPUTED_VALUE"""),44508)</f>
        <v>44508</v>
      </c>
      <c r="B3541" s="23" t="str">
        <f ca="1">IFERROR(__xludf.DUMMYFUNCTION("""COMPUTED_VALUE"""),"Wieszak na ręczniki / półka")</f>
        <v>Wieszak na ręczniki / półka</v>
      </c>
      <c r="C3541" s="23" t="str">
        <f ca="1">IFERROR(__xludf.DUMMYFUNCTION("""COMPUTED_VALUE"""),"Evo Gold")</f>
        <v>Evo Gold</v>
      </c>
      <c r="D3541" s="24">
        <f ca="1">IFERROR(__xludf.DUMMYFUNCTION("""COMPUTED_VALUE"""),479)</f>
        <v>479</v>
      </c>
      <c r="E3541" s="26" t="str">
        <f ca="1">IFERROR(__xludf.DUMMYFUNCTION("""COMPUTED_VALUE"""),"HOM-00653")</f>
        <v>HOM-00653</v>
      </c>
    </row>
    <row r="3542" spans="1:5" x14ac:dyDescent="0.2">
      <c r="A3542" s="22">
        <f ca="1">IFERROR(__xludf.DUMMYFUNCTION("""COMPUTED_VALUE"""),44508)</f>
        <v>44508</v>
      </c>
      <c r="B3542" s="23" t="str">
        <f ca="1">IFERROR(__xludf.DUMMYFUNCTION("""COMPUTED_VALUE"""),"Wieszak na ręczniki / półka")</f>
        <v>Wieszak na ręczniki / półka</v>
      </c>
      <c r="C3542" s="23" t="str">
        <f ca="1">IFERROR(__xludf.DUMMYFUNCTION("""COMPUTED_VALUE"""),"Evo Chrom")</f>
        <v>Evo Chrom</v>
      </c>
      <c r="D3542" s="24">
        <f ca="1">IFERROR(__xludf.DUMMYFUNCTION("""COMPUTED_VALUE"""),330)</f>
        <v>330</v>
      </c>
      <c r="E3542" s="26" t="str">
        <f ca="1">IFERROR(__xludf.DUMMYFUNCTION("""COMPUTED_VALUE"""),"HOM-08945")</f>
        <v>HOM-08945</v>
      </c>
    </row>
    <row r="3543" spans="1:5" x14ac:dyDescent="0.2">
      <c r="A3543" s="22">
        <f ca="1">IFERROR(__xludf.DUMMYFUNCTION("""COMPUTED_VALUE"""),44508)</f>
        <v>44508</v>
      </c>
      <c r="B3543" s="23" t="str">
        <f ca="1">IFERROR(__xludf.DUMMYFUNCTION("""COMPUTED_VALUE"""),"Umywalka blatowa")</f>
        <v>Umywalka blatowa</v>
      </c>
      <c r="C3543" s="23" t="str">
        <f ca="1">IFERROR(__xludf.DUMMYFUNCTION("""COMPUTED_VALUE"""),"Queen White")</f>
        <v>Queen White</v>
      </c>
      <c r="D3543" s="24">
        <f ca="1">IFERROR(__xludf.DUMMYFUNCTION("""COMPUTED_VALUE"""),319)</f>
        <v>319</v>
      </c>
      <c r="E3543" s="26" t="str">
        <f ca="1">IFERROR(__xludf.DUMMYFUNCTION("""COMPUTED_VALUE"""),"REA-U1223")</f>
        <v>REA-U1223</v>
      </c>
    </row>
    <row r="3544" spans="1:5" x14ac:dyDescent="0.2">
      <c r="A3544" s="22">
        <f ca="1">IFERROR(__xludf.DUMMYFUNCTION("""COMPUTED_VALUE"""),44508)</f>
        <v>44508</v>
      </c>
      <c r="B3544" s="23" t="str">
        <f ca="1">IFERROR(__xludf.DUMMYFUNCTION("""COMPUTED_VALUE"""),"Umywalka blatowa")</f>
        <v>Umywalka blatowa</v>
      </c>
      <c r="C3544" s="23" t="str">
        <f ca="1">IFERROR(__xludf.DUMMYFUNCTION("""COMPUTED_VALUE"""),"Livia Beige")</f>
        <v>Livia Beige</v>
      </c>
      <c r="D3544" s="24">
        <f ca="1">IFERROR(__xludf.DUMMYFUNCTION("""COMPUTED_VALUE"""),319)</f>
        <v>319</v>
      </c>
      <c r="E3544" s="26" t="str">
        <f ca="1">IFERROR(__xludf.DUMMYFUNCTION("""COMPUTED_VALUE"""),"REA-U3802")</f>
        <v>REA-U3802</v>
      </c>
    </row>
    <row r="3545" spans="1:5" x14ac:dyDescent="0.2">
      <c r="A3545" s="22">
        <f ca="1">IFERROR(__xludf.DUMMYFUNCTION("""COMPUTED_VALUE"""),44508)</f>
        <v>44508</v>
      </c>
      <c r="B3545" s="23" t="str">
        <f ca="1">IFERROR(__xludf.DUMMYFUNCTION("""COMPUTED_VALUE"""),"Umywalka blatowa")</f>
        <v>Umywalka blatowa</v>
      </c>
      <c r="C3545" s="23" t="str">
        <f ca="1">IFERROR(__xludf.DUMMYFUNCTION("""COMPUTED_VALUE"""),"Livia Grey")</f>
        <v>Livia Grey</v>
      </c>
      <c r="D3545" s="24">
        <f ca="1">IFERROR(__xludf.DUMMYFUNCTION("""COMPUTED_VALUE"""),319)</f>
        <v>319</v>
      </c>
      <c r="E3545" s="26" t="str">
        <f ca="1">IFERROR(__xludf.DUMMYFUNCTION("""COMPUTED_VALUE"""),"REA-U3801")</f>
        <v>REA-U3801</v>
      </c>
    </row>
    <row r="3546" spans="1:5" x14ac:dyDescent="0.2">
      <c r="A3546" s="22">
        <f ca="1">IFERROR(__xludf.DUMMYFUNCTION("""COMPUTED_VALUE"""),44508)</f>
        <v>44508</v>
      </c>
      <c r="B3546" s="23" t="str">
        <f ca="1">IFERROR(__xludf.DUMMYFUNCTION("""COMPUTED_VALUE"""),"Umywalka blatowa")</f>
        <v>Umywalka blatowa</v>
      </c>
      <c r="C3546" s="23" t="str">
        <f ca="1">IFERROR(__xludf.DUMMYFUNCTION("""COMPUTED_VALUE"""),"Livia Stone")</f>
        <v>Livia Stone</v>
      </c>
      <c r="D3546" s="24">
        <f ca="1">IFERROR(__xludf.DUMMYFUNCTION("""COMPUTED_VALUE"""),319)</f>
        <v>319</v>
      </c>
      <c r="E3546" s="26" t="str">
        <f ca="1">IFERROR(__xludf.DUMMYFUNCTION("""COMPUTED_VALUE"""),"REA-U3800")</f>
        <v>REA-U3800</v>
      </c>
    </row>
    <row r="3547" spans="1:5" x14ac:dyDescent="0.2">
      <c r="A3547" s="22">
        <f ca="1">IFERROR(__xludf.DUMMYFUNCTION("""COMPUTED_VALUE"""),44508)</f>
        <v>44508</v>
      </c>
      <c r="B3547" s="23" t="str">
        <f ca="1">IFERROR(__xludf.DUMMYFUNCTION("""COMPUTED_VALUE"""),"Umywalka blatowa")</f>
        <v>Umywalka blatowa</v>
      </c>
      <c r="C3547" s="23" t="str">
        <f ca="1">IFERROR(__xludf.DUMMYFUNCTION("""COMPUTED_VALUE"""),"Vega S")</f>
        <v>Vega S</v>
      </c>
      <c r="D3547" s="24">
        <f ca="1">IFERROR(__xludf.DUMMYFUNCTION("""COMPUTED_VALUE"""),269)</f>
        <v>269</v>
      </c>
      <c r="E3547" s="26" t="str">
        <f ca="1">IFERROR(__xludf.DUMMYFUNCTION("""COMPUTED_VALUE"""),"REA-U6643")</f>
        <v>REA-U6643</v>
      </c>
    </row>
    <row r="3548" spans="1:5" x14ac:dyDescent="0.2">
      <c r="A3548" s="22">
        <f ca="1">IFERROR(__xludf.DUMMYFUNCTION("""COMPUTED_VALUE"""),44508)</f>
        <v>44508</v>
      </c>
      <c r="B3548" s="23" t="str">
        <f ca="1">IFERROR(__xludf.DUMMYFUNCTION("""COMPUTED_VALUE"""),"Umywalka blatowa")</f>
        <v>Umywalka blatowa</v>
      </c>
      <c r="C3548" s="23" t="str">
        <f ca="1">IFERROR(__xludf.DUMMYFUNCTION("""COMPUTED_VALUE"""),"Anita 48 ""N""")</f>
        <v>Anita 48 "N"</v>
      </c>
      <c r="D3548" s="24">
        <f ca="1">IFERROR(__xludf.DUMMYFUNCTION("""COMPUTED_VALUE"""),189)</f>
        <v>189</v>
      </c>
      <c r="E3548" s="26" t="str">
        <f ca="1">IFERROR(__xludf.DUMMYFUNCTION("""COMPUTED_VALUE"""),"REA-U0669")</f>
        <v>REA-U0669</v>
      </c>
    </row>
    <row r="3549" spans="1:5" x14ac:dyDescent="0.2">
      <c r="A3549" s="22">
        <f ca="1">IFERROR(__xludf.DUMMYFUNCTION("""COMPUTED_VALUE"""),44508)</f>
        <v>44508</v>
      </c>
      <c r="B3549" s="23" t="str">
        <f ca="1">IFERROR(__xludf.DUMMYFUNCTION("""COMPUTED_VALUE"""),"Umywalka blatowa")</f>
        <v>Umywalka blatowa</v>
      </c>
      <c r="C3549" s="23" t="str">
        <f ca="1">IFERROR(__xludf.DUMMYFUNCTION("""COMPUTED_VALUE"""),"Elma")</f>
        <v>Elma</v>
      </c>
      <c r="D3549" s="24">
        <f ca="1">IFERROR(__xludf.DUMMYFUNCTION("""COMPUTED_VALUE"""),299)</f>
        <v>299</v>
      </c>
      <c r="E3549" s="26" t="str">
        <f ca="1">IFERROR(__xludf.DUMMYFUNCTION("""COMPUTED_VALUE"""),"REA-U8493")</f>
        <v>REA-U8493</v>
      </c>
    </row>
    <row r="3550" spans="1:5" x14ac:dyDescent="0.2">
      <c r="A3550" s="22">
        <f ca="1">IFERROR(__xludf.DUMMYFUNCTION("""COMPUTED_VALUE"""),44508)</f>
        <v>44508</v>
      </c>
      <c r="B3550" s="23" t="str">
        <f ca="1">IFERROR(__xludf.DUMMYFUNCTION("""COMPUTED_VALUE"""),"Bateria wannowa")</f>
        <v>Bateria wannowa</v>
      </c>
      <c r="C3550" s="23" t="str">
        <f ca="1">IFERROR(__xludf.DUMMYFUNCTION("""COMPUTED_VALUE"""),"Vertigo Black Mat")</f>
        <v>Vertigo Black Mat</v>
      </c>
      <c r="D3550" s="24">
        <f ca="1">IFERROR(__xludf.DUMMYFUNCTION("""COMPUTED_VALUE"""),499)</f>
        <v>499</v>
      </c>
      <c r="E3550" s="26" t="str">
        <f ca="1">IFERROR(__xludf.DUMMYFUNCTION("""COMPUTED_VALUE"""),"REA-B9669")</f>
        <v>REA-B9669</v>
      </c>
    </row>
    <row r="3551" spans="1:5" x14ac:dyDescent="0.2">
      <c r="A3551" s="22">
        <f ca="1">IFERROR(__xludf.DUMMYFUNCTION("""COMPUTED_VALUE"""),44508)</f>
        <v>44508</v>
      </c>
      <c r="B3551" s="23" t="str">
        <f ca="1">IFERROR(__xludf.DUMMYFUNCTION("""COMPUTED_VALUE"""),"Bateria wannowa STOJĄCA")</f>
        <v>Bateria wannowa STOJĄCA</v>
      </c>
      <c r="C3551" s="23" t="str">
        <f ca="1">IFERROR(__xludf.DUMMYFUNCTION("""COMPUTED_VALUE"""),"Ortis")</f>
        <v>Ortis</v>
      </c>
      <c r="D3551" s="24">
        <f ca="1">IFERROR(__xludf.DUMMYFUNCTION("""COMPUTED_VALUE"""),1159)</f>
        <v>1159</v>
      </c>
      <c r="E3551" s="26" t="str">
        <f ca="1">IFERROR(__xludf.DUMMYFUNCTION("""COMPUTED_VALUE"""),"REA-B1011")</f>
        <v>REA-B1011</v>
      </c>
    </row>
    <row r="3552" spans="1:5" x14ac:dyDescent="0.2">
      <c r="A3552" s="22">
        <f ca="1">IFERROR(__xludf.DUMMYFUNCTION("""COMPUTED_VALUE"""),44508)</f>
        <v>44508</v>
      </c>
      <c r="B3552" s="23" t="str">
        <f ca="1">IFERROR(__xludf.DUMMYFUNCTION("""COMPUTED_VALUE"""),"Bateria bidetowa")</f>
        <v>Bateria bidetowa</v>
      </c>
      <c r="C3552" s="23" t="str">
        <f ca="1">IFERROR(__xludf.DUMMYFUNCTION("""COMPUTED_VALUE"""),"Tess L.Gold")</f>
        <v>Tess L.Gold</v>
      </c>
      <c r="D3552" s="24">
        <f ca="1">IFERROR(__xludf.DUMMYFUNCTION("""COMPUTED_VALUE"""),239)</f>
        <v>239</v>
      </c>
      <c r="E3552" s="26" t="str">
        <f ca="1">IFERROR(__xludf.DUMMYFUNCTION("""COMPUTED_VALUE"""),"REA-B8807")</f>
        <v>REA-B8807</v>
      </c>
    </row>
    <row r="3553" spans="1:5" x14ac:dyDescent="0.2">
      <c r="A3553" s="22">
        <f ca="1">IFERROR(__xludf.DUMMYFUNCTION("""COMPUTED_VALUE"""),44508)</f>
        <v>44508</v>
      </c>
      <c r="B3553" s="23" t="str">
        <f ca="1">IFERROR(__xludf.DUMMYFUNCTION("""COMPUTED_VALUE"""),"Bateria umywalkowa")</f>
        <v>Bateria umywalkowa</v>
      </c>
      <c r="C3553" s="23" t="str">
        <f ca="1">IFERROR(__xludf.DUMMYFUNCTION("""COMPUTED_VALUE"""),"Falcon 18 Black")</f>
        <v>Falcon 18 Black</v>
      </c>
      <c r="D3553" s="24">
        <f ca="1">IFERROR(__xludf.DUMMYFUNCTION("""COMPUTED_VALUE"""),259)</f>
        <v>259</v>
      </c>
      <c r="E3553" s="26" t="str">
        <f ca="1">IFERROR(__xludf.DUMMYFUNCTION("""COMPUTED_VALUE"""),"REA-B0253")</f>
        <v>REA-B0253</v>
      </c>
    </row>
    <row r="3554" spans="1:5" x14ac:dyDescent="0.2">
      <c r="A3554" s="22">
        <f ca="1">IFERROR(__xludf.DUMMYFUNCTION("""COMPUTED_VALUE"""),44508)</f>
        <v>44508</v>
      </c>
      <c r="B3554" s="23" t="str">
        <f ca="1">IFERROR(__xludf.DUMMYFUNCTION("""COMPUTED_VALUE"""),"Bateria umywalkowa")</f>
        <v>Bateria umywalkowa</v>
      </c>
      <c r="C3554" s="23" t="str">
        <f ca="1">IFERROR(__xludf.DUMMYFUNCTION("""COMPUTED_VALUE"""),"Falcon 30 Black")</f>
        <v>Falcon 30 Black</v>
      </c>
      <c r="D3554" s="24">
        <f ca="1">IFERROR(__xludf.DUMMYFUNCTION("""COMPUTED_VALUE"""),319)</f>
        <v>319</v>
      </c>
      <c r="E3554" s="26" t="str">
        <f ca="1">IFERROR(__xludf.DUMMYFUNCTION("""COMPUTED_VALUE"""),"REA-B0252")</f>
        <v>REA-B0252</v>
      </c>
    </row>
    <row r="3555" spans="1:5" x14ac:dyDescent="0.2">
      <c r="A3555" s="22">
        <f ca="1">IFERROR(__xludf.DUMMYFUNCTION("""COMPUTED_VALUE"""),44508)</f>
        <v>44508</v>
      </c>
      <c r="B3555" s="23" t="str">
        <f ca="1">IFERROR(__xludf.DUMMYFUNCTION("""COMPUTED_VALUE"""),"Bateria kuchenna")</f>
        <v>Bateria kuchenna</v>
      </c>
      <c r="C3555" s="23" t="str">
        <f ca="1">IFERROR(__xludf.DUMMYFUNCTION("""COMPUTED_VALUE"""),"Icon")</f>
        <v>Icon</v>
      </c>
      <c r="D3555" s="24">
        <f ca="1">IFERROR(__xludf.DUMMYFUNCTION("""COMPUTED_VALUE"""),239)</f>
        <v>239</v>
      </c>
      <c r="E3555" s="26" t="str">
        <f ca="1">IFERROR(__xludf.DUMMYFUNCTION("""COMPUTED_VALUE"""),"REA-B5682")</f>
        <v>REA-B5682</v>
      </c>
    </row>
    <row r="3556" spans="1:5" x14ac:dyDescent="0.2">
      <c r="A3556" s="22">
        <f ca="1">IFERROR(__xludf.DUMMYFUNCTION("""COMPUTED_VALUE"""),44508)</f>
        <v>44508</v>
      </c>
      <c r="B3556" s="23" t="str">
        <f ca="1">IFERROR(__xludf.DUMMYFUNCTION("""COMPUTED_VALUE"""),"Bateria umywalkowa")</f>
        <v>Bateria umywalkowa</v>
      </c>
      <c r="C3556" s="23" t="str">
        <f ca="1">IFERROR(__xludf.DUMMYFUNCTION("""COMPUTED_VALUE"""),"Icon Black Wysoka")</f>
        <v>Icon Black Wysoka</v>
      </c>
      <c r="D3556" s="24">
        <f ca="1">IFERROR(__xludf.DUMMYFUNCTION("""COMPUTED_VALUE"""),329)</f>
        <v>329</v>
      </c>
      <c r="E3556" s="26" t="str">
        <f ca="1">IFERROR(__xludf.DUMMYFUNCTION("""COMPUTED_VALUE"""),"REA-B5681")</f>
        <v>REA-B5681</v>
      </c>
    </row>
    <row r="3557" spans="1:5" x14ac:dyDescent="0.2">
      <c r="A3557" s="22">
        <f ca="1">IFERROR(__xludf.DUMMYFUNCTION("""COMPUTED_VALUE"""),44508)</f>
        <v>44508</v>
      </c>
      <c r="B3557" s="23" t="str">
        <f ca="1">IFERROR(__xludf.DUMMYFUNCTION("""COMPUTED_VALUE"""),"Bateria umywalkowa /wysoka/")</f>
        <v>Bateria umywalkowa /wysoka/</v>
      </c>
      <c r="C3557" s="23" t="str">
        <f ca="1">IFERROR(__xludf.DUMMYFUNCTION("""COMPUTED_VALUE"""),"Lugano Black")</f>
        <v>Lugano Black</v>
      </c>
      <c r="D3557" s="24">
        <f ca="1">IFERROR(__xludf.DUMMYFUNCTION("""COMPUTED_VALUE"""),299)</f>
        <v>299</v>
      </c>
      <c r="E3557" s="26" t="str">
        <f ca="1">IFERROR(__xludf.DUMMYFUNCTION("""COMPUTED_VALUE"""),"REA-B5001")</f>
        <v>REA-B5001</v>
      </c>
    </row>
    <row r="3558" spans="1:5" x14ac:dyDescent="0.2">
      <c r="A3558" s="22">
        <f ca="1">IFERROR(__xludf.DUMMYFUNCTION("""COMPUTED_VALUE"""),44508)</f>
        <v>44508</v>
      </c>
      <c r="B3558" s="23" t="str">
        <f ca="1">IFERROR(__xludf.DUMMYFUNCTION("""COMPUTED_VALUE"""),"Bateria wannowa")</f>
        <v>Bateria wannowa</v>
      </c>
      <c r="C3558" s="23" t="str">
        <f ca="1">IFERROR(__xludf.DUMMYFUNCTION("""COMPUTED_VALUE"""),"Lungo Black")</f>
        <v>Lungo Black</v>
      </c>
      <c r="D3558" s="24">
        <f ca="1">IFERROR(__xludf.DUMMYFUNCTION("""COMPUTED_VALUE"""),549)</f>
        <v>549</v>
      </c>
      <c r="E3558" s="26" t="str">
        <f ca="1">IFERROR(__xludf.DUMMYFUNCTION("""COMPUTED_VALUE"""),"REA-B6634")</f>
        <v>REA-B6634</v>
      </c>
    </row>
    <row r="3559" spans="1:5" x14ac:dyDescent="0.2">
      <c r="A3559" s="22">
        <f ca="1">IFERROR(__xludf.DUMMYFUNCTION("""COMPUTED_VALUE"""),44508)</f>
        <v>44508</v>
      </c>
      <c r="B3559" s="23" t="str">
        <f ca="1">IFERROR(__xludf.DUMMYFUNCTION("""COMPUTED_VALUE"""),"Bateria umywalkowa")</f>
        <v>Bateria umywalkowa</v>
      </c>
      <c r="C3559" s="23" t="str">
        <f ca="1">IFERROR(__xludf.DUMMYFUNCTION("""COMPUTED_VALUE"""),"Mayson Złota Wysoka")</f>
        <v>Mayson Złota Wysoka</v>
      </c>
      <c r="D3559" s="24">
        <f ca="1">IFERROR(__xludf.DUMMYFUNCTION("""COMPUTED_VALUE"""),319)</f>
        <v>319</v>
      </c>
      <c r="E3559" s="26" t="str">
        <f ca="1">IFERROR(__xludf.DUMMYFUNCTION("""COMPUTED_VALUE"""),"REA-B5103")</f>
        <v>REA-B5103</v>
      </c>
    </row>
    <row r="3560" spans="1:5" x14ac:dyDescent="0.2">
      <c r="A3560" s="22">
        <f ca="1">IFERROR(__xludf.DUMMYFUNCTION("""COMPUTED_VALUE"""),44508)</f>
        <v>44508</v>
      </c>
      <c r="B3560" s="23" t="str">
        <f ca="1">IFERROR(__xludf.DUMMYFUNCTION("""COMPUTED_VALUE"""),"Bateria umywalkowa wysoka")</f>
        <v>Bateria umywalkowa wysoka</v>
      </c>
      <c r="C3560" s="23" t="str">
        <f ca="1">IFERROR(__xludf.DUMMYFUNCTION("""COMPUTED_VALUE"""),"Modo Black")</f>
        <v>Modo Black</v>
      </c>
      <c r="D3560" s="24">
        <f ca="1">IFERROR(__xludf.DUMMYFUNCTION("""COMPUTED_VALUE"""),419)</f>
        <v>419</v>
      </c>
      <c r="E3560" s="26" t="str">
        <f ca="1">IFERROR(__xludf.DUMMYFUNCTION("""COMPUTED_VALUE"""),"REA-B5664")</f>
        <v>REA-B5664</v>
      </c>
    </row>
    <row r="3561" spans="1:5" x14ac:dyDescent="0.2">
      <c r="A3561" s="22">
        <f ca="1">IFERROR(__xludf.DUMMYFUNCTION("""COMPUTED_VALUE"""),44508)</f>
        <v>44508</v>
      </c>
      <c r="B3561" s="23" t="str">
        <f ca="1">IFERROR(__xludf.DUMMYFUNCTION("""COMPUTED_VALUE"""),"Bateria umywalkowa wysoka")</f>
        <v>Bateria umywalkowa wysoka</v>
      </c>
      <c r="C3561" s="23" t="str">
        <f ca="1">IFERROR(__xludf.DUMMYFUNCTION("""COMPUTED_VALUE"""),"Modo L. Gold")</f>
        <v>Modo L. Gold</v>
      </c>
      <c r="D3561" s="24">
        <f ca="1">IFERROR(__xludf.DUMMYFUNCTION("""COMPUTED_VALUE"""),449)</f>
        <v>449</v>
      </c>
      <c r="E3561" s="26" t="str">
        <f ca="1">IFERROR(__xludf.DUMMYFUNCTION("""COMPUTED_VALUE"""),"REA-B5665")</f>
        <v>REA-B5665</v>
      </c>
    </row>
    <row r="3562" spans="1:5" x14ac:dyDescent="0.2">
      <c r="A3562" s="22">
        <f ca="1">IFERROR(__xludf.DUMMYFUNCTION("""COMPUTED_VALUE"""),44508)</f>
        <v>44508</v>
      </c>
      <c r="B3562" s="23" t="str">
        <f ca="1">IFERROR(__xludf.DUMMYFUNCTION("""COMPUTED_VALUE"""),"Bateria wannowa")</f>
        <v>Bateria wannowa</v>
      </c>
      <c r="C3562" s="23" t="str">
        <f ca="1">IFERROR(__xludf.DUMMYFUNCTION("""COMPUTED_VALUE"""),"Riven Gold")</f>
        <v>Riven Gold</v>
      </c>
      <c r="D3562" s="24">
        <f ca="1">IFERROR(__xludf.DUMMYFUNCTION("""COMPUTED_VALUE"""),599)</f>
        <v>599</v>
      </c>
      <c r="E3562" s="26" t="str">
        <f ca="1">IFERROR(__xludf.DUMMYFUNCTION("""COMPUTED_VALUE"""),"REA-B0497")</f>
        <v>REA-B0497</v>
      </c>
    </row>
    <row r="3563" spans="1:5" x14ac:dyDescent="0.2">
      <c r="A3563" s="22">
        <f ca="1">IFERROR(__xludf.DUMMYFUNCTION("""COMPUTED_VALUE"""),44508)</f>
        <v>44508</v>
      </c>
      <c r="B3563" s="23" t="str">
        <f ca="1">IFERROR(__xludf.DUMMYFUNCTION("""COMPUTED_VALUE"""),"Bateria umywalkowa")</f>
        <v>Bateria umywalkowa</v>
      </c>
      <c r="C3563" s="23" t="str">
        <f ca="1">IFERROR(__xludf.DUMMYFUNCTION("""COMPUTED_VALUE"""),"Vertigo Side")</f>
        <v>Vertigo Side</v>
      </c>
      <c r="D3563" s="24">
        <f ca="1">IFERROR(__xludf.DUMMYFUNCTION("""COMPUTED_VALUE"""),299)</f>
        <v>299</v>
      </c>
      <c r="E3563" s="26" t="str">
        <f ca="1">IFERROR(__xludf.DUMMYFUNCTION("""COMPUTED_VALUE"""),"REA-B8767")</f>
        <v>REA-B8767</v>
      </c>
    </row>
    <row r="3564" spans="1:5" x14ac:dyDescent="0.2">
      <c r="A3564" s="22">
        <f ca="1">IFERROR(__xludf.DUMMYFUNCTION("""COMPUTED_VALUE"""),44502)</f>
        <v>44502</v>
      </c>
      <c r="B3564" s="23" t="str">
        <f ca="1">IFERROR(__xludf.DUMMYFUNCTION("""COMPUTED_VALUE"""),"ZESTAW NATRYSKOWO-WANNOWY Z WYLEWKĄ")</f>
        <v>ZESTAW NATRYSKOWO-WANNOWY Z WYLEWKĄ</v>
      </c>
      <c r="C3564" s="23" t="str">
        <f ca="1">IFERROR(__xludf.DUMMYFUNCTION("""COMPUTED_VALUE"""),"Lungo Gold")</f>
        <v>Lungo Gold</v>
      </c>
      <c r="D3564" s="24">
        <f ca="1">IFERROR(__xludf.DUMMYFUNCTION("""COMPUTED_VALUE"""),1159)</f>
        <v>1159</v>
      </c>
      <c r="E3564" s="26" t="str">
        <f ca="1">IFERROR(__xludf.DUMMYFUNCTION("""COMPUTED_VALUE"""),"REA-P4125")</f>
        <v>REA-P4125</v>
      </c>
    </row>
    <row r="3565" spans="1:5" x14ac:dyDescent="0.2">
      <c r="A3565" s="22">
        <f ca="1">IFERROR(__xludf.DUMMYFUNCTION("""COMPUTED_VALUE"""),44502)</f>
        <v>44502</v>
      </c>
      <c r="B3565" s="23" t="str">
        <f ca="1">IFERROR(__xludf.DUMMYFUNCTION("""COMPUTED_VALUE"""),"Zestaw natryskowo- wannowy z termostatem")</f>
        <v>Zestaw natryskowo- wannowy z termostatem</v>
      </c>
      <c r="C3565" s="23" t="str">
        <f ca="1">IFERROR(__xludf.DUMMYFUNCTION("""COMPUTED_VALUE"""),"Lungo Gold")</f>
        <v>Lungo Gold</v>
      </c>
      <c r="D3565" s="24">
        <f ca="1">IFERROR(__xludf.DUMMYFUNCTION("""COMPUTED_VALUE"""),1099)</f>
        <v>1099</v>
      </c>
      <c r="E3565" s="26" t="str">
        <f ca="1">IFERROR(__xludf.DUMMYFUNCTION("""COMPUTED_VALUE"""),"REA-P4114")</f>
        <v>REA-P4114</v>
      </c>
    </row>
    <row r="3566" spans="1:5" x14ac:dyDescent="0.2">
      <c r="A3566" s="22">
        <f ca="1">IFERROR(__xludf.DUMMYFUNCTION("""COMPUTED_VALUE"""),44502)</f>
        <v>44502</v>
      </c>
      <c r="B3566" s="23" t="str">
        <f ca="1">IFERROR(__xludf.DUMMYFUNCTION("""COMPUTED_VALUE"""),"Parawan wannowy")</f>
        <v>Parawan wannowy</v>
      </c>
      <c r="C3566" s="23" t="str">
        <f ca="1">IFERROR(__xludf.DUMMYFUNCTION("""COMPUTED_VALUE"""),"Topaz 70")</f>
        <v>Topaz 70</v>
      </c>
      <c r="D3566" s="28">
        <f ca="1">IFERROR(__xludf.DUMMYFUNCTION("""COMPUTED_VALUE"""),449)</f>
        <v>449</v>
      </c>
      <c r="E3566" s="26" t="str">
        <f ca="1">IFERROR(__xludf.DUMMYFUNCTION("""COMPUTED_VALUE"""),"REA-W0087")</f>
        <v>REA-W0087</v>
      </c>
    </row>
    <row r="3567" spans="1:5" x14ac:dyDescent="0.2">
      <c r="A3567" s="22">
        <f ca="1">IFERROR(__xludf.DUMMYFUNCTION("""COMPUTED_VALUE"""),44502)</f>
        <v>44502</v>
      </c>
      <c r="B3567" s="23" t="str">
        <f ca="1">IFERROR(__xludf.DUMMYFUNCTION("""COMPUTED_VALUE"""),"Parawan wannowy")</f>
        <v>Parawan wannowy</v>
      </c>
      <c r="C3567" s="23" t="str">
        <f ca="1">IFERROR(__xludf.DUMMYFUNCTION("""COMPUTED_VALUE"""),"Agat-2 100")</f>
        <v>Agat-2 100</v>
      </c>
      <c r="D3567" s="28">
        <f ca="1">IFERROR(__xludf.DUMMYFUNCTION("""COMPUTED_VALUE"""),579)</f>
        <v>579</v>
      </c>
      <c r="E3567" s="26" t="str">
        <f ca="1">IFERROR(__xludf.DUMMYFUNCTION("""COMPUTED_VALUE"""),"REA-W0300")</f>
        <v>REA-W0300</v>
      </c>
    </row>
    <row r="3568" spans="1:5" x14ac:dyDescent="0.2">
      <c r="A3568" s="22">
        <f ca="1">IFERROR(__xludf.DUMMYFUNCTION("""COMPUTED_VALUE"""),44502)</f>
        <v>44502</v>
      </c>
      <c r="B3568" s="23" t="str">
        <f ca="1">IFERROR(__xludf.DUMMYFUNCTION("""COMPUTED_VALUE"""),"Parawan wannowy")</f>
        <v>Parawan wannowy</v>
      </c>
      <c r="C3568" s="23" t="str">
        <f ca="1">IFERROR(__xludf.DUMMYFUNCTION("""COMPUTED_VALUE"""),"Agat-2 80")</f>
        <v>Agat-2 80</v>
      </c>
      <c r="D3568" s="28">
        <f ca="1">IFERROR(__xludf.DUMMYFUNCTION("""COMPUTED_VALUE"""),529)</f>
        <v>529</v>
      </c>
      <c r="E3568" s="26" t="str">
        <f ca="1">IFERROR(__xludf.DUMMYFUNCTION("""COMPUTED_VALUE"""),"REA-W0700")</f>
        <v>REA-W0700</v>
      </c>
    </row>
    <row r="3569" spans="1:5" x14ac:dyDescent="0.2">
      <c r="A3569" s="22">
        <f ca="1">IFERROR(__xludf.DUMMYFUNCTION("""COMPUTED_VALUE"""),44502)</f>
        <v>44502</v>
      </c>
      <c r="B3569" s="23" t="str">
        <f ca="1">IFERROR(__xludf.DUMMYFUNCTION("""COMPUTED_VALUE"""),"Parawan wannowy")</f>
        <v>Parawan wannowy</v>
      </c>
      <c r="C3569" s="23" t="str">
        <f ca="1">IFERROR(__xludf.DUMMYFUNCTION("""COMPUTED_VALUE"""),"Lagos Fix 80")</f>
        <v>Lagos Fix 80</v>
      </c>
      <c r="D3569" s="28">
        <f ca="1">IFERROR(__xludf.DUMMYFUNCTION("""COMPUTED_VALUE"""),399)</f>
        <v>399</v>
      </c>
      <c r="E3569" s="26" t="str">
        <f ca="1">IFERROR(__xludf.DUMMYFUNCTION("""COMPUTED_VALUE"""),"REA-K7390")</f>
        <v>REA-K7390</v>
      </c>
    </row>
    <row r="3570" spans="1:5" x14ac:dyDescent="0.2">
      <c r="A3570" s="22">
        <f ca="1">IFERROR(__xludf.DUMMYFUNCTION("""COMPUTED_VALUE"""),44502)</f>
        <v>44502</v>
      </c>
      <c r="B3570" s="23" t="str">
        <f ca="1">IFERROR(__xludf.DUMMYFUNCTION("""COMPUTED_VALUE"""),"Parawan wannowy")</f>
        <v>Parawan wannowy</v>
      </c>
      <c r="C3570" s="23" t="str">
        <f ca="1">IFERROR(__xludf.DUMMYFUNCTION("""COMPUTED_VALUE"""),"Lagos-1 70")</f>
        <v>Lagos-1 70</v>
      </c>
      <c r="D3570" s="28">
        <f ca="1">IFERROR(__xludf.DUMMYFUNCTION("""COMPUTED_VALUE"""),479)</f>
        <v>479</v>
      </c>
      <c r="E3570" s="26" t="str">
        <f ca="1">IFERROR(__xludf.DUMMYFUNCTION("""COMPUTED_VALUE"""),"REA-K4569")</f>
        <v>REA-K4569</v>
      </c>
    </row>
    <row r="3571" spans="1:5" x14ac:dyDescent="0.2">
      <c r="A3571" s="22">
        <f ca="1">IFERROR(__xludf.DUMMYFUNCTION("""COMPUTED_VALUE"""),44502)</f>
        <v>44502</v>
      </c>
      <c r="B3571" s="23" t="str">
        <f ca="1">IFERROR(__xludf.DUMMYFUNCTION("""COMPUTED_VALUE"""),"Parawan wannowy")</f>
        <v>Parawan wannowy</v>
      </c>
      <c r="C3571" s="23" t="str">
        <f ca="1">IFERROR(__xludf.DUMMYFUNCTION("""COMPUTED_VALUE"""),"Lagos-1 80")</f>
        <v>Lagos-1 80</v>
      </c>
      <c r="D3571" s="28">
        <f ca="1">IFERROR(__xludf.DUMMYFUNCTION("""COMPUTED_VALUE"""),489)</f>
        <v>489</v>
      </c>
      <c r="E3571" s="26" t="str">
        <f ca="1">IFERROR(__xludf.DUMMYFUNCTION("""COMPUTED_VALUE"""),"REA-K4570")</f>
        <v>REA-K4570</v>
      </c>
    </row>
    <row r="3572" spans="1:5" x14ac:dyDescent="0.2">
      <c r="A3572" s="22">
        <f ca="1">IFERROR(__xludf.DUMMYFUNCTION("""COMPUTED_VALUE"""),44502)</f>
        <v>44502</v>
      </c>
      <c r="B3572" s="23" t="str">
        <f ca="1">IFERROR(__xludf.DUMMYFUNCTION("""COMPUTED_VALUE"""),"MISKA WISZĄCA Z DESKĄ Z ABS BEZRANTOWA")</f>
        <v>MISKA WISZĄCA Z DESKĄ Z ABS BEZRANTOWA</v>
      </c>
      <c r="C3572" s="23" t="str">
        <f ca="1">IFERROR(__xludf.DUMMYFUNCTION("""COMPUTED_VALUE"""),"CARLO MINI RIMLESS BASIC")</f>
        <v>CARLO MINI RIMLESS BASIC</v>
      </c>
      <c r="D3572" s="28">
        <f ca="1">IFERROR(__xludf.DUMMYFUNCTION("""COMPUTED_VALUE"""),619)</f>
        <v>619</v>
      </c>
      <c r="E3572" s="26" t="str">
        <f ca="1">IFERROR(__xludf.DUMMYFUNCTION("""COMPUTED_VALUE"""),"REA-C6200")</f>
        <v>REA-C6200</v>
      </c>
    </row>
    <row r="3573" spans="1:5" x14ac:dyDescent="0.2">
      <c r="A3573" s="22">
        <f ca="1">IFERROR(__xludf.DUMMYFUNCTION("""COMPUTED_VALUE"""),44502)</f>
        <v>44502</v>
      </c>
      <c r="B3573" s="23" t="str">
        <f ca="1">IFERROR(__xludf.DUMMYFUNCTION("""COMPUTED_VALUE"""),"Misa wisząca")</f>
        <v>Misa wisząca</v>
      </c>
      <c r="C3573" s="23" t="str">
        <f ca="1">IFERROR(__xludf.DUMMYFUNCTION("""COMPUTED_VALUE"""),"Carlo Mini Flat Gold Edge")</f>
        <v>Carlo Mini Flat Gold Edge</v>
      </c>
      <c r="D3573" s="28">
        <f ca="1">IFERROR(__xludf.DUMMYFUNCTION("""COMPUTED_VALUE"""),1199)</f>
        <v>1199</v>
      </c>
      <c r="E3573" s="26" t="str">
        <f ca="1">IFERROR(__xludf.DUMMYFUNCTION("""COMPUTED_VALUE"""),"REA-C1222")</f>
        <v>REA-C1222</v>
      </c>
    </row>
    <row r="3574" spans="1:5" x14ac:dyDescent="0.2">
      <c r="A3574" s="22">
        <f ca="1">IFERROR(__xludf.DUMMYFUNCTION("""COMPUTED_VALUE"""),44502)</f>
        <v>44502</v>
      </c>
      <c r="B3574" s="23" t="str">
        <f ca="1">IFERROR(__xludf.DUMMYFUNCTION("""COMPUTED_VALUE"""),"DRZWI PRYSZNICOWE ALEX-805 90")</f>
        <v>DRZWI PRYSZNICOWE ALEX-805 90</v>
      </c>
      <c r="C3574" s="23" t="str">
        <f ca="1">IFERROR(__xludf.DUMMYFUNCTION("""COMPUTED_VALUE"""),"Alex")</f>
        <v>Alex</v>
      </c>
      <c r="D3574" s="24">
        <f ca="1">IFERROR(__xludf.DUMMYFUNCTION("""COMPUTED_VALUE"""),839)</f>
        <v>839</v>
      </c>
      <c r="E3574" s="26" t="str">
        <f ca="1">IFERROR(__xludf.DUMMYFUNCTION("""COMPUTED_VALUE"""),"REA-K0549")</f>
        <v>REA-K0549</v>
      </c>
    </row>
    <row r="3575" spans="1:5" x14ac:dyDescent="0.2">
      <c r="A3575" s="22">
        <f ca="1">IFERROR(__xludf.DUMMYFUNCTION("""COMPUTED_VALUE"""),44502)</f>
        <v>44502</v>
      </c>
      <c r="B3575" s="23" t="str">
        <f ca="1">IFERROR(__xludf.DUMMYFUNCTION("""COMPUTED_VALUE"""),"Drzwi prysznicowe")</f>
        <v>Drzwi prysznicowe</v>
      </c>
      <c r="C3575" s="23" t="str">
        <f ca="1">IFERROR(__xludf.DUMMYFUNCTION("""COMPUTED_VALUE"""),"RAPID SLIDE 120")</f>
        <v>RAPID SLIDE 120</v>
      </c>
      <c r="D3575" s="24">
        <f ca="1">IFERROR(__xludf.DUMMYFUNCTION("""COMPUTED_VALUE"""),929)</f>
        <v>929</v>
      </c>
      <c r="E3575" s="26" t="str">
        <f ca="1">IFERROR(__xludf.DUMMYFUNCTION("""COMPUTED_VALUE"""),"REA-K6402")</f>
        <v>REA-K6402</v>
      </c>
    </row>
    <row r="3576" spans="1:5" x14ac:dyDescent="0.2">
      <c r="A3576" s="22">
        <f ca="1">IFERROR(__xludf.DUMMYFUNCTION("""COMPUTED_VALUE"""),44502)</f>
        <v>44502</v>
      </c>
      <c r="B3576" s="23" t="str">
        <f ca="1">IFERROR(__xludf.DUMMYFUNCTION("""COMPUTED_VALUE"""),"Drzwi prysznicowe")</f>
        <v>Drzwi prysznicowe</v>
      </c>
      <c r="C3576" s="23" t="str">
        <f ca="1">IFERROR(__xludf.DUMMYFUNCTION("""COMPUTED_VALUE"""),"RAPID SLIDE 130")</f>
        <v>RAPID SLIDE 130</v>
      </c>
      <c r="D3576" s="24">
        <f ca="1">IFERROR(__xludf.DUMMYFUNCTION("""COMPUTED_VALUE"""),979)</f>
        <v>979</v>
      </c>
      <c r="E3576" s="26" t="str">
        <f ca="1">IFERROR(__xludf.DUMMYFUNCTION("""COMPUTED_VALUE"""),"REA-K6403")</f>
        <v>REA-K6403</v>
      </c>
    </row>
    <row r="3577" spans="1:5" x14ac:dyDescent="0.2">
      <c r="A3577" s="22">
        <f ca="1">IFERROR(__xludf.DUMMYFUNCTION("""COMPUTED_VALUE"""),44502)</f>
        <v>44502</v>
      </c>
      <c r="B3577" s="23" t="str">
        <f ca="1">IFERROR(__xludf.DUMMYFUNCTION("""COMPUTED_VALUE"""),"Drzwi prysznicowe")</f>
        <v>Drzwi prysznicowe</v>
      </c>
      <c r="C3577" s="23" t="str">
        <f ca="1">IFERROR(__xludf.DUMMYFUNCTION("""COMPUTED_VALUE"""),"Solar Gold 120")</f>
        <v>Solar Gold 120</v>
      </c>
      <c r="D3577" s="24">
        <f ca="1">IFERROR(__xludf.DUMMYFUNCTION("""COMPUTED_VALUE"""),1099)</f>
        <v>1099</v>
      </c>
      <c r="E3577" s="26" t="str">
        <f ca="1">IFERROR(__xludf.DUMMYFUNCTION("""COMPUTED_VALUE"""),"REA-K6548")</f>
        <v>REA-K6548</v>
      </c>
    </row>
    <row r="3578" spans="1:5" x14ac:dyDescent="0.2">
      <c r="A3578" s="22">
        <f ca="1">IFERROR(__xludf.DUMMYFUNCTION("""COMPUTED_VALUE"""),44502)</f>
        <v>44502</v>
      </c>
      <c r="B3578" s="23" t="str">
        <f ca="1">IFERROR(__xludf.DUMMYFUNCTION("""COMPUTED_VALUE"""),"DRZWI PRYSZNICOWE NIXON-2 100 P")</f>
        <v>DRZWI PRYSZNICOWE NIXON-2 100 P</v>
      </c>
      <c r="C3578" s="23" t="str">
        <f ca="1">IFERROR(__xludf.DUMMYFUNCTION("""COMPUTED_VALUE"""),"Drzwi Nixon-2")</f>
        <v>Drzwi Nixon-2</v>
      </c>
      <c r="D3578" s="24">
        <f ca="1">IFERROR(__xludf.DUMMYFUNCTION("""COMPUTED_VALUE"""),1189)</f>
        <v>1189</v>
      </c>
      <c r="E3578" s="26" t="str">
        <f ca="1">IFERROR(__xludf.DUMMYFUNCTION("""COMPUTED_VALUE"""),"REA-K7440")</f>
        <v>REA-K7440</v>
      </c>
    </row>
    <row r="3579" spans="1:5" x14ac:dyDescent="0.2">
      <c r="A3579" s="22">
        <f ca="1">IFERROR(__xludf.DUMMYFUNCTION("""COMPUTED_VALUE"""),44502)</f>
        <v>44502</v>
      </c>
      <c r="B3579" s="23" t="str">
        <f ca="1">IFERROR(__xludf.DUMMYFUNCTION("""COMPUTED_VALUE"""),"DRZWI PRYSZNICOWE NIXON-2 100 L")</f>
        <v>DRZWI PRYSZNICOWE NIXON-2 100 L</v>
      </c>
      <c r="C3579" s="23" t="str">
        <f ca="1">IFERROR(__xludf.DUMMYFUNCTION("""COMPUTED_VALUE"""),"Drzwi Nixon-2")</f>
        <v>Drzwi Nixon-2</v>
      </c>
      <c r="D3579" s="24">
        <f ca="1">IFERROR(__xludf.DUMMYFUNCTION("""COMPUTED_VALUE"""),1189)</f>
        <v>1189</v>
      </c>
      <c r="E3579" s="26" t="str">
        <f ca="1">IFERROR(__xludf.DUMMYFUNCTION("""COMPUTED_VALUE"""),"REA-K5012")</f>
        <v>REA-K5012</v>
      </c>
    </row>
    <row r="3580" spans="1:5" x14ac:dyDescent="0.2">
      <c r="A3580" s="22">
        <f ca="1">IFERROR(__xludf.DUMMYFUNCTION("""COMPUTED_VALUE"""),44502)</f>
        <v>44502</v>
      </c>
      <c r="B3580" s="23" t="str">
        <f ca="1">IFERROR(__xludf.DUMMYFUNCTION("""COMPUTED_VALUE"""),"DRZWI PRYSZNICOWE NIXON-2 130 L")</f>
        <v>DRZWI PRYSZNICOWE NIXON-2 130 L</v>
      </c>
      <c r="C3580" s="23" t="str">
        <f ca="1">IFERROR(__xludf.DUMMYFUNCTION("""COMPUTED_VALUE"""),"Drzwi Nixon-2")</f>
        <v>Drzwi Nixon-2</v>
      </c>
      <c r="D3580" s="24">
        <f ca="1">IFERROR(__xludf.DUMMYFUNCTION("""COMPUTED_VALUE"""),1339)</f>
        <v>1339</v>
      </c>
      <c r="E3580" s="26" t="str">
        <f ca="1">IFERROR(__xludf.DUMMYFUNCTION("""COMPUTED_VALUE"""),"REA-K5004")</f>
        <v>REA-K5004</v>
      </c>
    </row>
    <row r="3581" spans="1:5" x14ac:dyDescent="0.2">
      <c r="A3581" s="22">
        <f ca="1">IFERROR(__xludf.DUMMYFUNCTION("""COMPUTED_VALUE"""),44490)</f>
        <v>44490</v>
      </c>
      <c r="B3581" s="23" t="str">
        <f ca="1">IFERROR(__xludf.DUMMYFUNCTION("""COMPUTED_VALUE"""),"DRZWI PRYSZNICOWE NIXON-2 130 P")</f>
        <v>DRZWI PRYSZNICOWE NIXON-2 130 P</v>
      </c>
      <c r="C3581" s="23" t="str">
        <f ca="1">IFERROR(__xludf.DUMMYFUNCTION("""COMPUTED_VALUE"""),"Drzwi Nixon-2")</f>
        <v>Drzwi Nixon-2</v>
      </c>
      <c r="D3581" s="24">
        <f ca="1">IFERROR(__xludf.DUMMYFUNCTION("""COMPUTED_VALUE"""),1339)</f>
        <v>1339</v>
      </c>
      <c r="E3581" s="26" t="str">
        <f ca="1">IFERROR(__xludf.DUMMYFUNCTION("""COMPUTED_VALUE"""),"REA-K5005")</f>
        <v>REA-K5005</v>
      </c>
    </row>
    <row r="3582" spans="1:5" x14ac:dyDescent="0.2">
      <c r="A3582" s="22">
        <f ca="1">IFERROR(__xludf.DUMMYFUNCTION("""COMPUTED_VALUE"""),44490)</f>
        <v>44490</v>
      </c>
      <c r="B3582" s="23" t="str">
        <f ca="1">IFERROR(__xludf.DUMMYFUNCTION("""COMPUTED_VALUE"""),"DRZWI PRYSZNICOWE NIXON-2 140 L")</f>
        <v>DRZWI PRYSZNICOWE NIXON-2 140 L</v>
      </c>
      <c r="C3582" s="23" t="str">
        <f ca="1">IFERROR(__xludf.DUMMYFUNCTION("""COMPUTED_VALUE"""),"Drzwi Nixon-2")</f>
        <v>Drzwi Nixon-2</v>
      </c>
      <c r="D3582" s="24">
        <f ca="1">IFERROR(__xludf.DUMMYFUNCTION("""COMPUTED_VALUE"""),1379)</f>
        <v>1379</v>
      </c>
      <c r="E3582" s="26" t="str">
        <f ca="1">IFERROR(__xludf.DUMMYFUNCTION("""COMPUTED_VALUE"""),"REA-K5006")</f>
        <v>REA-K5006</v>
      </c>
    </row>
    <row r="3583" spans="1:5" x14ac:dyDescent="0.2">
      <c r="A3583" s="22">
        <f ca="1">IFERROR(__xludf.DUMMYFUNCTION("""COMPUTED_VALUE"""),44490)</f>
        <v>44490</v>
      </c>
      <c r="B3583" s="23" t="str">
        <f ca="1">IFERROR(__xludf.DUMMYFUNCTION("""COMPUTED_VALUE"""),"DRZWI PRYSZNICOWE NIXON-2 140 P")</f>
        <v>DRZWI PRYSZNICOWE NIXON-2 140 P</v>
      </c>
      <c r="C3583" s="23" t="str">
        <f ca="1">IFERROR(__xludf.DUMMYFUNCTION("""COMPUTED_VALUE"""),"Drzwi Nixon-2")</f>
        <v>Drzwi Nixon-2</v>
      </c>
      <c r="D3583" s="24">
        <f ca="1">IFERROR(__xludf.DUMMYFUNCTION("""COMPUTED_VALUE"""),1379)</f>
        <v>1379</v>
      </c>
      <c r="E3583" s="26" t="str">
        <f ca="1">IFERROR(__xludf.DUMMYFUNCTION("""COMPUTED_VALUE"""),"REA-K5007")</f>
        <v>REA-K5007</v>
      </c>
    </row>
    <row r="3584" spans="1:5" x14ac:dyDescent="0.2">
      <c r="A3584" s="22">
        <f ca="1">IFERROR(__xludf.DUMMYFUNCTION("""COMPUTED_VALUE"""),44490)</f>
        <v>44490</v>
      </c>
      <c r="B3584" s="23" t="str">
        <f ca="1">IFERROR(__xludf.DUMMYFUNCTION("""COMPUTED_VALUE"""),"DRZWI PRYSZNICOWE NIXON-2 150 L")</f>
        <v>DRZWI PRYSZNICOWE NIXON-2 150 L</v>
      </c>
      <c r="C3584" s="23" t="str">
        <f ca="1">IFERROR(__xludf.DUMMYFUNCTION("""COMPUTED_VALUE"""),"Drzwi Nixon-2")</f>
        <v>Drzwi Nixon-2</v>
      </c>
      <c r="D3584" s="24">
        <f ca="1">IFERROR(__xludf.DUMMYFUNCTION("""COMPUTED_VALUE"""),1439)</f>
        <v>1439</v>
      </c>
      <c r="E3584" s="26" t="str">
        <f ca="1">IFERROR(__xludf.DUMMYFUNCTION("""COMPUTED_VALUE"""),"REA-K5008")</f>
        <v>REA-K5008</v>
      </c>
    </row>
    <row r="3585" spans="1:5" x14ac:dyDescent="0.2">
      <c r="A3585" s="22">
        <f ca="1">IFERROR(__xludf.DUMMYFUNCTION("""COMPUTED_VALUE"""),44490)</f>
        <v>44490</v>
      </c>
      <c r="B3585" s="23" t="str">
        <f ca="1">IFERROR(__xludf.DUMMYFUNCTION("""COMPUTED_VALUE"""),"DRZWI PRYSZNICOWE NIXON-2 150 P")</f>
        <v>DRZWI PRYSZNICOWE NIXON-2 150 P</v>
      </c>
      <c r="C3585" s="23" t="str">
        <f ca="1">IFERROR(__xludf.DUMMYFUNCTION("""COMPUTED_VALUE"""),"Drzwi Nixon-2")</f>
        <v>Drzwi Nixon-2</v>
      </c>
      <c r="D3585" s="24">
        <f ca="1">IFERROR(__xludf.DUMMYFUNCTION("""COMPUTED_VALUE"""),1439)</f>
        <v>1439</v>
      </c>
      <c r="E3585" s="26" t="str">
        <f ca="1">IFERROR(__xludf.DUMMYFUNCTION("""COMPUTED_VALUE"""),"REA-K5009")</f>
        <v>REA-K5009</v>
      </c>
    </row>
    <row r="3586" spans="1:5" x14ac:dyDescent="0.2">
      <c r="A3586" s="22">
        <f ca="1">IFERROR(__xludf.DUMMYFUNCTION("""COMPUTED_VALUE"""),44489)</f>
        <v>44489</v>
      </c>
      <c r="B3586" s="23" t="str">
        <f ca="1">IFERROR(__xludf.DUMMYFUNCTION("""COMPUTED_VALUE"""),"Ścianka do Kabin Nixon")</f>
        <v>Ścianka do Kabin Nixon</v>
      </c>
      <c r="C3586" s="23" t="str">
        <f ca="1">IFERROR(__xludf.DUMMYFUNCTION("""COMPUTED_VALUE"""),"Nixon 80")</f>
        <v>Nixon 80</v>
      </c>
      <c r="D3586" s="24">
        <f ca="1">IFERROR(__xludf.DUMMYFUNCTION("""COMPUTED_VALUE"""),670)</f>
        <v>670</v>
      </c>
      <c r="E3586" s="26" t="str">
        <f ca="1">IFERROR(__xludf.DUMMYFUNCTION("""COMPUTED_VALUE"""),"REA-K5010")</f>
        <v>REA-K5010</v>
      </c>
    </row>
    <row r="3587" spans="1:5" x14ac:dyDescent="0.2">
      <c r="A3587" s="22">
        <f ca="1">IFERROR(__xludf.DUMMYFUNCTION("""COMPUTED_VALUE"""),44489)</f>
        <v>44489</v>
      </c>
      <c r="B3587" s="23" t="str">
        <f ca="1">IFERROR(__xludf.DUMMYFUNCTION("""COMPUTED_VALUE"""),"Ścianka do Kabin Nixon")</f>
        <v>Ścianka do Kabin Nixon</v>
      </c>
      <c r="C3587" s="23" t="str">
        <f ca="1">IFERROR(__xludf.DUMMYFUNCTION("""COMPUTED_VALUE"""),"Nixon 90")</f>
        <v>Nixon 90</v>
      </c>
      <c r="D3587" s="24">
        <f ca="1">IFERROR(__xludf.DUMMYFUNCTION("""COMPUTED_VALUE"""),710)</f>
        <v>710</v>
      </c>
      <c r="E3587" s="26" t="str">
        <f ca="1">IFERROR(__xludf.DUMMYFUNCTION("""COMPUTED_VALUE"""),"REA-K5011")</f>
        <v>REA-K5011</v>
      </c>
    </row>
    <row r="3588" spans="1:5" x14ac:dyDescent="0.2">
      <c r="A3588" s="22">
        <f ca="1">IFERROR(__xludf.DUMMYFUNCTION("""COMPUTED_VALUE"""),44489)</f>
        <v>44489</v>
      </c>
      <c r="B3588" s="23" t="str">
        <f ca="1">IFERROR(__xludf.DUMMYFUNCTION("""COMPUTED_VALUE"""),"Kabina prysznicowa")</f>
        <v>Kabina prysznicowa</v>
      </c>
      <c r="C3588" s="23" t="str">
        <f ca="1">IFERROR(__xludf.DUMMYFUNCTION("""COMPUTED_VALUE"""),"Rubik 90x90")</f>
        <v>Rubik 90x90</v>
      </c>
      <c r="D3588" s="24">
        <f ca="1">IFERROR(__xludf.DUMMYFUNCTION("""COMPUTED_VALUE"""),1449)</f>
        <v>1449</v>
      </c>
      <c r="E3588" s="26" t="str">
        <f ca="1">IFERROR(__xludf.DUMMYFUNCTION("""COMPUTED_VALUE"""),"REA-K9231")</f>
        <v>REA-K9231</v>
      </c>
    </row>
    <row r="3589" spans="1:5" x14ac:dyDescent="0.2">
      <c r="A3589" s="22">
        <f ca="1">IFERROR(__xludf.DUMMYFUNCTION("""COMPUTED_VALUE"""),44489)</f>
        <v>44489</v>
      </c>
      <c r="B3589" s="23" t="str">
        <f ca="1">IFERROR(__xludf.DUMMYFUNCTION("""COMPUTED_VALUE"""),"KABINA SOLAR BLACK 90X90")</f>
        <v>KABINA SOLAR BLACK 90X90</v>
      </c>
      <c r="C3589" s="23" t="str">
        <f ca="1">IFERROR(__xludf.DUMMYFUNCTION("""COMPUTED_VALUE"""),"Solar")</f>
        <v>Solar</v>
      </c>
      <c r="D3589" s="24">
        <f ca="1">IFERROR(__xludf.DUMMYFUNCTION("""COMPUTED_VALUE"""),1299)</f>
        <v>1299</v>
      </c>
      <c r="E3589" s="26" t="str">
        <f ca="1">IFERROR(__xludf.DUMMYFUNCTION("""COMPUTED_VALUE"""),"REA-K6412")</f>
        <v>REA-K6412</v>
      </c>
    </row>
    <row r="3590" spans="1:5" x14ac:dyDescent="0.2">
      <c r="A3590" s="22">
        <f ca="1">IFERROR(__xludf.DUMMYFUNCTION("""COMPUTED_VALUE"""),44489)</f>
        <v>44489</v>
      </c>
      <c r="B3590" s="23" t="str">
        <f ca="1">IFERROR(__xludf.DUMMYFUNCTION("""COMPUTED_VALUE"""),"Umywalka blatowa")</f>
        <v>Umywalka blatowa</v>
      </c>
      <c r="C3590" s="23" t="str">
        <f ca="1">IFERROR(__xludf.DUMMYFUNCTION("""COMPUTED_VALUE"""),"Marbel")</f>
        <v>Marbel</v>
      </c>
      <c r="D3590" s="24">
        <f ca="1">IFERROR(__xludf.DUMMYFUNCTION("""COMPUTED_VALUE"""),369)</f>
        <v>369</v>
      </c>
      <c r="E3590" s="26" t="str">
        <f ca="1">IFERROR(__xludf.DUMMYFUNCTION("""COMPUTED_VALUE"""),"REA-U8603")</f>
        <v>REA-U8603</v>
      </c>
    </row>
    <row r="3591" spans="1:5" x14ac:dyDescent="0.2">
      <c r="A3591" s="22">
        <f ca="1">IFERROR(__xludf.DUMMYFUNCTION("""COMPUTED_VALUE"""),44489)</f>
        <v>44489</v>
      </c>
      <c r="B3591" s="23" t="str">
        <f ca="1">IFERROR(__xludf.DUMMYFUNCTION("""COMPUTED_VALUE"""),"Brodzik pięciokątny akrylowy")</f>
        <v>Brodzik pięciokątny akrylowy</v>
      </c>
      <c r="C3591" s="23" t="str">
        <f ca="1">IFERROR(__xludf.DUMMYFUNCTION("""COMPUTED_VALUE"""),"Diamond 90x90")</f>
        <v>Diamond 90x90</v>
      </c>
      <c r="D3591" s="24">
        <f ca="1">IFERROR(__xludf.DUMMYFUNCTION("""COMPUTED_VALUE"""),649)</f>
        <v>649</v>
      </c>
      <c r="E3591" s="26" t="str">
        <f ca="1">IFERROR(__xludf.DUMMYFUNCTION("""COMPUTED_VALUE"""),"REA-K6522")</f>
        <v>REA-K6522</v>
      </c>
    </row>
    <row r="3592" spans="1:5" x14ac:dyDescent="0.2">
      <c r="A3592" s="22">
        <f ca="1">IFERROR(__xludf.DUMMYFUNCTION("""COMPUTED_VALUE"""),44489)</f>
        <v>44489</v>
      </c>
      <c r="B3592" s="23" t="str">
        <f ca="1">IFERROR(__xludf.DUMMYFUNCTION("""COMPUTED_VALUE"""),"Kabina prysznicowa")</f>
        <v>Kabina prysznicowa</v>
      </c>
      <c r="C3592" s="23" t="str">
        <f ca="1">IFERROR(__xludf.DUMMYFUNCTION("""COMPUTED_VALUE"""),"Abra 90x90")</f>
        <v>Abra 90x90</v>
      </c>
      <c r="D3592" s="24">
        <f ca="1">IFERROR(__xludf.DUMMYFUNCTION("""COMPUTED_VALUE"""),1519)</f>
        <v>1519</v>
      </c>
      <c r="E3592" s="26" t="str">
        <f ca="1">IFERROR(__xludf.DUMMYFUNCTION("""COMPUTED_VALUE"""),"REA-K5502")</f>
        <v>REA-K5502</v>
      </c>
    </row>
    <row r="3593" spans="1:5" x14ac:dyDescent="0.2">
      <c r="A3593" s="22">
        <f ca="1">IFERROR(__xludf.DUMMYFUNCTION("""COMPUTED_VALUE"""),44489)</f>
        <v>44489</v>
      </c>
      <c r="B3593" s="23" t="str">
        <f ca="1">IFERROR(__xludf.DUMMYFUNCTION("""COMPUTED_VALUE"""),"ŚCIANKA PRYSZNICOWA AERO 70 ""N""")</f>
        <v>ŚCIANKA PRYSZNICOWA AERO 70 "N"</v>
      </c>
      <c r="C3593" s="23" t="str">
        <f ca="1">IFERROR(__xludf.DUMMYFUNCTION("""COMPUTED_VALUE"""),"Aero ""N""")</f>
        <v>Aero "N"</v>
      </c>
      <c r="D3593" s="24">
        <f ca="1">IFERROR(__xludf.DUMMYFUNCTION("""COMPUTED_VALUE"""),779)</f>
        <v>779</v>
      </c>
      <c r="E3593" s="26" t="str">
        <f ca="1">IFERROR(__xludf.DUMMYFUNCTION("""COMPUTED_VALUE"""),"REA-K7840")</f>
        <v>REA-K7840</v>
      </c>
    </row>
    <row r="3594" spans="1:5" x14ac:dyDescent="0.2">
      <c r="A3594" s="22">
        <f ca="1">IFERROR(__xludf.DUMMYFUNCTION("""COMPUTED_VALUE"""),44489)</f>
        <v>44489</v>
      </c>
      <c r="B3594" s="23" t="str">
        <f ca="1">IFERROR(__xludf.DUMMYFUNCTION("""COMPUTED_VALUE"""),"ŚCIANKA PRYSZNICOWA AERO 120 ""N""")</f>
        <v>ŚCIANKA PRYSZNICOWA AERO 120 "N"</v>
      </c>
      <c r="C3594" s="23" t="str">
        <f ca="1">IFERROR(__xludf.DUMMYFUNCTION("""COMPUTED_VALUE"""),"Aero ""N""")</f>
        <v>Aero "N"</v>
      </c>
      <c r="D3594" s="24">
        <f ca="1">IFERROR(__xludf.DUMMYFUNCTION("""COMPUTED_VALUE"""),999)</f>
        <v>999</v>
      </c>
      <c r="E3594" s="26" t="str">
        <f ca="1">IFERROR(__xludf.DUMMYFUNCTION("""COMPUTED_VALUE"""),"REA-K7550")</f>
        <v>REA-K7550</v>
      </c>
    </row>
    <row r="3595" spans="1:5" x14ac:dyDescent="0.2">
      <c r="A3595" s="22">
        <f ca="1">IFERROR(__xludf.DUMMYFUNCTION("""COMPUTED_VALUE"""),44489)</f>
        <v>44489</v>
      </c>
      <c r="B3595" s="23" t="str">
        <f ca="1">IFERROR(__xludf.DUMMYFUNCTION("""COMPUTED_VALUE"""),"Uniwersalny syfon z korkiem klik-klak")</f>
        <v>Uniwersalny syfon z korkiem klik-klak</v>
      </c>
      <c r="C3595" s="23" t="str">
        <f ca="1">IFERROR(__xludf.DUMMYFUNCTION("""COMPUTED_VALUE"""),"WHITE")</f>
        <v>WHITE</v>
      </c>
      <c r="D3595" s="24">
        <f ca="1">IFERROR(__xludf.DUMMYFUNCTION("""COMPUTED_VALUE"""),199)</f>
        <v>199</v>
      </c>
      <c r="E3595" s="26" t="str">
        <f ca="1">IFERROR(__xludf.DUMMYFUNCTION("""COMPUTED_VALUE"""),"REA-A6952")</f>
        <v>REA-A6952</v>
      </c>
    </row>
    <row r="3596" spans="1:5" x14ac:dyDescent="0.2">
      <c r="A3596" s="22">
        <f ca="1">IFERROR(__xludf.DUMMYFUNCTION("""COMPUTED_VALUE"""),44489)</f>
        <v>44489</v>
      </c>
      <c r="B3596" s="23" t="str">
        <f ca="1">IFERROR(__xludf.DUMMYFUNCTION("""COMPUTED_VALUE"""),"Brodzik")</f>
        <v>Brodzik</v>
      </c>
      <c r="C3596" s="23" t="str">
        <f ca="1">IFERROR(__xludf.DUMMYFUNCTION("""COMPUTED_VALUE"""),"White Rock 90x120")</f>
        <v>White Rock 90x120</v>
      </c>
      <c r="D3596" s="24">
        <f ca="1">IFERROR(__xludf.DUMMYFUNCTION("""COMPUTED_VALUE"""),989)</f>
        <v>989</v>
      </c>
      <c r="E3596" s="26" t="str">
        <f ca="1">IFERROR(__xludf.DUMMYFUNCTION("""COMPUTED_VALUE"""),"NOWOŚĆ")</f>
        <v>NOWOŚĆ</v>
      </c>
    </row>
    <row r="3597" spans="1:5" x14ac:dyDescent="0.2">
      <c r="A3597" s="22">
        <f ca="1">IFERROR(__xludf.DUMMYFUNCTION("""COMPUTED_VALUE"""),44489)</f>
        <v>44489</v>
      </c>
      <c r="B3597" s="23" t="str">
        <f ca="1">IFERROR(__xludf.DUMMYFUNCTION("""COMPUTED_VALUE"""),"Brodzik")</f>
        <v>Brodzik</v>
      </c>
      <c r="C3597" s="23" t="str">
        <f ca="1">IFERROR(__xludf.DUMMYFUNCTION("""COMPUTED_VALUE"""),"White Rock 80x100")</f>
        <v>White Rock 80x100</v>
      </c>
      <c r="D3597" s="24">
        <f ca="1">IFERROR(__xludf.DUMMYFUNCTION("""COMPUTED_VALUE"""),729)</f>
        <v>729</v>
      </c>
      <c r="E3597" s="26" t="str">
        <f ca="1">IFERROR(__xludf.DUMMYFUNCTION("""COMPUTED_VALUE"""),"NOWOŚĆ")</f>
        <v>NOWOŚĆ</v>
      </c>
    </row>
    <row r="3598" spans="1:5" x14ac:dyDescent="0.2">
      <c r="A3598" s="22">
        <f ca="1">IFERROR(__xludf.DUMMYFUNCTION("""COMPUTED_VALUE"""),44489)</f>
        <v>44489</v>
      </c>
      <c r="B3598" s="23" t="str">
        <f ca="1">IFERROR(__xludf.DUMMYFUNCTION("""COMPUTED_VALUE"""),"Brodzik")</f>
        <v>Brodzik</v>
      </c>
      <c r="C3598" s="23" t="str">
        <f ca="1">IFERROR(__xludf.DUMMYFUNCTION("""COMPUTED_VALUE"""),"White Rock 90x90")</f>
        <v>White Rock 90x90</v>
      </c>
      <c r="D3598" s="24">
        <f ca="1">IFERROR(__xludf.DUMMYFUNCTION("""COMPUTED_VALUE"""),759)</f>
        <v>759</v>
      </c>
      <c r="E3598" s="26" t="str">
        <f ca="1">IFERROR(__xludf.DUMMYFUNCTION("""COMPUTED_VALUE"""),"NOWOŚĆ")</f>
        <v>NOWOŚĆ</v>
      </c>
    </row>
    <row r="3599" spans="1:5" x14ac:dyDescent="0.2">
      <c r="A3599" s="22">
        <f ca="1">IFERROR(__xludf.DUMMYFUNCTION("""COMPUTED_VALUE"""),44489)</f>
        <v>44489</v>
      </c>
      <c r="B3599" s="23" t="str">
        <f ca="1">IFERROR(__xludf.DUMMYFUNCTION("""COMPUTED_VALUE"""),"Brodzik akrylowy")</f>
        <v>Brodzik akrylowy</v>
      </c>
      <c r="C3599" s="23" t="str">
        <f ca="1">IFERROR(__xludf.DUMMYFUNCTION("""COMPUTED_VALUE"""),"Grand Black 80x100")</f>
        <v>Grand Black 80x100</v>
      </c>
      <c r="D3599" s="24">
        <f ca="1">IFERROR(__xludf.DUMMYFUNCTION("""COMPUTED_VALUE"""),789)</f>
        <v>789</v>
      </c>
      <c r="E3599" s="26" t="str">
        <f ca="1">IFERROR(__xludf.DUMMYFUNCTION("""COMPUTED_VALUE"""),"REA-K4593")</f>
        <v>REA-K4593</v>
      </c>
    </row>
    <row r="3600" spans="1:5" x14ac:dyDescent="0.2">
      <c r="A3600" s="22">
        <f ca="1">IFERROR(__xludf.DUMMYFUNCTION("""COMPUTED_VALUE"""),44489)</f>
        <v>44489</v>
      </c>
      <c r="B3600" s="23" t="str">
        <f ca="1">IFERROR(__xludf.DUMMYFUNCTION("""COMPUTED_VALUE"""),"Brodzik akrylowy")</f>
        <v>Brodzik akrylowy</v>
      </c>
      <c r="C3600" s="23" t="str">
        <f ca="1">IFERROR(__xludf.DUMMYFUNCTION("""COMPUTED_VALUE"""),"Grand Black 90x120")</f>
        <v>Grand Black 90x120</v>
      </c>
      <c r="D3600" s="24">
        <f ca="1">IFERROR(__xludf.DUMMYFUNCTION("""COMPUTED_VALUE"""),1029)</f>
        <v>1029</v>
      </c>
      <c r="E3600" s="26" t="str">
        <f ca="1">IFERROR(__xludf.DUMMYFUNCTION("""COMPUTED_VALUE"""),"REA-K4594")</f>
        <v>REA-K4594</v>
      </c>
    </row>
    <row r="3601" spans="1:5" x14ac:dyDescent="0.2">
      <c r="A3601" s="22">
        <f ca="1">IFERROR(__xludf.DUMMYFUNCTION("""COMPUTED_VALUE"""),44489)</f>
        <v>44489</v>
      </c>
      <c r="B3601" s="23" t="str">
        <f ca="1">IFERROR(__xludf.DUMMYFUNCTION("""COMPUTED_VALUE"""),"Brodzik akrylowy")</f>
        <v>Brodzik akrylowy</v>
      </c>
      <c r="C3601" s="23" t="str">
        <f ca="1">IFERROR(__xludf.DUMMYFUNCTION("""COMPUTED_VALUE"""),"Grand White 80x100")</f>
        <v>Grand White 80x100</v>
      </c>
      <c r="D3601" s="24">
        <f ca="1">IFERROR(__xludf.DUMMYFUNCTION("""COMPUTED_VALUE"""),789)</f>
        <v>789</v>
      </c>
      <c r="E3601" s="26" t="str">
        <f ca="1">IFERROR(__xludf.DUMMYFUNCTION("""COMPUTED_VALUE"""),"REA-K4590")</f>
        <v>REA-K4590</v>
      </c>
    </row>
    <row r="3602" spans="1:5" x14ac:dyDescent="0.2">
      <c r="A3602" s="22">
        <f ca="1">IFERROR(__xludf.DUMMYFUNCTION("""COMPUTED_VALUE"""),44489)</f>
        <v>44489</v>
      </c>
      <c r="B3602" s="23" t="str">
        <f ca="1">IFERROR(__xludf.DUMMYFUNCTION("""COMPUTED_VALUE"""),"Brodzik akrylowy")</f>
        <v>Brodzik akrylowy</v>
      </c>
      <c r="C3602" s="23" t="str">
        <f ca="1">IFERROR(__xludf.DUMMYFUNCTION("""COMPUTED_VALUE"""),"Grand White 90x120")</f>
        <v>Grand White 90x120</v>
      </c>
      <c r="D3602" s="24">
        <f ca="1">IFERROR(__xludf.DUMMYFUNCTION("""COMPUTED_VALUE"""),1029)</f>
        <v>1029</v>
      </c>
      <c r="E3602" s="26" t="str">
        <f ca="1">IFERROR(__xludf.DUMMYFUNCTION("""COMPUTED_VALUE"""),"REA-K4591")</f>
        <v>REA-K4591</v>
      </c>
    </row>
    <row r="3603" spans="1:5" x14ac:dyDescent="0.2">
      <c r="A3603" s="22">
        <f ca="1">IFERROR(__xludf.DUMMYFUNCTION("""COMPUTED_VALUE"""),44489)</f>
        <v>44489</v>
      </c>
      <c r="B3603" s="23" t="str">
        <f ca="1">IFERROR(__xludf.DUMMYFUNCTION("""COMPUTED_VALUE"""),"Brodzik akrylowy")</f>
        <v>Brodzik akrylowy</v>
      </c>
      <c r="C3603" s="23" t="str">
        <f ca="1">IFERROR(__xludf.DUMMYFUNCTION("""COMPUTED_VALUE"""),"Grand White 90x90")</f>
        <v>Grand White 90x90</v>
      </c>
      <c r="D3603" s="24">
        <f ca="1">IFERROR(__xludf.DUMMYFUNCTION("""COMPUTED_VALUE"""),819)</f>
        <v>819</v>
      </c>
      <c r="E3603" s="26" t="str">
        <f ca="1">IFERROR(__xludf.DUMMYFUNCTION("""COMPUTED_VALUE"""),"REA-K4592")</f>
        <v>REA-K4592</v>
      </c>
    </row>
    <row r="3604" spans="1:5" x14ac:dyDescent="0.2">
      <c r="A3604" s="22">
        <f ca="1">IFERROR(__xludf.DUMMYFUNCTION("""COMPUTED_VALUE"""),44489)</f>
        <v>44489</v>
      </c>
      <c r="B3604" s="23" t="str">
        <f ca="1">IFERROR(__xludf.DUMMYFUNCTION("""COMPUTED_VALUE"""),"Brodzik akrylowy")</f>
        <v>Brodzik akrylowy</v>
      </c>
      <c r="C3604" s="23" t="str">
        <f ca="1">IFERROR(__xludf.DUMMYFUNCTION("""COMPUTED_VALUE"""),"Grey Rock 80x100")</f>
        <v>Grey Rock 80x100</v>
      </c>
      <c r="D3604" s="24">
        <f ca="1">IFERROR(__xludf.DUMMYFUNCTION("""COMPUTED_VALUE"""),729)</f>
        <v>729</v>
      </c>
      <c r="E3604" s="26" t="str">
        <f ca="1">IFERROR(__xludf.DUMMYFUNCTION("""COMPUTED_VALUE"""),"REA-K4582")</f>
        <v>REA-K4582</v>
      </c>
    </row>
    <row r="3605" spans="1:5" x14ac:dyDescent="0.2">
      <c r="A3605" s="22">
        <f ca="1">IFERROR(__xludf.DUMMYFUNCTION("""COMPUTED_VALUE"""),44489)</f>
        <v>44489</v>
      </c>
      <c r="B3605" s="23" t="str">
        <f ca="1">IFERROR(__xludf.DUMMYFUNCTION("""COMPUTED_VALUE"""),"Brodzik akrylowy")</f>
        <v>Brodzik akrylowy</v>
      </c>
      <c r="C3605" s="23" t="str">
        <f ca="1">IFERROR(__xludf.DUMMYFUNCTION("""COMPUTED_VALUE"""),"Grey Rock 80x120")</f>
        <v>Grey Rock 80x120</v>
      </c>
      <c r="D3605" s="24">
        <f ca="1">IFERROR(__xludf.DUMMYFUNCTION("""COMPUTED_VALUE"""),819)</f>
        <v>819</v>
      </c>
      <c r="E3605" s="26" t="str">
        <f ca="1">IFERROR(__xludf.DUMMYFUNCTION("""COMPUTED_VALUE"""),"REA-K4583")</f>
        <v>REA-K4583</v>
      </c>
    </row>
    <row r="3606" spans="1:5" x14ac:dyDescent="0.2">
      <c r="A3606" s="22">
        <f ca="1">IFERROR(__xludf.DUMMYFUNCTION("""COMPUTED_VALUE"""),44489)</f>
        <v>44489</v>
      </c>
      <c r="B3606" s="23" t="str">
        <f ca="1">IFERROR(__xludf.DUMMYFUNCTION("""COMPUTED_VALUE"""),"Brodzik akrylowy")</f>
        <v>Brodzik akrylowy</v>
      </c>
      <c r="C3606" s="23" t="str">
        <f ca="1">IFERROR(__xludf.DUMMYFUNCTION("""COMPUTED_VALUE"""),"Grey Rock 90x120")</f>
        <v>Grey Rock 90x120</v>
      </c>
      <c r="D3606" s="24">
        <f ca="1">IFERROR(__xludf.DUMMYFUNCTION("""COMPUTED_VALUE"""),989)</f>
        <v>989</v>
      </c>
      <c r="E3606" s="26" t="str">
        <f ca="1">IFERROR(__xludf.DUMMYFUNCTION("""COMPUTED_VALUE"""),"REA-K4584")</f>
        <v>REA-K4584</v>
      </c>
    </row>
    <row r="3607" spans="1:5" x14ac:dyDescent="0.2">
      <c r="A3607" s="22">
        <f ca="1">IFERROR(__xludf.DUMMYFUNCTION("""COMPUTED_VALUE"""),44489)</f>
        <v>44489</v>
      </c>
      <c r="B3607" s="23" t="str">
        <f ca="1">IFERROR(__xludf.DUMMYFUNCTION("""COMPUTED_VALUE"""),"Brodzik akrylowy")</f>
        <v>Brodzik akrylowy</v>
      </c>
      <c r="C3607" s="23" t="str">
        <f ca="1">IFERROR(__xludf.DUMMYFUNCTION("""COMPUTED_VALUE"""),"Grey Rock 90x90")</f>
        <v>Grey Rock 90x90</v>
      </c>
      <c r="D3607" s="24">
        <f ca="1">IFERROR(__xludf.DUMMYFUNCTION("""COMPUTED_VALUE"""),759)</f>
        <v>759</v>
      </c>
      <c r="E3607" s="26" t="str">
        <f ca="1">IFERROR(__xludf.DUMMYFUNCTION("""COMPUTED_VALUE"""),"REA-K4585")</f>
        <v>REA-K4585</v>
      </c>
    </row>
    <row r="3608" spans="1:5" x14ac:dyDescent="0.2">
      <c r="A3608" s="22">
        <f ca="1">IFERROR(__xludf.DUMMYFUNCTION("""COMPUTED_VALUE"""),44489)</f>
        <v>44489</v>
      </c>
      <c r="B3608" s="23" t="str">
        <f ca="1">IFERROR(__xludf.DUMMYFUNCTION("""COMPUTED_VALUE"""),"Brodzik kamienny")</f>
        <v>Brodzik kamienny</v>
      </c>
      <c r="C3608" s="23" t="str">
        <f ca="1">IFERROR(__xludf.DUMMYFUNCTION("""COMPUTED_VALUE"""),"Stone Black 80x100")</f>
        <v>Stone Black 80x100</v>
      </c>
      <c r="D3608" s="24">
        <f ca="1">IFERROR(__xludf.DUMMYFUNCTION("""COMPUTED_VALUE"""),1019)</f>
        <v>1019</v>
      </c>
      <c r="E3608" s="26" t="str">
        <f ca="1">IFERROR(__xludf.DUMMYFUNCTION("""COMPUTED_VALUE"""),"REA-K9756")</f>
        <v>REA-K9756</v>
      </c>
    </row>
    <row r="3609" spans="1:5" x14ac:dyDescent="0.2">
      <c r="A3609" s="22">
        <f ca="1">IFERROR(__xludf.DUMMYFUNCTION("""COMPUTED_VALUE"""),44489)</f>
        <v>44489</v>
      </c>
      <c r="B3609" s="23" t="str">
        <f ca="1">IFERROR(__xludf.DUMMYFUNCTION("""COMPUTED_VALUE"""),"Brodzik kamienny")</f>
        <v>Brodzik kamienny</v>
      </c>
      <c r="C3609" s="23" t="str">
        <f ca="1">IFERROR(__xludf.DUMMYFUNCTION("""COMPUTED_VALUE"""),"Stone Black 90x90")</f>
        <v>Stone Black 90x90</v>
      </c>
      <c r="D3609" s="24">
        <f ca="1">IFERROR(__xludf.DUMMYFUNCTION("""COMPUTED_VALUE"""),999)</f>
        <v>999</v>
      </c>
      <c r="E3609" s="26" t="str">
        <f ca="1">IFERROR(__xludf.DUMMYFUNCTION("""COMPUTED_VALUE"""),"REA-K9601")</f>
        <v>REA-K9601</v>
      </c>
    </row>
    <row r="3610" spans="1:5" x14ac:dyDescent="0.2">
      <c r="A3610" s="22">
        <f ca="1">IFERROR(__xludf.DUMMYFUNCTION("""COMPUTED_VALUE"""),44489)</f>
        <v>44489</v>
      </c>
      <c r="B3610" s="23" t="str">
        <f ca="1">IFERROR(__xludf.DUMMYFUNCTION("""COMPUTED_VALUE"""),"Brodzik akrylowy")</f>
        <v>Brodzik akrylowy</v>
      </c>
      <c r="C3610" s="23" t="str">
        <f ca="1">IFERROR(__xludf.DUMMYFUNCTION("""COMPUTED_VALUE"""),"Black Rock 90x90")</f>
        <v>Black Rock 90x90</v>
      </c>
      <c r="D3610" s="24">
        <f ca="1">IFERROR(__xludf.DUMMYFUNCTION("""COMPUTED_VALUE"""),759)</f>
        <v>759</v>
      </c>
      <c r="E3610" s="26" t="str">
        <f ca="1">IFERROR(__xludf.DUMMYFUNCTION("""COMPUTED_VALUE"""),"REA-K4581")</f>
        <v>REA-K4581</v>
      </c>
    </row>
    <row r="3611" spans="1:5" x14ac:dyDescent="0.2">
      <c r="A3611" s="22">
        <f ca="1">IFERROR(__xludf.DUMMYFUNCTION("""COMPUTED_VALUE"""),44489)</f>
        <v>44489</v>
      </c>
      <c r="B3611" s="23" t="str">
        <f ca="1">IFERROR(__xludf.DUMMYFUNCTION("""COMPUTED_VALUE"""),"Brodzik akrylowy")</f>
        <v>Brodzik akrylowy</v>
      </c>
      <c r="C3611" s="23" t="str">
        <f ca="1">IFERROR(__xludf.DUMMYFUNCTION("""COMPUTED_VALUE"""),"Black Rock 80x100")</f>
        <v>Black Rock 80x100</v>
      </c>
      <c r="D3611" s="24">
        <f ca="1">IFERROR(__xludf.DUMMYFUNCTION("""COMPUTED_VALUE"""),729)</f>
        <v>729</v>
      </c>
      <c r="E3611" s="26" t="str">
        <f ca="1">IFERROR(__xludf.DUMMYFUNCTION("""COMPUTED_VALUE"""),"REA-K4578")</f>
        <v>REA-K4578</v>
      </c>
    </row>
    <row r="3612" spans="1:5" x14ac:dyDescent="0.2">
      <c r="A3612" s="22">
        <f ca="1">IFERROR(__xludf.DUMMYFUNCTION("""COMPUTED_VALUE"""),44489)</f>
        <v>44489</v>
      </c>
      <c r="B3612" s="23" t="str">
        <f ca="1">IFERROR(__xludf.DUMMYFUNCTION("""COMPUTED_VALUE"""),"Brodzik akrylowy")</f>
        <v>Brodzik akrylowy</v>
      </c>
      <c r="C3612" s="23" t="str">
        <f ca="1">IFERROR(__xludf.DUMMYFUNCTION("""COMPUTED_VALUE"""),"Black Rock 80x120")</f>
        <v>Black Rock 80x120</v>
      </c>
      <c r="D3612" s="24">
        <f ca="1">IFERROR(__xludf.DUMMYFUNCTION("""COMPUTED_VALUE"""),819)</f>
        <v>819</v>
      </c>
      <c r="E3612" s="26" t="str">
        <f ca="1">IFERROR(__xludf.DUMMYFUNCTION("""COMPUTED_VALUE"""),"REA-K4579")</f>
        <v>REA-K4579</v>
      </c>
    </row>
    <row r="3613" spans="1:5" x14ac:dyDescent="0.2">
      <c r="A3613" s="22">
        <f ca="1">IFERROR(__xludf.DUMMYFUNCTION("""COMPUTED_VALUE"""),44489)</f>
        <v>44489</v>
      </c>
      <c r="B3613" s="23" t="str">
        <f ca="1">IFERROR(__xludf.DUMMYFUNCTION("""COMPUTED_VALUE"""),"Brodzik akrylowy")</f>
        <v>Brodzik akrylowy</v>
      </c>
      <c r="C3613" s="23" t="str">
        <f ca="1">IFERROR(__xludf.DUMMYFUNCTION("""COMPUTED_VALUE"""),"Black Rock 90x120")</f>
        <v>Black Rock 90x120</v>
      </c>
      <c r="D3613" s="24">
        <f ca="1">IFERROR(__xludf.DUMMYFUNCTION("""COMPUTED_VALUE"""),989)</f>
        <v>989</v>
      </c>
      <c r="E3613" s="26" t="str">
        <f ca="1">IFERROR(__xludf.DUMMYFUNCTION("""COMPUTED_VALUE"""),"REA-K4580")</f>
        <v>REA-K4580</v>
      </c>
    </row>
    <row r="3614" spans="1:5" x14ac:dyDescent="0.2">
      <c r="A3614" s="22">
        <f ca="1">IFERROR(__xludf.DUMMYFUNCTION("""COMPUTED_VALUE"""),44489)</f>
        <v>44489</v>
      </c>
      <c r="B3614" s="23" t="str">
        <f ca="1">IFERROR(__xludf.DUMMYFUNCTION("""COMPUTED_VALUE"""),"Zestaw natryskowy z baterią i deszczownicą UltraSlim ""20""")</f>
        <v>Zestaw natryskowy z baterią i deszczownicą UltraSlim "20"</v>
      </c>
      <c r="C3614" s="23" t="str">
        <f ca="1">IFERROR(__xludf.DUMMYFUNCTION("""COMPUTED_VALUE"""),"Navaro")</f>
        <v>Navaro</v>
      </c>
      <c r="D3614" s="24">
        <f ca="1">IFERROR(__xludf.DUMMYFUNCTION("""COMPUTED_VALUE"""),769)</f>
        <v>769</v>
      </c>
      <c r="E3614" s="26" t="str">
        <f ca="1">IFERROR(__xludf.DUMMYFUNCTION("""COMPUTED_VALUE"""),"REA-P0802")</f>
        <v>REA-P0802</v>
      </c>
    </row>
    <row r="3615" spans="1:5" x14ac:dyDescent="0.2">
      <c r="A3615" s="22">
        <f ca="1">IFERROR(__xludf.DUMMYFUNCTION("""COMPUTED_VALUE"""),44489)</f>
        <v>44489</v>
      </c>
      <c r="B3615" s="23" t="str">
        <f ca="1">IFERROR(__xludf.DUMMYFUNCTION("""COMPUTED_VALUE"""),"Bateria wannowa 3 otworowa")</f>
        <v>Bateria wannowa 3 otworowa</v>
      </c>
      <c r="C3615" s="23" t="str">
        <f ca="1">IFERROR(__xludf.DUMMYFUNCTION("""COMPUTED_VALUE"""),"Azur")</f>
        <v>Azur</v>
      </c>
      <c r="D3615" s="24">
        <f ca="1">IFERROR(__xludf.DUMMYFUNCTION("""COMPUTED_VALUE"""),559)</f>
        <v>559</v>
      </c>
      <c r="E3615" s="26" t="str">
        <f ca="1">IFERROR(__xludf.DUMMYFUNCTION("""COMPUTED_VALUE"""),"REA-B0456")</f>
        <v>REA-B0456</v>
      </c>
    </row>
    <row r="3616" spans="1:5" x14ac:dyDescent="0.2">
      <c r="A3616" s="22">
        <f ca="1">IFERROR(__xludf.DUMMYFUNCTION("""COMPUTED_VALUE"""),44489)</f>
        <v>44489</v>
      </c>
      <c r="B3616" s="23" t="str">
        <f ca="1">IFERROR(__xludf.DUMMYFUNCTION("""COMPUTED_VALUE"""),"Bateria umywalkowa niska")</f>
        <v>Bateria umywalkowa niska</v>
      </c>
      <c r="C3616" s="23" t="str">
        <f ca="1">IFERROR(__xludf.DUMMYFUNCTION("""COMPUTED_VALUE"""),"Caro ")</f>
        <v xml:space="preserve">Caro </v>
      </c>
      <c r="D3616" s="24">
        <f ca="1">IFERROR(__xludf.DUMMYFUNCTION("""COMPUTED_VALUE"""),149)</f>
        <v>149</v>
      </c>
      <c r="E3616" s="26" t="str">
        <f ca="1">IFERROR(__xludf.DUMMYFUNCTION("""COMPUTED_VALUE"""),"REA-B0032")</f>
        <v>REA-B0032</v>
      </c>
    </row>
    <row r="3617" spans="1:5" x14ac:dyDescent="0.2">
      <c r="A3617" s="22">
        <f ca="1">IFERROR(__xludf.DUMMYFUNCTION("""COMPUTED_VALUE"""),44489)</f>
        <v>44489</v>
      </c>
      <c r="B3617" s="23" t="str">
        <f ca="1">IFERROR(__xludf.DUMMYFUNCTION("""COMPUTED_VALUE"""),"Bateria umywalkowa WYSOKA")</f>
        <v>Bateria umywalkowa WYSOKA</v>
      </c>
      <c r="C3617" s="23" t="str">
        <f ca="1">IFERROR(__xludf.DUMMYFUNCTION("""COMPUTED_VALUE"""),"Caro")</f>
        <v>Caro</v>
      </c>
      <c r="D3617" s="24">
        <f ca="1">IFERROR(__xludf.DUMMYFUNCTION("""COMPUTED_VALUE"""),199)</f>
        <v>199</v>
      </c>
      <c r="E3617" s="26" t="str">
        <f ca="1">IFERROR(__xludf.DUMMYFUNCTION("""COMPUTED_VALUE"""),"REA-B0498")</f>
        <v>REA-B0498</v>
      </c>
    </row>
    <row r="3618" spans="1:5" x14ac:dyDescent="0.2">
      <c r="A3618" s="22">
        <f ca="1">IFERROR(__xludf.DUMMYFUNCTION("""COMPUTED_VALUE"""),44489)</f>
        <v>44489</v>
      </c>
      <c r="B3618" s="23" t="str">
        <f ca="1">IFERROR(__xludf.DUMMYFUNCTION("""COMPUTED_VALUE"""),"Bateria umywalkowa wysoka")</f>
        <v>Bateria umywalkowa wysoka</v>
      </c>
      <c r="C3618" s="23" t="str">
        <f ca="1">IFERROR(__xludf.DUMMYFUNCTION("""COMPUTED_VALUE"""),"Creek Black")</f>
        <v>Creek Black</v>
      </c>
      <c r="D3618" s="24">
        <f ca="1">IFERROR(__xludf.DUMMYFUNCTION("""COMPUTED_VALUE"""),399)</f>
        <v>399</v>
      </c>
      <c r="E3618" s="26" t="str">
        <f ca="1">IFERROR(__xludf.DUMMYFUNCTION("""COMPUTED_VALUE"""),"REA-B8404")</f>
        <v>REA-B8404</v>
      </c>
    </row>
    <row r="3619" spans="1:5" x14ac:dyDescent="0.2">
      <c r="A3619" s="22">
        <f ca="1">IFERROR(__xludf.DUMMYFUNCTION("""COMPUTED_VALUE"""),44481)</f>
        <v>44481</v>
      </c>
      <c r="B3619" s="23" t="str">
        <f ca="1">IFERROR(__xludf.DUMMYFUNCTION("""COMPUTED_VALUE"""),"Bateria umywalkowa niska")</f>
        <v>Bateria umywalkowa niska</v>
      </c>
      <c r="C3619" s="23" t="str">
        <f ca="1">IFERROR(__xludf.DUMMYFUNCTION("""COMPUTED_VALUE"""),"Creek Black")</f>
        <v>Creek Black</v>
      </c>
      <c r="D3619" s="24">
        <f ca="1">IFERROR(__xludf.DUMMYFUNCTION("""COMPUTED_VALUE"""),299)</f>
        <v>299</v>
      </c>
      <c r="E3619" s="26" t="str">
        <f ca="1">IFERROR(__xludf.DUMMYFUNCTION("""COMPUTED_VALUE"""),"REA-B8403")</f>
        <v>REA-B8403</v>
      </c>
    </row>
    <row r="3620" spans="1:5" x14ac:dyDescent="0.2">
      <c r="A3620" s="22">
        <f ca="1">IFERROR(__xludf.DUMMYFUNCTION("""COMPUTED_VALUE"""),44481)</f>
        <v>44481</v>
      </c>
      <c r="B3620" s="23" t="str">
        <f ca="1">IFERROR(__xludf.DUMMYFUNCTION("""COMPUTED_VALUE"""),"Bateria umywalkowa")</f>
        <v>Bateria umywalkowa</v>
      </c>
      <c r="C3620" s="23" t="str">
        <f ca="1">IFERROR(__xludf.DUMMYFUNCTION("""COMPUTED_VALUE"""),"Falcon 30")</f>
        <v>Falcon 30</v>
      </c>
      <c r="D3620" s="24">
        <f ca="1">IFERROR(__xludf.DUMMYFUNCTION("""COMPUTED_VALUE"""),279)</f>
        <v>279</v>
      </c>
      <c r="E3620" s="26" t="str">
        <f ca="1">IFERROR(__xludf.DUMMYFUNCTION("""COMPUTED_VALUE"""),"BAT-00149")</f>
        <v>BAT-00149</v>
      </c>
    </row>
    <row r="3621" spans="1:5" x14ac:dyDescent="0.2">
      <c r="A3621" s="22">
        <f ca="1">IFERROR(__xludf.DUMMYFUNCTION("""COMPUTED_VALUE"""),44481)</f>
        <v>44481</v>
      </c>
      <c r="B3621" s="23" t="str">
        <f ca="1">IFERROR(__xludf.DUMMYFUNCTION("""COMPUTED_VALUE"""),"Bateria umywalkowa")</f>
        <v>Bateria umywalkowa</v>
      </c>
      <c r="C3621" s="23" t="str">
        <f ca="1">IFERROR(__xludf.DUMMYFUNCTION("""COMPUTED_VALUE"""),"Graf")</f>
        <v>Graf</v>
      </c>
      <c r="D3621" s="24">
        <f ca="1">IFERROR(__xludf.DUMMYFUNCTION("""COMPUTED_VALUE"""),109)</f>
        <v>109</v>
      </c>
      <c r="E3621" s="26" t="str">
        <f ca="1">IFERROR(__xludf.DUMMYFUNCTION("""COMPUTED_VALUE"""),"REA-B0027")</f>
        <v>REA-B0027</v>
      </c>
    </row>
    <row r="3622" spans="1:5" x14ac:dyDescent="0.2">
      <c r="A3622" s="22">
        <f ca="1">IFERROR(__xludf.DUMMYFUNCTION("""COMPUTED_VALUE"""),44481)</f>
        <v>44481</v>
      </c>
      <c r="B3622" s="23" t="str">
        <f ca="1">IFERROR(__xludf.DUMMYFUNCTION("""COMPUTED_VALUE"""),"Bateria umywalkowa wysoka")</f>
        <v>Bateria umywalkowa wysoka</v>
      </c>
      <c r="C3622" s="23" t="str">
        <f ca="1">IFERROR(__xludf.DUMMYFUNCTION("""COMPUTED_VALUE"""),"Lungo L.Gold")</f>
        <v>Lungo L.Gold</v>
      </c>
      <c r="D3622" s="24">
        <f ca="1">IFERROR(__xludf.DUMMYFUNCTION("""COMPUTED_VALUE"""),269)</f>
        <v>269</v>
      </c>
      <c r="E3622" s="26" t="str">
        <f ca="1">IFERROR(__xludf.DUMMYFUNCTION("""COMPUTED_VALUE"""),"REA-B9409")</f>
        <v>REA-B9409</v>
      </c>
    </row>
    <row r="3623" spans="1:5" x14ac:dyDescent="0.2">
      <c r="A3623" s="22">
        <f ca="1">IFERROR(__xludf.DUMMYFUNCTION("""COMPUTED_VALUE"""),44481)</f>
        <v>44481</v>
      </c>
      <c r="B3623" s="23" t="str">
        <f ca="1">IFERROR(__xludf.DUMMYFUNCTION("""COMPUTED_VALUE"""),"Bateria umywalkowa")</f>
        <v>Bateria umywalkowa</v>
      </c>
      <c r="C3623" s="23" t="str">
        <f ca="1">IFERROR(__xludf.DUMMYFUNCTION("""COMPUTED_VALUE"""),"Mayson Czarna Wysoka")</f>
        <v>Mayson Czarna Wysoka</v>
      </c>
      <c r="D3623" s="24">
        <f ca="1">IFERROR(__xludf.DUMMYFUNCTION("""COMPUTED_VALUE"""),299)</f>
        <v>299</v>
      </c>
      <c r="E3623" s="26" t="str">
        <f ca="1">IFERROR(__xludf.DUMMYFUNCTION("""COMPUTED_VALUE"""),"REA-B5102")</f>
        <v>REA-B5102</v>
      </c>
    </row>
    <row r="3624" spans="1:5" x14ac:dyDescent="0.2">
      <c r="A3624" s="22">
        <f ca="1">IFERROR(__xludf.DUMMYFUNCTION("""COMPUTED_VALUE"""),44481)</f>
        <v>44481</v>
      </c>
      <c r="B3624" s="23" t="str">
        <f ca="1">IFERROR(__xludf.DUMMYFUNCTION("""COMPUTED_VALUE"""),"Bateria wannowa 3 otworowa")</f>
        <v>Bateria wannowa 3 otworowa</v>
      </c>
      <c r="C3624" s="23" t="str">
        <f ca="1">IFERROR(__xludf.DUMMYFUNCTION("""COMPUTED_VALUE"""),"Riven")</f>
        <v>Riven</v>
      </c>
      <c r="D3624" s="24">
        <f ca="1">IFERROR(__xludf.DUMMYFUNCTION("""COMPUTED_VALUE"""),519)</f>
        <v>519</v>
      </c>
      <c r="E3624" s="26" t="str">
        <f ca="1">IFERROR(__xludf.DUMMYFUNCTION("""COMPUTED_VALUE"""),"REA-B0457")</f>
        <v>REA-B0457</v>
      </c>
    </row>
    <row r="3625" spans="1:5" x14ac:dyDescent="0.2">
      <c r="A3625" s="22">
        <f ca="1">IFERROR(__xludf.DUMMYFUNCTION("""COMPUTED_VALUE"""),44481)</f>
        <v>44481</v>
      </c>
      <c r="B3625" s="23" t="str">
        <f ca="1">IFERROR(__xludf.DUMMYFUNCTION("""COMPUTED_VALUE"""),"Bateria wannowa")</f>
        <v>Bateria wannowa</v>
      </c>
      <c r="C3625" s="23" t="str">
        <f ca="1">IFERROR(__xludf.DUMMYFUNCTION("""COMPUTED_VALUE"""),"Vertigo Black Mat")</f>
        <v>Vertigo Black Mat</v>
      </c>
      <c r="D3625" s="24">
        <f ca="1">IFERROR(__xludf.DUMMYFUNCTION("""COMPUTED_VALUE"""),439)</f>
        <v>439</v>
      </c>
      <c r="E3625" s="26" t="str">
        <f ca="1">IFERROR(__xludf.DUMMYFUNCTION("""COMPUTED_VALUE"""),"REA-B9669")</f>
        <v>REA-B9669</v>
      </c>
    </row>
    <row r="3626" spans="1:5" x14ac:dyDescent="0.2">
      <c r="A3626" s="22">
        <f ca="1">IFERROR(__xludf.DUMMYFUNCTION("""COMPUTED_VALUE"""),44481)</f>
        <v>44481</v>
      </c>
      <c r="B3626" s="23" t="str">
        <f ca="1">IFERROR(__xludf.DUMMYFUNCTION("""COMPUTED_VALUE"""),"Bateria umywalkowa")</f>
        <v>Bateria umywalkowa</v>
      </c>
      <c r="C3626" s="23" t="str">
        <f ca="1">IFERROR(__xludf.DUMMYFUNCTION("""COMPUTED_VALUE"""),"Vintage Old Black")</f>
        <v>Vintage Old Black</v>
      </c>
      <c r="D3626" s="24">
        <f ca="1">IFERROR(__xludf.DUMMYFUNCTION("""COMPUTED_VALUE"""),309)</f>
        <v>309</v>
      </c>
      <c r="E3626" s="26" t="str">
        <f ca="1">IFERROR(__xludf.DUMMYFUNCTION("""COMPUTED_VALUE"""),"REA-B0226")</f>
        <v>REA-B0226</v>
      </c>
    </row>
    <row r="3627" spans="1:5" x14ac:dyDescent="0.2">
      <c r="A3627" s="22">
        <f ca="1">IFERROR(__xludf.DUMMYFUNCTION("""COMPUTED_VALUE"""),44481)</f>
        <v>44481</v>
      </c>
      <c r="B3627" s="23" t="str">
        <f ca="1">IFERROR(__xludf.DUMMYFUNCTION("""COMPUTED_VALUE"""),"ŚCIANKA PRYSZNICOWA AERO 100 BLACK")</f>
        <v>ŚCIANKA PRYSZNICOWA AERO 100 BLACK</v>
      </c>
      <c r="C3627" s="23" t="str">
        <f ca="1">IFERROR(__xludf.DUMMYFUNCTION("""COMPUTED_VALUE"""),"AERO BLACK")</f>
        <v>AERO BLACK</v>
      </c>
      <c r="D3627" s="24">
        <f ca="1">IFERROR(__xludf.DUMMYFUNCTION("""COMPUTED_VALUE"""),899)</f>
        <v>899</v>
      </c>
      <c r="E3627" s="26" t="str">
        <f ca="1">IFERROR(__xludf.DUMMYFUNCTION("""COMPUTED_VALUE"""),"REA-K6596")</f>
        <v>REA-K6596</v>
      </c>
    </row>
    <row r="3628" spans="1:5" x14ac:dyDescent="0.2">
      <c r="A3628" s="22">
        <f ca="1">IFERROR(__xludf.DUMMYFUNCTION("""COMPUTED_VALUE"""),44481)</f>
        <v>44481</v>
      </c>
      <c r="B3628" s="23" t="str">
        <f ca="1">IFERROR(__xludf.DUMMYFUNCTION("""COMPUTED_VALUE"""),"ŚCIANKA PRYSZNICOWA AERO 120 BLACK")</f>
        <v>ŚCIANKA PRYSZNICOWA AERO 120 BLACK</v>
      </c>
      <c r="C3628" s="23" t="str">
        <f ca="1">IFERROR(__xludf.DUMMYFUNCTION("""COMPUTED_VALUE"""),"AERO BLACK")</f>
        <v>AERO BLACK</v>
      </c>
      <c r="D3628" s="24">
        <f ca="1">IFERROR(__xludf.DUMMYFUNCTION("""COMPUTED_VALUE"""),999)</f>
        <v>999</v>
      </c>
      <c r="E3628" s="26" t="str">
        <f ca="1">IFERROR(__xludf.DUMMYFUNCTION("""COMPUTED_VALUE"""),"REA-K6599")</f>
        <v>REA-K6599</v>
      </c>
    </row>
    <row r="3629" spans="1:5" x14ac:dyDescent="0.2">
      <c r="A3629" s="22">
        <f ca="1">IFERROR(__xludf.DUMMYFUNCTION("""COMPUTED_VALUE"""),44481)</f>
        <v>44481</v>
      </c>
      <c r="B3629" s="23" t="str">
        <f ca="1">IFERROR(__xludf.DUMMYFUNCTION("""COMPUTED_VALUE"""),"Drzwi prysznicowe+adapter")</f>
        <v>Drzwi prysznicowe+adapter</v>
      </c>
      <c r="C3629" s="23" t="str">
        <f ca="1">IFERROR(__xludf.DUMMYFUNCTION("""COMPUTED_VALUE"""),"Molier Black 100")</f>
        <v>Molier Black 100</v>
      </c>
      <c r="D3629" s="24">
        <f ca="1">IFERROR(__xludf.DUMMYFUNCTION("""COMPUTED_VALUE"""),1249)</f>
        <v>1249</v>
      </c>
      <c r="E3629" s="26"/>
    </row>
    <row r="3630" spans="1:5" x14ac:dyDescent="0.2">
      <c r="A3630" s="22">
        <f ca="1">IFERROR(__xludf.DUMMYFUNCTION("""COMPUTED_VALUE"""),44481)</f>
        <v>44481</v>
      </c>
      <c r="B3630" s="23" t="str">
        <f ca="1">IFERROR(__xludf.DUMMYFUNCTION("""COMPUTED_VALUE"""),"Drzwi prysznicowe")</f>
        <v>Drzwi prysznicowe</v>
      </c>
      <c r="C3630" s="23" t="str">
        <f ca="1">IFERROR(__xludf.DUMMYFUNCTION("""COMPUTED_VALUE"""),"Molier Black 100")</f>
        <v>Molier Black 100</v>
      </c>
      <c r="D3630" s="24">
        <f ca="1">IFERROR(__xludf.DUMMYFUNCTION("""COMPUTED_VALUE"""),1000)</f>
        <v>1000</v>
      </c>
      <c r="E3630" s="26" t="str">
        <f ca="1">IFERROR(__xludf.DUMMYFUNCTION("""COMPUTED_VALUE"""),"REA-K6963")</f>
        <v>REA-K6963</v>
      </c>
    </row>
    <row r="3631" spans="1:5" x14ac:dyDescent="0.2">
      <c r="A3631" s="22">
        <f ca="1">IFERROR(__xludf.DUMMYFUNCTION("""COMPUTED_VALUE"""),44476)</f>
        <v>44476</v>
      </c>
      <c r="B3631" s="23" t="str">
        <f ca="1">IFERROR(__xludf.DUMMYFUNCTION("""COMPUTED_VALUE"""),"Drzwi prysznicowe")</f>
        <v>Drzwi prysznicowe</v>
      </c>
      <c r="C3631" s="23" t="str">
        <f ca="1">IFERROR(__xludf.DUMMYFUNCTION("""COMPUTED_VALUE"""),"RAPID SLIDE 140")</f>
        <v>RAPID SLIDE 140</v>
      </c>
      <c r="D3631" s="24">
        <f ca="1">IFERROR(__xludf.DUMMYFUNCTION("""COMPUTED_VALUE"""),1049)</f>
        <v>1049</v>
      </c>
      <c r="E3631" s="26" t="str">
        <f ca="1">IFERROR(__xludf.DUMMYFUNCTION("""COMPUTED_VALUE"""),"REA-K6404")</f>
        <v>REA-K6404</v>
      </c>
    </row>
    <row r="3632" spans="1:5" x14ac:dyDescent="0.2">
      <c r="A3632" s="22">
        <f ca="1">IFERROR(__xludf.DUMMYFUNCTION("""COMPUTED_VALUE"""),44476)</f>
        <v>44476</v>
      </c>
      <c r="B3632" s="23" t="str">
        <f ca="1">IFERROR(__xludf.DUMMYFUNCTION("""COMPUTED_VALUE"""),"Drzwi prysznicowe+adapter")</f>
        <v>Drzwi prysznicowe+adapter</v>
      </c>
      <c r="C3632" s="23" t="str">
        <f ca="1">IFERROR(__xludf.DUMMYFUNCTION("""COMPUTED_VALUE"""),"Molier Black 90")</f>
        <v>Molier Black 90</v>
      </c>
      <c r="D3632" s="24">
        <f ca="1">IFERROR(__xludf.DUMMYFUNCTION("""COMPUTED_VALUE"""),1219)</f>
        <v>1219</v>
      </c>
      <c r="E3632" s="26"/>
    </row>
    <row r="3633" spans="1:5" x14ac:dyDescent="0.2">
      <c r="A3633" s="22">
        <f ca="1">IFERROR(__xludf.DUMMYFUNCTION("""COMPUTED_VALUE"""),44476)</f>
        <v>44476</v>
      </c>
      <c r="B3633" s="23" t="str">
        <f ca="1">IFERROR(__xludf.DUMMYFUNCTION("""COMPUTED_VALUE"""),"Drzwi prysznicowe")</f>
        <v>Drzwi prysznicowe</v>
      </c>
      <c r="C3633" s="23" t="str">
        <f ca="1">IFERROR(__xludf.DUMMYFUNCTION("""COMPUTED_VALUE"""),"Molier Black 90")</f>
        <v>Molier Black 90</v>
      </c>
      <c r="D3633" s="24">
        <f ca="1">IFERROR(__xludf.DUMMYFUNCTION("""COMPUTED_VALUE"""),970)</f>
        <v>970</v>
      </c>
      <c r="E3633" s="26" t="str">
        <f ca="1">IFERROR(__xludf.DUMMYFUNCTION("""COMPUTED_VALUE"""),"REA-K8538")</f>
        <v>REA-K8538</v>
      </c>
    </row>
    <row r="3634" spans="1:5" x14ac:dyDescent="0.2">
      <c r="A3634" s="22">
        <f ca="1">IFERROR(__xludf.DUMMYFUNCTION("""COMPUTED_VALUE"""),44476)</f>
        <v>44476</v>
      </c>
      <c r="B3634" s="23" t="str">
        <f ca="1">IFERROR(__xludf.DUMMYFUNCTION("""COMPUTED_VALUE"""),"Drzwi prysznicowe")</f>
        <v>Drzwi prysznicowe</v>
      </c>
      <c r="C3634" s="23" t="str">
        <f ca="1">IFERROR(__xludf.DUMMYFUNCTION("""COMPUTED_VALUE"""),"RAPID SWING 80")</f>
        <v>RAPID SWING 80</v>
      </c>
      <c r="D3634" s="24">
        <f ca="1">IFERROR(__xludf.DUMMYFUNCTION("""COMPUTED_VALUE"""),879)</f>
        <v>879</v>
      </c>
      <c r="E3634" s="26" t="str">
        <f ca="1">IFERROR(__xludf.DUMMYFUNCTION("""COMPUTED_VALUE"""),"REA-K6408")</f>
        <v>REA-K6408</v>
      </c>
    </row>
    <row r="3635" spans="1:5" x14ac:dyDescent="0.2">
      <c r="A3635" s="22">
        <f ca="1">IFERROR(__xludf.DUMMYFUNCTION("""COMPUTED_VALUE"""),44476)</f>
        <v>44476</v>
      </c>
      <c r="B3635" s="23" t="str">
        <f ca="1">IFERROR(__xludf.DUMMYFUNCTION("""COMPUTED_VALUE"""),"Drzwi prysznicowe")</f>
        <v>Drzwi prysznicowe</v>
      </c>
      <c r="C3635" s="23" t="str">
        <f ca="1">IFERROR(__xludf.DUMMYFUNCTION("""COMPUTED_VALUE"""),"RAPID SWING 100")</f>
        <v>RAPID SWING 100</v>
      </c>
      <c r="D3635" s="24">
        <f ca="1">IFERROR(__xludf.DUMMYFUNCTION("""COMPUTED_VALUE"""),949)</f>
        <v>949</v>
      </c>
      <c r="E3635" s="26" t="str">
        <f ca="1">IFERROR(__xludf.DUMMYFUNCTION("""COMPUTED_VALUE"""),"REA-K6410")</f>
        <v>REA-K6410</v>
      </c>
    </row>
    <row r="3636" spans="1:5" x14ac:dyDescent="0.2">
      <c r="A3636" s="22">
        <f ca="1">IFERROR(__xludf.DUMMYFUNCTION("""COMPUTED_VALUE"""),44476)</f>
        <v>44476</v>
      </c>
      <c r="B3636" s="23" t="str">
        <f ca="1">IFERROR(__xludf.DUMMYFUNCTION("""COMPUTED_VALUE"""),"KABINA SOLAR BLACK 90X120")</f>
        <v>KABINA SOLAR BLACK 90X120</v>
      </c>
      <c r="C3636" s="23" t="str">
        <f ca="1">IFERROR(__xludf.DUMMYFUNCTION("""COMPUTED_VALUE"""),"Solar")</f>
        <v>Solar</v>
      </c>
      <c r="D3636" s="24">
        <f ca="1">IFERROR(__xludf.DUMMYFUNCTION("""COMPUTED_VALUE"""),1399)</f>
        <v>1399</v>
      </c>
      <c r="E3636" s="26" t="str">
        <f ca="1">IFERROR(__xludf.DUMMYFUNCTION("""COMPUTED_VALUE"""),"REA-K6311")</f>
        <v>REA-K6311</v>
      </c>
    </row>
    <row r="3637" spans="1:5" x14ac:dyDescent="0.2">
      <c r="A3637" s="22">
        <f ca="1">IFERROR(__xludf.DUMMYFUNCTION("""COMPUTED_VALUE"""),44476)</f>
        <v>44476</v>
      </c>
      <c r="B3637" s="23" t="str">
        <f ca="1">IFERROR(__xludf.DUMMYFUNCTION("""COMPUTED_VALUE"""),"Ścianka prysznicowa")</f>
        <v>Ścianka prysznicowa</v>
      </c>
      <c r="C3637" s="23" t="str">
        <f ca="1">IFERROR(__xludf.DUMMYFUNCTION("""COMPUTED_VALUE"""),"Molier Black 80")</f>
        <v>Molier Black 80</v>
      </c>
      <c r="D3637" s="24">
        <f ca="1">IFERROR(__xludf.DUMMYFUNCTION("""COMPUTED_VALUE"""),630)</f>
        <v>630</v>
      </c>
      <c r="E3637" s="26" t="str">
        <f ca="1">IFERROR(__xludf.DUMMYFUNCTION("""COMPUTED_VALUE"""),"REA-K8412")</f>
        <v>REA-K8412</v>
      </c>
    </row>
    <row r="3638" spans="1:5" x14ac:dyDescent="0.2">
      <c r="A3638" s="22">
        <f ca="1">IFERROR(__xludf.DUMMYFUNCTION("""COMPUTED_VALUE"""),44476)</f>
        <v>44476</v>
      </c>
      <c r="B3638" s="23" t="str">
        <f ca="1">IFERROR(__xludf.DUMMYFUNCTION("""COMPUTED_VALUE"""),"Ścianka prysznicowa")</f>
        <v>Ścianka prysznicowa</v>
      </c>
      <c r="C3638" s="23" t="str">
        <f ca="1">IFERROR(__xludf.DUMMYFUNCTION("""COMPUTED_VALUE"""),"Molier Black 90")</f>
        <v>Molier Black 90</v>
      </c>
      <c r="D3638" s="24">
        <f ca="1">IFERROR(__xludf.DUMMYFUNCTION("""COMPUTED_VALUE"""),650)</f>
        <v>650</v>
      </c>
      <c r="E3638" s="26" t="str">
        <f ca="1">IFERROR(__xludf.DUMMYFUNCTION("""COMPUTED_VALUE"""),"REA-K8531")</f>
        <v>REA-K8531</v>
      </c>
    </row>
    <row r="3639" spans="1:5" x14ac:dyDescent="0.2">
      <c r="A3639" s="22">
        <f ca="1">IFERROR(__xludf.DUMMYFUNCTION("""COMPUTED_VALUE"""),44476)</f>
        <v>44476</v>
      </c>
      <c r="B3639" s="23" t="str">
        <f ca="1">IFERROR(__xludf.DUMMYFUNCTION("""COMPUTED_VALUE"""),"ŚCIANKA PRYSZNICOWA AERO 110 ""N""")</f>
        <v>ŚCIANKA PRYSZNICOWA AERO 110 "N"</v>
      </c>
      <c r="C3639" s="23" t="str">
        <f ca="1">IFERROR(__xludf.DUMMYFUNCTION("""COMPUTED_VALUE"""),"Aero ""N""")</f>
        <v>Aero "N"</v>
      </c>
      <c r="D3639" s="24">
        <f ca="1">IFERROR(__xludf.DUMMYFUNCTION("""COMPUTED_VALUE"""),999)</f>
        <v>999</v>
      </c>
      <c r="E3639" s="26" t="str">
        <f ca="1">IFERROR(__xludf.DUMMYFUNCTION("""COMPUTED_VALUE"""),"REA-K3021")</f>
        <v>REA-K3021</v>
      </c>
    </row>
    <row r="3640" spans="1:5" x14ac:dyDescent="0.2">
      <c r="A3640" s="22">
        <f ca="1">IFERROR(__xludf.DUMMYFUNCTION("""COMPUTED_VALUE"""),44476)</f>
        <v>44476</v>
      </c>
      <c r="B3640" s="23" t="str">
        <f ca="1">IFERROR(__xludf.DUMMYFUNCTION("""COMPUTED_VALUE"""),"Umywalka ceramiczna blatowa")</f>
        <v>Umywalka ceramiczna blatowa</v>
      </c>
      <c r="C3640" s="23" t="str">
        <f ca="1">IFERROR(__xludf.DUMMYFUNCTION("""COMPUTED_VALUE"""),"Sofia Shiny Aiax")</f>
        <v>Sofia Shiny Aiax</v>
      </c>
      <c r="D3640" s="24">
        <f ca="1">IFERROR(__xludf.DUMMYFUNCTION("""COMPUTED_VALUE"""),369)</f>
        <v>369</v>
      </c>
      <c r="E3640" s="26" t="str">
        <f ca="1">IFERROR(__xludf.DUMMYFUNCTION("""COMPUTED_VALUE"""),"REA-U6597")</f>
        <v>REA-U6597</v>
      </c>
    </row>
    <row r="3641" spans="1:5" x14ac:dyDescent="0.2">
      <c r="A3641" s="22">
        <f ca="1">IFERROR(__xludf.DUMMYFUNCTION("""COMPUTED_VALUE"""),44476)</f>
        <v>44476</v>
      </c>
      <c r="B3641" s="23" t="str">
        <f ca="1">IFERROR(__xludf.DUMMYFUNCTION("""COMPUTED_VALUE"""),"Ścianka prysznicowa BLER")</f>
        <v>Ścianka prysznicowa BLER</v>
      </c>
      <c r="C3641" s="23">
        <f ca="1">IFERROR(__xludf.DUMMYFUNCTION("""COMPUTED_VALUE"""),120)</f>
        <v>120</v>
      </c>
      <c r="D3641" s="24">
        <f ca="1">IFERROR(__xludf.DUMMYFUNCTION("""COMPUTED_VALUE"""),1090)</f>
        <v>1090</v>
      </c>
      <c r="E3641" s="26" t="str">
        <f ca="1">IFERROR(__xludf.DUMMYFUNCTION("""COMPUTED_VALUE"""),"REA-K7631")</f>
        <v>REA-K7631</v>
      </c>
    </row>
    <row r="3642" spans="1:5" x14ac:dyDescent="0.2">
      <c r="A3642" s="22">
        <f ca="1">IFERROR(__xludf.DUMMYFUNCTION("""COMPUTED_VALUE"""),44476)</f>
        <v>44476</v>
      </c>
      <c r="B3642" s="23" t="str">
        <f ca="1">IFERROR(__xludf.DUMMYFUNCTION("""COMPUTED_VALUE"""),"ŚCIANKA PRYSZNICOWA AERO 100 ""N""")</f>
        <v>ŚCIANKA PRYSZNICOWA AERO 100 "N"</v>
      </c>
      <c r="C3642" s="23" t="str">
        <f ca="1">IFERROR(__xludf.DUMMYFUNCTION("""COMPUTED_VALUE"""),"Aero ""N""")</f>
        <v>Aero "N"</v>
      </c>
      <c r="D3642" s="24">
        <f ca="1">IFERROR(__xludf.DUMMYFUNCTION("""COMPUTED_VALUE"""),979)</f>
        <v>979</v>
      </c>
      <c r="E3642" s="26" t="str">
        <f ca="1">IFERROR(__xludf.DUMMYFUNCTION("""COMPUTED_VALUE"""),"REA-K7551")</f>
        <v>REA-K7551</v>
      </c>
    </row>
    <row r="3643" spans="1:5" x14ac:dyDescent="0.2">
      <c r="A3643" s="22">
        <f ca="1">IFERROR(__xludf.DUMMYFUNCTION("""COMPUTED_VALUE"""),44476)</f>
        <v>44476</v>
      </c>
      <c r="B3643" s="23" t="str">
        <f ca="1">IFERROR(__xludf.DUMMYFUNCTION("""COMPUTED_VALUE"""),"Ścianka prysznicowa BLER")</f>
        <v>Ścianka prysznicowa BLER</v>
      </c>
      <c r="C3643" s="23">
        <f ca="1">IFERROR(__xludf.DUMMYFUNCTION("""COMPUTED_VALUE"""),110)</f>
        <v>110</v>
      </c>
      <c r="D3643" s="24">
        <f ca="1">IFERROR(__xludf.DUMMYFUNCTION("""COMPUTED_VALUE"""),939)</f>
        <v>939</v>
      </c>
      <c r="E3643" s="26" t="str">
        <f ca="1">IFERROR(__xludf.DUMMYFUNCTION("""COMPUTED_VALUE"""),"REA-K7630")</f>
        <v>REA-K7630</v>
      </c>
    </row>
    <row r="3644" spans="1:5" x14ac:dyDescent="0.2">
      <c r="A3644" s="22">
        <f ca="1">IFERROR(__xludf.DUMMYFUNCTION("""COMPUTED_VALUE"""),44476)</f>
        <v>44476</v>
      </c>
      <c r="B3644" s="23" t="str">
        <f ca="1">IFERROR(__xludf.DUMMYFUNCTION("""COMPUTED_VALUE"""),"KABINA SOLAR BLACK 80X100")</f>
        <v>KABINA SOLAR BLACK 80X100</v>
      </c>
      <c r="C3644" s="23" t="str">
        <f ca="1">IFERROR(__xludf.DUMMYFUNCTION("""COMPUTED_VALUE"""),"Solar")</f>
        <v>Solar</v>
      </c>
      <c r="D3644" s="24">
        <f ca="1">IFERROR(__xludf.DUMMYFUNCTION("""COMPUTED_VALUE"""),1390)</f>
        <v>1390</v>
      </c>
      <c r="E3644" s="26" t="str">
        <f ca="1">IFERROR(__xludf.DUMMYFUNCTION("""COMPUTED_VALUE"""),"REA-K6310")</f>
        <v>REA-K6310</v>
      </c>
    </row>
    <row r="3645" spans="1:5" x14ac:dyDescent="0.2">
      <c r="A3645" s="22">
        <f ca="1">IFERROR(__xludf.DUMMYFUNCTION("""COMPUTED_VALUE"""),44476)</f>
        <v>44476</v>
      </c>
      <c r="B3645" s="23" t="str">
        <f ca="1">IFERROR(__xludf.DUMMYFUNCTION("""COMPUTED_VALUE"""),"DRZWI PRYSZNICOWE ALEX-805 80")</f>
        <v>DRZWI PRYSZNICOWE ALEX-805 80</v>
      </c>
      <c r="C3645" s="23" t="str">
        <f ca="1">IFERROR(__xludf.DUMMYFUNCTION("""COMPUTED_VALUE"""),"Alex")</f>
        <v>Alex</v>
      </c>
      <c r="D3645" s="24">
        <f ca="1">IFERROR(__xludf.DUMMYFUNCTION("""COMPUTED_VALUE"""),819)</f>
        <v>819</v>
      </c>
      <c r="E3645" s="26" t="str">
        <f ca="1">IFERROR(__xludf.DUMMYFUNCTION("""COMPUTED_VALUE"""),"REA-K0287")</f>
        <v>REA-K0287</v>
      </c>
    </row>
    <row r="3646" spans="1:5" x14ac:dyDescent="0.2">
      <c r="A3646" s="22">
        <f ca="1">IFERROR(__xludf.DUMMYFUNCTION("""COMPUTED_VALUE"""),44476)</f>
        <v>44476</v>
      </c>
      <c r="B3646" s="23" t="str">
        <f ca="1">IFERROR(__xludf.DUMMYFUNCTION("""COMPUTED_VALUE"""),"Drzwi prysznicowe")</f>
        <v>Drzwi prysznicowe</v>
      </c>
      <c r="C3646" s="23" t="str">
        <f ca="1">IFERROR(__xludf.DUMMYFUNCTION("""COMPUTED_VALUE"""),"RAPID SWING 90")</f>
        <v>RAPID SWING 90</v>
      </c>
      <c r="D3646" s="24">
        <f ca="1">IFERROR(__xludf.DUMMYFUNCTION("""COMPUTED_VALUE"""),899)</f>
        <v>899</v>
      </c>
      <c r="E3646" s="26" t="str">
        <f ca="1">IFERROR(__xludf.DUMMYFUNCTION("""COMPUTED_VALUE"""),"REA-K6409")</f>
        <v>REA-K6409</v>
      </c>
    </row>
    <row r="3647" spans="1:5" x14ac:dyDescent="0.2">
      <c r="A3647" s="22">
        <f ca="1">IFERROR(__xludf.DUMMYFUNCTION("""COMPUTED_VALUE"""),44476)</f>
        <v>44476</v>
      </c>
      <c r="B3647" s="23" t="str">
        <f ca="1">IFERROR(__xludf.DUMMYFUNCTION("""COMPUTED_VALUE"""),"Skrzydło modułowe")</f>
        <v>Skrzydło modułowe</v>
      </c>
      <c r="C3647" s="23" t="str">
        <f ca="1">IFERROR(__xludf.DUMMYFUNCTION("""COMPUTED_VALUE"""),"Fold MODUŁ 70")</f>
        <v>Fold MODUŁ 70</v>
      </c>
      <c r="D3647" s="24">
        <f ca="1">IFERROR(__xludf.DUMMYFUNCTION("""COMPUTED_VALUE"""),860)</f>
        <v>860</v>
      </c>
      <c r="E3647" s="26" t="str">
        <f ca="1">IFERROR(__xludf.DUMMYFUNCTION("""COMPUTED_VALUE"""),"REA-K7444")</f>
        <v>REA-K7444</v>
      </c>
    </row>
    <row r="3648" spans="1:5" x14ac:dyDescent="0.2">
      <c r="A3648" s="22">
        <f ca="1">IFERROR(__xludf.DUMMYFUNCTION("""COMPUTED_VALUE"""),44476)</f>
        <v>44476</v>
      </c>
      <c r="B3648" s="23" t="str">
        <f ca="1">IFERROR(__xludf.DUMMYFUNCTION("""COMPUTED_VALUE"""),"Skrzydło modułowe")</f>
        <v>Skrzydło modułowe</v>
      </c>
      <c r="C3648" s="23" t="str">
        <f ca="1">IFERROR(__xludf.DUMMYFUNCTION("""COMPUTED_VALUE"""),"Fold MODUŁ 80")</f>
        <v>Fold MODUŁ 80</v>
      </c>
      <c r="D3648" s="24">
        <f ca="1">IFERROR(__xludf.DUMMYFUNCTION("""COMPUTED_VALUE"""),890)</f>
        <v>890</v>
      </c>
      <c r="E3648" s="26" t="str">
        <f ca="1">IFERROR(__xludf.DUMMYFUNCTION("""COMPUTED_VALUE"""),"REA-K7443")</f>
        <v>REA-K7443</v>
      </c>
    </row>
    <row r="3649" spans="1:5" x14ac:dyDescent="0.2">
      <c r="A3649" s="22">
        <f ca="1">IFERROR(__xludf.DUMMYFUNCTION("""COMPUTED_VALUE"""),44476)</f>
        <v>44476</v>
      </c>
      <c r="B3649" s="23" t="str">
        <f ca="1">IFERROR(__xludf.DUMMYFUNCTION("""COMPUTED_VALUE"""),"Skrzydło modułowe")</f>
        <v>Skrzydło modułowe</v>
      </c>
      <c r="C3649" s="23" t="str">
        <f ca="1">IFERROR(__xludf.DUMMYFUNCTION("""COMPUTED_VALUE"""),"Fold MODUŁ 90")</f>
        <v>Fold MODUŁ 90</v>
      </c>
      <c r="D3649" s="24">
        <f ca="1">IFERROR(__xludf.DUMMYFUNCTION("""COMPUTED_VALUE"""),930)</f>
        <v>930</v>
      </c>
      <c r="E3649" s="26" t="str">
        <f ca="1">IFERROR(__xludf.DUMMYFUNCTION("""COMPUTED_VALUE"""),"REA-K7442")</f>
        <v>REA-K7442</v>
      </c>
    </row>
    <row r="3650" spans="1:5" x14ac:dyDescent="0.2">
      <c r="A3650" s="22">
        <f ca="1">IFERROR(__xludf.DUMMYFUNCTION("""COMPUTED_VALUE"""),44476)</f>
        <v>44476</v>
      </c>
      <c r="B3650" s="23" t="str">
        <f ca="1">IFERROR(__xludf.DUMMYFUNCTION("""COMPUTED_VALUE"""),"Skrzydło modułowe")</f>
        <v>Skrzydło modułowe</v>
      </c>
      <c r="C3650" s="23" t="str">
        <f ca="1">IFERROR(__xludf.DUMMYFUNCTION("""COMPUTED_VALUE"""),"Fold MODUŁ 100")</f>
        <v>Fold MODUŁ 100</v>
      </c>
      <c r="D3650" s="24">
        <f ca="1">IFERROR(__xludf.DUMMYFUNCTION("""COMPUTED_VALUE"""),970)</f>
        <v>970</v>
      </c>
      <c r="E3650" s="26" t="str">
        <f ca="1">IFERROR(__xludf.DUMMYFUNCTION("""COMPUTED_VALUE"""),"REA-K7439")</f>
        <v>REA-K7439</v>
      </c>
    </row>
    <row r="3651" spans="1:5" x14ac:dyDescent="0.2">
      <c r="A3651" s="22">
        <f ca="1">IFERROR(__xludf.DUMMYFUNCTION("""COMPUTED_VALUE"""),44476)</f>
        <v>44476</v>
      </c>
      <c r="B3651" s="23" t="str">
        <f ca="1">IFERROR(__xludf.DUMMYFUNCTION("""COMPUTED_VALUE"""),"Bateria umywalkowa wysoka")</f>
        <v>Bateria umywalkowa wysoka</v>
      </c>
      <c r="C3651" s="23" t="str">
        <f ca="1">IFERROR(__xludf.DUMMYFUNCTION("""COMPUTED_VALUE"""),"Duet Black")</f>
        <v>Duet Black</v>
      </c>
      <c r="D3651" s="24">
        <f ca="1">IFERROR(__xludf.DUMMYFUNCTION("""COMPUTED_VALUE"""),499)</f>
        <v>499</v>
      </c>
      <c r="E3651" s="26" t="str">
        <f ca="1">IFERROR(__xludf.DUMMYFUNCTION("""COMPUTED_VALUE"""),"REA-B4414")</f>
        <v>REA-B4414</v>
      </c>
    </row>
    <row r="3652" spans="1:5" x14ac:dyDescent="0.2">
      <c r="A3652" s="22">
        <f ca="1">IFERROR(__xludf.DUMMYFUNCTION("""COMPUTED_VALUE"""),44476)</f>
        <v>44476</v>
      </c>
      <c r="B3652" s="23" t="str">
        <f ca="1">IFERROR(__xludf.DUMMYFUNCTION("""COMPUTED_VALUE"""),"Bateria umywalkowa niska")</f>
        <v>Bateria umywalkowa niska</v>
      </c>
      <c r="C3652" s="23" t="str">
        <f ca="1">IFERROR(__xludf.DUMMYFUNCTION("""COMPUTED_VALUE"""),"Duet Black")</f>
        <v>Duet Black</v>
      </c>
      <c r="D3652" s="24">
        <f ca="1">IFERROR(__xludf.DUMMYFUNCTION("""COMPUTED_VALUE"""),329)</f>
        <v>329</v>
      </c>
      <c r="E3652" s="26" t="str">
        <f ca="1">IFERROR(__xludf.DUMMYFUNCTION("""COMPUTED_VALUE"""),"REA-B4412")</f>
        <v>REA-B4412</v>
      </c>
    </row>
    <row r="3653" spans="1:5" x14ac:dyDescent="0.2">
      <c r="A3653" s="22">
        <f ca="1">IFERROR(__xludf.DUMMYFUNCTION("""COMPUTED_VALUE"""),44476)</f>
        <v>44476</v>
      </c>
      <c r="B3653" s="23" t="str">
        <f ca="1">IFERROR(__xludf.DUMMYFUNCTION("""COMPUTED_VALUE"""),"Bateria umywalkowa niska")</f>
        <v>Bateria umywalkowa niska</v>
      </c>
      <c r="C3653" s="23" t="str">
        <f ca="1">IFERROR(__xludf.DUMMYFUNCTION("""COMPUTED_VALUE"""),"Duet Gold")</f>
        <v>Duet Gold</v>
      </c>
      <c r="D3653" s="24">
        <f ca="1">IFERROR(__xludf.DUMMYFUNCTION("""COMPUTED_VALUE"""),329)</f>
        <v>329</v>
      </c>
      <c r="E3653" s="26" t="str">
        <f ca="1">IFERROR(__xludf.DUMMYFUNCTION("""COMPUTED_VALUE"""),"REA-B4413")</f>
        <v>REA-B4413</v>
      </c>
    </row>
    <row r="3654" spans="1:5" x14ac:dyDescent="0.2">
      <c r="A3654" s="22">
        <f ca="1">IFERROR(__xludf.DUMMYFUNCTION("""COMPUTED_VALUE"""),44476)</f>
        <v>44476</v>
      </c>
      <c r="B3654" s="23" t="str">
        <f ca="1">IFERROR(__xludf.DUMMYFUNCTION("""COMPUTED_VALUE"""),"Bateria umywalkowa wysoka")</f>
        <v>Bateria umywalkowa wysoka</v>
      </c>
      <c r="C3654" s="23" t="str">
        <f ca="1">IFERROR(__xludf.DUMMYFUNCTION("""COMPUTED_VALUE"""),"Duet Gold")</f>
        <v>Duet Gold</v>
      </c>
      <c r="D3654" s="24">
        <f ca="1">IFERROR(__xludf.DUMMYFUNCTION("""COMPUTED_VALUE"""),499)</f>
        <v>499</v>
      </c>
      <c r="E3654" s="26" t="str">
        <f ca="1">IFERROR(__xludf.DUMMYFUNCTION("""COMPUTED_VALUE"""),"REA-B4415")</f>
        <v>REA-B4415</v>
      </c>
    </row>
    <row r="3655" spans="1:5" x14ac:dyDescent="0.2">
      <c r="A3655" s="22">
        <f ca="1">IFERROR(__xludf.DUMMYFUNCTION("""COMPUTED_VALUE"""),44476)</f>
        <v>44476</v>
      </c>
      <c r="B3655" s="23" t="str">
        <f ca="1">IFERROR(__xludf.DUMMYFUNCTION("""COMPUTED_VALUE"""),"Bateria wannowa")</f>
        <v>Bateria wannowa</v>
      </c>
      <c r="C3655" s="23" t="str">
        <f ca="1">IFERROR(__xludf.DUMMYFUNCTION("""COMPUTED_VALUE"""),"Fenix Black")</f>
        <v>Fenix Black</v>
      </c>
      <c r="D3655" s="24">
        <f ca="1">IFERROR(__xludf.DUMMYFUNCTION("""COMPUTED_VALUE"""),579)</f>
        <v>579</v>
      </c>
      <c r="E3655" s="26" t="str">
        <f ca="1">IFERROR(__xludf.DUMMYFUNCTION("""COMPUTED_VALUE"""),"REA-B3310")</f>
        <v>REA-B3310</v>
      </c>
    </row>
    <row r="3656" spans="1:5" x14ac:dyDescent="0.2">
      <c r="A3656" s="22">
        <f ca="1">IFERROR(__xludf.DUMMYFUNCTION("""COMPUTED_VALUE"""),44476)</f>
        <v>44476</v>
      </c>
      <c r="B3656" s="23" t="str">
        <f ca="1">IFERROR(__xludf.DUMMYFUNCTION("""COMPUTED_VALUE"""),"Bateria umywalkowa")</f>
        <v>Bateria umywalkowa</v>
      </c>
      <c r="C3656" s="23" t="str">
        <f ca="1">IFERROR(__xludf.DUMMYFUNCTION("""COMPUTED_VALUE"""),"Fenix Gold Wysoka")</f>
        <v>Fenix Gold Wysoka</v>
      </c>
      <c r="D3656" s="24">
        <f ca="1">IFERROR(__xludf.DUMMYFUNCTION("""COMPUTED_VALUE"""),479)</f>
        <v>479</v>
      </c>
      <c r="E3656" s="26" t="str">
        <f ca="1">IFERROR(__xludf.DUMMYFUNCTION("""COMPUTED_VALUE"""),"REA-B6394")</f>
        <v>REA-B6394</v>
      </c>
    </row>
    <row r="3657" spans="1:5" x14ac:dyDescent="0.2">
      <c r="A3657" s="22">
        <f ca="1">IFERROR(__xludf.DUMMYFUNCTION("""COMPUTED_VALUE"""),44476)</f>
        <v>44476</v>
      </c>
      <c r="B3657" s="23" t="str">
        <f ca="1">IFERROR(__xludf.DUMMYFUNCTION("""COMPUTED_VALUE"""),"Bateria umywalkowa")</f>
        <v>Bateria umywalkowa</v>
      </c>
      <c r="C3657" s="23" t="str">
        <f ca="1">IFERROR(__xludf.DUMMYFUNCTION("""COMPUTED_VALUE"""),"Icon Black Niska")</f>
        <v>Icon Black Niska</v>
      </c>
      <c r="D3657" s="24">
        <f ca="1">IFERROR(__xludf.DUMMYFUNCTION("""COMPUTED_VALUE"""),279)</f>
        <v>279</v>
      </c>
      <c r="E3657" s="26" t="str">
        <f ca="1">IFERROR(__xludf.DUMMYFUNCTION("""COMPUTED_VALUE"""),"REA-B5680")</f>
        <v>REA-B5680</v>
      </c>
    </row>
    <row r="3658" spans="1:5" x14ac:dyDescent="0.2">
      <c r="A3658" s="22">
        <f ca="1">IFERROR(__xludf.DUMMYFUNCTION("""COMPUTED_VALUE"""),44476)</f>
        <v>44476</v>
      </c>
      <c r="B3658" s="23" t="str">
        <f ca="1">IFERROR(__xludf.DUMMYFUNCTION("""COMPUTED_VALUE"""),"Bateria wannowa nadtynkowa")</f>
        <v>Bateria wannowa nadtynkowa</v>
      </c>
      <c r="C3658" s="23" t="str">
        <f ca="1">IFERROR(__xludf.DUMMYFUNCTION("""COMPUTED_VALUE"""),"Lungo Chrome")</f>
        <v>Lungo Chrome</v>
      </c>
      <c r="D3658" s="24">
        <f ca="1">IFERROR(__xludf.DUMMYFUNCTION("""COMPUTED_VALUE"""),539)</f>
        <v>539</v>
      </c>
      <c r="E3658" s="26" t="str">
        <f ca="1">IFERROR(__xludf.DUMMYFUNCTION("""COMPUTED_VALUE"""),"REA-B6641")</f>
        <v>REA-B6641</v>
      </c>
    </row>
    <row r="3659" spans="1:5" x14ac:dyDescent="0.2">
      <c r="A3659" s="22">
        <f ca="1">IFERROR(__xludf.DUMMYFUNCTION("""COMPUTED_VALUE"""),44476)</f>
        <v>44476</v>
      </c>
      <c r="B3659" s="23" t="str">
        <f ca="1">IFERROR(__xludf.DUMMYFUNCTION("""COMPUTED_VALUE"""),"Bateria wannowa")</f>
        <v>Bateria wannowa</v>
      </c>
      <c r="C3659" s="23" t="str">
        <f ca="1">IFERROR(__xludf.DUMMYFUNCTION("""COMPUTED_VALUE"""),"Mayson Czarna")</f>
        <v>Mayson Czarna</v>
      </c>
      <c r="D3659" s="24">
        <f ca="1">IFERROR(__xludf.DUMMYFUNCTION("""COMPUTED_VALUE"""),349)</f>
        <v>349</v>
      </c>
      <c r="E3659" s="26" t="str">
        <f ca="1">IFERROR(__xludf.DUMMYFUNCTION("""COMPUTED_VALUE"""),"REA-B9634")</f>
        <v>REA-B9634</v>
      </c>
    </row>
    <row r="3660" spans="1:5" x14ac:dyDescent="0.2">
      <c r="A3660" s="22">
        <f ca="1">IFERROR(__xludf.DUMMYFUNCTION("""COMPUTED_VALUE"""),44476)</f>
        <v>44476</v>
      </c>
      <c r="B3660" s="23" t="str">
        <f ca="1">IFERROR(__xludf.DUMMYFUNCTION("""COMPUTED_VALUE"""),"Bateria umywalkowa")</f>
        <v>Bateria umywalkowa</v>
      </c>
      <c r="C3660" s="23" t="str">
        <f ca="1">IFERROR(__xludf.DUMMYFUNCTION("""COMPUTED_VALUE"""),"Mayson Czarna Niska")</f>
        <v>Mayson Czarna Niska</v>
      </c>
      <c r="D3660" s="24">
        <f ca="1">IFERROR(__xludf.DUMMYFUNCTION("""COMPUTED_VALUE"""),219)</f>
        <v>219</v>
      </c>
      <c r="E3660" s="26" t="str">
        <f ca="1">IFERROR(__xludf.DUMMYFUNCTION("""COMPUTED_VALUE"""),"REA-B5100")</f>
        <v>REA-B5100</v>
      </c>
    </row>
    <row r="3661" spans="1:5" x14ac:dyDescent="0.2">
      <c r="A3661" s="22">
        <f ca="1">IFERROR(__xludf.DUMMYFUNCTION("""COMPUTED_VALUE"""),44476)</f>
        <v>44476</v>
      </c>
      <c r="B3661" s="23" t="str">
        <f ca="1">IFERROR(__xludf.DUMMYFUNCTION("""COMPUTED_VALUE"""),"Bateria umywalkowa")</f>
        <v>Bateria umywalkowa</v>
      </c>
      <c r="C3661" s="23" t="str">
        <f ca="1">IFERROR(__xludf.DUMMYFUNCTION("""COMPUTED_VALUE"""),"Mayson Złota Niska")</f>
        <v>Mayson Złota Niska</v>
      </c>
      <c r="D3661" s="24">
        <f ca="1">IFERROR(__xludf.DUMMYFUNCTION("""COMPUTED_VALUE"""),249)</f>
        <v>249</v>
      </c>
      <c r="E3661" s="26" t="str">
        <f ca="1">IFERROR(__xludf.DUMMYFUNCTION("""COMPUTED_VALUE"""),"REA-B5101")</f>
        <v>REA-B5101</v>
      </c>
    </row>
    <row r="3662" spans="1:5" x14ac:dyDescent="0.2">
      <c r="A3662" s="22">
        <f ca="1">IFERROR(__xludf.DUMMYFUNCTION("""COMPUTED_VALUE"""),44476)</f>
        <v>44476</v>
      </c>
      <c r="B3662" s="23" t="str">
        <f ca="1">IFERROR(__xludf.DUMMYFUNCTION("""COMPUTED_VALUE"""),"Bateria wannowa STOJĄCA")</f>
        <v>Bateria wannowa STOJĄCA</v>
      </c>
      <c r="C3662" s="23" t="str">
        <f ca="1">IFERROR(__xludf.DUMMYFUNCTION("""COMPUTED_VALUE"""),"Ortis")</f>
        <v>Ortis</v>
      </c>
      <c r="D3662" s="24">
        <f ca="1">IFERROR(__xludf.DUMMYFUNCTION("""COMPUTED_VALUE"""),1059)</f>
        <v>1059</v>
      </c>
      <c r="E3662" s="26" t="str">
        <f ca="1">IFERROR(__xludf.DUMMYFUNCTION("""COMPUTED_VALUE"""),"REA-B1011")</f>
        <v>REA-B1011</v>
      </c>
    </row>
    <row r="3663" spans="1:5" x14ac:dyDescent="0.2">
      <c r="A3663" s="22">
        <f ca="1">IFERROR(__xludf.DUMMYFUNCTION("""COMPUTED_VALUE"""),44476)</f>
        <v>44476</v>
      </c>
      <c r="B3663" s="23" t="str">
        <f ca="1">IFERROR(__xludf.DUMMYFUNCTION("""COMPUTED_VALUE"""),"Zestaw natryskowy z termostatem")</f>
        <v>Zestaw natryskowy z termostatem</v>
      </c>
      <c r="C3663" s="23" t="str">
        <f ca="1">IFERROR(__xludf.DUMMYFUNCTION("""COMPUTED_VALUE"""),"Miler Black")</f>
        <v>Miler Black</v>
      </c>
      <c r="D3663" s="24">
        <f ca="1">IFERROR(__xludf.DUMMYFUNCTION("""COMPUTED_VALUE"""),1199)</f>
        <v>1199</v>
      </c>
      <c r="E3663" s="26" t="str">
        <f ca="1">IFERROR(__xludf.DUMMYFUNCTION("""COMPUTED_VALUE"""),"REA-P6713")</f>
        <v>REA-P6713</v>
      </c>
    </row>
    <row r="3664" spans="1:5" x14ac:dyDescent="0.2">
      <c r="A3664" s="22">
        <f ca="1">IFERROR(__xludf.DUMMYFUNCTION("""COMPUTED_VALUE"""),44476)</f>
        <v>44476</v>
      </c>
      <c r="B3664" s="23" t="str">
        <f ca="1">IFERROR(__xludf.DUMMYFUNCTION("""COMPUTED_VALUE"""),"Zestaw natryskowy podtynkowy deszczownica 30cm")</f>
        <v>Zestaw natryskowy podtynkowy deszczownica 30cm</v>
      </c>
      <c r="C3664" s="23" t="str">
        <f ca="1">IFERROR(__xludf.DUMMYFUNCTION("""COMPUTED_VALUE"""),"Lungo Black Matt")</f>
        <v>Lungo Black Matt</v>
      </c>
      <c r="D3664" s="24">
        <f ca="1">IFERROR(__xludf.DUMMYFUNCTION("""COMPUTED_VALUE"""),959)</f>
        <v>959</v>
      </c>
      <c r="E3664" s="26" t="str">
        <f ca="1">IFERROR(__xludf.DUMMYFUNCTION("""COMPUTED_VALUE"""),"REA-P4100")</f>
        <v>REA-P4100</v>
      </c>
    </row>
    <row r="3665" spans="1:5" x14ac:dyDescent="0.2">
      <c r="A3665" s="22">
        <f ca="1">IFERROR(__xludf.DUMMYFUNCTION("""COMPUTED_VALUE"""),44476)</f>
        <v>44476</v>
      </c>
      <c r="B3665" s="23" t="str">
        <f ca="1">IFERROR(__xludf.DUMMYFUNCTION("""COMPUTED_VALUE"""),"Zestaw natryskowo-wannowy z wylewką")</f>
        <v>Zestaw natryskowo-wannowy z wylewką</v>
      </c>
      <c r="C3665" s="23" t="str">
        <f ca="1">IFERROR(__xludf.DUMMYFUNCTION("""COMPUTED_VALUE"""),"Lungo Black")</f>
        <v>Lungo Black</v>
      </c>
      <c r="D3665" s="24">
        <f ca="1">IFERROR(__xludf.DUMMYFUNCTION("""COMPUTED_VALUE"""),1099)</f>
        <v>1099</v>
      </c>
      <c r="E3665" s="26" t="str">
        <f ca="1">IFERROR(__xludf.DUMMYFUNCTION("""COMPUTED_VALUE"""),"REA-P4112")</f>
        <v>REA-P4112</v>
      </c>
    </row>
    <row r="3666" spans="1:5" x14ac:dyDescent="0.2">
      <c r="A3666" s="22">
        <f ca="1">IFERROR(__xludf.DUMMYFUNCTION("""COMPUTED_VALUE"""),44476)</f>
        <v>44476</v>
      </c>
      <c r="B3666" s="23" t="str">
        <f ca="1">IFERROR(__xludf.DUMMYFUNCTION("""COMPUTED_VALUE"""),"Zestaw natryskowy podtynkowy z baterią, deszczownicą i ramienimiem ściennym, słuchawką")</f>
        <v>Zestaw natryskowy podtynkowy z baterią, deszczownicą i ramienimiem ściennym, słuchawką</v>
      </c>
      <c r="C3666" s="23" t="str">
        <f ca="1">IFERROR(__xludf.DUMMYFUNCTION("""COMPUTED_VALUE"""),"Fenix Black")</f>
        <v>Fenix Black</v>
      </c>
      <c r="D3666" s="24">
        <f ca="1">IFERROR(__xludf.DUMMYFUNCTION("""COMPUTED_VALUE"""),799)</f>
        <v>799</v>
      </c>
      <c r="E3666" s="26" t="str">
        <f ca="1">IFERROR(__xludf.DUMMYFUNCTION("""COMPUTED_VALUE"""),"REA-P6920")</f>
        <v>REA-P6920</v>
      </c>
    </row>
    <row r="3667" spans="1:5" x14ac:dyDescent="0.2">
      <c r="A3667" s="22">
        <f ca="1">IFERROR(__xludf.DUMMYFUNCTION("""COMPUTED_VALUE"""),44476)</f>
        <v>44476</v>
      </c>
      <c r="B3667" s="23" t="str">
        <f ca="1">IFERROR(__xludf.DUMMYFUNCTION("""COMPUTED_VALUE"""),"Zestaw natryskowy z baterią z wylewką")</f>
        <v>Zestaw natryskowy z baterią z wylewką</v>
      </c>
      <c r="C3667" s="23" t="str">
        <f ca="1">IFERROR(__xludf.DUMMYFUNCTION("""COMPUTED_VALUE"""),"Jet Black Matt")</f>
        <v>Jet Black Matt</v>
      </c>
      <c r="D3667" s="24">
        <f ca="1">IFERROR(__xludf.DUMMYFUNCTION("""COMPUTED_VALUE"""),999)</f>
        <v>999</v>
      </c>
      <c r="E3667" s="26" t="str">
        <f ca="1">IFERROR(__xludf.DUMMYFUNCTION("""COMPUTED_VALUE"""),"REA-P9411")</f>
        <v>REA-P9411</v>
      </c>
    </row>
    <row r="3668" spans="1:5" x14ac:dyDescent="0.2">
      <c r="A3668" s="22">
        <f ca="1">IFERROR(__xludf.DUMMYFUNCTION("""COMPUTED_VALUE"""),44473)</f>
        <v>44473</v>
      </c>
      <c r="B3668" s="23" t="str">
        <f ca="1">IFERROR(__xludf.DUMMYFUNCTION("""COMPUTED_VALUE"""),"Zestaw natryskowy podtynkowy")</f>
        <v>Zestaw natryskowy podtynkowy</v>
      </c>
      <c r="C3668" s="23" t="str">
        <f ca="1">IFERROR(__xludf.DUMMYFUNCTION("""COMPUTED_VALUE"""),"Exit Black")</f>
        <v>Exit Black</v>
      </c>
      <c r="D3668" s="24">
        <f ca="1">IFERROR(__xludf.DUMMYFUNCTION("""COMPUTED_VALUE"""),999)</f>
        <v>999</v>
      </c>
      <c r="E3668" s="26" t="str">
        <f ca="1">IFERROR(__xludf.DUMMYFUNCTION("""COMPUTED_VALUE"""),"REA-P8000")</f>
        <v>REA-P8000</v>
      </c>
    </row>
    <row r="3669" spans="1:5" x14ac:dyDescent="0.2">
      <c r="A3669" s="22">
        <f ca="1">IFERROR(__xludf.DUMMYFUNCTION("""COMPUTED_VALUE"""),44473)</f>
        <v>44473</v>
      </c>
      <c r="B3669" s="23" t="str">
        <f ca="1">IFERROR(__xludf.DUMMYFUNCTION("""COMPUTED_VALUE"""),"Zestaw natryskowo- wannowy z termostatem")</f>
        <v>Zestaw natryskowo- wannowy z termostatem</v>
      </c>
      <c r="C3669" s="23" t="str">
        <f ca="1">IFERROR(__xludf.DUMMYFUNCTION("""COMPUTED_VALUE"""),"Lungo Black")</f>
        <v>Lungo Black</v>
      </c>
      <c r="D3669" s="24">
        <f ca="1">IFERROR(__xludf.DUMMYFUNCTION("""COMPUTED_VALUE"""),999)</f>
        <v>999</v>
      </c>
      <c r="E3669" s="26" t="str">
        <f ca="1">IFERROR(__xludf.DUMMYFUNCTION("""COMPUTED_VALUE"""),"REA-P4113")</f>
        <v>REA-P4113</v>
      </c>
    </row>
    <row r="3670" spans="1:5" x14ac:dyDescent="0.2">
      <c r="A3670" s="22">
        <f ca="1">IFERROR(__xludf.DUMMYFUNCTION("""COMPUTED_VALUE"""),44470)</f>
        <v>44470</v>
      </c>
      <c r="B3670" s="23" t="str">
        <f ca="1">IFERROR(__xludf.DUMMYFUNCTION("""COMPUTED_VALUE"""),"Zestaw natryskowy")</f>
        <v>Zestaw natryskowy</v>
      </c>
      <c r="C3670" s="23" t="str">
        <f ca="1">IFERROR(__xludf.DUMMYFUNCTION("""COMPUTED_VALUE"""),"Roger Black")</f>
        <v>Roger Black</v>
      </c>
      <c r="D3670" s="24">
        <f ca="1">IFERROR(__xludf.DUMMYFUNCTION("""COMPUTED_VALUE"""),859)</f>
        <v>859</v>
      </c>
      <c r="E3670" s="26" t="str">
        <f ca="1">IFERROR(__xludf.DUMMYFUNCTION("""COMPUTED_VALUE"""),"REA-P8003")</f>
        <v>REA-P8003</v>
      </c>
    </row>
    <row r="3671" spans="1:5" x14ac:dyDescent="0.2">
      <c r="A3671" s="22">
        <f ca="1">IFERROR(__xludf.DUMMYFUNCTION("""COMPUTED_VALUE"""),44470)</f>
        <v>44470</v>
      </c>
      <c r="B3671" s="23" t="str">
        <f ca="1">IFERROR(__xludf.DUMMYFUNCTION("""COMPUTED_VALUE"""),"Umywalka blatowa")</f>
        <v>Umywalka blatowa</v>
      </c>
      <c r="C3671" s="23" t="str">
        <f ca="1">IFERROR(__xludf.DUMMYFUNCTION("""COMPUTED_VALUE"""),"Belinda Marble Mat")</f>
        <v>Belinda Marble Mat</v>
      </c>
      <c r="D3671" s="24">
        <f ca="1">IFERROR(__xludf.DUMMYFUNCTION("""COMPUTED_VALUE"""),319)</f>
        <v>319</v>
      </c>
      <c r="E3671" s="26" t="str">
        <f ca="1">IFERROR(__xludf.DUMMYFUNCTION("""COMPUTED_VALUE"""),"REA-U8702")</f>
        <v>REA-U8702</v>
      </c>
    </row>
    <row r="3672" spans="1:5" x14ac:dyDescent="0.2">
      <c r="A3672" s="22">
        <f ca="1">IFERROR(__xludf.DUMMYFUNCTION("""COMPUTED_VALUE"""),44470)</f>
        <v>44470</v>
      </c>
      <c r="B3672" s="23" t="str">
        <f ca="1">IFERROR(__xludf.DUMMYFUNCTION("""COMPUTED_VALUE"""),"Umywalka ceramiczna blatowa")</f>
        <v>Umywalka ceramiczna blatowa</v>
      </c>
      <c r="C3672" s="23" t="str">
        <f ca="1">IFERROR(__xludf.DUMMYFUNCTION("""COMPUTED_VALUE"""),"Belinda Sash")</f>
        <v>Belinda Sash</v>
      </c>
      <c r="D3672" s="24">
        <f ca="1">IFERROR(__xludf.DUMMYFUNCTION("""COMPUTED_VALUE"""),379)</f>
        <v>379</v>
      </c>
      <c r="E3672" s="26" t="str">
        <f ca="1">IFERROR(__xludf.DUMMYFUNCTION("""COMPUTED_VALUE"""),"REA-U9252")</f>
        <v>REA-U9252</v>
      </c>
    </row>
    <row r="3673" spans="1:5" x14ac:dyDescent="0.2">
      <c r="A3673" s="22">
        <f ca="1">IFERROR(__xludf.DUMMYFUNCTION("""COMPUTED_VALUE"""),44470)</f>
        <v>44470</v>
      </c>
      <c r="B3673" s="23" t="str">
        <f ca="1">IFERROR(__xludf.DUMMYFUNCTION("""COMPUTED_VALUE"""),"Umywalka blatowa")</f>
        <v>Umywalka blatowa</v>
      </c>
      <c r="C3673" s="23" t="str">
        <f ca="1">IFERROR(__xludf.DUMMYFUNCTION("""COMPUTED_VALUE"""),"Saga")</f>
        <v>Saga</v>
      </c>
      <c r="D3673" s="24">
        <f ca="1">IFERROR(__xludf.DUMMYFUNCTION("""COMPUTED_VALUE"""),239)</f>
        <v>239</v>
      </c>
      <c r="E3673" s="26" t="str">
        <f ca="1">IFERROR(__xludf.DUMMYFUNCTION("""COMPUTED_VALUE"""),"REA-U9851")</f>
        <v>REA-U9851</v>
      </c>
    </row>
    <row r="3674" spans="1:5" x14ac:dyDescent="0.2">
      <c r="A3674" s="22">
        <f ca="1">IFERROR(__xludf.DUMMYFUNCTION("""COMPUTED_VALUE"""),44470)</f>
        <v>44470</v>
      </c>
      <c r="B3674" s="23" t="str">
        <f ca="1">IFERROR(__xludf.DUMMYFUNCTION("""COMPUTED_VALUE"""),"Umywalka blatowa")</f>
        <v>Umywalka blatowa</v>
      </c>
      <c r="C3674" s="23" t="str">
        <f ca="1">IFERROR(__xludf.DUMMYFUNCTION("""COMPUTED_VALUE"""),"Belinda Black Matt Gold Edge")</f>
        <v>Belinda Black Matt Gold Edge</v>
      </c>
      <c r="D3674" s="24">
        <f ca="1">IFERROR(__xludf.DUMMYFUNCTION("""COMPUTED_VALUE"""),499)</f>
        <v>499</v>
      </c>
      <c r="E3674" s="26" t="str">
        <f ca="1">IFERROR(__xludf.DUMMYFUNCTION("""COMPUTED_VALUE"""),"REA-U9659")</f>
        <v>REA-U9659</v>
      </c>
    </row>
    <row r="3675" spans="1:5" x14ac:dyDescent="0.2">
      <c r="A3675" s="22">
        <f ca="1">IFERROR(__xludf.DUMMYFUNCTION("""COMPUTED_VALUE"""),44470)</f>
        <v>44470</v>
      </c>
      <c r="B3675" s="23" t="str">
        <f ca="1">IFERROR(__xludf.DUMMYFUNCTION("""COMPUTED_VALUE"""),"Umywalka ceramiczna blatowa")</f>
        <v>Umywalka ceramiczna blatowa</v>
      </c>
      <c r="C3675" s="23" t="str">
        <f ca="1">IFERROR(__xludf.DUMMYFUNCTION("""COMPUTED_VALUE"""),"Sofia Shiny Calala")</f>
        <v>Sofia Shiny Calala</v>
      </c>
      <c r="D3675" s="24">
        <f ca="1">IFERROR(__xludf.DUMMYFUNCTION("""COMPUTED_VALUE"""),369)</f>
        <v>369</v>
      </c>
      <c r="E3675" s="26" t="str">
        <f ca="1">IFERROR(__xludf.DUMMYFUNCTION("""COMPUTED_VALUE"""),"REA-U6598")</f>
        <v>REA-U6598</v>
      </c>
    </row>
    <row r="3676" spans="1:5" x14ac:dyDescent="0.2">
      <c r="A3676" s="22">
        <f ca="1">IFERROR(__xludf.DUMMYFUNCTION("""COMPUTED_VALUE"""),44470)</f>
        <v>44470</v>
      </c>
      <c r="B3676" s="23" t="str">
        <f ca="1">IFERROR(__xludf.DUMMYFUNCTION("""COMPUTED_VALUE"""),"Odpływ liniowy + syfon + nóżki + mankiet uszczelniający")</f>
        <v>Odpływ liniowy + syfon + nóżki + mankiet uszczelniający</v>
      </c>
      <c r="C3676" s="23" t="str">
        <f ca="1">IFERROR(__xludf.DUMMYFUNCTION("""COMPUTED_VALUE"""),"PRO SLIM MIRROR L.GOLD 500")</f>
        <v>PRO SLIM MIRROR L.GOLD 500</v>
      </c>
      <c r="D3676" s="24">
        <f ca="1">IFERROR(__xludf.DUMMYFUNCTION("""COMPUTED_VALUE"""),329)</f>
        <v>329</v>
      </c>
      <c r="E3676" s="26" t="str">
        <f ca="1">IFERROR(__xludf.DUMMYFUNCTION("""COMPUTED_VALUE"""),"REA-G5692")</f>
        <v>REA-G5692</v>
      </c>
    </row>
    <row r="3677" spans="1:5" x14ac:dyDescent="0.2">
      <c r="A3677" s="22">
        <f ca="1">IFERROR(__xludf.DUMMYFUNCTION("""COMPUTED_VALUE"""),44470)</f>
        <v>44470</v>
      </c>
      <c r="B3677" s="23" t="str">
        <f ca="1">IFERROR(__xludf.DUMMYFUNCTION("""COMPUTED_VALUE"""),"Odpływ liniowy + syfon + nóżki + mankiet uszczelniający")</f>
        <v>Odpływ liniowy + syfon + nóżki + mankiet uszczelniający</v>
      </c>
      <c r="C3677" s="23" t="str">
        <f ca="1">IFERROR(__xludf.DUMMYFUNCTION("""COMPUTED_VALUE"""),"SLIM 500 BLACK PRO")</f>
        <v>SLIM 500 BLACK PRO</v>
      </c>
      <c r="D3677" s="24">
        <f ca="1">IFERROR(__xludf.DUMMYFUNCTION("""COMPUTED_VALUE"""),329)</f>
        <v>329</v>
      </c>
      <c r="E3677" s="26" t="str">
        <f ca="1">IFERROR(__xludf.DUMMYFUNCTION("""COMPUTED_VALUE"""),"REA-G6992")</f>
        <v>REA-G6992</v>
      </c>
    </row>
    <row r="3678" spans="1:5" x14ac:dyDescent="0.2">
      <c r="A3678" s="22">
        <f ca="1">IFERROR(__xludf.DUMMYFUNCTION("""COMPUTED_VALUE"""),44470)</f>
        <v>44470</v>
      </c>
      <c r="B3678" s="23" t="str">
        <f ca="1">IFERROR(__xludf.DUMMYFUNCTION("""COMPUTED_VALUE"""),"Odpływ liniowy + syfon + nóżki + mankiet uszczelniający")</f>
        <v>Odpływ liniowy + syfon + nóżki + mankiet uszczelniający</v>
      </c>
      <c r="C3678" s="23" t="str">
        <f ca="1">IFERROR(__xludf.DUMMYFUNCTION("""COMPUTED_VALUE"""),"Neo 500 SLIM PRO")</f>
        <v>Neo 500 SLIM PRO</v>
      </c>
      <c r="D3678" s="24">
        <f ca="1">IFERROR(__xludf.DUMMYFUNCTION("""COMPUTED_VALUE"""),189)</f>
        <v>189</v>
      </c>
      <c r="E3678" s="26" t="str">
        <f ca="1">IFERROR(__xludf.DUMMYFUNCTION("""COMPUTED_VALUE"""),"REA-G8749")</f>
        <v>REA-G8749</v>
      </c>
    </row>
    <row r="3679" spans="1:5" x14ac:dyDescent="0.2">
      <c r="A3679" s="22">
        <f ca="1">IFERROR(__xludf.DUMMYFUNCTION("""COMPUTED_VALUE"""),44469)</f>
        <v>44469</v>
      </c>
      <c r="B3679" s="23" t="str">
        <f ca="1">IFERROR(__xludf.DUMMYFUNCTION("""COMPUTED_VALUE"""),"Odpływ liniowy + syfon + nóżki + mankiet uszczelniający")</f>
        <v>Odpływ liniowy + syfon + nóżki + mankiet uszczelniający</v>
      </c>
      <c r="C3679" s="23" t="str">
        <f ca="1">IFERROR(__xludf.DUMMYFUNCTION("""COMPUTED_VALUE"""),"PRO MIRROR L.GOLD 500")</f>
        <v>PRO MIRROR L.GOLD 500</v>
      </c>
      <c r="D3679" s="24">
        <f ca="1">IFERROR(__xludf.DUMMYFUNCTION("""COMPUTED_VALUE"""),349)</f>
        <v>349</v>
      </c>
      <c r="E3679" s="26" t="str">
        <f ca="1">IFERROR(__xludf.DUMMYFUNCTION("""COMPUTED_VALUE"""),"REA-G5693")</f>
        <v>REA-G5693</v>
      </c>
    </row>
    <row r="3680" spans="1:5" x14ac:dyDescent="0.2">
      <c r="A3680" s="22">
        <f ca="1">IFERROR(__xludf.DUMMYFUNCTION("""COMPUTED_VALUE"""),44469)</f>
        <v>44469</v>
      </c>
      <c r="B3680" s="23" t="str">
        <f ca="1">IFERROR(__xludf.DUMMYFUNCTION("""COMPUTED_VALUE"""),"Odpływ liniowy + syfon + nóżki + mankiet uszczelniający")</f>
        <v>Odpływ liniowy + syfon + nóżki + mankiet uszczelniający</v>
      </c>
      <c r="C3680" s="23" t="str">
        <f ca="1">IFERROR(__xludf.DUMMYFUNCTION("""COMPUTED_VALUE"""),"Neo&amp;Pure 700 N")</f>
        <v>Neo&amp;Pure 700 N</v>
      </c>
      <c r="D3680" s="24">
        <f ca="1">IFERROR(__xludf.DUMMYFUNCTION("""COMPUTED_VALUE"""),209)</f>
        <v>209</v>
      </c>
      <c r="E3680" s="26" t="str">
        <f ca="1">IFERROR(__xludf.DUMMYFUNCTION("""COMPUTED_VALUE"""),"REA-G0092")</f>
        <v>REA-G0092</v>
      </c>
    </row>
    <row r="3681" spans="1:5" x14ac:dyDescent="0.2">
      <c r="A3681" s="22">
        <f ca="1">IFERROR(__xludf.DUMMYFUNCTION("""COMPUTED_VALUE"""),44469)</f>
        <v>44469</v>
      </c>
      <c r="B3681" s="23" t="str">
        <f ca="1">IFERROR(__xludf.DUMMYFUNCTION("""COMPUTED_VALUE"""),"Odpływ liniowy + syfon + nóżki + mankiet uszczelniający")</f>
        <v>Odpływ liniowy + syfon + nóżki + mankiet uszczelniający</v>
      </c>
      <c r="C3681" s="23" t="str">
        <f ca="1">IFERROR(__xludf.DUMMYFUNCTION("""COMPUTED_VALUE"""),"Neo&amp;Pure 600 N")</f>
        <v>Neo&amp;Pure 600 N</v>
      </c>
      <c r="D3681" s="24">
        <f ca="1">IFERROR(__xludf.DUMMYFUNCTION("""COMPUTED_VALUE"""),199)</f>
        <v>199</v>
      </c>
      <c r="E3681" s="26" t="str">
        <f ca="1">IFERROR(__xludf.DUMMYFUNCTION("""COMPUTED_VALUE"""),"REA-G0091")</f>
        <v>REA-G0091</v>
      </c>
    </row>
    <row r="3682" spans="1:5" x14ac:dyDescent="0.2">
      <c r="A3682" s="22">
        <f ca="1">IFERROR(__xludf.DUMMYFUNCTION("""COMPUTED_VALUE"""),44469)</f>
        <v>44469</v>
      </c>
      <c r="B3682" s="23" t="str">
        <f ca="1">IFERROR(__xludf.DUMMYFUNCTION("""COMPUTED_VALUE"""),"Odpływ liniowy + syfon + nóżki + mankiet uszczelniający")</f>
        <v>Odpływ liniowy + syfon + nóżki + mankiet uszczelniający</v>
      </c>
      <c r="C3682" s="23" t="str">
        <f ca="1">IFERROR(__xludf.DUMMYFUNCTION("""COMPUTED_VALUE"""),"Neo&amp;Pure 500 N PRO")</f>
        <v>Neo&amp;Pure 500 N PRO</v>
      </c>
      <c r="D3682" s="24">
        <f ca="1">IFERROR(__xludf.DUMMYFUNCTION("""COMPUTED_VALUE"""),179)</f>
        <v>179</v>
      </c>
      <c r="E3682" s="26" t="str">
        <f ca="1">IFERROR(__xludf.DUMMYFUNCTION("""COMPUTED_VALUE"""),"REA-G0988")</f>
        <v>REA-G0988</v>
      </c>
    </row>
    <row r="3683" spans="1:5" x14ac:dyDescent="0.2">
      <c r="A3683" s="22">
        <f ca="1">IFERROR(__xludf.DUMMYFUNCTION("""COMPUTED_VALUE"""),44469)</f>
        <v>44469</v>
      </c>
      <c r="B3683" s="23" t="str">
        <f ca="1">IFERROR(__xludf.DUMMYFUNCTION("""COMPUTED_VALUE"""),"MISA WISZĄCA")</f>
        <v>MISA WISZĄCA</v>
      </c>
      <c r="C3683" s="23" t="str">
        <f ca="1">IFERROR(__xludf.DUMMYFUNCTION("""COMPUTED_VALUE"""),"Carlo Mini Black FLAT")</f>
        <v>Carlo Mini Black FLAT</v>
      </c>
      <c r="D3683" s="28">
        <f ca="1">IFERROR(__xludf.DUMMYFUNCTION("""COMPUTED_VALUE"""),1069)</f>
        <v>1069</v>
      </c>
      <c r="E3683" s="26" t="str">
        <f ca="1">IFERROR(__xludf.DUMMYFUNCTION("""COMPUTED_VALUE"""),"REA-C8936")</f>
        <v>REA-C8936</v>
      </c>
    </row>
    <row r="3684" spans="1:5" x14ac:dyDescent="0.2">
      <c r="A3684" s="22">
        <f ca="1">IFERROR(__xludf.DUMMYFUNCTION("""COMPUTED_VALUE"""),44469)</f>
        <v>44469</v>
      </c>
      <c r="B3684" s="23" t="str">
        <f ca="1">IFERROR(__xludf.DUMMYFUNCTION("""COMPUTED_VALUE"""),"MISA WISZĄCA")</f>
        <v>MISA WISZĄCA</v>
      </c>
      <c r="C3684" s="23" t="str">
        <f ca="1">IFERROR(__xludf.DUMMYFUNCTION("""COMPUTED_VALUE"""),"Carlo Mini Black Mat Flat")</f>
        <v>Carlo Mini Black Mat Flat</v>
      </c>
      <c r="D3684" s="28">
        <f ca="1">IFERROR(__xludf.DUMMYFUNCTION("""COMPUTED_VALUE"""),1099)</f>
        <v>1099</v>
      </c>
      <c r="E3684" s="26" t="str">
        <f ca="1">IFERROR(__xludf.DUMMYFUNCTION("""COMPUTED_VALUE"""),"REA-C8489")</f>
        <v>REA-C8489</v>
      </c>
    </row>
    <row r="3685" spans="1:5" x14ac:dyDescent="0.2">
      <c r="A3685" s="22">
        <f ca="1">IFERROR(__xludf.DUMMYFUNCTION("""COMPUTED_VALUE"""),44469)</f>
        <v>44469</v>
      </c>
      <c r="B3685" s="23" t="str">
        <f ca="1">IFERROR(__xludf.DUMMYFUNCTION("""COMPUTED_VALUE"""),"Umywalka blatowa")</f>
        <v>Umywalka blatowa</v>
      </c>
      <c r="C3685" s="23" t="str">
        <f ca="1">IFERROR(__xludf.DUMMYFUNCTION("""COMPUTED_VALUE"""),"Belinda Black/Gold Edge")</f>
        <v>Belinda Black/Gold Edge</v>
      </c>
      <c r="D3685" s="24">
        <f ca="1">IFERROR(__xludf.DUMMYFUNCTION("""COMPUTED_VALUE"""),429)</f>
        <v>429</v>
      </c>
      <c r="E3685" s="26" t="str">
        <f ca="1">IFERROR(__xludf.DUMMYFUNCTION("""COMPUTED_VALUE"""),"REA-U8796")</f>
        <v>REA-U8796</v>
      </c>
    </row>
    <row r="3686" spans="1:5" x14ac:dyDescent="0.2">
      <c r="A3686" s="22">
        <f ca="1">IFERROR(__xludf.DUMMYFUNCTION("""COMPUTED_VALUE"""),44469)</f>
        <v>44469</v>
      </c>
      <c r="B3686" s="23" t="str">
        <f ca="1">IFERROR(__xludf.DUMMYFUNCTION("""COMPUTED_VALUE"""),"Umywalka blatowa")</f>
        <v>Umywalka blatowa</v>
      </c>
      <c r="C3686" s="23" t="str">
        <f ca="1">IFERROR(__xludf.DUMMYFUNCTION("""COMPUTED_VALUE"""),"Sofia Brush Gold")</f>
        <v>Sofia Brush Gold</v>
      </c>
      <c r="D3686" s="24">
        <f ca="1">IFERROR(__xludf.DUMMYFUNCTION("""COMPUTED_VALUE"""),409)</f>
        <v>409</v>
      </c>
      <c r="E3686" s="26" t="str">
        <f ca="1">IFERROR(__xludf.DUMMYFUNCTION("""COMPUTED_VALUE"""),"REA-U3697")</f>
        <v>REA-U3697</v>
      </c>
    </row>
    <row r="3687" spans="1:5" x14ac:dyDescent="0.2">
      <c r="A3687" s="22">
        <f ca="1">IFERROR(__xludf.DUMMYFUNCTION("""COMPUTED_VALUE"""),44467)</f>
        <v>44467</v>
      </c>
      <c r="B3687" s="23" t="str">
        <f ca="1">IFERROR(__xludf.DUMMYFUNCTION("""COMPUTED_VALUE"""),"Umywalka blatowa")</f>
        <v>Umywalka blatowa</v>
      </c>
      <c r="C3687" s="23" t="str">
        <f ca="1">IFERROR(__xludf.DUMMYFUNCTION("""COMPUTED_VALUE"""),"Sofia Black/White")</f>
        <v>Sofia Black/White</v>
      </c>
      <c r="D3687" s="24">
        <f ca="1">IFERROR(__xludf.DUMMYFUNCTION("""COMPUTED_VALUE"""),329)</f>
        <v>329</v>
      </c>
      <c r="E3687" s="26" t="str">
        <f ca="1">IFERROR(__xludf.DUMMYFUNCTION("""COMPUTED_VALUE"""),"REA-U8749")</f>
        <v>REA-U8749</v>
      </c>
    </row>
    <row r="3688" spans="1:5" x14ac:dyDescent="0.2">
      <c r="A3688" s="22">
        <f ca="1">IFERROR(__xludf.DUMMYFUNCTION("""COMPUTED_VALUE"""),44467)</f>
        <v>44467</v>
      </c>
      <c r="B3688" s="23" t="str">
        <f ca="1">IFERROR(__xludf.DUMMYFUNCTION("""COMPUTED_VALUE"""),"Umywalka blatowa")</f>
        <v>Umywalka blatowa</v>
      </c>
      <c r="C3688" s="23" t="str">
        <f ca="1">IFERROR(__xludf.DUMMYFUNCTION("""COMPUTED_VALUE"""),"Belinda Gold Edge")</f>
        <v>Belinda Gold Edge</v>
      </c>
      <c r="D3688" s="24">
        <f ca="1">IFERROR(__xludf.DUMMYFUNCTION("""COMPUTED_VALUE"""),349)</f>
        <v>349</v>
      </c>
      <c r="E3688" s="26" t="str">
        <f ca="1">IFERROR(__xludf.DUMMYFUNCTION("""COMPUTED_VALUE"""),"REA-U8736")</f>
        <v>REA-U8736</v>
      </c>
    </row>
    <row r="3689" spans="1:5" x14ac:dyDescent="0.2">
      <c r="A3689" s="22">
        <f ca="1">IFERROR(__xludf.DUMMYFUNCTION("""COMPUTED_VALUE"""),44467)</f>
        <v>44467</v>
      </c>
      <c r="B3689" s="23" t="str">
        <f ca="1">IFERROR(__xludf.DUMMYFUNCTION("""COMPUTED_VALUE"""),"Umywalka blatowa")</f>
        <v>Umywalka blatowa</v>
      </c>
      <c r="C3689" s="23" t="str">
        <f ca="1">IFERROR(__xludf.DUMMYFUNCTION("""COMPUTED_VALUE"""),"Cleo 81 Shinny Marmo")</f>
        <v>Cleo 81 Shinny Marmo</v>
      </c>
      <c r="D3689" s="24">
        <f ca="1">IFERROR(__xludf.DUMMYFUNCTION("""COMPUTED_VALUE"""),599)</f>
        <v>599</v>
      </c>
      <c r="E3689" s="26" t="str">
        <f ca="1">IFERROR(__xludf.DUMMYFUNCTION("""COMPUTED_VALUE"""),"REA-U8403")</f>
        <v>REA-U8403</v>
      </c>
    </row>
    <row r="3690" spans="1:5" x14ac:dyDescent="0.2">
      <c r="A3690" s="22">
        <f ca="1">IFERROR(__xludf.DUMMYFUNCTION("""COMPUTED_VALUE"""),44467)</f>
        <v>44467</v>
      </c>
      <c r="B3690" s="23" t="str">
        <f ca="1">IFERROR(__xludf.DUMMYFUNCTION("""COMPUTED_VALUE"""),"Umywalka blatowa")</f>
        <v>Umywalka blatowa</v>
      </c>
      <c r="C3690" s="23" t="str">
        <f ca="1">IFERROR(__xludf.DUMMYFUNCTION("""COMPUTED_VALUE"""),"Cleo 81 Shiny Aiax")</f>
        <v>Cleo 81 Shiny Aiax</v>
      </c>
      <c r="D3690" s="24">
        <f ca="1">IFERROR(__xludf.DUMMYFUNCTION("""COMPUTED_VALUE"""),599)</f>
        <v>599</v>
      </c>
      <c r="E3690" s="26" t="str">
        <f ca="1">IFERROR(__xludf.DUMMYFUNCTION("""COMPUTED_VALUE"""),"REA-U8404")</f>
        <v>REA-U8404</v>
      </c>
    </row>
    <row r="3691" spans="1:5" x14ac:dyDescent="0.2">
      <c r="A3691" s="22">
        <f ca="1">IFERROR(__xludf.DUMMYFUNCTION("""COMPUTED_VALUE"""),44467)</f>
        <v>44467</v>
      </c>
      <c r="B3691" s="23" t="str">
        <f ca="1">IFERROR(__xludf.DUMMYFUNCTION("""COMPUTED_VALUE"""),"Umywalka blatowa")</f>
        <v>Umywalka blatowa</v>
      </c>
      <c r="C3691" s="23" t="str">
        <f ca="1">IFERROR(__xludf.DUMMYFUNCTION("""COMPUTED_VALUE"""),"Kelly Mini")</f>
        <v>Kelly Mini</v>
      </c>
      <c r="D3691" s="24">
        <f ca="1">IFERROR(__xludf.DUMMYFUNCTION("""COMPUTED_VALUE"""),179)</f>
        <v>179</v>
      </c>
      <c r="E3691" s="26" t="str">
        <f ca="1">IFERROR(__xludf.DUMMYFUNCTION("""COMPUTED_VALUE"""),"REA-U8196")</f>
        <v>REA-U8196</v>
      </c>
    </row>
    <row r="3692" spans="1:5" x14ac:dyDescent="0.2">
      <c r="A3692" s="22">
        <f ca="1">IFERROR(__xludf.DUMMYFUNCTION("""COMPUTED_VALUE"""),44463)</f>
        <v>44463</v>
      </c>
      <c r="B3692" s="23" t="str">
        <f ca="1">IFERROR(__xludf.DUMMYFUNCTION("""COMPUTED_VALUE"""),"Umywalka blatowa")</f>
        <v>Umywalka blatowa</v>
      </c>
      <c r="C3692" s="23" t="str">
        <f ca="1">IFERROR(__xludf.DUMMYFUNCTION("""COMPUTED_VALUE"""),"ROYAL BLACK WHITE")</f>
        <v>ROYAL BLACK WHITE</v>
      </c>
      <c r="D3692" s="24">
        <f ca="1">IFERROR(__xludf.DUMMYFUNCTION("""COMPUTED_VALUE"""),499)</f>
        <v>499</v>
      </c>
      <c r="E3692" s="26" t="str">
        <f ca="1">IFERROR(__xludf.DUMMYFUNCTION("""COMPUTED_VALUE"""),"REA-U6600")</f>
        <v>REA-U6600</v>
      </c>
    </row>
    <row r="3693" spans="1:5" x14ac:dyDescent="0.2">
      <c r="A3693" s="22">
        <f ca="1">IFERROR(__xludf.DUMMYFUNCTION("""COMPUTED_VALUE"""),44463)</f>
        <v>44463</v>
      </c>
      <c r="B3693" s="23" t="str">
        <f ca="1">IFERROR(__xludf.DUMMYFUNCTION("""COMPUTED_VALUE"""),"MISKA A BEZRANTOWA Z DESKĄ DUROPLAST SLIM (ROZSTAW 24)")</f>
        <v>MISKA A BEZRANTOWA Z DESKĄ DUROPLAST SLIM (ROZSTAW 24)</v>
      </c>
      <c r="C3693" s="23" t="str">
        <f ca="1">IFERROR(__xludf.DUMMYFUNCTION("""COMPUTED_VALUE"""),"CARTER RIMLESS")</f>
        <v>CARTER RIMLESS</v>
      </c>
      <c r="D3693" s="28">
        <f ca="1">IFERROR(__xludf.DUMMYFUNCTION("""COMPUTED_VALUE"""),769)</f>
        <v>769</v>
      </c>
      <c r="E3693" s="26"/>
    </row>
    <row r="3694" spans="1:5" x14ac:dyDescent="0.2">
      <c r="A3694" s="22">
        <f ca="1">IFERROR(__xludf.DUMMYFUNCTION("""COMPUTED_VALUE"""),44463)</f>
        <v>44463</v>
      </c>
      <c r="B3694" s="23" t="str">
        <f ca="1">IFERROR(__xludf.DUMMYFUNCTION("""COMPUTED_VALUE"""),"MISKA A BEZRANTOWA Z DESKĄ DUROPLAST SLIM (ROZSTAW 18)")</f>
        <v>MISKA A BEZRANTOWA Z DESKĄ DUROPLAST SLIM (ROZSTAW 18)</v>
      </c>
      <c r="C3694" s="23" t="str">
        <f ca="1">IFERROR(__xludf.DUMMYFUNCTION("""COMPUTED_VALUE"""),"CARTER RIMLESS N")</f>
        <v>CARTER RIMLESS N</v>
      </c>
      <c r="D3694" s="28">
        <f ca="1">IFERROR(__xludf.DUMMYFUNCTION("""COMPUTED_VALUE"""),769)</f>
        <v>769</v>
      </c>
      <c r="E3694" s="26" t="str">
        <f ca="1">IFERROR(__xludf.DUMMYFUNCTION("""COMPUTED_VALUE"""),"REA-C1450")</f>
        <v>REA-C1450</v>
      </c>
    </row>
    <row r="3695" spans="1:5" x14ac:dyDescent="0.2">
      <c r="A3695" s="22">
        <f ca="1">IFERROR(__xludf.DUMMYFUNCTION("""COMPUTED_VALUE"""),44459)</f>
        <v>44459</v>
      </c>
      <c r="B3695" s="23" t="str">
        <f ca="1">IFERROR(__xludf.DUMMYFUNCTION("""COMPUTED_VALUE"""),"Umywalka blatowa")</f>
        <v>Umywalka blatowa</v>
      </c>
      <c r="C3695" s="23" t="str">
        <f ca="1">IFERROR(__xludf.DUMMYFUNCTION("""COMPUTED_VALUE"""),"Ashley")</f>
        <v>Ashley</v>
      </c>
      <c r="D3695" s="24">
        <f ca="1">IFERROR(__xludf.DUMMYFUNCTION("""COMPUTED_VALUE"""),499)</f>
        <v>499</v>
      </c>
      <c r="E3695" s="26" t="str">
        <f ca="1">IFERROR(__xludf.DUMMYFUNCTION("""COMPUTED_VALUE"""),"REA-U4663")</f>
        <v>REA-U4663</v>
      </c>
    </row>
    <row r="3696" spans="1:5" x14ac:dyDescent="0.2">
      <c r="A3696" s="22">
        <f ca="1">IFERROR(__xludf.DUMMYFUNCTION("""COMPUTED_VALUE"""),44459)</f>
        <v>44459</v>
      </c>
      <c r="B3696" s="23" t="str">
        <f ca="1">IFERROR(__xludf.DUMMYFUNCTION("""COMPUTED_VALUE"""),"Umywalka blatowa")</f>
        <v>Umywalka blatowa</v>
      </c>
      <c r="C3696" s="23" t="str">
        <f ca="1">IFERROR(__xludf.DUMMYFUNCTION("""COMPUTED_VALUE"""),"Lara Stone")</f>
        <v>Lara Stone</v>
      </c>
      <c r="D3696" s="24">
        <f ca="1">IFERROR(__xludf.DUMMYFUNCTION("""COMPUTED_VALUE"""),299)</f>
        <v>299</v>
      </c>
      <c r="E3696" s="26" t="str">
        <f ca="1">IFERROR(__xludf.DUMMYFUNCTION("""COMPUTED_VALUE"""),"REA-U9888")</f>
        <v>REA-U9888</v>
      </c>
    </row>
    <row r="3697" spans="1:5" x14ac:dyDescent="0.2">
      <c r="A3697" s="22">
        <f ca="1">IFERROR(__xludf.DUMMYFUNCTION("""COMPUTED_VALUE"""),44459)</f>
        <v>44459</v>
      </c>
      <c r="B3697" s="23" t="str">
        <f ca="1">IFERROR(__xludf.DUMMYFUNCTION("""COMPUTED_VALUE"""),"Umywalka blatowa")</f>
        <v>Umywalka blatowa</v>
      </c>
      <c r="C3697" s="23" t="str">
        <f ca="1">IFERROR(__xludf.DUMMYFUNCTION("""COMPUTED_VALUE"""),"Freja grey")</f>
        <v>Freja grey</v>
      </c>
      <c r="D3697" s="24">
        <f ca="1">IFERROR(__xludf.DUMMYFUNCTION("""COMPUTED_VALUE"""),399)</f>
        <v>399</v>
      </c>
      <c r="E3697" s="26" t="str">
        <f ca="1">IFERROR(__xludf.DUMMYFUNCTION("""COMPUTED_VALUE"""),"REA-U6648")</f>
        <v>REA-U6648</v>
      </c>
    </row>
    <row r="3698" spans="1:5" x14ac:dyDescent="0.2">
      <c r="A3698" s="22">
        <f ca="1">IFERROR(__xludf.DUMMYFUNCTION("""COMPUTED_VALUE"""),44459)</f>
        <v>44459</v>
      </c>
      <c r="B3698" s="23" t="str">
        <f ca="1">IFERROR(__xludf.DUMMYFUNCTION("""COMPUTED_VALUE"""),"Umywalka blatowa")</f>
        <v>Umywalka blatowa</v>
      </c>
      <c r="C3698" s="23" t="str">
        <f ca="1">IFERROR(__xludf.DUMMYFUNCTION("""COMPUTED_VALUE"""),"Anita mini")</f>
        <v>Anita mini</v>
      </c>
      <c r="D3698" s="24">
        <f ca="1">IFERROR(__xludf.DUMMYFUNCTION("""COMPUTED_VALUE"""),169)</f>
        <v>169</v>
      </c>
      <c r="E3698" s="26" t="str">
        <f ca="1">IFERROR(__xludf.DUMMYFUNCTION("""COMPUTED_VALUE"""),"REA-U0952")</f>
        <v>REA-U0952</v>
      </c>
    </row>
    <row r="3699" spans="1:5" x14ac:dyDescent="0.2">
      <c r="A3699" s="22">
        <f ca="1">IFERROR(__xludf.DUMMYFUNCTION("""COMPUTED_VALUE"""),44456)</f>
        <v>44456</v>
      </c>
      <c r="B3699" s="23" t="str">
        <f ca="1">IFERROR(__xludf.DUMMYFUNCTION("""COMPUTED_VALUE"""),"Umywalka stojąca")</f>
        <v>Umywalka stojąca</v>
      </c>
      <c r="C3699" s="23" t="str">
        <f ca="1">IFERROR(__xludf.DUMMYFUNCTION("""COMPUTED_VALUE"""),"Mia Black")</f>
        <v>Mia Black</v>
      </c>
      <c r="D3699" s="24">
        <f ca="1">IFERROR(__xludf.DUMMYFUNCTION("""COMPUTED_VALUE"""),1799)</f>
        <v>1799</v>
      </c>
      <c r="E3699" s="26" t="str">
        <f ca="1">IFERROR(__xludf.DUMMYFUNCTION("""COMPUTED_VALUE"""),"REA-U6656")</f>
        <v>REA-U6656</v>
      </c>
    </row>
    <row r="3700" spans="1:5" x14ac:dyDescent="0.2">
      <c r="A3700" s="22">
        <f ca="1">IFERROR(__xludf.DUMMYFUNCTION("""COMPUTED_VALUE"""),44456)</f>
        <v>44456</v>
      </c>
      <c r="B3700" s="23" t="str">
        <f ca="1">IFERROR(__xludf.DUMMYFUNCTION("""COMPUTED_VALUE"""),"Umywalka blatowa")</f>
        <v>Umywalka blatowa</v>
      </c>
      <c r="C3700" s="23" t="str">
        <f ca="1">IFERROR(__xludf.DUMMYFUNCTION("""COMPUTED_VALUE"""),"Rich Black Gold")</f>
        <v>Rich Black Gold</v>
      </c>
      <c r="D3700" s="24">
        <f ca="1">IFERROR(__xludf.DUMMYFUNCTION("""COMPUTED_VALUE"""),679)</f>
        <v>679</v>
      </c>
      <c r="E3700" s="26" t="str">
        <f ca="1">IFERROR(__xludf.DUMMYFUNCTION("""COMPUTED_VALUE"""),"REA-U9600")</f>
        <v>REA-U9600</v>
      </c>
    </row>
    <row r="3701" spans="1:5" x14ac:dyDescent="0.2">
      <c r="A3701" s="22">
        <f ca="1">IFERROR(__xludf.DUMMYFUNCTION("""COMPUTED_VALUE"""),44456)</f>
        <v>44456</v>
      </c>
      <c r="B3701" s="23" t="str">
        <f ca="1">IFERROR(__xludf.DUMMYFUNCTION("""COMPUTED_VALUE"""),"Zestaw natryskowy z baterią")</f>
        <v>Zestaw natryskowy z baterią</v>
      </c>
      <c r="C3701" s="23" t="str">
        <f ca="1">IFERROR(__xludf.DUMMYFUNCTION("""COMPUTED_VALUE"""),"Retro Old Black")</f>
        <v>Retro Old Black</v>
      </c>
      <c r="D3701" s="24">
        <f ca="1">IFERROR(__xludf.DUMMYFUNCTION("""COMPUTED_VALUE"""),915)</f>
        <v>915</v>
      </c>
      <c r="E3701" s="26" t="str">
        <f ca="1">IFERROR(__xludf.DUMMYFUNCTION("""COMPUTED_VALUE"""),"REA-P2366")</f>
        <v>REA-P2366</v>
      </c>
    </row>
    <row r="3702" spans="1:5" x14ac:dyDescent="0.2">
      <c r="A3702" s="22">
        <f ca="1">IFERROR(__xludf.DUMMYFUNCTION("""COMPUTED_VALUE"""),44456)</f>
        <v>44456</v>
      </c>
      <c r="B3702" s="23" t="str">
        <f ca="1">IFERROR(__xludf.DUMMYFUNCTION("""COMPUTED_VALUE"""),"Bateria wannowa STOJĄCA")</f>
        <v>Bateria wannowa STOJĄCA</v>
      </c>
      <c r="C3702" s="23" t="str">
        <f ca="1">IFERROR(__xludf.DUMMYFUNCTION("""COMPUTED_VALUE"""),"Ortis L.Gold")</f>
        <v>Ortis L.Gold</v>
      </c>
      <c r="D3702" s="24">
        <f ca="1">IFERROR(__xludf.DUMMYFUNCTION("""COMPUTED_VALUE"""),1219)</f>
        <v>1219</v>
      </c>
      <c r="E3702" s="26" t="str">
        <f ca="1">IFERROR(__xludf.DUMMYFUNCTION("""COMPUTED_VALUE"""),"REA-B7430")</f>
        <v>REA-B7430</v>
      </c>
    </row>
    <row r="3703" spans="1:5" x14ac:dyDescent="0.2">
      <c r="A3703" s="22">
        <f ca="1">IFERROR(__xludf.DUMMYFUNCTION("""COMPUTED_VALUE"""),44456)</f>
        <v>44456</v>
      </c>
      <c r="B3703" s="23" t="str">
        <f ca="1">IFERROR(__xludf.DUMMYFUNCTION("""COMPUTED_VALUE"""),"Umywalka podblatowa")</f>
        <v>Umywalka podblatowa</v>
      </c>
      <c r="C3703" s="23" t="str">
        <f ca="1">IFERROR(__xludf.DUMMYFUNCTION("""COMPUTED_VALUE"""),"Nel Gold")</f>
        <v>Nel Gold</v>
      </c>
      <c r="D3703" s="24">
        <f ca="1">IFERROR(__xludf.DUMMYFUNCTION("""COMPUTED_VALUE"""),339)</f>
        <v>339</v>
      </c>
      <c r="E3703" s="26" t="str">
        <f ca="1">IFERROR(__xludf.DUMMYFUNCTION("""COMPUTED_VALUE"""),"REA-U6331")</f>
        <v>REA-U6331</v>
      </c>
    </row>
    <row r="3704" spans="1:5" x14ac:dyDescent="0.2">
      <c r="A3704" s="22">
        <f ca="1">IFERROR(__xludf.DUMMYFUNCTION("""COMPUTED_VALUE"""),44456)</f>
        <v>44456</v>
      </c>
      <c r="B3704" s="23" t="str">
        <f ca="1">IFERROR(__xludf.DUMMYFUNCTION("""COMPUTED_VALUE"""),"Umywalka blatowa")</f>
        <v>Umywalka blatowa</v>
      </c>
      <c r="C3704" s="23" t="str">
        <f ca="1">IFERROR(__xludf.DUMMYFUNCTION("""COMPUTED_VALUE"""),"Belinda Black Matt Gold Edge")</f>
        <v>Belinda Black Matt Gold Edge</v>
      </c>
      <c r="D3704" s="24">
        <f ca="1">IFERROR(__xludf.DUMMYFUNCTION("""COMPUTED_VALUE"""),459)</f>
        <v>459</v>
      </c>
      <c r="E3704" s="26" t="str">
        <f ca="1">IFERROR(__xludf.DUMMYFUNCTION("""COMPUTED_VALUE"""),"REA-U9659")</f>
        <v>REA-U9659</v>
      </c>
    </row>
    <row r="3705" spans="1:5" x14ac:dyDescent="0.2">
      <c r="A3705" s="22">
        <f ca="1">IFERROR(__xludf.DUMMYFUNCTION("""COMPUTED_VALUE"""),44456)</f>
        <v>44456</v>
      </c>
      <c r="B3705" s="23" t="str">
        <f ca="1">IFERROR(__xludf.DUMMYFUNCTION("""COMPUTED_VALUE"""),"BIDET")</f>
        <v>BIDET</v>
      </c>
      <c r="C3705" s="23" t="str">
        <f ca="1">IFERROR(__xludf.DUMMYFUNCTION("""COMPUTED_VALUE"""),"Carlo Mini Black Mat")</f>
        <v>Carlo Mini Black Mat</v>
      </c>
      <c r="D3705" s="28">
        <f ca="1">IFERROR(__xludf.DUMMYFUNCTION("""COMPUTED_VALUE"""),740)</f>
        <v>740</v>
      </c>
      <c r="E3705" s="26" t="str">
        <f ca="1">IFERROR(__xludf.DUMMYFUNCTION("""COMPUTED_VALUE"""),"REA-C9901")</f>
        <v>REA-C9901</v>
      </c>
    </row>
    <row r="3706" spans="1:5" x14ac:dyDescent="0.2">
      <c r="A3706" s="22">
        <f ca="1">IFERROR(__xludf.DUMMYFUNCTION("""COMPUTED_VALUE"""),44456)</f>
        <v>44456</v>
      </c>
      <c r="B3706" s="23" t="str">
        <f ca="1">IFERROR(__xludf.DUMMYFUNCTION("""COMPUTED_VALUE"""),"Misa wisząca")</f>
        <v>Misa wisząca</v>
      </c>
      <c r="C3706" s="23" t="str">
        <f ca="1">IFERROR(__xludf.DUMMYFUNCTION("""COMPUTED_VALUE"""),"Carlo Brush Gold")</f>
        <v>Carlo Brush Gold</v>
      </c>
      <c r="D3706" s="28">
        <f ca="1">IFERROR(__xludf.DUMMYFUNCTION("""COMPUTED_VALUE"""),1359)</f>
        <v>1359</v>
      </c>
      <c r="E3706" s="26" t="str">
        <f ca="1">IFERROR(__xludf.DUMMYFUNCTION("""COMPUTED_VALUE"""),"REA-C6942")</f>
        <v>REA-C6942</v>
      </c>
    </row>
    <row r="3707" spans="1:5" x14ac:dyDescent="0.2">
      <c r="A3707" s="22">
        <f ca="1">IFERROR(__xludf.DUMMYFUNCTION("""COMPUTED_VALUE"""),44456)</f>
        <v>44456</v>
      </c>
      <c r="B3707" s="23" t="str">
        <f ca="1">IFERROR(__xludf.DUMMYFUNCTION("""COMPUTED_VALUE"""),"Kabina prysznicowa")</f>
        <v>Kabina prysznicowa</v>
      </c>
      <c r="C3707" s="23" t="str">
        <f ca="1">IFERROR(__xludf.DUMMYFUNCTION("""COMPUTED_VALUE"""),"Space In Black 80x100")</f>
        <v>Space In Black 80x100</v>
      </c>
      <c r="D3707" s="24">
        <f ca="1">IFERROR(__xludf.DUMMYFUNCTION("""COMPUTED_VALUE"""),1659)</f>
        <v>1659</v>
      </c>
      <c r="E3707" s="26" t="str">
        <f ca="1">IFERROR(__xludf.DUMMYFUNCTION("""COMPUTED_VALUE"""),"REA-K8882")</f>
        <v>REA-K8882</v>
      </c>
    </row>
    <row r="3708" spans="1:5" x14ac:dyDescent="0.2">
      <c r="A3708" s="22">
        <f ca="1">IFERROR(__xludf.DUMMYFUNCTION("""COMPUTED_VALUE"""),44456)</f>
        <v>44456</v>
      </c>
      <c r="B3708" s="23" t="str">
        <f ca="1">IFERROR(__xludf.DUMMYFUNCTION("""COMPUTED_VALUE"""),"Kabina prysznicowa")</f>
        <v>Kabina prysznicowa</v>
      </c>
      <c r="C3708" s="23" t="str">
        <f ca="1">IFERROR(__xludf.DUMMYFUNCTION("""COMPUTED_VALUE"""),"Space In Black 90x90")</f>
        <v>Space In Black 90x90</v>
      </c>
      <c r="D3708" s="24">
        <f ca="1">IFERROR(__xludf.DUMMYFUNCTION("""COMPUTED_VALUE"""),1599)</f>
        <v>1599</v>
      </c>
      <c r="E3708" s="26" t="str">
        <f ca="1">IFERROR(__xludf.DUMMYFUNCTION("""COMPUTED_VALUE"""),"REA-K8881")</f>
        <v>REA-K8881</v>
      </c>
    </row>
    <row r="3709" spans="1:5" x14ac:dyDescent="0.2">
      <c r="A3709" s="22">
        <f ca="1">IFERROR(__xludf.DUMMYFUNCTION("""COMPUTED_VALUE"""),44456)</f>
        <v>44456</v>
      </c>
      <c r="B3709" s="23" t="str">
        <f ca="1">IFERROR(__xludf.DUMMYFUNCTION("""COMPUTED_VALUE"""),"KABINA SOLAR BLACK 80X100")</f>
        <v>KABINA SOLAR BLACK 80X100</v>
      </c>
      <c r="C3709" s="23" t="str">
        <f ca="1">IFERROR(__xludf.DUMMYFUNCTION("""COMPUTED_VALUE"""),"Solar")</f>
        <v>Solar</v>
      </c>
      <c r="D3709" s="24">
        <f ca="1">IFERROR(__xludf.DUMMYFUNCTION("""COMPUTED_VALUE"""),1239)</f>
        <v>1239</v>
      </c>
      <c r="E3709" s="26" t="str">
        <f ca="1">IFERROR(__xludf.DUMMYFUNCTION("""COMPUTED_VALUE"""),"REA-K6310")</f>
        <v>REA-K6310</v>
      </c>
    </row>
    <row r="3710" spans="1:5" x14ac:dyDescent="0.2">
      <c r="A3710" s="22">
        <f ca="1">IFERROR(__xludf.DUMMYFUNCTION("""COMPUTED_VALUE"""),44456)</f>
        <v>44456</v>
      </c>
      <c r="B3710" s="23" t="str">
        <f ca="1">IFERROR(__xludf.DUMMYFUNCTION("""COMPUTED_VALUE"""),"Ścianka prysznicowa BLER")</f>
        <v>Ścianka prysznicowa BLER</v>
      </c>
      <c r="C3710" s="23">
        <f ca="1">IFERROR(__xludf.DUMMYFUNCTION("""COMPUTED_VALUE"""),120)</f>
        <v>120</v>
      </c>
      <c r="D3710" s="24">
        <f ca="1">IFERROR(__xludf.DUMMYFUNCTION("""COMPUTED_VALUE"""),989)</f>
        <v>989</v>
      </c>
      <c r="E3710" s="26" t="str">
        <f ca="1">IFERROR(__xludf.DUMMYFUNCTION("""COMPUTED_VALUE"""),"REA-K7631")</f>
        <v>REA-K7631</v>
      </c>
    </row>
    <row r="3711" spans="1:5" x14ac:dyDescent="0.2">
      <c r="A3711" s="22">
        <f ca="1">IFERROR(__xludf.DUMMYFUNCTION("""COMPUTED_VALUE"""),44456)</f>
        <v>44456</v>
      </c>
      <c r="B3711" s="23" t="str">
        <f ca="1">IFERROR(__xludf.DUMMYFUNCTION("""COMPUTED_VALUE"""),"ŚCIANKA PRYSZNICOWA AERO 120 ""N""")</f>
        <v>ŚCIANKA PRYSZNICOWA AERO 120 "N"</v>
      </c>
      <c r="C3711" s="23" t="str">
        <f ca="1">IFERROR(__xludf.DUMMYFUNCTION("""COMPUTED_VALUE"""),"Aero ""N""")</f>
        <v>Aero "N"</v>
      </c>
      <c r="D3711" s="24">
        <f ca="1">IFERROR(__xludf.DUMMYFUNCTION("""COMPUTED_VALUE"""),949)</f>
        <v>949</v>
      </c>
      <c r="E3711" s="26" t="str">
        <f ca="1">IFERROR(__xludf.DUMMYFUNCTION("""COMPUTED_VALUE"""),"REA-K7550")</f>
        <v>REA-K7550</v>
      </c>
    </row>
    <row r="3712" spans="1:5" x14ac:dyDescent="0.2">
      <c r="A3712" s="22">
        <f ca="1">IFERROR(__xludf.DUMMYFUNCTION("""COMPUTED_VALUE"""),44456)</f>
        <v>44456</v>
      </c>
      <c r="B3712" s="23" t="str">
        <f ca="1">IFERROR(__xludf.DUMMYFUNCTION("""COMPUTED_VALUE"""),"Ścianka do kabin Rapid")</f>
        <v>Ścianka do kabin Rapid</v>
      </c>
      <c r="C3712" s="23" t="str">
        <f ca="1">IFERROR(__xludf.DUMMYFUNCTION("""COMPUTED_VALUE"""),"RAPID 80")</f>
        <v>RAPID 80</v>
      </c>
      <c r="D3712" s="24">
        <f ca="1">IFERROR(__xludf.DUMMYFUNCTION("""COMPUTED_VALUE"""),580)</f>
        <v>580</v>
      </c>
      <c r="E3712" s="26" t="str">
        <f ca="1">IFERROR(__xludf.DUMMYFUNCTION("""COMPUTED_VALUE"""),"REA-K6421")</f>
        <v>REA-K6421</v>
      </c>
    </row>
    <row r="3713" spans="1:5" x14ac:dyDescent="0.2">
      <c r="A3713" s="22">
        <f ca="1">IFERROR(__xludf.DUMMYFUNCTION("""COMPUTED_VALUE"""),44456)</f>
        <v>44456</v>
      </c>
      <c r="B3713" s="23" t="str">
        <f ca="1">IFERROR(__xludf.DUMMYFUNCTION("""COMPUTED_VALUE"""),"Ścianka do kabin Rapid")</f>
        <v>Ścianka do kabin Rapid</v>
      </c>
      <c r="C3713" s="23" t="str">
        <f ca="1">IFERROR(__xludf.DUMMYFUNCTION("""COMPUTED_VALUE"""),"RAPID 100")</f>
        <v>RAPID 100</v>
      </c>
      <c r="D3713" s="24">
        <f ca="1">IFERROR(__xludf.DUMMYFUNCTION("""COMPUTED_VALUE"""),650)</f>
        <v>650</v>
      </c>
      <c r="E3713" s="26" t="str">
        <f ca="1">IFERROR(__xludf.DUMMYFUNCTION("""COMPUTED_VALUE"""),"REA-K6423")</f>
        <v>REA-K6423</v>
      </c>
    </row>
    <row r="3714" spans="1:5" x14ac:dyDescent="0.2">
      <c r="A3714" s="22">
        <f ca="1">IFERROR(__xludf.DUMMYFUNCTION("""COMPUTED_VALUE"""),44456)</f>
        <v>44456</v>
      </c>
      <c r="B3714" s="23" t="str">
        <f ca="1">IFERROR(__xludf.DUMMYFUNCTION("""COMPUTED_VALUE"""),"Parawan wannowy")</f>
        <v>Parawan wannowy</v>
      </c>
      <c r="C3714" s="23" t="str">
        <f ca="1">IFERROR(__xludf.DUMMYFUNCTION("""COMPUTED_VALUE"""),"Lagos 80")</f>
        <v>Lagos 80</v>
      </c>
      <c r="D3714" s="28">
        <f ca="1">IFERROR(__xludf.DUMMYFUNCTION("""COMPUTED_VALUE"""),499)</f>
        <v>499</v>
      </c>
      <c r="E3714" s="26" t="str">
        <f ca="1">IFERROR(__xludf.DUMMYFUNCTION("""COMPUTED_VALUE"""),"REA-K7633")</f>
        <v>REA-K7633</v>
      </c>
    </row>
    <row r="3715" spans="1:5" x14ac:dyDescent="0.2">
      <c r="A3715" s="22">
        <f ca="1">IFERROR(__xludf.DUMMYFUNCTION("""COMPUTED_VALUE"""),44456)</f>
        <v>44456</v>
      </c>
      <c r="B3715" s="23" t="str">
        <f ca="1">IFERROR(__xludf.DUMMYFUNCTION("""COMPUTED_VALUE"""),"Parawan wannowy")</f>
        <v>Parawan wannowy</v>
      </c>
      <c r="C3715" s="23" t="str">
        <f ca="1">IFERROR(__xludf.DUMMYFUNCTION("""COMPUTED_VALUE"""),"Lagos 70")</f>
        <v>Lagos 70</v>
      </c>
      <c r="D3715" s="28">
        <f ca="1">IFERROR(__xludf.DUMMYFUNCTION("""COMPUTED_VALUE"""),469)</f>
        <v>469</v>
      </c>
      <c r="E3715" s="26" t="str">
        <f ca="1">IFERROR(__xludf.DUMMYFUNCTION("""COMPUTED_VALUE"""),"REA-K7632")</f>
        <v>REA-K7632</v>
      </c>
    </row>
    <row r="3716" spans="1:5" x14ac:dyDescent="0.2">
      <c r="A3716" s="22">
        <f ca="1">IFERROR(__xludf.DUMMYFUNCTION("""COMPUTED_VALUE"""),44456)</f>
        <v>44456</v>
      </c>
      <c r="B3716" s="23" t="str">
        <f ca="1">IFERROR(__xludf.DUMMYFUNCTION("""COMPUTED_VALUE"""),"Drzwi prysznicowe")</f>
        <v>Drzwi prysznicowe</v>
      </c>
      <c r="C3716" s="23" t="str">
        <f ca="1">IFERROR(__xludf.DUMMYFUNCTION("""COMPUTED_VALUE"""),"RAPID SWING 70")</f>
        <v>RAPID SWING 70</v>
      </c>
      <c r="D3716" s="24">
        <f ca="1">IFERROR(__xludf.DUMMYFUNCTION("""COMPUTED_VALUE"""),809)</f>
        <v>809</v>
      </c>
      <c r="E3716" s="26" t="str">
        <f ca="1">IFERROR(__xludf.DUMMYFUNCTION("""COMPUTED_VALUE"""),"REA-K6407")</f>
        <v>REA-K6407</v>
      </c>
    </row>
    <row r="3717" spans="1:5" x14ac:dyDescent="0.2">
      <c r="A3717" s="22">
        <f ca="1">IFERROR(__xludf.DUMMYFUNCTION("""COMPUTED_VALUE"""),44456)</f>
        <v>44456</v>
      </c>
      <c r="B3717" s="23" t="str">
        <f ca="1">IFERROR(__xludf.DUMMYFUNCTION("""COMPUTED_VALUE"""),"Umywalka blatowa")</f>
        <v>Umywalka blatowa</v>
      </c>
      <c r="C3717" s="23" t="str">
        <f ca="1">IFERROR(__xludf.DUMMYFUNCTION("""COMPUTED_VALUE"""),"Sofia Brush Gold")</f>
        <v>Sofia Brush Gold</v>
      </c>
      <c r="D3717" s="24">
        <f ca="1">IFERROR(__xludf.DUMMYFUNCTION("""COMPUTED_VALUE"""),379)</f>
        <v>379</v>
      </c>
      <c r="E3717" s="26" t="str">
        <f ca="1">IFERROR(__xludf.DUMMYFUNCTION("""COMPUTED_VALUE"""),"REA-U3697")</f>
        <v>REA-U3697</v>
      </c>
    </row>
    <row r="3718" spans="1:5" x14ac:dyDescent="0.2">
      <c r="A3718" s="22">
        <f ca="1">IFERROR(__xludf.DUMMYFUNCTION("""COMPUTED_VALUE"""),44456)</f>
        <v>44456</v>
      </c>
      <c r="B3718" s="23" t="str">
        <f ca="1">IFERROR(__xludf.DUMMYFUNCTION("""COMPUTED_VALUE"""),"Umywalka blatowa")</f>
        <v>Umywalka blatowa</v>
      </c>
      <c r="C3718" s="23" t="str">
        <f ca="1">IFERROR(__xludf.DUMMYFUNCTION("""COMPUTED_VALUE"""),"Sofia Black Gold Edge")</f>
        <v>Sofia Black Gold Edge</v>
      </c>
      <c r="D3718" s="24">
        <f ca="1">IFERROR(__xludf.DUMMYFUNCTION("""COMPUTED_VALUE"""),379)</f>
        <v>379</v>
      </c>
      <c r="E3718" s="26" t="str">
        <f ca="1">IFERROR(__xludf.DUMMYFUNCTION("""COMPUTED_VALUE"""),"REA-U3695")</f>
        <v>REA-U3695</v>
      </c>
    </row>
    <row r="3719" spans="1:5" x14ac:dyDescent="0.2">
      <c r="A3719" s="22">
        <f ca="1">IFERROR(__xludf.DUMMYFUNCTION("""COMPUTED_VALUE"""),44456)</f>
        <v>44456</v>
      </c>
      <c r="B3719" s="23" t="str">
        <f ca="1">IFERROR(__xludf.DUMMYFUNCTION("""COMPUTED_VALUE"""),"Umywalka blatowa")</f>
        <v>Umywalka blatowa</v>
      </c>
      <c r="C3719" s="23" t="str">
        <f ca="1">IFERROR(__xludf.DUMMYFUNCTION("""COMPUTED_VALUE"""),"Royal Gold White")</f>
        <v>Royal Gold White</v>
      </c>
      <c r="D3719" s="24">
        <f ca="1">IFERROR(__xludf.DUMMYFUNCTION("""COMPUTED_VALUE"""),469)</f>
        <v>469</v>
      </c>
      <c r="E3719" s="26" t="str">
        <f ca="1">IFERROR(__xludf.DUMMYFUNCTION("""COMPUTED_VALUE"""),"REA-U7808")</f>
        <v>REA-U7808</v>
      </c>
    </row>
    <row r="3720" spans="1:5" x14ac:dyDescent="0.2">
      <c r="A3720" s="22">
        <f ca="1">IFERROR(__xludf.DUMMYFUNCTION("""COMPUTED_VALUE"""),44456)</f>
        <v>44456</v>
      </c>
      <c r="B3720" s="23" t="str">
        <f ca="1">IFERROR(__xludf.DUMMYFUNCTION("""COMPUTED_VALUE"""),"Umywalka blatowa")</f>
        <v>Umywalka blatowa</v>
      </c>
      <c r="C3720" s="23" t="str">
        <f ca="1">IFERROR(__xludf.DUMMYFUNCTION("""COMPUTED_VALUE"""),"Belinda Gold Edge")</f>
        <v>Belinda Gold Edge</v>
      </c>
      <c r="D3720" s="24">
        <f ca="1">IFERROR(__xludf.DUMMYFUNCTION("""COMPUTED_VALUE"""),319)</f>
        <v>319</v>
      </c>
      <c r="E3720" s="26" t="str">
        <f ca="1">IFERROR(__xludf.DUMMYFUNCTION("""COMPUTED_VALUE"""),"REA-U8736")</f>
        <v>REA-U8736</v>
      </c>
    </row>
    <row r="3721" spans="1:5" x14ac:dyDescent="0.2">
      <c r="A3721" s="22">
        <f ca="1">IFERROR(__xludf.DUMMYFUNCTION("""COMPUTED_VALUE"""),44456)</f>
        <v>44456</v>
      </c>
      <c r="B3721" s="23" t="str">
        <f ca="1">IFERROR(__xludf.DUMMYFUNCTION("""COMPUTED_VALUE"""),"Umywalka wolnostojąca")</f>
        <v>Umywalka wolnostojąca</v>
      </c>
      <c r="C3721" s="23" t="str">
        <f ca="1">IFERROR(__xludf.DUMMYFUNCTION("""COMPUTED_VALUE"""),"Kamila Black")</f>
        <v>Kamila Black</v>
      </c>
      <c r="D3721" s="24">
        <f ca="1">IFERROR(__xludf.DUMMYFUNCTION("""COMPUTED_VALUE"""),979)</f>
        <v>979</v>
      </c>
      <c r="E3721" s="26" t="str">
        <f ca="1">IFERROR(__xludf.DUMMYFUNCTION("""COMPUTED_VALUE"""),"REA-U5644")</f>
        <v>REA-U5644</v>
      </c>
    </row>
    <row r="3722" spans="1:5" x14ac:dyDescent="0.2">
      <c r="A3722" s="22">
        <f ca="1">IFERROR(__xludf.DUMMYFUNCTION("""COMPUTED_VALUE"""),44456)</f>
        <v>44456</v>
      </c>
      <c r="B3722" s="23" t="str">
        <f ca="1">IFERROR(__xludf.DUMMYFUNCTION("""COMPUTED_VALUE"""),"Umywalka blatowa")</f>
        <v>Umywalka blatowa</v>
      </c>
      <c r="C3722" s="23" t="str">
        <f ca="1">IFERROR(__xludf.DUMMYFUNCTION("""COMPUTED_VALUE"""),"Nel Black")</f>
        <v>Nel Black</v>
      </c>
      <c r="D3722" s="24">
        <f ca="1">IFERROR(__xludf.DUMMYFUNCTION("""COMPUTED_VALUE"""),255)</f>
        <v>255</v>
      </c>
      <c r="E3722" s="26" t="str">
        <f ca="1">IFERROR(__xludf.DUMMYFUNCTION("""COMPUTED_VALUE"""),"REA-U1023")</f>
        <v>REA-U1023</v>
      </c>
    </row>
    <row r="3723" spans="1:5" x14ac:dyDescent="0.2">
      <c r="A3723" s="22">
        <f ca="1">IFERROR(__xludf.DUMMYFUNCTION("""COMPUTED_VALUE"""),44456)</f>
        <v>44456</v>
      </c>
      <c r="B3723" s="23" t="str">
        <f ca="1">IFERROR(__xludf.DUMMYFUNCTION("""COMPUTED_VALUE"""),"Zestaw natryskowy z baterią")</f>
        <v>Zestaw natryskowy z baterią</v>
      </c>
      <c r="C3723" s="23" t="str">
        <f ca="1">IFERROR(__xludf.DUMMYFUNCTION("""COMPUTED_VALUE"""),"Retro Old Black")</f>
        <v>Retro Old Black</v>
      </c>
      <c r="D3723" s="24">
        <f ca="1">IFERROR(__xludf.DUMMYFUNCTION("""COMPUTED_VALUE"""),899)</f>
        <v>899</v>
      </c>
      <c r="E3723" s="26" t="str">
        <f ca="1">IFERROR(__xludf.DUMMYFUNCTION("""COMPUTED_VALUE"""),"REA-P2366")</f>
        <v>REA-P2366</v>
      </c>
    </row>
    <row r="3724" spans="1:5" x14ac:dyDescent="0.2">
      <c r="A3724" s="22">
        <f ca="1">IFERROR(__xludf.DUMMYFUNCTION("""COMPUTED_VALUE"""),44456)</f>
        <v>44456</v>
      </c>
      <c r="B3724" s="23" t="str">
        <f ca="1">IFERROR(__xludf.DUMMYFUNCTION("""COMPUTED_VALUE"""),"Zestaw natryskowy z baterią")</f>
        <v>Zestaw natryskowy z baterią</v>
      </c>
      <c r="C3724" s="23" t="str">
        <f ca="1">IFERROR(__xludf.DUMMYFUNCTION("""COMPUTED_VALUE"""),"Vintage Old Black")</f>
        <v>Vintage Old Black</v>
      </c>
      <c r="D3724" s="24">
        <f ca="1">IFERROR(__xludf.DUMMYFUNCTION("""COMPUTED_VALUE"""),1399)</f>
        <v>1399</v>
      </c>
      <c r="E3724" s="26" t="str">
        <f ca="1">IFERROR(__xludf.DUMMYFUNCTION("""COMPUTED_VALUE"""),"REA-P2367")</f>
        <v>REA-P2367</v>
      </c>
    </row>
    <row r="3725" spans="1:5" x14ac:dyDescent="0.2">
      <c r="A3725" s="22">
        <f ca="1">IFERROR(__xludf.DUMMYFUNCTION("""COMPUTED_VALUE"""),44456)</f>
        <v>44456</v>
      </c>
      <c r="B3725" s="23" t="str">
        <f ca="1">IFERROR(__xludf.DUMMYFUNCTION("""COMPUTED_VALUE"""),"Zestaw wannowo prysznicowy podtynkowy + box")</f>
        <v>Zestaw wannowo prysznicowy podtynkowy + box</v>
      </c>
      <c r="C3725" s="23" t="str">
        <f ca="1">IFERROR(__xludf.DUMMYFUNCTION("""COMPUTED_VALUE"""),"Lungo L.Gold")</f>
        <v>Lungo L.Gold</v>
      </c>
      <c r="D3725" s="24">
        <f ca="1">IFERROR(__xludf.DUMMYFUNCTION("""COMPUTED_VALUE"""),999)</f>
        <v>999</v>
      </c>
      <c r="E3725" s="26" t="str">
        <f ca="1">IFERROR(__xludf.DUMMYFUNCTION("""COMPUTED_VALUE"""),"REA-P4114")</f>
        <v>REA-P4114</v>
      </c>
    </row>
    <row r="3726" spans="1:5" x14ac:dyDescent="0.2">
      <c r="A3726" s="22">
        <f ca="1">IFERROR(__xludf.DUMMYFUNCTION("""COMPUTED_VALUE"""),44456)</f>
        <v>44456</v>
      </c>
      <c r="B3726" s="23" t="str">
        <f ca="1">IFERROR(__xludf.DUMMYFUNCTION("""COMPUTED_VALUE"""),"Bateria umywalkowa podtynkowa")</f>
        <v>Bateria umywalkowa podtynkowa</v>
      </c>
      <c r="C3726" s="23" t="str">
        <f ca="1">IFERROR(__xludf.DUMMYFUNCTION("""COMPUTED_VALUE"""),"Exit Black")</f>
        <v>Exit Black</v>
      </c>
      <c r="D3726" s="24">
        <f ca="1">IFERROR(__xludf.DUMMYFUNCTION("""COMPUTED_VALUE"""),499)</f>
        <v>499</v>
      </c>
      <c r="E3726" s="26" t="str">
        <f ca="1">IFERROR(__xludf.DUMMYFUNCTION("""COMPUTED_VALUE"""),"REA-B8000")</f>
        <v>REA-B8000</v>
      </c>
    </row>
    <row r="3727" spans="1:5" x14ac:dyDescent="0.2">
      <c r="A3727" s="22">
        <f ca="1">IFERROR(__xludf.DUMMYFUNCTION("""COMPUTED_VALUE"""),44456)</f>
        <v>44456</v>
      </c>
      <c r="B3727" s="23" t="str">
        <f ca="1">IFERROR(__xludf.DUMMYFUNCTION("""COMPUTED_VALUE"""),"Bateria umywalkowa")</f>
        <v>Bateria umywalkowa</v>
      </c>
      <c r="C3727" s="23" t="str">
        <f ca="1">IFERROR(__xludf.DUMMYFUNCTION("""COMPUTED_VALUE"""),"Falcon 18")</f>
        <v>Falcon 18</v>
      </c>
      <c r="D3727" s="24">
        <f ca="1">IFERROR(__xludf.DUMMYFUNCTION("""COMPUTED_VALUE"""),239)</f>
        <v>239</v>
      </c>
      <c r="E3727" s="26" t="str">
        <f ca="1">IFERROR(__xludf.DUMMYFUNCTION("""COMPUTED_VALUE"""),"BAT-00146")</f>
        <v>BAT-00146</v>
      </c>
    </row>
    <row r="3728" spans="1:5" x14ac:dyDescent="0.2">
      <c r="A3728" s="22">
        <f ca="1">IFERROR(__xludf.DUMMYFUNCTION("""COMPUTED_VALUE"""),44445)</f>
        <v>44445</v>
      </c>
      <c r="B3728" s="23" t="str">
        <f ca="1">IFERROR(__xludf.DUMMYFUNCTION("""COMPUTED_VALUE"""),"Bateria bidetowa")</f>
        <v>Bateria bidetowa</v>
      </c>
      <c r="C3728" s="23" t="str">
        <f ca="1">IFERROR(__xludf.DUMMYFUNCTION("""COMPUTED_VALUE"""),"Fenix Black")</f>
        <v>Fenix Black</v>
      </c>
      <c r="D3728" s="24">
        <f ca="1">IFERROR(__xludf.DUMMYFUNCTION("""COMPUTED_VALUE"""),389)</f>
        <v>389</v>
      </c>
      <c r="E3728" s="26" t="str">
        <f ca="1">IFERROR(__xludf.DUMMYFUNCTION("""COMPUTED_VALUE"""),"REA-B5687")</f>
        <v>REA-B5687</v>
      </c>
    </row>
    <row r="3729" spans="1:5" x14ac:dyDescent="0.2">
      <c r="A3729" s="22">
        <f ca="1">IFERROR(__xludf.DUMMYFUNCTION("""COMPUTED_VALUE"""),44445)</f>
        <v>44445</v>
      </c>
      <c r="B3729" s="23" t="str">
        <f ca="1">IFERROR(__xludf.DUMMYFUNCTION("""COMPUTED_VALUE"""),"Bateria umywalkowa wysoka")</f>
        <v>Bateria umywalkowa wysoka</v>
      </c>
      <c r="C3729" s="23" t="str">
        <f ca="1">IFERROR(__xludf.DUMMYFUNCTION("""COMPUTED_VALUE"""),"Fenix Black")</f>
        <v>Fenix Black</v>
      </c>
      <c r="D3729" s="24">
        <f ca="1">IFERROR(__xludf.DUMMYFUNCTION("""COMPUTED_VALUE"""),399)</f>
        <v>399</v>
      </c>
      <c r="E3729" s="26" t="str">
        <f ca="1">IFERROR(__xludf.DUMMYFUNCTION("""COMPUTED_VALUE"""),"REA-B7849")</f>
        <v>REA-B7849</v>
      </c>
    </row>
    <row r="3730" spans="1:5" x14ac:dyDescent="0.2">
      <c r="A3730" s="22">
        <f ca="1">IFERROR(__xludf.DUMMYFUNCTION("""COMPUTED_VALUE"""),44445)</f>
        <v>44445</v>
      </c>
      <c r="B3730" s="23" t="str">
        <f ca="1">IFERROR(__xludf.DUMMYFUNCTION("""COMPUTED_VALUE"""),"Bateria umywalkowa niska")</f>
        <v>Bateria umywalkowa niska</v>
      </c>
      <c r="C3730" s="23" t="str">
        <f ca="1">IFERROR(__xludf.DUMMYFUNCTION("""COMPUTED_VALUE"""),"Fenix Black")</f>
        <v>Fenix Black</v>
      </c>
      <c r="D3730" s="24">
        <f ca="1">IFERROR(__xludf.DUMMYFUNCTION("""COMPUTED_VALUE"""),299)</f>
        <v>299</v>
      </c>
      <c r="E3730" s="26" t="str">
        <f ca="1">IFERROR(__xludf.DUMMYFUNCTION("""COMPUTED_VALUE"""),"REA-B7894")</f>
        <v>REA-B7894</v>
      </c>
    </row>
    <row r="3731" spans="1:5" x14ac:dyDescent="0.2">
      <c r="A3731" s="22">
        <f ca="1">IFERROR(__xludf.DUMMYFUNCTION("""COMPUTED_VALUE"""),44445)</f>
        <v>44445</v>
      </c>
      <c r="B3731" s="23" t="str">
        <f ca="1">IFERROR(__xludf.DUMMYFUNCTION("""COMPUTED_VALUE"""),"Bateria bidetowa")</f>
        <v>Bateria bidetowa</v>
      </c>
      <c r="C3731" s="23" t="str">
        <f ca="1">IFERROR(__xludf.DUMMYFUNCTION("""COMPUTED_VALUE"""),"Loop L. Gold")</f>
        <v>Loop L. Gold</v>
      </c>
      <c r="D3731" s="24">
        <f ca="1">IFERROR(__xludf.DUMMYFUNCTION("""COMPUTED_VALUE"""),339)</f>
        <v>339</v>
      </c>
      <c r="E3731" s="26" t="str">
        <f ca="1">IFERROR(__xludf.DUMMYFUNCTION("""COMPUTED_VALUE"""),"REA-B8979")</f>
        <v>REA-B8979</v>
      </c>
    </row>
    <row r="3732" spans="1:5" x14ac:dyDescent="0.2">
      <c r="A3732" s="22">
        <f ca="1">IFERROR(__xludf.DUMMYFUNCTION("""COMPUTED_VALUE"""),44445)</f>
        <v>44445</v>
      </c>
      <c r="B3732" s="23" t="str">
        <f ca="1">IFERROR(__xludf.DUMMYFUNCTION("""COMPUTED_VALUE"""),"Bateria bidetowa")</f>
        <v>Bateria bidetowa</v>
      </c>
      <c r="C3732" s="23" t="str">
        <f ca="1">IFERROR(__xludf.DUMMYFUNCTION("""COMPUTED_VALUE"""),"Loop Black")</f>
        <v>Loop Black</v>
      </c>
      <c r="D3732" s="24">
        <f ca="1">IFERROR(__xludf.DUMMYFUNCTION("""COMPUTED_VALUE"""),339)</f>
        <v>339</v>
      </c>
      <c r="E3732" s="26" t="str">
        <f ca="1">IFERROR(__xludf.DUMMYFUNCTION("""COMPUTED_VALUE"""),"REA-B8978")</f>
        <v>REA-B8978</v>
      </c>
    </row>
    <row r="3733" spans="1:5" x14ac:dyDescent="0.2">
      <c r="A3733" s="22">
        <f ca="1">IFERROR(__xludf.DUMMYFUNCTION("""COMPUTED_VALUE"""),44445)</f>
        <v>44445</v>
      </c>
      <c r="B3733" s="23" t="str">
        <f ca="1">IFERROR(__xludf.DUMMYFUNCTION("""COMPUTED_VALUE"""),"Bateria umywalkowa")</f>
        <v>Bateria umywalkowa</v>
      </c>
      <c r="C3733" s="23" t="str">
        <f ca="1">IFERROR(__xludf.DUMMYFUNCTION("""COMPUTED_VALUE"""),"Lungo czarny mat niska")</f>
        <v>Lungo czarny mat niska</v>
      </c>
      <c r="D3733" s="24">
        <f ca="1">IFERROR(__xludf.DUMMYFUNCTION("""COMPUTED_VALUE"""),189)</f>
        <v>189</v>
      </c>
      <c r="E3733" s="26" t="str">
        <f ca="1">IFERROR(__xludf.DUMMYFUNCTION("""COMPUTED_VALUE"""),"REA-B4102")</f>
        <v>REA-B4102</v>
      </c>
    </row>
    <row r="3734" spans="1:5" x14ac:dyDescent="0.2">
      <c r="A3734" s="22">
        <f ca="1">IFERROR(__xludf.DUMMYFUNCTION("""COMPUTED_VALUE"""),44445)</f>
        <v>44445</v>
      </c>
      <c r="B3734" s="23" t="str">
        <f ca="1">IFERROR(__xludf.DUMMYFUNCTION("""COMPUTED_VALUE"""),"Bateria umywalkowa")</f>
        <v>Bateria umywalkowa</v>
      </c>
      <c r="C3734" s="23" t="str">
        <f ca="1">IFERROR(__xludf.DUMMYFUNCTION("""COMPUTED_VALUE"""),"Moris Black")</f>
        <v>Moris Black</v>
      </c>
      <c r="D3734" s="24">
        <f ca="1">IFERROR(__xludf.DUMMYFUNCTION("""COMPUTED_VALUE"""),349)</f>
        <v>349</v>
      </c>
      <c r="E3734" s="26" t="str">
        <f ca="1">IFERROR(__xludf.DUMMYFUNCTION("""COMPUTED_VALUE"""),"REA-B4833")</f>
        <v>REA-B4833</v>
      </c>
    </row>
    <row r="3735" spans="1:5" x14ac:dyDescent="0.2">
      <c r="A3735" s="22">
        <f ca="1">IFERROR(__xludf.DUMMYFUNCTION("""COMPUTED_VALUE"""),44445)</f>
        <v>44445</v>
      </c>
      <c r="B3735" s="23" t="str">
        <f ca="1">IFERROR(__xludf.DUMMYFUNCTION("""COMPUTED_VALUE"""),"Bateria wannowa STOJĄCA")</f>
        <v>Bateria wannowa STOJĄCA</v>
      </c>
      <c r="C3735" s="23" t="str">
        <f ca="1">IFERROR(__xludf.DUMMYFUNCTION("""COMPUTED_VALUE"""),"Ortis L.Gold")</f>
        <v>Ortis L.Gold</v>
      </c>
      <c r="D3735" s="24">
        <f ca="1">IFERROR(__xludf.DUMMYFUNCTION("""COMPUTED_VALUE"""),1199)</f>
        <v>1199</v>
      </c>
      <c r="E3735" s="26" t="str">
        <f ca="1">IFERROR(__xludf.DUMMYFUNCTION("""COMPUTED_VALUE"""),"REA-B7430")</f>
        <v>REA-B7430</v>
      </c>
    </row>
    <row r="3736" spans="1:5" x14ac:dyDescent="0.2">
      <c r="A3736" s="22">
        <f ca="1">IFERROR(__xludf.DUMMYFUNCTION("""COMPUTED_VALUE"""),44445)</f>
        <v>44445</v>
      </c>
      <c r="B3736" s="23" t="str">
        <f ca="1">IFERROR(__xludf.DUMMYFUNCTION("""COMPUTED_VALUE"""),"Bateria umywalkowa wysoka")</f>
        <v>Bateria umywalkowa wysoka</v>
      </c>
      <c r="C3736" s="23" t="str">
        <f ca="1">IFERROR(__xludf.DUMMYFUNCTION("""COMPUTED_VALUE"""),"Salto czarny mat / gold")</f>
        <v>Salto czarny mat / gold</v>
      </c>
      <c r="D3736" s="24">
        <f ca="1">IFERROR(__xludf.DUMMYFUNCTION("""COMPUTED_VALUE"""),359)</f>
        <v>359</v>
      </c>
      <c r="E3736" s="26" t="str">
        <f ca="1">IFERROR(__xludf.DUMMYFUNCTION("""COMPUTED_VALUE"""),"REA-B6351")</f>
        <v>REA-B6351</v>
      </c>
    </row>
    <row r="3737" spans="1:5" x14ac:dyDescent="0.2">
      <c r="A3737" s="22">
        <f ca="1">IFERROR(__xludf.DUMMYFUNCTION("""COMPUTED_VALUE"""),44445)</f>
        <v>44445</v>
      </c>
      <c r="B3737" s="23" t="str">
        <f ca="1">IFERROR(__xludf.DUMMYFUNCTION("""COMPUTED_VALUE"""),"Bateria bidetowa")</f>
        <v>Bateria bidetowa</v>
      </c>
      <c r="C3737" s="23" t="str">
        <f ca="1">IFERROR(__xludf.DUMMYFUNCTION("""COMPUTED_VALUE"""),"Tess L.Gold")</f>
        <v>Tess L.Gold</v>
      </c>
      <c r="D3737" s="24">
        <f ca="1">IFERROR(__xludf.DUMMYFUNCTION("""COMPUTED_VALUE"""),199)</f>
        <v>199</v>
      </c>
      <c r="E3737" s="26" t="str">
        <f ca="1">IFERROR(__xludf.DUMMYFUNCTION("""COMPUTED_VALUE"""),"REA-B8807")</f>
        <v>REA-B8807</v>
      </c>
    </row>
    <row r="3738" spans="1:5" x14ac:dyDescent="0.2">
      <c r="A3738" s="22">
        <f ca="1">IFERROR(__xludf.DUMMYFUNCTION("""COMPUTED_VALUE"""),44445)</f>
        <v>44445</v>
      </c>
      <c r="B3738" s="23" t="str">
        <f ca="1">IFERROR(__xludf.DUMMYFUNCTION("""COMPUTED_VALUE"""),"Bateria umywalkowa WYSOKA")</f>
        <v>Bateria umywalkowa WYSOKA</v>
      </c>
      <c r="C3738" s="23" t="str">
        <f ca="1">IFERROR(__xludf.DUMMYFUNCTION("""COMPUTED_VALUE"""),"Vintage Old Black High")</f>
        <v>Vintage Old Black High</v>
      </c>
      <c r="D3738" s="24">
        <f ca="1">IFERROR(__xludf.DUMMYFUNCTION("""COMPUTED_VALUE"""),339)</f>
        <v>339</v>
      </c>
      <c r="E3738" s="26" t="str">
        <f ca="1">IFERROR(__xludf.DUMMYFUNCTION("""COMPUTED_VALUE"""),"REA-B0227")</f>
        <v>REA-B0227</v>
      </c>
    </row>
    <row r="3739" spans="1:5" x14ac:dyDescent="0.2">
      <c r="A3739" s="22">
        <f ca="1">IFERROR(__xludf.DUMMYFUNCTION("""COMPUTED_VALUE"""),44445)</f>
        <v>44445</v>
      </c>
      <c r="B3739" s="23" t="str">
        <f ca="1">IFERROR(__xludf.DUMMYFUNCTION("""COMPUTED_VALUE"""),"Bateria umywalkowa podtynkowa + box")</f>
        <v>Bateria umywalkowa podtynkowa + box</v>
      </c>
      <c r="C3739" s="23" t="str">
        <f ca="1">IFERROR(__xludf.DUMMYFUNCTION("""COMPUTED_VALUE"""),"Viva Black")</f>
        <v>Viva Black</v>
      </c>
      <c r="D3739" s="24">
        <f ca="1">IFERROR(__xludf.DUMMYFUNCTION("""COMPUTED_VALUE"""),379)</f>
        <v>379</v>
      </c>
      <c r="E3739" s="26" t="str">
        <f ca="1">IFERROR(__xludf.DUMMYFUNCTION("""COMPUTED_VALUE"""),"REA-B0231")</f>
        <v>REA-B0231</v>
      </c>
    </row>
    <row r="3740" spans="1:5" x14ac:dyDescent="0.2">
      <c r="A3740" s="22">
        <f ca="1">IFERROR(__xludf.DUMMYFUNCTION("""COMPUTED_VALUE"""),44445)</f>
        <v>44445</v>
      </c>
      <c r="B3740" s="23" t="str">
        <f ca="1">IFERROR(__xludf.DUMMYFUNCTION("""COMPUTED_VALUE"""),"Bateria kuchenna")</f>
        <v>Bateria kuchenna</v>
      </c>
      <c r="C3740" s="23" t="str">
        <f ca="1">IFERROR(__xludf.DUMMYFUNCTION("""COMPUTED_VALUE"""),"Gaspar Black MAT")</f>
        <v>Gaspar Black MAT</v>
      </c>
      <c r="D3740" s="24">
        <f ca="1">IFERROR(__xludf.DUMMYFUNCTION("""COMPUTED_VALUE"""),399)</f>
        <v>399</v>
      </c>
      <c r="E3740" s="26" t="str">
        <f ca="1">IFERROR(__xludf.DUMMYFUNCTION("""COMPUTED_VALUE"""),"REA-B0233")</f>
        <v>REA-B0233</v>
      </c>
    </row>
    <row r="3741" spans="1:5" x14ac:dyDescent="0.2">
      <c r="A3741" s="22">
        <f ca="1">IFERROR(__xludf.DUMMYFUNCTION("""COMPUTED_VALUE"""),44445)</f>
        <v>44445</v>
      </c>
      <c r="B3741" s="23" t="str">
        <f ca="1">IFERROR(__xludf.DUMMYFUNCTION("""COMPUTED_VALUE"""),"Odpływ liniowy + syfon + nóżki + mankiet uszczelniający")</f>
        <v>Odpływ liniowy + syfon + nóżki + mankiet uszczelniający</v>
      </c>
      <c r="C3741" s="23" t="str">
        <f ca="1">IFERROR(__xludf.DUMMYFUNCTION("""COMPUTED_VALUE"""),"Pure L.Gold Mirror 60")</f>
        <v>Pure L.Gold Mirror 60</v>
      </c>
      <c r="D3741" s="24">
        <f ca="1">IFERROR(__xludf.DUMMYFUNCTION("""COMPUTED_VALUE"""),379)</f>
        <v>379</v>
      </c>
      <c r="E3741" s="26" t="str">
        <f ca="1">IFERROR(__xludf.DUMMYFUNCTION("""COMPUTED_VALUE"""),"REA-G5610")</f>
        <v>REA-G5610</v>
      </c>
    </row>
    <row r="3742" spans="1:5" x14ac:dyDescent="0.2">
      <c r="A3742" s="22">
        <f ca="1">IFERROR(__xludf.DUMMYFUNCTION("""COMPUTED_VALUE"""),44445)</f>
        <v>44445</v>
      </c>
      <c r="B3742" s="23" t="str">
        <f ca="1">IFERROR(__xludf.DUMMYFUNCTION("""COMPUTED_VALUE"""),"Odpływ liniowy + syfon + nóżki + mankiet uszczelniający")</f>
        <v>Odpływ liniowy + syfon + nóżki + mankiet uszczelniający</v>
      </c>
      <c r="C3742" s="23" t="str">
        <f ca="1">IFERROR(__xludf.DUMMYFUNCTION("""COMPUTED_VALUE"""),"Pure L.Gold Mirror 70")</f>
        <v>Pure L.Gold Mirror 70</v>
      </c>
      <c r="D3742" s="24">
        <f ca="1">IFERROR(__xludf.DUMMYFUNCTION("""COMPUTED_VALUE"""),419)</f>
        <v>419</v>
      </c>
      <c r="E3742" s="26" t="str">
        <f ca="1">IFERROR(__xludf.DUMMYFUNCTION("""COMPUTED_VALUE"""),"REA-G5600")</f>
        <v>REA-G5600</v>
      </c>
    </row>
    <row r="3743" spans="1:5" x14ac:dyDescent="0.2">
      <c r="A3743" s="22">
        <f ca="1">IFERROR(__xludf.DUMMYFUNCTION("""COMPUTED_VALUE"""),44445)</f>
        <v>44445</v>
      </c>
      <c r="B3743" s="23" t="str">
        <f ca="1">IFERROR(__xludf.DUMMYFUNCTION("""COMPUTED_VALUE"""),"Odpływ liniowy + syfon + nóżki + mankiet uszczelniający")</f>
        <v>Odpływ liniowy + syfon + nóżki + mankiet uszczelniający</v>
      </c>
      <c r="C3743" s="23" t="str">
        <f ca="1">IFERROR(__xludf.DUMMYFUNCTION("""COMPUTED_VALUE"""),"Pure L.Gold Mirror 80")</f>
        <v>Pure L.Gold Mirror 80</v>
      </c>
      <c r="D3743" s="24">
        <f ca="1">IFERROR(__xludf.DUMMYFUNCTION("""COMPUTED_VALUE"""),449)</f>
        <v>449</v>
      </c>
      <c r="E3743" s="26" t="str">
        <f ca="1">IFERROR(__xludf.DUMMYFUNCTION("""COMPUTED_VALUE"""),"REA-G5601")</f>
        <v>REA-G5601</v>
      </c>
    </row>
    <row r="3744" spans="1:5" x14ac:dyDescent="0.2">
      <c r="A3744" s="22">
        <f ca="1">IFERROR(__xludf.DUMMYFUNCTION("""COMPUTED_VALUE"""),44445)</f>
        <v>44445</v>
      </c>
      <c r="B3744" s="23" t="str">
        <f ca="1">IFERROR(__xludf.DUMMYFUNCTION("""COMPUTED_VALUE"""),"Odpływ liniowy + syfon + nóżki + mankiet uszczelniający")</f>
        <v>Odpływ liniowy + syfon + nóżki + mankiet uszczelniający</v>
      </c>
      <c r="C3744" s="23" t="str">
        <f ca="1">IFERROR(__xludf.DUMMYFUNCTION("""COMPUTED_VALUE"""),"Pure L.Gold Mirror 90")</f>
        <v>Pure L.Gold Mirror 90</v>
      </c>
      <c r="D3744" s="24">
        <f ca="1">IFERROR(__xludf.DUMMYFUNCTION("""COMPUTED_VALUE"""),479)</f>
        <v>479</v>
      </c>
      <c r="E3744" s="26" t="str">
        <f ca="1">IFERROR(__xludf.DUMMYFUNCTION("""COMPUTED_VALUE"""),"REA-G5602")</f>
        <v>REA-G5602</v>
      </c>
    </row>
    <row r="3745" spans="1:5" x14ac:dyDescent="0.2">
      <c r="A3745" s="22">
        <f ca="1">IFERROR(__xludf.DUMMYFUNCTION("""COMPUTED_VALUE"""),44445)</f>
        <v>44445</v>
      </c>
      <c r="B3745" s="23" t="str">
        <f ca="1">IFERROR(__xludf.DUMMYFUNCTION("""COMPUTED_VALUE"""),"Odpływ liniowy + syfon + nóżki + mankiet uszczelniający")</f>
        <v>Odpływ liniowy + syfon + nóżki + mankiet uszczelniający</v>
      </c>
      <c r="C3745" s="23" t="str">
        <f ca="1">IFERROR(__xludf.DUMMYFUNCTION("""COMPUTED_VALUE"""),"Pure L.Gold Mirror 100")</f>
        <v>Pure L.Gold Mirror 100</v>
      </c>
      <c r="D3745" s="24">
        <f ca="1">IFERROR(__xludf.DUMMYFUNCTION("""COMPUTED_VALUE"""),499)</f>
        <v>499</v>
      </c>
      <c r="E3745" s="26" t="str">
        <f ca="1">IFERROR(__xludf.DUMMYFUNCTION("""COMPUTED_VALUE"""),"REA-G5611")</f>
        <v>REA-G5611</v>
      </c>
    </row>
    <row r="3746" spans="1:5" x14ac:dyDescent="0.2">
      <c r="A3746" s="22">
        <f ca="1">IFERROR(__xludf.DUMMYFUNCTION("""COMPUTED_VALUE"""),44445)</f>
        <v>44445</v>
      </c>
      <c r="B3746" s="23" t="str">
        <f ca="1">IFERROR(__xludf.DUMMYFUNCTION("""COMPUTED_VALUE"""),"Odpływ liniowy + syfon + nóżki + mankiet uszczelniający")</f>
        <v>Odpływ liniowy + syfon + nóżki + mankiet uszczelniający</v>
      </c>
      <c r="C3746" s="23" t="str">
        <f ca="1">IFERROR(__xludf.DUMMYFUNCTION("""COMPUTED_VALUE"""),"Slim L.Gold Mirror 100")</f>
        <v>Slim L.Gold Mirror 100</v>
      </c>
      <c r="D3746" s="24">
        <f ca="1">IFERROR(__xludf.DUMMYFUNCTION("""COMPUTED_VALUE"""),479)</f>
        <v>479</v>
      </c>
      <c r="E3746" s="26" t="str">
        <f ca="1">IFERROR(__xludf.DUMMYFUNCTION("""COMPUTED_VALUE"""),"REA-G5605")</f>
        <v>REA-G5605</v>
      </c>
    </row>
    <row r="3747" spans="1:5" x14ac:dyDescent="0.2">
      <c r="A3747" s="22">
        <f ca="1">IFERROR(__xludf.DUMMYFUNCTION("""COMPUTED_VALUE"""),44445)</f>
        <v>44445</v>
      </c>
      <c r="B3747" s="23" t="str">
        <f ca="1">IFERROR(__xludf.DUMMYFUNCTION("""COMPUTED_VALUE"""),"Odpływ liniowy + syfon + nóżki + mankiet uszczelniający")</f>
        <v>Odpływ liniowy + syfon + nóżki + mankiet uszczelniający</v>
      </c>
      <c r="C3747" s="23" t="str">
        <f ca="1">IFERROR(__xludf.DUMMYFUNCTION("""COMPUTED_VALUE""")," SLIM MIRROR L.GOLD 600")</f>
        <v xml:space="preserve"> SLIM MIRROR L.GOLD 600</v>
      </c>
      <c r="D3747" s="24">
        <f ca="1">IFERROR(__xludf.DUMMYFUNCTION("""COMPUTED_VALUE"""),359)</f>
        <v>359</v>
      </c>
      <c r="E3747" s="26" t="str">
        <f ca="1">IFERROR(__xludf.DUMMYFUNCTION("""COMPUTED_VALUE"""),"REA-G5698")</f>
        <v>REA-G5698</v>
      </c>
    </row>
    <row r="3748" spans="1:5" x14ac:dyDescent="0.2">
      <c r="A3748" s="22">
        <f ca="1">IFERROR(__xludf.DUMMYFUNCTION("""COMPUTED_VALUE"""),44445)</f>
        <v>44445</v>
      </c>
      <c r="B3748" s="23" t="str">
        <f ca="1">IFERROR(__xludf.DUMMYFUNCTION("""COMPUTED_VALUE"""),"Odpływ liniowy Neo &amp; Pure")</f>
        <v>Odpływ liniowy Neo &amp; Pure</v>
      </c>
      <c r="C3748" s="23" t="str">
        <f ca="1">IFERROR(__xludf.DUMMYFUNCTION("""COMPUTED_VALUE"""),"50 N BLACK PRO")</f>
        <v>50 N BLACK PRO</v>
      </c>
      <c r="D3748" s="24">
        <f ca="1">IFERROR(__xludf.DUMMYFUNCTION("""COMPUTED_VALUE"""),329)</f>
        <v>329</v>
      </c>
      <c r="E3748" s="26" t="str">
        <f ca="1">IFERROR(__xludf.DUMMYFUNCTION("""COMPUTED_VALUE"""),"REA-G0999")</f>
        <v>REA-G0999</v>
      </c>
    </row>
    <row r="3749" spans="1:5" x14ac:dyDescent="0.2">
      <c r="A3749" s="22">
        <f ca="1">IFERROR(__xludf.DUMMYFUNCTION("""COMPUTED_VALUE"""),44445)</f>
        <v>44445</v>
      </c>
      <c r="B3749" s="23" t="str">
        <f ca="1">IFERROR(__xludf.DUMMYFUNCTION("""COMPUTED_VALUE"""),"ODPŁYW NEO &amp; PURE")</f>
        <v>ODPŁYW NEO &amp; PURE</v>
      </c>
      <c r="C3749" s="23" t="str">
        <f ca="1">IFERROR(__xludf.DUMMYFUNCTION("""COMPUTED_VALUE"""),"700 N BLACK")</f>
        <v>700 N BLACK</v>
      </c>
      <c r="D3749" s="24">
        <f ca="1">IFERROR(__xludf.DUMMYFUNCTION("""COMPUTED_VALUE"""),389)</f>
        <v>389</v>
      </c>
      <c r="E3749" s="26" t="str">
        <f ca="1">IFERROR(__xludf.DUMMYFUNCTION("""COMPUTED_VALUE"""),"REA-G6050")</f>
        <v>REA-G6050</v>
      </c>
    </row>
    <row r="3750" spans="1:5" x14ac:dyDescent="0.2">
      <c r="A3750" s="22">
        <f ca="1">IFERROR(__xludf.DUMMYFUNCTION("""COMPUTED_VALUE"""),44445)</f>
        <v>44445</v>
      </c>
      <c r="B3750" s="23" t="str">
        <f ca="1">IFERROR(__xludf.DUMMYFUNCTION("""COMPUTED_VALUE"""),"Kabina prysznicowa")</f>
        <v>Kabina prysznicowa</v>
      </c>
      <c r="C3750" s="23" t="str">
        <f ca="1">IFERROR(__xludf.DUMMYFUNCTION("""COMPUTED_VALUE"""),"Maxim 80x80 Lewa")</f>
        <v>Maxim 80x80 Lewa</v>
      </c>
      <c r="D3750" s="24">
        <f ca="1">IFERROR(__xludf.DUMMYFUNCTION("""COMPUTED_VALUE"""),1120)</f>
        <v>1120</v>
      </c>
      <c r="E3750" s="26" t="str">
        <f ca="1">IFERROR(__xludf.DUMMYFUNCTION("""COMPUTED_VALUE"""),"REA-K0264")</f>
        <v>REA-K0264</v>
      </c>
    </row>
    <row r="3751" spans="1:5" x14ac:dyDescent="0.2">
      <c r="A3751" s="22">
        <f ca="1">IFERROR(__xludf.DUMMYFUNCTION("""COMPUTED_VALUE"""),44445)</f>
        <v>44445</v>
      </c>
      <c r="B3751" s="23" t="str">
        <f ca="1">IFERROR(__xludf.DUMMYFUNCTION("""COMPUTED_VALUE"""),"Kabina prysznicowa")</f>
        <v>Kabina prysznicowa</v>
      </c>
      <c r="C3751" s="23" t="str">
        <f ca="1">IFERROR(__xludf.DUMMYFUNCTION("""COMPUTED_VALUE"""),"Maxim 80x80 Prawa")</f>
        <v>Maxim 80x80 Prawa</v>
      </c>
      <c r="D3751" s="24">
        <f ca="1">IFERROR(__xludf.DUMMYFUNCTION("""COMPUTED_VALUE"""),1120)</f>
        <v>1120</v>
      </c>
      <c r="E3751" s="26" t="str">
        <f ca="1">IFERROR(__xludf.DUMMYFUNCTION("""COMPUTED_VALUE"""),"REA-K0268")</f>
        <v>REA-K0268</v>
      </c>
    </row>
    <row r="3752" spans="1:5" x14ac:dyDescent="0.2">
      <c r="A3752" s="22">
        <f ca="1">IFERROR(__xludf.DUMMYFUNCTION("""COMPUTED_VALUE"""),44445)</f>
        <v>44445</v>
      </c>
      <c r="B3752" s="23" t="str">
        <f ca="1">IFERROR(__xludf.DUMMYFUNCTION("""COMPUTED_VALUE"""),"Kabina prysznicowa")</f>
        <v>Kabina prysznicowa</v>
      </c>
      <c r="C3752" s="23" t="str">
        <f ca="1">IFERROR(__xludf.DUMMYFUNCTION("""COMPUTED_VALUE"""),"Maxim 90x90 Lewa")</f>
        <v>Maxim 90x90 Lewa</v>
      </c>
      <c r="D3752" s="24">
        <f ca="1">IFERROR(__xludf.DUMMYFUNCTION("""COMPUTED_VALUE"""),1169)</f>
        <v>1169</v>
      </c>
      <c r="E3752" s="26" t="str">
        <f ca="1">IFERROR(__xludf.DUMMYFUNCTION("""COMPUTED_VALUE"""),"REA-K0263")</f>
        <v>REA-K0263</v>
      </c>
    </row>
    <row r="3753" spans="1:5" x14ac:dyDescent="0.2">
      <c r="A3753" s="22">
        <f ca="1">IFERROR(__xludf.DUMMYFUNCTION("""COMPUTED_VALUE"""),44445)</f>
        <v>44445</v>
      </c>
      <c r="B3753" s="23" t="str">
        <f ca="1">IFERROR(__xludf.DUMMYFUNCTION("""COMPUTED_VALUE"""),"Kabina prysznicowa")</f>
        <v>Kabina prysznicowa</v>
      </c>
      <c r="C3753" s="23" t="str">
        <f ca="1">IFERROR(__xludf.DUMMYFUNCTION("""COMPUTED_VALUE"""),"Maxim 90x90 Prawa")</f>
        <v>Maxim 90x90 Prawa</v>
      </c>
      <c r="D3753" s="24">
        <f ca="1">IFERROR(__xludf.DUMMYFUNCTION("""COMPUTED_VALUE"""),1169)</f>
        <v>1169</v>
      </c>
      <c r="E3753" s="26" t="str">
        <f ca="1">IFERROR(__xludf.DUMMYFUNCTION("""COMPUTED_VALUE"""),"REA-K0267")</f>
        <v>REA-K0267</v>
      </c>
    </row>
    <row r="3754" spans="1:5" x14ac:dyDescent="0.2">
      <c r="A3754" s="22">
        <f ca="1">IFERROR(__xludf.DUMMYFUNCTION("""COMPUTED_VALUE"""),44445)</f>
        <v>44445</v>
      </c>
      <c r="B3754" s="23" t="str">
        <f ca="1">IFERROR(__xludf.DUMMYFUNCTION("""COMPUTED_VALUE"""),"Bateria wannowa 5 otworowa")</f>
        <v>Bateria wannowa 5 otworowa</v>
      </c>
      <c r="C3754" s="23" t="str">
        <f ca="1">IFERROR(__xludf.DUMMYFUNCTION("""COMPUTED_VALUE"""),"Icon Black")</f>
        <v>Icon Black</v>
      </c>
      <c r="D3754" s="24">
        <f ca="1">IFERROR(__xludf.DUMMYFUNCTION("""COMPUTED_VALUE"""),599)</f>
        <v>599</v>
      </c>
      <c r="E3754" s="26" t="str">
        <f ca="1">IFERROR(__xludf.DUMMYFUNCTION("""COMPUTED_VALUE"""),"REA-B3622")</f>
        <v>REA-B3622</v>
      </c>
    </row>
    <row r="3755" spans="1:5" x14ac:dyDescent="0.2">
      <c r="A3755" s="22">
        <f ca="1">IFERROR(__xludf.DUMMYFUNCTION("""COMPUTED_VALUE"""),44445)</f>
        <v>44445</v>
      </c>
      <c r="B3755" s="23" t="str">
        <f ca="1">IFERROR(__xludf.DUMMYFUNCTION("""COMPUTED_VALUE"""),"Bateria umywalkowa WYSOKA")</f>
        <v>Bateria umywalkowa WYSOKA</v>
      </c>
      <c r="C3755" s="23" t="str">
        <f ca="1">IFERROR(__xludf.DUMMYFUNCTION("""COMPUTED_VALUE"""),"Graf Black")</f>
        <v>Graf Black</v>
      </c>
      <c r="D3755" s="24">
        <f ca="1">IFERROR(__xludf.DUMMYFUNCTION("""COMPUTED_VALUE"""),119)</f>
        <v>119</v>
      </c>
      <c r="E3755" s="26" t="str">
        <f ca="1">IFERROR(__xludf.DUMMYFUNCTION("""COMPUTED_VALUE"""),"REA-B0174")</f>
        <v>REA-B0174</v>
      </c>
    </row>
    <row r="3756" spans="1:5" x14ac:dyDescent="0.2">
      <c r="A3756" s="22">
        <f ca="1">IFERROR(__xludf.DUMMYFUNCTION("""COMPUTED_VALUE"""),44438)</f>
        <v>44438</v>
      </c>
      <c r="B3756" s="23" t="str">
        <f ca="1">IFERROR(__xludf.DUMMYFUNCTION("""COMPUTED_VALUE"""),"Bateria wannowa z wężem i słuchawką")</f>
        <v>Bateria wannowa z wężem i słuchawką</v>
      </c>
      <c r="C3756" s="23" t="str">
        <f ca="1">IFERROR(__xludf.DUMMYFUNCTION("""COMPUTED_VALUE"""),"Retro Old Black")</f>
        <v>Retro Old Black</v>
      </c>
      <c r="D3756" s="24">
        <f ca="1">IFERROR(__xludf.DUMMYFUNCTION("""COMPUTED_VALUE"""),479)</f>
        <v>479</v>
      </c>
      <c r="E3756" s="26" t="str">
        <f ca="1">IFERROR(__xludf.DUMMYFUNCTION("""COMPUTED_VALUE"""),"REA-B0224")</f>
        <v>REA-B0224</v>
      </c>
    </row>
    <row r="3757" spans="1:5" x14ac:dyDescent="0.2">
      <c r="A3757" s="22">
        <f ca="1">IFERROR(__xludf.DUMMYFUNCTION("""COMPUTED_VALUE"""),44438)</f>
        <v>44438</v>
      </c>
      <c r="B3757" s="23" t="str">
        <f ca="1">IFERROR(__xludf.DUMMYFUNCTION("""COMPUTED_VALUE"""),"Bateria umywalkowa wysoka")</f>
        <v>Bateria umywalkowa wysoka</v>
      </c>
      <c r="C3757" s="23" t="str">
        <f ca="1">IFERROR(__xludf.DUMMYFUNCTION("""COMPUTED_VALUE"""),"Buzz Black Mat")</f>
        <v>Buzz Black Mat</v>
      </c>
      <c r="D3757" s="24">
        <f ca="1">IFERROR(__xludf.DUMMYFUNCTION("""COMPUTED_VALUE"""),299)</f>
        <v>299</v>
      </c>
      <c r="E3757" s="26" t="str">
        <f ca="1">IFERROR(__xludf.DUMMYFUNCTION("""COMPUTED_VALUE"""),"REA-B6921")</f>
        <v>REA-B6921</v>
      </c>
    </row>
    <row r="3758" spans="1:5" x14ac:dyDescent="0.2">
      <c r="A3758" s="22">
        <f ca="1">IFERROR(__xludf.DUMMYFUNCTION("""COMPUTED_VALUE"""),44438)</f>
        <v>44438</v>
      </c>
      <c r="B3758" s="23" t="str">
        <f ca="1">IFERROR(__xludf.DUMMYFUNCTION("""COMPUTED_VALUE"""),"Bateria wannowa")</f>
        <v>Bateria wannowa</v>
      </c>
      <c r="C3758" s="23" t="str">
        <f ca="1">IFERROR(__xludf.DUMMYFUNCTION("""COMPUTED_VALUE"""),"Fenix L. Gold")</f>
        <v>Fenix L. Gold</v>
      </c>
      <c r="D3758" s="24">
        <f ca="1">IFERROR(__xludf.DUMMYFUNCTION("""COMPUTED_VALUE"""),609)</f>
        <v>609</v>
      </c>
      <c r="E3758" s="26" t="str">
        <f ca="1">IFERROR(__xludf.DUMMYFUNCTION("""COMPUTED_VALUE"""),"REA-B5666")</f>
        <v>REA-B5666</v>
      </c>
    </row>
    <row r="3759" spans="1:5" x14ac:dyDescent="0.2">
      <c r="A3759" s="22">
        <f ca="1">IFERROR(__xludf.DUMMYFUNCTION("""COMPUTED_VALUE"""),44438)</f>
        <v>44438</v>
      </c>
      <c r="B3759" s="23" t="str">
        <f ca="1">IFERROR(__xludf.DUMMYFUNCTION("""COMPUTED_VALUE"""),"Bateria kuchenna")</f>
        <v>Bateria kuchenna</v>
      </c>
      <c r="C3759" s="23" t="str">
        <f ca="1">IFERROR(__xludf.DUMMYFUNCTION("""COMPUTED_VALUE"""),"Apollo black / rose gold")</f>
        <v>Apollo black / rose gold</v>
      </c>
      <c r="D3759" s="24">
        <f ca="1">IFERROR(__xludf.DUMMYFUNCTION("""COMPUTED_VALUE"""),379)</f>
        <v>379</v>
      </c>
      <c r="E3759" s="26" t="str">
        <f ca="1">IFERROR(__xludf.DUMMYFUNCTION("""COMPUTED_VALUE"""),"REA-B9601")</f>
        <v>REA-B9601</v>
      </c>
    </row>
    <row r="3760" spans="1:5" x14ac:dyDescent="0.2">
      <c r="A3760" s="22">
        <f ca="1">IFERROR(__xludf.DUMMYFUNCTION("""COMPUTED_VALUE"""),44438)</f>
        <v>44438</v>
      </c>
      <c r="B3760" s="23" t="str">
        <f ca="1">IFERROR(__xludf.DUMMYFUNCTION("""COMPUTED_VALUE"""),"Bateria umywalkowa /wysoka/")</f>
        <v>Bateria umywalkowa /wysoka/</v>
      </c>
      <c r="C3760" s="23" t="str">
        <f ca="1">IFERROR(__xludf.DUMMYFUNCTION("""COMPUTED_VALUE"""),"Lugano")</f>
        <v>Lugano</v>
      </c>
      <c r="D3760" s="24">
        <f ca="1">IFERROR(__xludf.DUMMYFUNCTION("""COMPUTED_VALUE"""),245)</f>
        <v>245</v>
      </c>
      <c r="E3760" s="26" t="str">
        <f ca="1">IFERROR(__xludf.DUMMYFUNCTION("""COMPUTED_VALUE"""),"REA-B5000")</f>
        <v>REA-B5000</v>
      </c>
    </row>
    <row r="3761" spans="1:5" x14ac:dyDescent="0.2">
      <c r="A3761" s="22">
        <f ca="1">IFERROR(__xludf.DUMMYFUNCTION("""COMPUTED_VALUE"""),44438)</f>
        <v>44438</v>
      </c>
      <c r="B3761" s="23" t="str">
        <f ca="1">IFERROR(__xludf.DUMMYFUNCTION("""COMPUTED_VALUE"""),"Bateria umywalkowa /wysoka/")</f>
        <v>Bateria umywalkowa /wysoka/</v>
      </c>
      <c r="C3761" s="23" t="str">
        <f ca="1">IFERROR(__xludf.DUMMYFUNCTION("""COMPUTED_VALUE"""),"Lugano Black")</f>
        <v>Lugano Black</v>
      </c>
      <c r="D3761" s="24">
        <f ca="1">IFERROR(__xludf.DUMMYFUNCTION("""COMPUTED_VALUE"""),269)</f>
        <v>269</v>
      </c>
      <c r="E3761" s="26" t="str">
        <f ca="1">IFERROR(__xludf.DUMMYFUNCTION("""COMPUTED_VALUE"""),"REA-B5001")</f>
        <v>REA-B5001</v>
      </c>
    </row>
    <row r="3762" spans="1:5" x14ac:dyDescent="0.2">
      <c r="A3762" s="22">
        <f ca="1">IFERROR(__xludf.DUMMYFUNCTION("""COMPUTED_VALUE"""),44438)</f>
        <v>44438</v>
      </c>
      <c r="B3762" s="23" t="str">
        <f ca="1">IFERROR(__xludf.DUMMYFUNCTION("""COMPUTED_VALUE"""),"Bateria umywalkowa")</f>
        <v>Bateria umywalkowa</v>
      </c>
      <c r="C3762" s="23" t="str">
        <f ca="1">IFERROR(__xludf.DUMMYFUNCTION("""COMPUTED_VALUE"""),"Vintage Old Black")</f>
        <v>Vintage Old Black</v>
      </c>
      <c r="D3762" s="24">
        <f ca="1">IFERROR(__xludf.DUMMYFUNCTION("""COMPUTED_VALUE"""),279)</f>
        <v>279</v>
      </c>
      <c r="E3762" s="26" t="str">
        <f ca="1">IFERROR(__xludf.DUMMYFUNCTION("""COMPUTED_VALUE"""),"REA-B0226")</f>
        <v>REA-B0226</v>
      </c>
    </row>
    <row r="3763" spans="1:5" x14ac:dyDescent="0.2">
      <c r="A3763" s="22">
        <f ca="1">IFERROR(__xludf.DUMMYFUNCTION("""COMPUTED_VALUE"""),44438)</f>
        <v>44438</v>
      </c>
      <c r="B3763" s="23" t="str">
        <f ca="1">IFERROR(__xludf.DUMMYFUNCTION("""COMPUTED_VALUE"""),"Zestaw natryskowy podtynkowy z baterią, deszczownicą i ramienimiem ściennym, słuchawką")</f>
        <v>Zestaw natryskowy podtynkowy z baterią, deszczownicą i ramienimiem ściennym, słuchawką</v>
      </c>
      <c r="C3763" s="23" t="str">
        <f ca="1">IFERROR(__xludf.DUMMYFUNCTION("""COMPUTED_VALUE"""),"Fenix Black")</f>
        <v>Fenix Black</v>
      </c>
      <c r="D3763" s="24">
        <f ca="1">IFERROR(__xludf.DUMMYFUNCTION("""COMPUTED_VALUE"""),719)</f>
        <v>719</v>
      </c>
      <c r="E3763" s="26" t="str">
        <f ca="1">IFERROR(__xludf.DUMMYFUNCTION("""COMPUTED_VALUE"""),"REA-P6920")</f>
        <v>REA-P6920</v>
      </c>
    </row>
    <row r="3764" spans="1:5" x14ac:dyDescent="0.2">
      <c r="A3764" s="22">
        <f ca="1">IFERROR(__xludf.DUMMYFUNCTION("""COMPUTED_VALUE"""),44438)</f>
        <v>44438</v>
      </c>
      <c r="B3764" s="23" t="str">
        <f ca="1">IFERROR(__xludf.DUMMYFUNCTION("""COMPUTED_VALUE"""),"Zestaw natryskowy")</f>
        <v>Zestaw natryskowy</v>
      </c>
      <c r="C3764" s="23" t="str">
        <f ca="1">IFERROR(__xludf.DUMMYFUNCTION("""COMPUTED_VALUE"""),"Roger Gold")</f>
        <v>Roger Gold</v>
      </c>
      <c r="D3764" s="24">
        <f ca="1">IFERROR(__xludf.DUMMYFUNCTION("""COMPUTED_VALUE"""),889)</f>
        <v>889</v>
      </c>
      <c r="E3764" s="26" t="str">
        <f ca="1">IFERROR(__xludf.DUMMYFUNCTION("""COMPUTED_VALUE"""),"REA-P0692")</f>
        <v>REA-P0692</v>
      </c>
    </row>
    <row r="3765" spans="1:5" x14ac:dyDescent="0.2">
      <c r="A3765" s="22">
        <f ca="1">IFERROR(__xludf.DUMMYFUNCTION("""COMPUTED_VALUE"""),44438)</f>
        <v>44438</v>
      </c>
      <c r="B3765" s="23" t="str">
        <f ca="1">IFERROR(__xludf.DUMMYFUNCTION("""COMPUTED_VALUE"""),"Uniwersalny syfon z korkiem klik-klak")</f>
        <v>Uniwersalny syfon z korkiem klik-klak</v>
      </c>
      <c r="C3765" s="23" t="str">
        <f ca="1">IFERROR(__xludf.DUMMYFUNCTION("""COMPUTED_VALUE"""),"Black")</f>
        <v>Black</v>
      </c>
      <c r="D3765" s="24">
        <f ca="1">IFERROR(__xludf.DUMMYFUNCTION("""COMPUTED_VALUE"""),179)</f>
        <v>179</v>
      </c>
      <c r="E3765" s="26" t="str">
        <f ca="1">IFERROR(__xludf.DUMMYFUNCTION("""COMPUTED_VALUE"""),"REA-A5215")</f>
        <v>REA-A5215</v>
      </c>
    </row>
    <row r="3766" spans="1:5" x14ac:dyDescent="0.2">
      <c r="A3766" s="22">
        <f ca="1">IFERROR(__xludf.DUMMYFUNCTION("""COMPUTED_VALUE"""),44438)</f>
        <v>44438</v>
      </c>
      <c r="B3766" s="23" t="str">
        <f ca="1">IFERROR(__xludf.DUMMYFUNCTION("""COMPUTED_VALUE"""),"Uniwersalny korek klik-klak")</f>
        <v>Uniwersalny korek klik-klak</v>
      </c>
      <c r="C3766" s="23" t="str">
        <f ca="1">IFERROR(__xludf.DUMMYFUNCTION("""COMPUTED_VALUE"""),"Chrome")</f>
        <v>Chrome</v>
      </c>
      <c r="D3766" s="24">
        <f ca="1">IFERROR(__xludf.DUMMYFUNCTION("""COMPUTED_VALUE"""),49)</f>
        <v>49</v>
      </c>
      <c r="E3766" s="26" t="str">
        <f ca="1">IFERROR(__xludf.DUMMYFUNCTION("""COMPUTED_VALUE"""),"REA-A5217")</f>
        <v>REA-A5217</v>
      </c>
    </row>
    <row r="3767" spans="1:5" x14ac:dyDescent="0.2">
      <c r="A3767" s="22">
        <f ca="1">IFERROR(__xludf.DUMMYFUNCTION("""COMPUTED_VALUE"""),44427)</f>
        <v>44427</v>
      </c>
      <c r="B3767" s="23" t="str">
        <f ca="1">IFERROR(__xludf.DUMMYFUNCTION("""COMPUTED_VALUE"""),"Syfon uniwersalny z korkiem klik-klak")</f>
        <v>Syfon uniwersalny z korkiem klik-klak</v>
      </c>
      <c r="C3767" s="23" t="str">
        <f ca="1">IFERROR(__xludf.DUMMYFUNCTION("""COMPUTED_VALUE"""),"Old Black")</f>
        <v>Old Black</v>
      </c>
      <c r="D3767" s="24">
        <f ca="1">IFERROR(__xludf.DUMMYFUNCTION("""COMPUTED_VALUE"""),189)</f>
        <v>189</v>
      </c>
      <c r="E3767" s="26" t="str">
        <f ca="1">IFERROR(__xludf.DUMMYFUNCTION("""COMPUTED_VALUE"""),"REA-A8536")</f>
        <v>REA-A8536</v>
      </c>
    </row>
    <row r="3768" spans="1:5" x14ac:dyDescent="0.2">
      <c r="A3768" s="22">
        <f ca="1">IFERROR(__xludf.DUMMYFUNCTION("""COMPUTED_VALUE"""),44427)</f>
        <v>44427</v>
      </c>
      <c r="B3768" s="23" t="str">
        <f ca="1">IFERROR(__xludf.DUMMYFUNCTION("""COMPUTED_VALUE"""),"ZESTAW PODTYNKOWY A BLACK")</f>
        <v>ZESTAW PODTYNKOWY A BLACK</v>
      </c>
      <c r="C3768" s="23" t="str">
        <f ca="1">IFERROR(__xludf.DUMMYFUNCTION("""COMPUTED_VALUE"""),"Przycisk E,F,H
 chrom")</f>
        <v>Przycisk E,F,H
 chrom</v>
      </c>
      <c r="D3768" s="28">
        <f ca="1">IFERROR(__xludf.DUMMYFUNCTION("""COMPUTED_VALUE"""),789)</f>
        <v>789</v>
      </c>
      <c r="E3768" s="26" t="str">
        <f ca="1">IFERROR(__xludf.DUMMYFUNCTION("""COMPUTED_VALUE"""),"REA-E0060")</f>
        <v>REA-E0060</v>
      </c>
    </row>
    <row r="3769" spans="1:5" x14ac:dyDescent="0.2">
      <c r="A3769" s="22">
        <f ca="1">IFERROR(__xludf.DUMMYFUNCTION("""COMPUTED_VALUE"""),44427)</f>
        <v>44427</v>
      </c>
      <c r="B3769" s="23" t="str">
        <f ca="1">IFERROR(__xludf.DUMMYFUNCTION("""COMPUTED_VALUE"""),"ZESTAW PODTYNKOWY E CHROM")</f>
        <v>ZESTAW PODTYNKOWY E CHROM</v>
      </c>
      <c r="C3769" s="23" t="str">
        <f ca="1">IFERROR(__xludf.DUMMYFUNCTION("""COMPUTED_VALUE"""),"Przycisk E,F,H
 chrom")</f>
        <v>Przycisk E,F,H
 chrom</v>
      </c>
      <c r="D3769" s="28">
        <f ca="1">IFERROR(__xludf.DUMMYFUNCTION("""COMPUTED_VALUE"""),679)</f>
        <v>679</v>
      </c>
      <c r="E3769" s="26" t="str">
        <f ca="1">IFERROR(__xludf.DUMMYFUNCTION("""COMPUTED_VALUE"""),"REA-E0017")</f>
        <v>REA-E0017</v>
      </c>
    </row>
    <row r="3770" spans="1:5" x14ac:dyDescent="0.2">
      <c r="A3770" s="22">
        <f ca="1">IFERROR(__xludf.DUMMYFUNCTION("""COMPUTED_VALUE"""),44427)</f>
        <v>44427</v>
      </c>
      <c r="B3770" s="23" t="str">
        <f ca="1">IFERROR(__xludf.DUMMYFUNCTION("""COMPUTED_VALUE"""),"ZESTAW PODTYNKOWY E BLACK")</f>
        <v>ZESTAW PODTYNKOWY E BLACK</v>
      </c>
      <c r="C3770" s="23" t="str">
        <f ca="1">IFERROR(__xludf.DUMMYFUNCTION("""COMPUTED_VALUE"""),"Przycisk E,F,H
 black")</f>
        <v>Przycisk E,F,H
 black</v>
      </c>
      <c r="D3770" s="28">
        <f ca="1">IFERROR(__xludf.DUMMYFUNCTION("""COMPUTED_VALUE"""),789)</f>
        <v>789</v>
      </c>
      <c r="E3770" s="26" t="str">
        <f ca="1">IFERROR(__xludf.DUMMYFUNCTION("""COMPUTED_VALUE"""),"REA-E3651")</f>
        <v>REA-E3651</v>
      </c>
    </row>
    <row r="3771" spans="1:5" x14ac:dyDescent="0.2">
      <c r="A3771" s="22">
        <f ca="1">IFERROR(__xludf.DUMMYFUNCTION("""COMPUTED_VALUE"""),44427)</f>
        <v>44427</v>
      </c>
      <c r="B3771" s="23" t="str">
        <f ca="1">IFERROR(__xludf.DUMMYFUNCTION("""COMPUTED_VALUE"""),"ZESTAW PODTYNKOWY F CHROM")</f>
        <v>ZESTAW PODTYNKOWY F CHROM</v>
      </c>
      <c r="C3771" s="23" t="str">
        <f ca="1">IFERROR(__xludf.DUMMYFUNCTION("""COMPUTED_VALUE"""),"Przycisk E,F,H
 chrom")</f>
        <v>Przycisk E,F,H
 chrom</v>
      </c>
      <c r="D3771" s="28">
        <f ca="1">IFERROR(__xludf.DUMMYFUNCTION("""COMPUTED_VALUE"""),679)</f>
        <v>679</v>
      </c>
      <c r="E3771" s="26" t="str">
        <f ca="1">IFERROR(__xludf.DUMMYFUNCTION("""COMPUTED_VALUE"""),"REA-E0019")</f>
        <v>REA-E0019</v>
      </c>
    </row>
    <row r="3772" spans="1:5" x14ac:dyDescent="0.2">
      <c r="A3772" s="22">
        <f ca="1">IFERROR(__xludf.DUMMYFUNCTION("""COMPUTED_VALUE"""),44427)</f>
        <v>44427</v>
      </c>
      <c r="B3772" s="23" t="str">
        <f ca="1">IFERROR(__xludf.DUMMYFUNCTION("""COMPUTED_VALUE"""),"ZESTAW PODTYNKOWY F BLACK")</f>
        <v>ZESTAW PODTYNKOWY F BLACK</v>
      </c>
      <c r="C3772" s="23" t="str">
        <f ca="1">IFERROR(__xludf.DUMMYFUNCTION("""COMPUTED_VALUE"""),"Przycisk E,F,H
 black")</f>
        <v>Przycisk E,F,H
 black</v>
      </c>
      <c r="D3772" s="28">
        <f ca="1">IFERROR(__xludf.DUMMYFUNCTION("""COMPUTED_VALUE"""),789)</f>
        <v>789</v>
      </c>
      <c r="E3772" s="26" t="str">
        <f ca="1">IFERROR(__xludf.DUMMYFUNCTION("""COMPUTED_VALUE"""),"REA-E3652")</f>
        <v>REA-E3652</v>
      </c>
    </row>
    <row r="3773" spans="1:5" x14ac:dyDescent="0.2">
      <c r="A3773" s="22">
        <f ca="1">IFERROR(__xludf.DUMMYFUNCTION("""COMPUTED_VALUE"""),44427)</f>
        <v>44427</v>
      </c>
      <c r="B3773" s="23" t="str">
        <f ca="1">IFERROR(__xludf.DUMMYFUNCTION("""COMPUTED_VALUE"""),"ZESTAW PODTYNKOWY F GOLD")</f>
        <v>ZESTAW PODTYNKOWY F GOLD</v>
      </c>
      <c r="C3773" s="23" t="str">
        <f ca="1">IFERROR(__xludf.DUMMYFUNCTION("""COMPUTED_VALUE"""),"Przycisk F
 Gold")</f>
        <v>Przycisk F
 Gold</v>
      </c>
      <c r="D3773" s="28">
        <f ca="1">IFERROR(__xludf.DUMMYFUNCTION("""COMPUTED_VALUE"""),879)</f>
        <v>879</v>
      </c>
      <c r="E3773" s="26" t="str">
        <f ca="1">IFERROR(__xludf.DUMMYFUNCTION("""COMPUTED_VALUE"""),"REA-E9851")</f>
        <v>REA-E9851</v>
      </c>
    </row>
    <row r="3774" spans="1:5" x14ac:dyDescent="0.2">
      <c r="A3774" s="22">
        <f ca="1">IFERROR(__xludf.DUMMYFUNCTION("""COMPUTED_VALUE"""),44427)</f>
        <v>44427</v>
      </c>
      <c r="B3774" s="23" t="str">
        <f ca="1">IFERROR(__xludf.DUMMYFUNCTION("""COMPUTED_VALUE"""),"ZESTAW PODTYNKOWY H BLACK")</f>
        <v>ZESTAW PODTYNKOWY H BLACK</v>
      </c>
      <c r="C3774" s="23" t="str">
        <f ca="1">IFERROR(__xludf.DUMMYFUNCTION("""COMPUTED_VALUE"""),"Przycisk E,F,H
 black")</f>
        <v>Przycisk E,F,H
 black</v>
      </c>
      <c r="D3774" s="28">
        <f ca="1">IFERROR(__xludf.DUMMYFUNCTION("""COMPUTED_VALUE"""),789)</f>
        <v>789</v>
      </c>
      <c r="E3774" s="26" t="str">
        <f ca="1">IFERROR(__xludf.DUMMYFUNCTION("""COMPUTED_VALUE"""),"REA-E3650")</f>
        <v>REA-E3650</v>
      </c>
    </row>
    <row r="3775" spans="1:5" x14ac:dyDescent="0.2">
      <c r="A3775" s="22">
        <f ca="1">IFERROR(__xludf.DUMMYFUNCTION("""COMPUTED_VALUE"""),44427)</f>
        <v>44427</v>
      </c>
      <c r="B3775" s="23" t="str">
        <f ca="1">IFERROR(__xludf.DUMMYFUNCTION("""COMPUTED_VALUE"""),"ZESTAW PODTYNKOWY H CHROM")</f>
        <v>ZESTAW PODTYNKOWY H CHROM</v>
      </c>
      <c r="C3775" s="23" t="str">
        <f ca="1">IFERROR(__xludf.DUMMYFUNCTION("""COMPUTED_VALUE"""),"Przycisk E,F,H
 chrom")</f>
        <v>Przycisk E,F,H
 chrom</v>
      </c>
      <c r="D3775" s="28">
        <f ca="1">IFERROR(__xludf.DUMMYFUNCTION("""COMPUTED_VALUE"""),679)</f>
        <v>679</v>
      </c>
      <c r="E3775" s="26" t="str">
        <f ca="1">IFERROR(__xludf.DUMMYFUNCTION("""COMPUTED_VALUE"""),"REA-E0014")</f>
        <v>REA-E0014</v>
      </c>
    </row>
    <row r="3776" spans="1:5" x14ac:dyDescent="0.2">
      <c r="A3776" s="22">
        <f ca="1">IFERROR(__xludf.DUMMYFUNCTION("""COMPUTED_VALUE"""),44427)</f>
        <v>44427</v>
      </c>
      <c r="B3776" s="23" t="str">
        <f ca="1">IFERROR(__xludf.DUMMYFUNCTION("""COMPUTED_VALUE"""),"ZESTAW PODTYNKOWY Q CHROM")</f>
        <v>ZESTAW PODTYNKOWY Q CHROM</v>
      </c>
      <c r="C3776" s="23" t="str">
        <f ca="1">IFERROR(__xludf.DUMMYFUNCTION("""COMPUTED_VALUE"""),"Przycisk E,F,H
 chrom")</f>
        <v>Przycisk E,F,H
 chrom</v>
      </c>
      <c r="D3776" s="28">
        <f ca="1">IFERROR(__xludf.DUMMYFUNCTION("""COMPUTED_VALUE"""),679)</f>
        <v>679</v>
      </c>
      <c r="E3776" s="26" t="str">
        <f ca="1">IFERROR(__xludf.DUMMYFUNCTION("""COMPUTED_VALUE"""),"REA-E0013")</f>
        <v>REA-E0013</v>
      </c>
    </row>
    <row r="3777" spans="1:5" x14ac:dyDescent="0.2">
      <c r="A3777" s="22">
        <f ca="1">IFERROR(__xludf.DUMMYFUNCTION("""COMPUTED_VALUE"""),44427)</f>
        <v>44427</v>
      </c>
      <c r="B3777" s="23" t="str">
        <f ca="1">IFERROR(__xludf.DUMMYFUNCTION("""COMPUTED_VALUE"""),"ZESTAW PODTYNKOWY H GOLD")</f>
        <v>ZESTAW PODTYNKOWY H GOLD</v>
      </c>
      <c r="C3777" s="23" t="str">
        <f ca="1">IFERROR(__xludf.DUMMYFUNCTION("""COMPUTED_VALUE"""),"Przycisk H
 GOLD")</f>
        <v>Przycisk H
 GOLD</v>
      </c>
      <c r="D3777" s="28">
        <f ca="1">IFERROR(__xludf.DUMMYFUNCTION("""COMPUTED_VALUE"""),879)</f>
        <v>879</v>
      </c>
      <c r="E3777" s="26" t="str">
        <f ca="1">IFERROR(__xludf.DUMMYFUNCTION("""COMPUTED_VALUE"""),"REA-E9863")</f>
        <v>REA-E9863</v>
      </c>
    </row>
    <row r="3778" spans="1:5" x14ac:dyDescent="0.2">
      <c r="A3778" s="22">
        <f ca="1">IFERROR(__xludf.DUMMYFUNCTION("""COMPUTED_VALUE"""),44427)</f>
        <v>44427</v>
      </c>
      <c r="B3778" s="23" t="str">
        <f ca="1">IFERROR(__xludf.DUMMYFUNCTION("""COMPUTED_VALUE"""),"Umywalka")</f>
        <v>Umywalka</v>
      </c>
      <c r="C3778" s="23" t="str">
        <f ca="1">IFERROR(__xludf.DUMMYFUNCTION("""COMPUTED_VALUE"""),"Royal 60")</f>
        <v>Royal 60</v>
      </c>
      <c r="D3778" s="24">
        <f ca="1">IFERROR(__xludf.DUMMYFUNCTION("""COMPUTED_VALUE"""),299)</f>
        <v>299</v>
      </c>
      <c r="E3778" s="26" t="str">
        <f ca="1">IFERROR(__xludf.DUMMYFUNCTION("""COMPUTED_VALUE"""),"REA-U0441")</f>
        <v>REA-U0441</v>
      </c>
    </row>
    <row r="3779" spans="1:5" x14ac:dyDescent="0.2">
      <c r="A3779" s="22">
        <f ca="1">IFERROR(__xludf.DUMMYFUNCTION("""COMPUTED_VALUE"""),44427)</f>
        <v>44427</v>
      </c>
      <c r="B3779" s="23" t="str">
        <f ca="1">IFERROR(__xludf.DUMMYFUNCTION("""COMPUTED_VALUE"""),"Kabina prysznicowa")</f>
        <v>Kabina prysznicowa</v>
      </c>
      <c r="C3779" s="23" t="str">
        <f ca="1">IFERROR(__xludf.DUMMYFUNCTION("""COMPUTED_VALUE"""),"Concept 80x80")</f>
        <v>Concept 80x80</v>
      </c>
      <c r="D3779" s="24">
        <f ca="1">IFERROR(__xludf.DUMMYFUNCTION("""COMPUTED_VALUE"""),749)</f>
        <v>749</v>
      </c>
      <c r="E3779" s="26" t="str">
        <f ca="1">IFERROR(__xludf.DUMMYFUNCTION("""COMPUTED_VALUE"""),"REA-K5479")</f>
        <v>REA-K5479</v>
      </c>
    </row>
    <row r="3780" spans="1:5" x14ac:dyDescent="0.2">
      <c r="A3780" s="22">
        <f ca="1">IFERROR(__xludf.DUMMYFUNCTION("""COMPUTED_VALUE"""),44427)</f>
        <v>44427</v>
      </c>
      <c r="B3780" s="23" t="str">
        <f ca="1">IFERROR(__xludf.DUMMYFUNCTION("""COMPUTED_VALUE"""),"Umywalka blatowa")</f>
        <v>Umywalka blatowa</v>
      </c>
      <c r="C3780" s="23" t="str">
        <f ca="1">IFERROR(__xludf.DUMMYFUNCTION("""COMPUTED_VALUE"""),"Sofia Black Edge")</f>
        <v>Sofia Black Edge</v>
      </c>
      <c r="D3780" s="24">
        <f ca="1">IFERROR(__xludf.DUMMYFUNCTION("""COMPUTED_VALUE"""),279)</f>
        <v>279</v>
      </c>
      <c r="E3780" s="26" t="str">
        <f ca="1">IFERROR(__xludf.DUMMYFUNCTION("""COMPUTED_VALUE"""),"REA-U3217")</f>
        <v>REA-U3217</v>
      </c>
    </row>
    <row r="3781" spans="1:5" x14ac:dyDescent="0.2">
      <c r="A3781" s="22">
        <f ca="1">IFERROR(__xludf.DUMMYFUNCTION("""COMPUTED_VALUE"""),44427)</f>
        <v>44427</v>
      </c>
      <c r="B3781" s="23" t="str">
        <f ca="1">IFERROR(__xludf.DUMMYFUNCTION("""COMPUTED_VALUE"""),"Umywalka blatowa")</f>
        <v>Umywalka blatowa</v>
      </c>
      <c r="C3781" s="23" t="str">
        <f ca="1">IFERROR(__xludf.DUMMYFUNCTION("""COMPUTED_VALUE"""),"Belinda White Black")</f>
        <v>Belinda White Black</v>
      </c>
      <c r="D3781" s="24">
        <f ca="1">IFERROR(__xludf.DUMMYFUNCTION("""COMPUTED_VALUE"""),409)</f>
        <v>409</v>
      </c>
      <c r="E3781" s="26" t="str">
        <f ca="1">IFERROR(__xludf.DUMMYFUNCTION("""COMPUTED_VALUE"""),"REA-U6332")</f>
        <v>REA-U6332</v>
      </c>
    </row>
    <row r="3782" spans="1:5" x14ac:dyDescent="0.2">
      <c r="A3782" s="22">
        <f ca="1">IFERROR(__xludf.DUMMYFUNCTION("""COMPUTED_VALUE"""),44427)</f>
        <v>44427</v>
      </c>
      <c r="B3782" s="23" t="str">
        <f ca="1">IFERROR(__xludf.DUMMYFUNCTION("""COMPUTED_VALUE"""),"Umywalka blatowa")</f>
        <v>Umywalka blatowa</v>
      </c>
      <c r="C3782" s="23" t="str">
        <f ca="1">IFERROR(__xludf.DUMMYFUNCTION("""COMPUTED_VALUE"""),"Royal Gold Edge")</f>
        <v>Royal Gold Edge</v>
      </c>
      <c r="D3782" s="24">
        <f ca="1">IFERROR(__xludf.DUMMYFUNCTION("""COMPUTED_VALUE"""),469)</f>
        <v>469</v>
      </c>
      <c r="E3782" s="26" t="str">
        <f ca="1">IFERROR(__xludf.DUMMYFUNCTION("""COMPUTED_VALUE"""),"REA-U8570")</f>
        <v>REA-U8570</v>
      </c>
    </row>
    <row r="3783" spans="1:5" x14ac:dyDescent="0.2">
      <c r="A3783" s="22">
        <f ca="1">IFERROR(__xludf.DUMMYFUNCTION("""COMPUTED_VALUE"""),44427)</f>
        <v>44427</v>
      </c>
      <c r="B3783" s="23" t="str">
        <f ca="1">IFERROR(__xludf.DUMMYFUNCTION("""COMPUTED_VALUE"""),"Umywalka nablatowa")</f>
        <v>Umywalka nablatowa</v>
      </c>
      <c r="C3783" s="23" t="str">
        <f ca="1">IFERROR(__xludf.DUMMYFUNCTION("""COMPUTED_VALUE"""),"Royal Black Mat")</f>
        <v>Royal Black Mat</v>
      </c>
      <c r="D3783" s="24">
        <f ca="1">IFERROR(__xludf.DUMMYFUNCTION("""COMPUTED_VALUE"""),519)</f>
        <v>519</v>
      </c>
      <c r="E3783" s="26" t="str">
        <f ca="1">IFERROR(__xludf.DUMMYFUNCTION("""COMPUTED_VALUE"""),"REA-U0442")</f>
        <v>REA-U0442</v>
      </c>
    </row>
    <row r="3784" spans="1:5" x14ac:dyDescent="0.2">
      <c r="A3784" s="22">
        <f ca="1">IFERROR(__xludf.DUMMYFUNCTION("""COMPUTED_VALUE"""),44427)</f>
        <v>44427</v>
      </c>
      <c r="B3784" s="23" t="str">
        <f ca="1">IFERROR(__xludf.DUMMYFUNCTION("""COMPUTED_VALUE"""),"Umywalka blatowa")</f>
        <v>Umywalka blatowa</v>
      </c>
      <c r="C3784" s="23" t="str">
        <f ca="1">IFERROR(__xludf.DUMMYFUNCTION("""COMPUTED_VALUE"""),"Floria")</f>
        <v>Floria</v>
      </c>
      <c r="D3784" s="24">
        <f ca="1">IFERROR(__xludf.DUMMYFUNCTION("""COMPUTED_VALUE"""),485)</f>
        <v>485</v>
      </c>
      <c r="E3784" s="26" t="str">
        <f ca="1">IFERROR(__xludf.DUMMYFUNCTION("""COMPUTED_VALUE"""),"REA-U0027")</f>
        <v>REA-U0027</v>
      </c>
    </row>
    <row r="3785" spans="1:5" x14ac:dyDescent="0.2">
      <c r="A3785" s="22">
        <f ca="1">IFERROR(__xludf.DUMMYFUNCTION("""COMPUTED_VALUE"""),44427)</f>
        <v>44427</v>
      </c>
      <c r="B3785" s="23" t="str">
        <f ca="1">IFERROR(__xludf.DUMMYFUNCTION("""COMPUTED_VALUE"""),"Umywalka blatowa")</f>
        <v>Umywalka blatowa</v>
      </c>
      <c r="C3785" s="23" t="str">
        <f ca="1">IFERROR(__xludf.DUMMYFUNCTION("""COMPUTED_VALUE"""),"Belinda SLIM")</f>
        <v>Belinda SLIM</v>
      </c>
      <c r="D3785" s="24">
        <f ca="1">IFERROR(__xludf.DUMMYFUNCTION("""COMPUTED_VALUE"""),215)</f>
        <v>215</v>
      </c>
      <c r="E3785" s="26" t="str">
        <f ca="1">IFERROR(__xludf.DUMMYFUNCTION("""COMPUTED_VALUE"""),"REA-U6521")</f>
        <v>REA-U6521</v>
      </c>
    </row>
    <row r="3786" spans="1:5" x14ac:dyDescent="0.2">
      <c r="A3786" s="22">
        <f ca="1">IFERROR(__xludf.DUMMYFUNCTION("""COMPUTED_VALUE"""),44427)</f>
        <v>44427</v>
      </c>
      <c r="B3786" s="23" t="str">
        <f ca="1">IFERROR(__xludf.DUMMYFUNCTION("""COMPUTED_VALUE"""),"Umywalka blatowa")</f>
        <v>Umywalka blatowa</v>
      </c>
      <c r="C3786" s="23" t="str">
        <f ca="1">IFERROR(__xludf.DUMMYFUNCTION("""COMPUTED_VALUE"""),"Denis")</f>
        <v>Denis</v>
      </c>
      <c r="D3786" s="24">
        <f ca="1">IFERROR(__xludf.DUMMYFUNCTION("""COMPUTED_VALUE"""),299)</f>
        <v>299</v>
      </c>
      <c r="E3786" s="26" t="str">
        <f ca="1">IFERROR(__xludf.DUMMYFUNCTION("""COMPUTED_VALUE"""),"REA-U4800")</f>
        <v>REA-U4800</v>
      </c>
    </row>
    <row r="3787" spans="1:5" x14ac:dyDescent="0.2">
      <c r="A3787" s="22">
        <f ca="1">IFERROR(__xludf.DUMMYFUNCTION("""COMPUTED_VALUE"""),44424)</f>
        <v>44424</v>
      </c>
      <c r="B3787" s="23" t="str">
        <f ca="1">IFERROR(__xludf.DUMMYFUNCTION("""COMPUTED_VALUE"""),"Umywalka blatowa")</f>
        <v>Umywalka blatowa</v>
      </c>
      <c r="C3787" s="23" t="str">
        <f ca="1">IFERROR(__xludf.DUMMYFUNCTION("""COMPUTED_VALUE"""),"Mona Slim")</f>
        <v>Mona Slim</v>
      </c>
      <c r="D3787" s="24">
        <f ca="1">IFERROR(__xludf.DUMMYFUNCTION("""COMPUTED_VALUE"""),215)</f>
        <v>215</v>
      </c>
      <c r="E3787" s="26" t="str">
        <f ca="1">IFERROR(__xludf.DUMMYFUNCTION("""COMPUTED_VALUE"""),"REA-U6300")</f>
        <v>REA-U6300</v>
      </c>
    </row>
    <row r="3788" spans="1:5" x14ac:dyDescent="0.2">
      <c r="A3788" s="22">
        <f ca="1">IFERROR(__xludf.DUMMYFUNCTION("""COMPUTED_VALUE"""),44424)</f>
        <v>44424</v>
      </c>
      <c r="B3788" s="23" t="str">
        <f ca="1">IFERROR(__xludf.DUMMYFUNCTION("""COMPUTED_VALUE"""),"Umywalka ceramiczna blatowa")</f>
        <v>Umywalka ceramiczna blatowa</v>
      </c>
      <c r="C3788" s="23" t="str">
        <f ca="1">IFERROR(__xludf.DUMMYFUNCTION("""COMPUTED_VALUE"""),"Sofia Black mat")</f>
        <v>Sofia Black mat</v>
      </c>
      <c r="D3788" s="24">
        <f ca="1">IFERROR(__xludf.DUMMYFUNCTION("""COMPUTED_VALUE"""),369)</f>
        <v>369</v>
      </c>
      <c r="E3788" s="26" t="str">
        <f ca="1">IFERROR(__xludf.DUMMYFUNCTION("""COMPUTED_VALUE"""),"REA-U0333")</f>
        <v>REA-U0333</v>
      </c>
    </row>
    <row r="3789" spans="1:5" x14ac:dyDescent="0.2">
      <c r="A3789" s="22">
        <f ca="1">IFERROR(__xludf.DUMMYFUNCTION("""COMPUTED_VALUE"""),44424)</f>
        <v>44424</v>
      </c>
      <c r="B3789" s="23" t="str">
        <f ca="1">IFERROR(__xludf.DUMMYFUNCTION("""COMPUTED_VALUE"""),"Umywalka ")</f>
        <v xml:space="preserve">Umywalka </v>
      </c>
      <c r="C3789" s="23" t="str">
        <f ca="1">IFERROR(__xludf.DUMMYFUNCTION("""COMPUTED_VALUE"""),"Vivien")</f>
        <v>Vivien</v>
      </c>
      <c r="D3789" s="24">
        <f ca="1">IFERROR(__xludf.DUMMYFUNCTION("""COMPUTED_VALUE"""),559)</f>
        <v>559</v>
      </c>
      <c r="E3789" s="26" t="str">
        <f ca="1">IFERROR(__xludf.DUMMYFUNCTION("""COMPUTED_VALUE"""),"REA-U5666")</f>
        <v>REA-U5666</v>
      </c>
    </row>
    <row r="3790" spans="1:5" x14ac:dyDescent="0.2">
      <c r="A3790" s="22">
        <f ca="1">IFERROR(__xludf.DUMMYFUNCTION("""COMPUTED_VALUE"""),44424)</f>
        <v>44424</v>
      </c>
      <c r="B3790" s="23" t="str">
        <f ca="1">IFERROR(__xludf.DUMMYFUNCTION("""COMPUTED_VALUE"""),"Umywalka blatowa")</f>
        <v>Umywalka blatowa</v>
      </c>
      <c r="C3790" s="23" t="str">
        <f ca="1">IFERROR(__xludf.DUMMYFUNCTION("""COMPUTED_VALUE"""),"Belinda Black Matt SLIM")</f>
        <v>Belinda Black Matt SLIM</v>
      </c>
      <c r="D3790" s="24">
        <f ca="1">IFERROR(__xludf.DUMMYFUNCTION("""COMPUTED_VALUE"""),446)</f>
        <v>446</v>
      </c>
      <c r="E3790" s="26" t="str">
        <f ca="1">IFERROR(__xludf.DUMMYFUNCTION("""COMPUTED_VALUE"""),"REA-U8470")</f>
        <v>REA-U8470</v>
      </c>
    </row>
    <row r="3791" spans="1:5" x14ac:dyDescent="0.2">
      <c r="A3791" s="22">
        <f ca="1">IFERROR(__xludf.DUMMYFUNCTION("""COMPUTED_VALUE"""),44424)</f>
        <v>44424</v>
      </c>
      <c r="B3791" s="23" t="str">
        <f ca="1">IFERROR(__xludf.DUMMYFUNCTION("""COMPUTED_VALUE"""),"Umywalka blatowa")</f>
        <v>Umywalka blatowa</v>
      </c>
      <c r="C3791" s="23" t="str">
        <f ca="1">IFERROR(__xludf.DUMMYFUNCTION("""COMPUTED_VALUE"""),"Kelly")</f>
        <v>Kelly</v>
      </c>
      <c r="D3791" s="24">
        <f ca="1">IFERROR(__xludf.DUMMYFUNCTION("""COMPUTED_VALUE"""),175)</f>
        <v>175</v>
      </c>
      <c r="E3791" s="26" t="str">
        <f ca="1">IFERROR(__xludf.DUMMYFUNCTION("""COMPUTED_VALUE"""),"REA-U6524")</f>
        <v>REA-U6524</v>
      </c>
    </row>
    <row r="3792" spans="1:5" x14ac:dyDescent="0.2">
      <c r="A3792" s="22">
        <f ca="1">IFERROR(__xludf.DUMMYFUNCTION("""COMPUTED_VALUE"""),44424)</f>
        <v>44424</v>
      </c>
      <c r="B3792" s="23" t="str">
        <f ca="1">IFERROR(__xludf.DUMMYFUNCTION("""COMPUTED_VALUE"""),"Umywalka blatowa")</f>
        <v>Umywalka blatowa</v>
      </c>
      <c r="C3792" s="23" t="str">
        <f ca="1">IFERROR(__xludf.DUMMYFUNCTION("""COMPUTED_VALUE"""),"Arte Grey")</f>
        <v>Arte Grey</v>
      </c>
      <c r="D3792" s="24">
        <f ca="1">IFERROR(__xludf.DUMMYFUNCTION("""COMPUTED_VALUE"""),519)</f>
        <v>519</v>
      </c>
      <c r="E3792" s="26" t="str">
        <f ca="1">IFERROR(__xludf.DUMMYFUNCTION("""COMPUTED_VALUE"""),"REA-U0266")</f>
        <v>REA-U0266</v>
      </c>
    </row>
    <row r="3793" spans="1:5" x14ac:dyDescent="0.2">
      <c r="A3793" s="22">
        <f ca="1">IFERROR(__xludf.DUMMYFUNCTION("""COMPUTED_VALUE"""),44424)</f>
        <v>44424</v>
      </c>
      <c r="B3793" s="23" t="str">
        <f ca="1">IFERROR(__xludf.DUMMYFUNCTION("""COMPUTED_VALUE"""),"Umywalka blatowa")</f>
        <v>Umywalka blatowa</v>
      </c>
      <c r="C3793" s="23" t="str">
        <f ca="1">IFERROR(__xludf.DUMMYFUNCTION("""COMPUTED_VALUE"""),"Arte Blue")</f>
        <v>Arte Blue</v>
      </c>
      <c r="D3793" s="24">
        <f ca="1">IFERROR(__xludf.DUMMYFUNCTION("""COMPUTED_VALUE"""),519)</f>
        <v>519</v>
      </c>
      <c r="E3793" s="26" t="str">
        <f ca="1">IFERROR(__xludf.DUMMYFUNCTION("""COMPUTED_VALUE"""),"REA-U0267")</f>
        <v>REA-U0267</v>
      </c>
    </row>
    <row r="3794" spans="1:5" x14ac:dyDescent="0.2">
      <c r="A3794" s="22">
        <f ca="1">IFERROR(__xludf.DUMMYFUNCTION("""COMPUTED_VALUE"""),44424)</f>
        <v>44424</v>
      </c>
      <c r="B3794" s="23" t="str">
        <f ca="1">IFERROR(__xludf.DUMMYFUNCTION("""COMPUTED_VALUE"""),"Umywalka blatowa")</f>
        <v>Umywalka blatowa</v>
      </c>
      <c r="C3794" s="23" t="str">
        <f ca="1">IFERROR(__xludf.DUMMYFUNCTION("""COMPUTED_VALUE"""),"Pearl Gold Edge")</f>
        <v>Pearl Gold Edge</v>
      </c>
      <c r="D3794" s="24">
        <f ca="1">IFERROR(__xludf.DUMMYFUNCTION("""COMPUTED_VALUE"""),469)</f>
        <v>469</v>
      </c>
      <c r="E3794" s="26" t="str">
        <f ca="1">IFERROR(__xludf.DUMMYFUNCTION("""COMPUTED_VALUE"""),"REA-U0696")</f>
        <v>REA-U0696</v>
      </c>
    </row>
    <row r="3795" spans="1:5" x14ac:dyDescent="0.2">
      <c r="A3795" s="22">
        <f ca="1">IFERROR(__xludf.DUMMYFUNCTION("""COMPUTED_VALUE"""),44424)</f>
        <v>44424</v>
      </c>
      <c r="B3795" s="23" t="str">
        <f ca="1">IFERROR(__xludf.DUMMYFUNCTION("""COMPUTED_VALUE"""),"Drzwi prysznicowe SOLAR")</f>
        <v>Drzwi prysznicowe SOLAR</v>
      </c>
      <c r="C3795" s="23" t="str">
        <f ca="1">IFERROR(__xludf.DUMMYFUNCTION("""COMPUTED_VALUE"""),"Solar 140")</f>
        <v>Solar 140</v>
      </c>
      <c r="D3795" s="24">
        <f ca="1">IFERROR(__xludf.DUMMYFUNCTION("""COMPUTED_VALUE"""),989)</f>
        <v>989</v>
      </c>
      <c r="E3795" s="26" t="str">
        <f ca="1">IFERROR(__xludf.DUMMYFUNCTION("""COMPUTED_VALUE"""),"REA-K6359")</f>
        <v>REA-K6359</v>
      </c>
    </row>
    <row r="3796" spans="1:5" x14ac:dyDescent="0.2">
      <c r="A3796" s="22">
        <f ca="1">IFERROR(__xludf.DUMMYFUNCTION("""COMPUTED_VALUE"""),44424)</f>
        <v>44424</v>
      </c>
      <c r="B3796" s="23" t="str">
        <f ca="1">IFERROR(__xludf.DUMMYFUNCTION("""COMPUTED_VALUE"""),"Drzwi prysznicowe")</f>
        <v>Drzwi prysznicowe</v>
      </c>
      <c r="C3796" s="23" t="str">
        <f ca="1">IFERROR(__xludf.DUMMYFUNCTION("""COMPUTED_VALUE"""),"Molier Black 100")</f>
        <v>Molier Black 100</v>
      </c>
      <c r="D3796" s="24">
        <f ca="1">IFERROR(__xludf.DUMMYFUNCTION("""COMPUTED_VALUE"""),929)</f>
        <v>929</v>
      </c>
      <c r="E3796" s="26" t="str">
        <f ca="1">IFERROR(__xludf.DUMMYFUNCTION("""COMPUTED_VALUE"""),"REA-K6963")</f>
        <v>REA-K6963</v>
      </c>
    </row>
    <row r="3797" spans="1:5" x14ac:dyDescent="0.2">
      <c r="A3797" s="22">
        <f ca="1">IFERROR(__xludf.DUMMYFUNCTION("""COMPUTED_VALUE"""),44424)</f>
        <v>44424</v>
      </c>
      <c r="B3797" s="23" t="str">
        <f ca="1">IFERROR(__xludf.DUMMYFUNCTION("""COMPUTED_VALUE"""),"DRZWI PRYSZNICOWE ALEX-805 80")</f>
        <v>DRZWI PRYSZNICOWE ALEX-805 80</v>
      </c>
      <c r="C3797" s="23" t="str">
        <f ca="1">IFERROR(__xludf.DUMMYFUNCTION("""COMPUTED_VALUE"""),"Alex")</f>
        <v>Alex</v>
      </c>
      <c r="D3797" s="24">
        <f ca="1">IFERROR(__xludf.DUMMYFUNCTION("""COMPUTED_VALUE"""),769)</f>
        <v>769</v>
      </c>
      <c r="E3797" s="26" t="str">
        <f ca="1">IFERROR(__xludf.DUMMYFUNCTION("""COMPUTED_VALUE"""),"REA-K0287")</f>
        <v>REA-K0287</v>
      </c>
    </row>
    <row r="3798" spans="1:5" x14ac:dyDescent="0.2">
      <c r="A3798" s="22">
        <f ca="1">IFERROR(__xludf.DUMMYFUNCTION("""COMPUTED_VALUE"""),44424)</f>
        <v>44424</v>
      </c>
      <c r="B3798" s="23" t="str">
        <f ca="1">IFERROR(__xludf.DUMMYFUNCTION("""COMPUTED_VALUE"""),"DRZWI PRYSZNICOWE ALEX-805 90")</f>
        <v>DRZWI PRYSZNICOWE ALEX-805 90</v>
      </c>
      <c r="C3798" s="23" t="str">
        <f ca="1">IFERROR(__xludf.DUMMYFUNCTION("""COMPUTED_VALUE"""),"Alex")</f>
        <v>Alex</v>
      </c>
      <c r="D3798" s="24">
        <f ca="1">IFERROR(__xludf.DUMMYFUNCTION("""COMPUTED_VALUE"""),789)</f>
        <v>789</v>
      </c>
      <c r="E3798" s="26" t="str">
        <f ca="1">IFERROR(__xludf.DUMMYFUNCTION("""COMPUTED_VALUE"""),"REA-K0549")</f>
        <v>REA-K0549</v>
      </c>
    </row>
    <row r="3799" spans="1:5" x14ac:dyDescent="0.2">
      <c r="A3799" s="22">
        <f ca="1">IFERROR(__xludf.DUMMYFUNCTION("""COMPUTED_VALUE"""),44424)</f>
        <v>44424</v>
      </c>
      <c r="B3799" s="23" t="str">
        <f ca="1">IFERROR(__xludf.DUMMYFUNCTION("""COMPUTED_VALUE"""),"DRZWI PRYSZNICOWE ALEX-805 100")</f>
        <v>DRZWI PRYSZNICOWE ALEX-805 100</v>
      </c>
      <c r="C3799" s="23" t="str">
        <f ca="1">IFERROR(__xludf.DUMMYFUNCTION("""COMPUTED_VALUE"""),"Alex")</f>
        <v>Alex</v>
      </c>
      <c r="D3799" s="24">
        <f ca="1">IFERROR(__xludf.DUMMYFUNCTION("""COMPUTED_VALUE"""),839)</f>
        <v>839</v>
      </c>
      <c r="E3799" s="26" t="str">
        <f ca="1">IFERROR(__xludf.DUMMYFUNCTION("""COMPUTED_VALUE"""),"REA-K0546")</f>
        <v>REA-K0546</v>
      </c>
    </row>
    <row r="3800" spans="1:5" x14ac:dyDescent="0.2">
      <c r="A3800" s="22">
        <f ca="1">IFERROR(__xludf.DUMMYFUNCTION("""COMPUTED_VALUE"""),44424)</f>
        <v>44424</v>
      </c>
      <c r="B3800" s="23" t="str">
        <f ca="1">IFERROR(__xludf.DUMMYFUNCTION("""COMPUTED_VALUE"""),"DRZWI PRYSZNICOWE ALEX-805 120")</f>
        <v>DRZWI PRYSZNICOWE ALEX-805 120</v>
      </c>
      <c r="C3800" s="23" t="str">
        <f ca="1">IFERROR(__xludf.DUMMYFUNCTION("""COMPUTED_VALUE"""),"Alex")</f>
        <v>Alex</v>
      </c>
      <c r="D3800" s="24">
        <f ca="1">IFERROR(__xludf.DUMMYFUNCTION("""COMPUTED_VALUE"""),949)</f>
        <v>949</v>
      </c>
      <c r="E3800" s="26" t="str">
        <f ca="1">IFERROR(__xludf.DUMMYFUNCTION("""COMPUTED_VALUE"""),"REA-K0921")</f>
        <v>REA-K0921</v>
      </c>
    </row>
    <row r="3801" spans="1:5" x14ac:dyDescent="0.2">
      <c r="A3801" s="22">
        <f ca="1">IFERROR(__xludf.DUMMYFUNCTION("""COMPUTED_VALUE"""),44424)</f>
        <v>44424</v>
      </c>
      <c r="B3801" s="23" t="str">
        <f ca="1">IFERROR(__xludf.DUMMYFUNCTION("""COMPUTED_VALUE"""),"DRZWI PRYSZNICOWE ALEX-805 130")</f>
        <v>DRZWI PRYSZNICOWE ALEX-805 130</v>
      </c>
      <c r="C3801" s="23" t="str">
        <f ca="1">IFERROR(__xludf.DUMMYFUNCTION("""COMPUTED_VALUE"""),"Alex")</f>
        <v>Alex</v>
      </c>
      <c r="D3801" s="24">
        <f ca="1">IFERROR(__xludf.DUMMYFUNCTION("""COMPUTED_VALUE"""),1009)</f>
        <v>1009</v>
      </c>
      <c r="E3801" s="26" t="str">
        <f ca="1">IFERROR(__xludf.DUMMYFUNCTION("""COMPUTED_VALUE"""),"REA-K0923")</f>
        <v>REA-K0923</v>
      </c>
    </row>
    <row r="3802" spans="1:5" x14ac:dyDescent="0.2">
      <c r="A3802" s="22">
        <f ca="1">IFERROR(__xludf.DUMMYFUNCTION("""COMPUTED_VALUE"""),44424)</f>
        <v>44424</v>
      </c>
      <c r="B3802" s="23" t="str">
        <f ca="1">IFERROR(__xludf.DUMMYFUNCTION("""COMPUTED_VALUE"""),"Drzwi prysznicowe")</f>
        <v>Drzwi prysznicowe</v>
      </c>
      <c r="C3802" s="23" t="str">
        <f ca="1">IFERROR(__xludf.DUMMYFUNCTION("""COMPUTED_VALUE"""),"RAPID FOLD 80")</f>
        <v>RAPID FOLD 80</v>
      </c>
      <c r="D3802" s="24">
        <f ca="1">IFERROR(__xludf.DUMMYFUNCTION("""COMPUTED_VALUE"""),829)</f>
        <v>829</v>
      </c>
      <c r="E3802" s="26" t="str">
        <f ca="1">IFERROR(__xludf.DUMMYFUNCTION("""COMPUTED_VALUE"""),"REA-K6418")</f>
        <v>REA-K6418</v>
      </c>
    </row>
    <row r="3803" spans="1:5" x14ac:dyDescent="0.2">
      <c r="A3803" s="22">
        <f ca="1">IFERROR(__xludf.DUMMYFUNCTION("""COMPUTED_VALUE"""),44424)</f>
        <v>44424</v>
      </c>
      <c r="B3803" s="23" t="str">
        <f ca="1">IFERROR(__xludf.DUMMYFUNCTION("""COMPUTED_VALUE"""),"Drzwi prysznicowe")</f>
        <v>Drzwi prysznicowe</v>
      </c>
      <c r="C3803" s="23" t="str">
        <f ca="1">IFERROR(__xludf.DUMMYFUNCTION("""COMPUTED_VALUE"""),"RAPID FOLD 90")</f>
        <v>RAPID FOLD 90</v>
      </c>
      <c r="D3803" s="24">
        <f ca="1">IFERROR(__xludf.DUMMYFUNCTION("""COMPUTED_VALUE"""),869)</f>
        <v>869</v>
      </c>
      <c r="E3803" s="26" t="str">
        <f ca="1">IFERROR(__xludf.DUMMYFUNCTION("""COMPUTED_VALUE"""),"REA-K6419")</f>
        <v>REA-K6419</v>
      </c>
    </row>
    <row r="3804" spans="1:5" x14ac:dyDescent="0.2">
      <c r="A3804" s="22">
        <f ca="1">IFERROR(__xludf.DUMMYFUNCTION("""COMPUTED_VALUE"""),44424)</f>
        <v>44424</v>
      </c>
      <c r="B3804" s="23" t="str">
        <f ca="1">IFERROR(__xludf.DUMMYFUNCTION("""COMPUTED_VALUE"""),"Drzwi prysznicowe")</f>
        <v>Drzwi prysznicowe</v>
      </c>
      <c r="C3804" s="23" t="str">
        <f ca="1">IFERROR(__xludf.DUMMYFUNCTION("""COMPUTED_VALUE"""),"RAPID FOLD 100")</f>
        <v>RAPID FOLD 100</v>
      </c>
      <c r="D3804" s="24">
        <f ca="1">IFERROR(__xludf.DUMMYFUNCTION("""COMPUTED_VALUE"""),899)</f>
        <v>899</v>
      </c>
      <c r="E3804" s="26" t="str">
        <f ca="1">IFERROR(__xludf.DUMMYFUNCTION("""COMPUTED_VALUE"""),"REA-K6420")</f>
        <v>REA-K6420</v>
      </c>
    </row>
    <row r="3805" spans="1:5" x14ac:dyDescent="0.2">
      <c r="A3805" s="22">
        <f ca="1">IFERROR(__xludf.DUMMYFUNCTION("""COMPUTED_VALUE"""),44424)</f>
        <v>44424</v>
      </c>
      <c r="B3805" s="23" t="str">
        <f ca="1">IFERROR(__xludf.DUMMYFUNCTION("""COMPUTED_VALUE"""),"Kabina prysznicowa")</f>
        <v>Kabina prysznicowa</v>
      </c>
      <c r="C3805" s="23" t="str">
        <f ca="1">IFERROR(__xludf.DUMMYFUNCTION("""COMPUTED_VALUE"""),"AXIN 80x80")</f>
        <v>AXIN 80x80</v>
      </c>
      <c r="D3805" s="24">
        <f ca="1">IFERROR(__xludf.DUMMYFUNCTION("""COMPUTED_VALUE"""),1199)</f>
        <v>1199</v>
      </c>
      <c r="E3805" s="26" t="str">
        <f ca="1">IFERROR(__xludf.DUMMYFUNCTION("""COMPUTED_VALUE"""),"REA-K8778")</f>
        <v>REA-K8778</v>
      </c>
    </row>
    <row r="3806" spans="1:5" x14ac:dyDescent="0.2">
      <c r="A3806" s="22">
        <f ca="1">IFERROR(__xludf.DUMMYFUNCTION("""COMPUTED_VALUE"""),44424)</f>
        <v>44424</v>
      </c>
      <c r="B3806" s="23" t="str">
        <f ca="1">IFERROR(__xludf.DUMMYFUNCTION("""COMPUTED_VALUE"""),"Kabina prysznicowa")</f>
        <v>Kabina prysznicowa</v>
      </c>
      <c r="C3806" s="23" t="str">
        <f ca="1">IFERROR(__xludf.DUMMYFUNCTION("""COMPUTED_VALUE"""),"AXIN 90x90")</f>
        <v>AXIN 90x90</v>
      </c>
      <c r="D3806" s="24">
        <f ca="1">IFERROR(__xludf.DUMMYFUNCTION("""COMPUTED_VALUE"""),1249)</f>
        <v>1249</v>
      </c>
      <c r="E3806" s="26" t="str">
        <f ca="1">IFERROR(__xludf.DUMMYFUNCTION("""COMPUTED_VALUE"""),"REA-K8779")</f>
        <v>REA-K8779</v>
      </c>
    </row>
    <row r="3807" spans="1:5" x14ac:dyDescent="0.2">
      <c r="A3807" s="22">
        <f ca="1">IFERROR(__xludf.DUMMYFUNCTION("""COMPUTED_VALUE"""),44424)</f>
        <v>44424</v>
      </c>
      <c r="B3807" s="23" t="str">
        <f ca="1">IFERROR(__xludf.DUMMYFUNCTION("""COMPUTED_VALUE"""),"Kabina prysznicowa")</f>
        <v>Kabina prysznicowa</v>
      </c>
      <c r="C3807" s="23" t="str">
        <f ca="1">IFERROR(__xludf.DUMMYFUNCTION("""COMPUTED_VALUE"""),"HEX 80x80")</f>
        <v>HEX 80x80</v>
      </c>
      <c r="D3807" s="24">
        <f ca="1">IFERROR(__xludf.DUMMYFUNCTION("""COMPUTED_VALUE"""),1249)</f>
        <v>1249</v>
      </c>
      <c r="E3807" s="26" t="str">
        <f ca="1">IFERROR(__xludf.DUMMYFUNCTION("""COMPUTED_VALUE"""),"REA-K8969")</f>
        <v>REA-K8969</v>
      </c>
    </row>
    <row r="3808" spans="1:5" x14ac:dyDescent="0.2">
      <c r="A3808" s="22">
        <f ca="1">IFERROR(__xludf.DUMMYFUNCTION("""COMPUTED_VALUE"""),44424)</f>
        <v>44424</v>
      </c>
      <c r="B3808" s="23" t="str">
        <f ca="1">IFERROR(__xludf.DUMMYFUNCTION("""COMPUTED_VALUE"""),"Kabina prysznicowa")</f>
        <v>Kabina prysznicowa</v>
      </c>
      <c r="C3808" s="23" t="str">
        <f ca="1">IFERROR(__xludf.DUMMYFUNCTION("""COMPUTED_VALUE"""),"HEX 90x90")</f>
        <v>HEX 90x90</v>
      </c>
      <c r="D3808" s="24">
        <f ca="1">IFERROR(__xludf.DUMMYFUNCTION("""COMPUTED_VALUE"""),1299)</f>
        <v>1299</v>
      </c>
      <c r="E3808" s="26" t="str">
        <f ca="1">IFERROR(__xludf.DUMMYFUNCTION("""COMPUTED_VALUE"""),"REA-K8979")</f>
        <v>REA-K8979</v>
      </c>
    </row>
    <row r="3809" spans="1:5" x14ac:dyDescent="0.2">
      <c r="A3809" s="22">
        <f ca="1">IFERROR(__xludf.DUMMYFUNCTION("""COMPUTED_VALUE"""),44424)</f>
        <v>44424</v>
      </c>
      <c r="B3809" s="23" t="str">
        <f ca="1">IFERROR(__xludf.DUMMYFUNCTION("""COMPUTED_VALUE"""),"Bateria wannowa")</f>
        <v>Bateria wannowa</v>
      </c>
      <c r="C3809" s="23" t="str">
        <f ca="1">IFERROR(__xludf.DUMMYFUNCTION("""COMPUTED_VALUE"""),"Riven Gold")</f>
        <v>Riven Gold</v>
      </c>
      <c r="D3809" s="24">
        <f ca="1">IFERROR(__xludf.DUMMYFUNCTION("""COMPUTED_VALUE"""),519)</f>
        <v>519</v>
      </c>
      <c r="E3809" s="26" t="str">
        <f ca="1">IFERROR(__xludf.DUMMYFUNCTION("""COMPUTED_VALUE"""),"REA-B0497")</f>
        <v>REA-B0497</v>
      </c>
    </row>
    <row r="3810" spans="1:5" x14ac:dyDescent="0.2">
      <c r="A3810" s="22">
        <f ca="1">IFERROR(__xludf.DUMMYFUNCTION("""COMPUTED_VALUE"""),44424)</f>
        <v>44424</v>
      </c>
      <c r="B3810" s="23" t="str">
        <f ca="1">IFERROR(__xludf.DUMMYFUNCTION("""COMPUTED_VALUE"""),"Bateria wannowa natynkowa")</f>
        <v>Bateria wannowa natynkowa</v>
      </c>
      <c r="C3810" s="23" t="str">
        <f ca="1">IFERROR(__xludf.DUMMYFUNCTION("""COMPUTED_VALUE"""),"Lungo Rose Gold")</f>
        <v>Lungo Rose Gold</v>
      </c>
      <c r="D3810" s="24">
        <f ca="1">IFERROR(__xludf.DUMMYFUNCTION("""COMPUTED_VALUE"""),549)</f>
        <v>549</v>
      </c>
      <c r="E3810" s="26" t="str">
        <f ca="1">IFERROR(__xludf.DUMMYFUNCTION("""COMPUTED_VALUE"""),"REA-B6695")</f>
        <v>REA-B6695</v>
      </c>
    </row>
    <row r="3811" spans="1:5" x14ac:dyDescent="0.2">
      <c r="A3811" s="22">
        <f ca="1">IFERROR(__xludf.DUMMYFUNCTION("""COMPUTED_VALUE"""),44424)</f>
        <v>44424</v>
      </c>
      <c r="B3811" s="23" t="str">
        <f ca="1">IFERROR(__xludf.DUMMYFUNCTION("""COMPUTED_VALUE"""),"Bateria wannowa 3 otworowa")</f>
        <v>Bateria wannowa 3 otworowa</v>
      </c>
      <c r="C3811" s="23" t="str">
        <f ca="1">IFERROR(__xludf.DUMMYFUNCTION("""COMPUTED_VALUE"""),"Azur")</f>
        <v>Azur</v>
      </c>
      <c r="D3811" s="24">
        <f ca="1">IFERROR(__xludf.DUMMYFUNCTION("""COMPUTED_VALUE"""),479)</f>
        <v>479</v>
      </c>
      <c r="E3811" s="26" t="str">
        <f ca="1">IFERROR(__xludf.DUMMYFUNCTION("""COMPUTED_VALUE"""),"REA-B0456")</f>
        <v>REA-B0456</v>
      </c>
    </row>
    <row r="3812" spans="1:5" x14ac:dyDescent="0.2">
      <c r="A3812" s="22">
        <f ca="1">IFERROR(__xludf.DUMMYFUNCTION("""COMPUTED_VALUE"""),44424)</f>
        <v>44424</v>
      </c>
      <c r="B3812" s="23" t="str">
        <f ca="1">IFERROR(__xludf.DUMMYFUNCTION("""COMPUTED_VALUE"""),"Bateria kuchenna")</f>
        <v>Bateria kuchenna</v>
      </c>
      <c r="C3812" s="23" t="str">
        <f ca="1">IFERROR(__xludf.DUMMYFUNCTION("""COMPUTED_VALUE"""),"Castor black Mat")</f>
        <v>Castor black Mat</v>
      </c>
      <c r="D3812" s="24">
        <f ca="1">IFERROR(__xludf.DUMMYFUNCTION("""COMPUTED_VALUE"""),479)</f>
        <v>479</v>
      </c>
      <c r="E3812" s="26" t="str">
        <f ca="1">IFERROR(__xludf.DUMMYFUNCTION("""COMPUTED_VALUE"""),"REA-B6935")</f>
        <v>REA-B6935</v>
      </c>
    </row>
    <row r="3813" spans="1:5" x14ac:dyDescent="0.2">
      <c r="A3813" s="22">
        <f ca="1">IFERROR(__xludf.DUMMYFUNCTION("""COMPUTED_VALUE"""),44424)</f>
        <v>44424</v>
      </c>
      <c r="B3813" s="23" t="str">
        <f ca="1">IFERROR(__xludf.DUMMYFUNCTION("""COMPUTED_VALUE"""),"Bateria bidetowa")</f>
        <v>Bateria bidetowa</v>
      </c>
      <c r="C3813" s="23" t="str">
        <f ca="1">IFERROR(__xludf.DUMMYFUNCTION("""COMPUTED_VALUE"""),"Fenix Black")</f>
        <v>Fenix Black</v>
      </c>
      <c r="D3813" s="24">
        <f ca="1">IFERROR(__xludf.DUMMYFUNCTION("""COMPUTED_VALUE"""),339)</f>
        <v>339</v>
      </c>
      <c r="E3813" s="26" t="str">
        <f ca="1">IFERROR(__xludf.DUMMYFUNCTION("""COMPUTED_VALUE"""),"REA-B5687")</f>
        <v>REA-B5687</v>
      </c>
    </row>
    <row r="3814" spans="1:5" x14ac:dyDescent="0.2">
      <c r="A3814" s="22">
        <f ca="1">IFERROR(__xludf.DUMMYFUNCTION("""COMPUTED_VALUE"""),44424)</f>
        <v>44424</v>
      </c>
      <c r="B3814" s="23" t="str">
        <f ca="1">IFERROR(__xludf.DUMMYFUNCTION("""COMPUTED_VALUE"""),"Bateria wannowa")</f>
        <v>Bateria wannowa</v>
      </c>
      <c r="C3814" s="23" t="str">
        <f ca="1">IFERROR(__xludf.DUMMYFUNCTION("""COMPUTED_VALUE"""),"Fenix Black")</f>
        <v>Fenix Black</v>
      </c>
      <c r="D3814" s="24">
        <f ca="1">IFERROR(__xludf.DUMMYFUNCTION("""COMPUTED_VALUE"""),489)</f>
        <v>489</v>
      </c>
      <c r="E3814" s="26" t="str">
        <f ca="1">IFERROR(__xludf.DUMMYFUNCTION("""COMPUTED_VALUE"""),"REA-B3310")</f>
        <v>REA-B3310</v>
      </c>
    </row>
    <row r="3815" spans="1:5" x14ac:dyDescent="0.2">
      <c r="A3815" s="22">
        <f ca="1">IFERROR(__xludf.DUMMYFUNCTION("""COMPUTED_VALUE"""),44424)</f>
        <v>44424</v>
      </c>
      <c r="B3815" s="23" t="str">
        <f ca="1">IFERROR(__xludf.DUMMYFUNCTION("""COMPUTED_VALUE"""),"Bateria bidetowa")</f>
        <v>Bateria bidetowa</v>
      </c>
      <c r="C3815" s="23" t="str">
        <f ca="1">IFERROR(__xludf.DUMMYFUNCTION("""COMPUTED_VALUE"""),"Loop")</f>
        <v>Loop</v>
      </c>
      <c r="D3815" s="24">
        <f ca="1">IFERROR(__xludf.DUMMYFUNCTION("""COMPUTED_VALUE"""),259)</f>
        <v>259</v>
      </c>
      <c r="E3815" s="26" t="str">
        <f ca="1">IFERROR(__xludf.DUMMYFUNCTION("""COMPUTED_VALUE"""),"REA-B4106")</f>
        <v>REA-B4106</v>
      </c>
    </row>
    <row r="3816" spans="1:5" x14ac:dyDescent="0.2">
      <c r="A3816" s="22">
        <f ca="1">IFERROR(__xludf.DUMMYFUNCTION("""COMPUTED_VALUE"""),44424)</f>
        <v>44424</v>
      </c>
      <c r="B3816" s="23" t="str">
        <f ca="1">IFERROR(__xludf.DUMMYFUNCTION("""COMPUTED_VALUE"""),"Bateria umywalkowa")</f>
        <v>Bateria umywalkowa</v>
      </c>
      <c r="C3816" s="23" t="str">
        <f ca="1">IFERROR(__xludf.DUMMYFUNCTION("""COMPUTED_VALUE"""),"Lungo Rose Gold niska")</f>
        <v>Lungo Rose Gold niska</v>
      </c>
      <c r="D3816" s="24">
        <f ca="1">IFERROR(__xludf.DUMMYFUNCTION("""COMPUTED_VALUE"""),219)</f>
        <v>219</v>
      </c>
      <c r="E3816" s="26" t="str">
        <f ca="1">IFERROR(__xludf.DUMMYFUNCTION("""COMPUTED_VALUE"""),"REA-B4500")</f>
        <v>REA-B4500</v>
      </c>
    </row>
    <row r="3817" spans="1:5" x14ac:dyDescent="0.2">
      <c r="A3817" s="22">
        <f ca="1">IFERROR(__xludf.DUMMYFUNCTION("""COMPUTED_VALUE"""),44424)</f>
        <v>44424</v>
      </c>
      <c r="B3817" s="23" t="str">
        <f ca="1">IFERROR(__xludf.DUMMYFUNCTION("""COMPUTED_VALUE"""),"Bateria wannowa 3 otworowa")</f>
        <v>Bateria wannowa 3 otworowa</v>
      </c>
      <c r="C3817" s="23" t="str">
        <f ca="1">IFERROR(__xludf.DUMMYFUNCTION("""COMPUTED_VALUE"""),"Riven")</f>
        <v>Riven</v>
      </c>
      <c r="D3817" s="24">
        <f ca="1">IFERROR(__xludf.DUMMYFUNCTION("""COMPUTED_VALUE"""),399)</f>
        <v>399</v>
      </c>
      <c r="E3817" s="26" t="str">
        <f ca="1">IFERROR(__xludf.DUMMYFUNCTION("""COMPUTED_VALUE"""),"REA-B0457")</f>
        <v>REA-B0457</v>
      </c>
    </row>
    <row r="3818" spans="1:5" x14ac:dyDescent="0.2">
      <c r="A3818" s="22">
        <f ca="1">IFERROR(__xludf.DUMMYFUNCTION("""COMPUTED_VALUE"""),44424)</f>
        <v>44424</v>
      </c>
      <c r="B3818" s="23" t="str">
        <f ca="1">IFERROR(__xludf.DUMMYFUNCTION("""COMPUTED_VALUE"""),"Bateria umywalkowa wysoka")</f>
        <v>Bateria umywalkowa wysoka</v>
      </c>
      <c r="C3818" s="23" t="str">
        <f ca="1">IFERROR(__xludf.DUMMYFUNCTION("""COMPUTED_VALUE"""),"Smart Black/Gold")</f>
        <v>Smart Black/Gold</v>
      </c>
      <c r="D3818" s="24">
        <f ca="1">IFERROR(__xludf.DUMMYFUNCTION("""COMPUTED_VALUE"""),299)</f>
        <v>299</v>
      </c>
      <c r="E3818" s="26" t="str">
        <f ca="1">IFERROR(__xludf.DUMMYFUNCTION("""COMPUTED_VALUE"""),"REA-B7402")</f>
        <v>REA-B7402</v>
      </c>
    </row>
    <row r="3819" spans="1:5" x14ac:dyDescent="0.2">
      <c r="A3819" s="22">
        <f ca="1">IFERROR(__xludf.DUMMYFUNCTION("""COMPUTED_VALUE"""),44424)</f>
        <v>44424</v>
      </c>
      <c r="B3819" s="23" t="str">
        <f ca="1">IFERROR(__xludf.DUMMYFUNCTION("""COMPUTED_VALUE"""),"Bateria umywalkowa wysoka")</f>
        <v>Bateria umywalkowa wysoka</v>
      </c>
      <c r="C3819" s="23" t="str">
        <f ca="1">IFERROR(__xludf.DUMMYFUNCTION("""COMPUTED_VALUE"""),"Smart White/Gold")</f>
        <v>Smart White/Gold</v>
      </c>
      <c r="D3819" s="24">
        <f ca="1">IFERROR(__xludf.DUMMYFUNCTION("""COMPUTED_VALUE"""),299)</f>
        <v>299</v>
      </c>
      <c r="E3819" s="26" t="str">
        <f ca="1">IFERROR(__xludf.DUMMYFUNCTION("""COMPUTED_VALUE"""),"REA-B8400")</f>
        <v>REA-B8400</v>
      </c>
    </row>
    <row r="3820" spans="1:5" x14ac:dyDescent="0.2">
      <c r="A3820" s="22">
        <f ca="1">IFERROR(__xludf.DUMMYFUNCTION("""COMPUTED_VALUE"""),44424)</f>
        <v>44424</v>
      </c>
      <c r="B3820" s="23" t="str">
        <f ca="1">IFERROR(__xludf.DUMMYFUNCTION("""COMPUTED_VALUE"""),"Bateria umywalkowa")</f>
        <v>Bateria umywalkowa</v>
      </c>
      <c r="C3820" s="23" t="str">
        <f ca="1">IFERROR(__xludf.DUMMYFUNCTION("""COMPUTED_VALUE"""),"Vertigo Side")</f>
        <v>Vertigo Side</v>
      </c>
      <c r="D3820" s="24">
        <f ca="1">IFERROR(__xludf.DUMMYFUNCTION("""COMPUTED_VALUE"""),269)</f>
        <v>269</v>
      </c>
      <c r="E3820" s="26" t="str">
        <f ca="1">IFERROR(__xludf.DUMMYFUNCTION("""COMPUTED_VALUE"""),"REA-B8767")</f>
        <v>REA-B8767</v>
      </c>
    </row>
    <row r="3821" spans="1:5" x14ac:dyDescent="0.2">
      <c r="A3821" s="22">
        <f ca="1">IFERROR(__xludf.DUMMYFUNCTION("""COMPUTED_VALUE"""),44424)</f>
        <v>44424</v>
      </c>
      <c r="B3821" s="23" t="str">
        <f ca="1">IFERROR(__xludf.DUMMYFUNCTION("""COMPUTED_VALUE"""),"Bateria Bidetowa")</f>
        <v>Bateria Bidetowa</v>
      </c>
      <c r="C3821" s="23" t="str">
        <f ca="1">IFERROR(__xludf.DUMMYFUNCTION("""COMPUTED_VALUE"""),"Fenix Gold")</f>
        <v>Fenix Gold</v>
      </c>
      <c r="D3821" s="24">
        <f ca="1">IFERROR(__xludf.DUMMYFUNCTION("""COMPUTED_VALUE"""),399)</f>
        <v>399</v>
      </c>
      <c r="E3821" s="26" t="str">
        <f ca="1">IFERROR(__xludf.DUMMYFUNCTION("""COMPUTED_VALUE"""),"REA-B5771")</f>
        <v>REA-B5771</v>
      </c>
    </row>
    <row r="3822" spans="1:5" x14ac:dyDescent="0.2">
      <c r="A3822" s="22">
        <f ca="1">IFERROR(__xludf.DUMMYFUNCTION("""COMPUTED_VALUE"""),44424)</f>
        <v>44424</v>
      </c>
      <c r="B3822" s="23" t="str">
        <f ca="1">IFERROR(__xludf.DUMMYFUNCTION("""COMPUTED_VALUE"""),"Bateria umywalkowa wysoka")</f>
        <v>Bateria umywalkowa wysoka</v>
      </c>
      <c r="C3822" s="23" t="str">
        <f ca="1">IFERROR(__xludf.DUMMYFUNCTION("""COMPUTED_VALUE"""),"Duet Black")</f>
        <v>Duet Black</v>
      </c>
      <c r="D3822" s="24">
        <f ca="1">IFERROR(__xludf.DUMMYFUNCTION("""COMPUTED_VALUE"""),419)</f>
        <v>419</v>
      </c>
      <c r="E3822" s="26" t="str">
        <f ca="1">IFERROR(__xludf.DUMMYFUNCTION("""COMPUTED_VALUE"""),"REA-B4414")</f>
        <v>REA-B4414</v>
      </c>
    </row>
    <row r="3823" spans="1:5" x14ac:dyDescent="0.2">
      <c r="A3823" s="22">
        <f ca="1">IFERROR(__xludf.DUMMYFUNCTION("""COMPUTED_VALUE"""),44424)</f>
        <v>44424</v>
      </c>
      <c r="B3823" s="23" t="str">
        <f ca="1">IFERROR(__xludf.DUMMYFUNCTION("""COMPUTED_VALUE"""),"Bateria umywalkowa niska")</f>
        <v>Bateria umywalkowa niska</v>
      </c>
      <c r="C3823" s="23" t="str">
        <f ca="1">IFERROR(__xludf.DUMMYFUNCTION("""COMPUTED_VALUE"""),"Duet Black")</f>
        <v>Duet Black</v>
      </c>
      <c r="D3823" s="24">
        <f ca="1">IFERROR(__xludf.DUMMYFUNCTION("""COMPUTED_VALUE"""),269)</f>
        <v>269</v>
      </c>
      <c r="E3823" s="26" t="str">
        <f ca="1">IFERROR(__xludf.DUMMYFUNCTION("""COMPUTED_VALUE"""),"REA-B4412")</f>
        <v>REA-B4412</v>
      </c>
    </row>
    <row r="3824" spans="1:5" x14ac:dyDescent="0.2">
      <c r="A3824" s="22">
        <f ca="1">IFERROR(__xludf.DUMMYFUNCTION("""COMPUTED_VALUE"""),44424)</f>
        <v>44424</v>
      </c>
      <c r="B3824" s="23" t="str">
        <f ca="1">IFERROR(__xludf.DUMMYFUNCTION("""COMPUTED_VALUE"""),"Uniwersalny korek klik-klak")</f>
        <v>Uniwersalny korek klik-klak</v>
      </c>
      <c r="C3824" s="23" t="str">
        <f ca="1">IFERROR(__xludf.DUMMYFUNCTION("""COMPUTED_VALUE"""),"L.gold")</f>
        <v>L.gold</v>
      </c>
      <c r="D3824" s="24">
        <f ca="1">IFERROR(__xludf.DUMMYFUNCTION("""COMPUTED_VALUE"""),69)</f>
        <v>69</v>
      </c>
      <c r="E3824" s="26" t="str">
        <f ca="1">IFERROR(__xludf.DUMMYFUNCTION("""COMPUTED_VALUE"""),"REA-A2360")</f>
        <v>REA-A2360</v>
      </c>
    </row>
    <row r="3825" spans="1:5" x14ac:dyDescent="0.2">
      <c r="A3825" s="22">
        <f ca="1">IFERROR(__xludf.DUMMYFUNCTION("""COMPUTED_VALUE"""),44412)</f>
        <v>44412</v>
      </c>
      <c r="B3825" s="23" t="str">
        <f ca="1">IFERROR(__xludf.DUMMYFUNCTION("""COMPUTED_VALUE"""),"ZESTAW NATRYSKOWO-WANNOWY Z WYLEWKĄ")</f>
        <v>ZESTAW NATRYSKOWO-WANNOWY Z WYLEWKĄ</v>
      </c>
      <c r="C3825" s="23" t="str">
        <f ca="1">IFERROR(__xludf.DUMMYFUNCTION("""COMPUTED_VALUE"""),"Lungo Gold")</f>
        <v>Lungo Gold</v>
      </c>
      <c r="D3825" s="24">
        <f ca="1">IFERROR(__xludf.DUMMYFUNCTION("""COMPUTED_VALUE"""),999)</f>
        <v>999</v>
      </c>
      <c r="E3825" s="26" t="str">
        <f ca="1">IFERROR(__xludf.DUMMYFUNCTION("""COMPUTED_VALUE"""),"REA-P4125")</f>
        <v>REA-P4125</v>
      </c>
    </row>
    <row r="3826" spans="1:5" x14ac:dyDescent="0.2">
      <c r="A3826" s="22">
        <f ca="1">IFERROR(__xludf.DUMMYFUNCTION("""COMPUTED_VALUE"""),44412)</f>
        <v>44412</v>
      </c>
      <c r="B3826" s="23" t="str">
        <f ca="1">IFERROR(__xludf.DUMMYFUNCTION("""COMPUTED_VALUE"""),"Kabina prysznicowa")</f>
        <v>Kabina prysznicowa</v>
      </c>
      <c r="C3826" s="23" t="str">
        <f ca="1">IFERROR(__xludf.DUMMYFUNCTION("""COMPUTED_VALUE"""),"Concept 80x100")</f>
        <v>Concept 80x100</v>
      </c>
      <c r="D3826" s="24">
        <f ca="1">IFERROR(__xludf.DUMMYFUNCTION("""COMPUTED_VALUE"""),829)</f>
        <v>829</v>
      </c>
      <c r="E3826" s="26" t="str">
        <f ca="1">IFERROR(__xludf.DUMMYFUNCTION("""COMPUTED_VALUE"""),"REA-K6389")</f>
        <v>REA-K6389</v>
      </c>
    </row>
    <row r="3827" spans="1:5" x14ac:dyDescent="0.2">
      <c r="A3827" s="22">
        <f ca="1">IFERROR(__xludf.DUMMYFUNCTION("""COMPUTED_VALUE"""),44412)</f>
        <v>44412</v>
      </c>
      <c r="B3827" s="23" t="str">
        <f ca="1">IFERROR(__xludf.DUMMYFUNCTION("""COMPUTED_VALUE"""),"Brodzik 800x800x60 mm")</f>
        <v>Brodzik 800x800x60 mm</v>
      </c>
      <c r="C3827" s="23" t="str">
        <f ca="1">IFERROR(__xludf.DUMMYFUNCTION("""COMPUTED_VALUE"""),"Savoy Black")</f>
        <v>Savoy Black</v>
      </c>
      <c r="D3827" s="24">
        <f ca="1">IFERROR(__xludf.DUMMYFUNCTION("""COMPUTED_VALUE"""),429)</f>
        <v>429</v>
      </c>
      <c r="E3827" s="29" t="str">
        <f ca="1">IFERROR(__xludf.DUMMYFUNCTION("""COMPUTED_VALUE"""),"REA-K4804")</f>
        <v>REA-K4804</v>
      </c>
    </row>
    <row r="3828" spans="1:5" x14ac:dyDescent="0.2">
      <c r="A3828" s="22">
        <f ca="1">IFERROR(__xludf.DUMMYFUNCTION("""COMPUTED_VALUE"""),44412)</f>
        <v>44412</v>
      </c>
      <c r="B3828" s="23" t="str">
        <f ca="1">IFERROR(__xludf.DUMMYFUNCTION("""COMPUTED_VALUE"""),"Brodzik 900x900x60 mm")</f>
        <v>Brodzik 900x900x60 mm</v>
      </c>
      <c r="C3828" s="23" t="str">
        <f ca="1">IFERROR(__xludf.DUMMYFUNCTION("""COMPUTED_VALUE"""),"Savoy Black")</f>
        <v>Savoy Black</v>
      </c>
      <c r="D3828" s="24">
        <f ca="1">IFERROR(__xludf.DUMMYFUNCTION("""COMPUTED_VALUE"""),439)</f>
        <v>439</v>
      </c>
      <c r="E3828" s="29" t="str">
        <f ca="1">IFERROR(__xludf.DUMMYFUNCTION("""COMPUTED_VALUE"""),"REA-K4803")</f>
        <v>REA-K4803</v>
      </c>
    </row>
    <row r="3829" spans="1:5" x14ac:dyDescent="0.2">
      <c r="A3829" s="22">
        <f ca="1">IFERROR(__xludf.DUMMYFUNCTION("""COMPUTED_VALUE"""),44412)</f>
        <v>44412</v>
      </c>
      <c r="B3829" s="23" t="str">
        <f ca="1">IFERROR(__xludf.DUMMYFUNCTION("""COMPUTED_VALUE"""),"Brodzik 80x100x60 mm")</f>
        <v>Brodzik 80x100x60 mm</v>
      </c>
      <c r="C3829" s="23" t="str">
        <f ca="1">IFERROR(__xludf.DUMMYFUNCTION("""COMPUTED_VALUE"""),"Savoy Black")</f>
        <v>Savoy Black</v>
      </c>
      <c r="D3829" s="24">
        <f ca="1">IFERROR(__xludf.DUMMYFUNCTION("""COMPUTED_VALUE"""),459)</f>
        <v>459</v>
      </c>
      <c r="E3829" s="29" t="str">
        <f ca="1">IFERROR(__xludf.DUMMYFUNCTION("""COMPUTED_VALUE"""),"REA-K4087")</f>
        <v>REA-K4087</v>
      </c>
    </row>
    <row r="3830" spans="1:5" x14ac:dyDescent="0.2">
      <c r="A3830" s="22">
        <f ca="1">IFERROR(__xludf.DUMMYFUNCTION("""COMPUTED_VALUE"""),44412)</f>
        <v>44412</v>
      </c>
      <c r="B3830" s="23" t="str">
        <f ca="1">IFERROR(__xludf.DUMMYFUNCTION("""COMPUTED_VALUE"""),"ŚCIANKA PRYSZNICOWA FLEXI 70")</f>
        <v>ŚCIANKA PRYSZNICOWA FLEXI 70</v>
      </c>
      <c r="C3830" s="23" t="str">
        <f ca="1">IFERROR(__xludf.DUMMYFUNCTION("""COMPUTED_VALUE"""),"Flexi")</f>
        <v>Flexi</v>
      </c>
      <c r="D3830" s="24">
        <f ca="1">IFERROR(__xludf.DUMMYFUNCTION("""COMPUTED_VALUE"""),629)</f>
        <v>629</v>
      </c>
      <c r="E3830" s="26" t="str">
        <f ca="1">IFERROR(__xludf.DUMMYFUNCTION("""COMPUTED_VALUE"""),"REA-K1900")</f>
        <v>REA-K1900</v>
      </c>
    </row>
    <row r="3831" spans="1:5" x14ac:dyDescent="0.2">
      <c r="A3831" s="22">
        <f ca="1">IFERROR(__xludf.DUMMYFUNCTION("""COMPUTED_VALUE"""),44412)</f>
        <v>44412</v>
      </c>
      <c r="B3831" s="23" t="str">
        <f ca="1">IFERROR(__xludf.DUMMYFUNCTION("""COMPUTED_VALUE"""),"ŚCIANKA PRYSZNICOWA FLEXI 80")</f>
        <v>ŚCIANKA PRYSZNICOWA FLEXI 80</v>
      </c>
      <c r="C3831" s="23" t="str">
        <f ca="1">IFERROR(__xludf.DUMMYFUNCTION("""COMPUTED_VALUE"""),"Flexi")</f>
        <v>Flexi</v>
      </c>
      <c r="D3831" s="24">
        <f ca="1">IFERROR(__xludf.DUMMYFUNCTION("""COMPUTED_VALUE"""),679)</f>
        <v>679</v>
      </c>
      <c r="E3831" s="26" t="str">
        <f ca="1">IFERROR(__xludf.DUMMYFUNCTION("""COMPUTED_VALUE"""),"REA-K1901")</f>
        <v>REA-K1901</v>
      </c>
    </row>
    <row r="3832" spans="1:5" x14ac:dyDescent="0.2">
      <c r="A3832" s="22">
        <f ca="1">IFERROR(__xludf.DUMMYFUNCTION("""COMPUTED_VALUE"""),44412)</f>
        <v>44412</v>
      </c>
      <c r="B3832" s="23" t="str">
        <f ca="1">IFERROR(__xludf.DUMMYFUNCTION("""COMPUTED_VALUE"""),"ŚCIANKA PRYSZNICOWA FLEXI 90")</f>
        <v>ŚCIANKA PRYSZNICOWA FLEXI 90</v>
      </c>
      <c r="C3832" s="23" t="str">
        <f ca="1">IFERROR(__xludf.DUMMYFUNCTION("""COMPUTED_VALUE"""),"Flexi")</f>
        <v>Flexi</v>
      </c>
      <c r="D3832" s="24">
        <f ca="1">IFERROR(__xludf.DUMMYFUNCTION("""COMPUTED_VALUE"""),729)</f>
        <v>729</v>
      </c>
      <c r="E3832" s="26" t="str">
        <f ca="1">IFERROR(__xludf.DUMMYFUNCTION("""COMPUTED_VALUE"""),"REA-K1902")</f>
        <v>REA-K1902</v>
      </c>
    </row>
    <row r="3833" spans="1:5" x14ac:dyDescent="0.2">
      <c r="A3833" s="22">
        <f ca="1">IFERROR(__xludf.DUMMYFUNCTION("""COMPUTED_VALUE"""),44412)</f>
        <v>44412</v>
      </c>
      <c r="B3833" s="23" t="str">
        <f ca="1">IFERROR(__xludf.DUMMYFUNCTION("""COMPUTED_VALUE"""),"ŚCIANKA PRYSZNICOWA FLEXI 100")</f>
        <v>ŚCIANKA PRYSZNICOWA FLEXI 100</v>
      </c>
      <c r="C3833" s="23" t="str">
        <f ca="1">IFERROR(__xludf.DUMMYFUNCTION("""COMPUTED_VALUE"""),"Flexi")</f>
        <v>Flexi</v>
      </c>
      <c r="D3833" s="24">
        <f ca="1">IFERROR(__xludf.DUMMYFUNCTION("""COMPUTED_VALUE"""),779)</f>
        <v>779</v>
      </c>
      <c r="E3833" s="26" t="str">
        <f ca="1">IFERROR(__xludf.DUMMYFUNCTION("""COMPUTED_VALUE"""),"REA-K1903")</f>
        <v>REA-K1903</v>
      </c>
    </row>
    <row r="3834" spans="1:5" x14ac:dyDescent="0.2">
      <c r="A3834" s="22">
        <f ca="1">IFERROR(__xludf.DUMMYFUNCTION("""COMPUTED_VALUE"""),44412)</f>
        <v>44412</v>
      </c>
      <c r="B3834" s="23" t="str">
        <f ca="1">IFERROR(__xludf.DUMMYFUNCTION("""COMPUTED_VALUE"""),"ŚCIANKA PRYSZNICOWA FLEXI 110")</f>
        <v>ŚCIANKA PRYSZNICOWA FLEXI 110</v>
      </c>
      <c r="C3834" s="23" t="str">
        <f ca="1">IFERROR(__xludf.DUMMYFUNCTION("""COMPUTED_VALUE"""),"Flexi")</f>
        <v>Flexi</v>
      </c>
      <c r="D3834" s="24">
        <f ca="1">IFERROR(__xludf.DUMMYFUNCTION("""COMPUTED_VALUE"""),839)</f>
        <v>839</v>
      </c>
      <c r="E3834" s="26" t="str">
        <f ca="1">IFERROR(__xludf.DUMMYFUNCTION("""COMPUTED_VALUE"""),"REA-K1904")</f>
        <v>REA-K1904</v>
      </c>
    </row>
    <row r="3835" spans="1:5" x14ac:dyDescent="0.2">
      <c r="A3835" s="22">
        <f ca="1">IFERROR(__xludf.DUMMYFUNCTION("""COMPUTED_VALUE"""),44412)</f>
        <v>44412</v>
      </c>
      <c r="B3835" s="23" t="str">
        <f ca="1">IFERROR(__xludf.DUMMYFUNCTION("""COMPUTED_VALUE"""),"ŚCIANKA PRYSZNICOWA FLEXI 120")</f>
        <v>ŚCIANKA PRYSZNICOWA FLEXI 120</v>
      </c>
      <c r="C3835" s="23" t="str">
        <f ca="1">IFERROR(__xludf.DUMMYFUNCTION("""COMPUTED_VALUE"""),"Flexi")</f>
        <v>Flexi</v>
      </c>
      <c r="D3835" s="24">
        <f ca="1">IFERROR(__xludf.DUMMYFUNCTION("""COMPUTED_VALUE"""),849)</f>
        <v>849</v>
      </c>
      <c r="E3835" s="26" t="str">
        <f ca="1">IFERROR(__xludf.DUMMYFUNCTION("""COMPUTED_VALUE"""),"REA-K1905")</f>
        <v>REA-K1905</v>
      </c>
    </row>
    <row r="3836" spans="1:5" x14ac:dyDescent="0.2">
      <c r="A3836" s="22">
        <f ca="1">IFERROR(__xludf.DUMMYFUNCTION("""COMPUTED_VALUE"""),44412)</f>
        <v>44412</v>
      </c>
      <c r="B3836" s="23" t="str">
        <f ca="1">IFERROR(__xludf.DUMMYFUNCTION("""COMPUTED_VALUE"""),"Misa wisząca")</f>
        <v>Misa wisząca</v>
      </c>
      <c r="C3836" s="23" t="str">
        <f ca="1">IFERROR(__xludf.DUMMYFUNCTION("""COMPUTED_VALUE"""),"Carlo Brush Gold")</f>
        <v>Carlo Brush Gold</v>
      </c>
      <c r="D3836" s="28">
        <f ca="1">IFERROR(__xludf.DUMMYFUNCTION("""COMPUTED_VALUE"""),1269)</f>
        <v>1269</v>
      </c>
      <c r="E3836" s="26" t="str">
        <f ca="1">IFERROR(__xludf.DUMMYFUNCTION("""COMPUTED_VALUE"""),"REA-C6942")</f>
        <v>REA-C6942</v>
      </c>
    </row>
    <row r="3837" spans="1:5" x14ac:dyDescent="0.2">
      <c r="A3837" s="22">
        <f ca="1">IFERROR(__xludf.DUMMYFUNCTION("""COMPUTED_VALUE"""),44412)</f>
        <v>44412</v>
      </c>
      <c r="B3837" s="23" t="str">
        <f ca="1">IFERROR(__xludf.DUMMYFUNCTION("""COMPUTED_VALUE"""),"MISA WISZĄCA")</f>
        <v>MISA WISZĄCA</v>
      </c>
      <c r="C3837" s="23" t="str">
        <f ca="1">IFERROR(__xludf.DUMMYFUNCTION("""COMPUTED_VALUE"""),"Carlo Mini Black FLAT")</f>
        <v>Carlo Mini Black FLAT</v>
      </c>
      <c r="D3837" s="28">
        <f ca="1">IFERROR(__xludf.DUMMYFUNCTION("""COMPUTED_VALUE"""),949)</f>
        <v>949</v>
      </c>
      <c r="E3837" s="26" t="str">
        <f ca="1">IFERROR(__xludf.DUMMYFUNCTION("""COMPUTED_VALUE"""),"REA-C8936")</f>
        <v>REA-C8936</v>
      </c>
    </row>
    <row r="3838" spans="1:5" x14ac:dyDescent="0.2">
      <c r="A3838" s="22">
        <f ca="1">IFERROR(__xludf.DUMMYFUNCTION("""COMPUTED_VALUE"""),44412)</f>
        <v>44412</v>
      </c>
      <c r="B3838" s="23" t="str">
        <f ca="1">IFERROR(__xludf.DUMMYFUNCTION("""COMPUTED_VALUE"""),"MISA WISZĄCA")</f>
        <v>MISA WISZĄCA</v>
      </c>
      <c r="C3838" s="23" t="str">
        <f ca="1">IFERROR(__xludf.DUMMYFUNCTION("""COMPUTED_VALUE"""),"Carlo Mini Black Mat Flat")</f>
        <v>Carlo Mini Black Mat Flat</v>
      </c>
      <c r="D3838" s="28">
        <f ca="1">IFERROR(__xludf.DUMMYFUNCTION("""COMPUTED_VALUE"""),999)</f>
        <v>999</v>
      </c>
      <c r="E3838" s="26" t="str">
        <f ca="1">IFERROR(__xludf.DUMMYFUNCTION("""COMPUTED_VALUE"""),"REA-C8489")</f>
        <v>REA-C8489</v>
      </c>
    </row>
    <row r="3839" spans="1:5" x14ac:dyDescent="0.2">
      <c r="A3839" s="22">
        <f ca="1">IFERROR(__xludf.DUMMYFUNCTION("""COMPUTED_VALUE"""),44412)</f>
        <v>44412</v>
      </c>
      <c r="B3839" s="23" t="str">
        <f ca="1">IFERROR(__xludf.DUMMYFUNCTION("""COMPUTED_VALUE"""),"Umywalka blatowa")</f>
        <v>Umywalka blatowa</v>
      </c>
      <c r="C3839" s="23" t="str">
        <f ca="1">IFERROR(__xludf.DUMMYFUNCTION("""COMPUTED_VALUE"""),"Vegas Black Marble Mat")</f>
        <v>Vegas Black Marble Mat</v>
      </c>
      <c r="D3839" s="24">
        <f ca="1">IFERROR(__xludf.DUMMYFUNCTION("""COMPUTED_VALUE"""),299)</f>
        <v>299</v>
      </c>
      <c r="E3839" s="26" t="str">
        <f ca="1">IFERROR(__xludf.DUMMYFUNCTION("""COMPUTED_VALUE"""),"REA-U0994")</f>
        <v>REA-U0994</v>
      </c>
    </row>
    <row r="3840" spans="1:5" x14ac:dyDescent="0.2">
      <c r="A3840" s="22">
        <f ca="1">IFERROR(__xludf.DUMMYFUNCTION("""COMPUTED_VALUE"""),44412)</f>
        <v>44412</v>
      </c>
      <c r="B3840" s="23" t="str">
        <f ca="1">IFERROR(__xludf.DUMMYFUNCTION("""COMPUTED_VALUE"""),"Umywalka blatowa")</f>
        <v>Umywalka blatowa</v>
      </c>
      <c r="C3840" s="23" t="str">
        <f ca="1">IFERROR(__xludf.DUMMYFUNCTION("""COMPUTED_VALUE"""),"Royal Marble Black Matt")</f>
        <v>Royal Marble Black Matt</v>
      </c>
      <c r="D3840" s="24">
        <f ca="1">IFERROR(__xludf.DUMMYFUNCTION("""COMPUTED_VALUE"""),419)</f>
        <v>419</v>
      </c>
      <c r="E3840" s="26" t="str">
        <f ca="1">IFERROR(__xludf.DUMMYFUNCTION("""COMPUTED_VALUE"""),"REA-U7478")</f>
        <v>REA-U7478</v>
      </c>
    </row>
    <row r="3841" spans="1:5" x14ac:dyDescent="0.2">
      <c r="A3841" s="22">
        <f ca="1">IFERROR(__xludf.DUMMYFUNCTION("""COMPUTED_VALUE"""),44412)</f>
        <v>44412</v>
      </c>
      <c r="B3841" s="23" t="str">
        <f ca="1">IFERROR(__xludf.DUMMYFUNCTION("""COMPUTED_VALUE"""),"Umywalka blatowa")</f>
        <v>Umywalka blatowa</v>
      </c>
      <c r="C3841" s="23" t="str">
        <f ca="1">IFERROR(__xludf.DUMMYFUNCTION("""COMPUTED_VALUE"""),"Andrea")</f>
        <v>Andrea</v>
      </c>
      <c r="D3841" s="24">
        <f ca="1">IFERROR(__xludf.DUMMYFUNCTION("""COMPUTED_VALUE"""),229)</f>
        <v>229</v>
      </c>
      <c r="E3841" s="26" t="str">
        <f ca="1">IFERROR(__xludf.DUMMYFUNCTION("""COMPUTED_VALUE"""),"REA-U6333")</f>
        <v>REA-U6333</v>
      </c>
    </row>
    <row r="3842" spans="1:5" x14ac:dyDescent="0.2">
      <c r="A3842" s="22">
        <f ca="1">IFERROR(__xludf.DUMMYFUNCTION("""COMPUTED_VALUE"""),44412)</f>
        <v>44412</v>
      </c>
      <c r="B3842" s="23" t="str">
        <f ca="1">IFERROR(__xludf.DUMMYFUNCTION("""COMPUTED_VALUE"""),"Umywalka stojąca")</f>
        <v>Umywalka stojąca</v>
      </c>
      <c r="C3842" s="23" t="str">
        <f ca="1">IFERROR(__xludf.DUMMYFUNCTION("""COMPUTED_VALUE"""),"Blanka Marble Matt")</f>
        <v>Blanka Marble Matt</v>
      </c>
      <c r="D3842" s="24">
        <f ca="1">IFERROR(__xludf.DUMMYFUNCTION("""COMPUTED_VALUE"""),1319)</f>
        <v>1319</v>
      </c>
      <c r="E3842" s="26" t="str">
        <f ca="1">IFERROR(__xludf.DUMMYFUNCTION("""COMPUTED_VALUE"""),"REA-U8704")</f>
        <v>REA-U8704</v>
      </c>
    </row>
    <row r="3843" spans="1:5" x14ac:dyDescent="0.2">
      <c r="A3843" s="22">
        <f ca="1">IFERROR(__xludf.DUMMYFUNCTION("""COMPUTED_VALUE"""),44412)</f>
        <v>44412</v>
      </c>
      <c r="B3843" s="23" t="str">
        <f ca="1">IFERROR(__xludf.DUMMYFUNCTION("""COMPUTED_VALUE"""),"Umywalka blatowa")</f>
        <v>Umywalka blatowa</v>
      </c>
      <c r="C3843" s="23" t="str">
        <f ca="1">IFERROR(__xludf.DUMMYFUNCTION("""COMPUTED_VALUE"""),"Gina 60")</f>
        <v>Gina 60</v>
      </c>
      <c r="D3843" s="24">
        <f ca="1">IFERROR(__xludf.DUMMYFUNCTION("""COMPUTED_VALUE"""),389)</f>
        <v>389</v>
      </c>
      <c r="E3843" s="26" t="str">
        <f ca="1">IFERROR(__xludf.DUMMYFUNCTION("""COMPUTED_VALUE"""),"REA-U0677")</f>
        <v>REA-U0677</v>
      </c>
    </row>
    <row r="3844" spans="1:5" x14ac:dyDescent="0.2">
      <c r="A3844" s="22">
        <f ca="1">IFERROR(__xludf.DUMMYFUNCTION("""COMPUTED_VALUE"""),44412)</f>
        <v>44412</v>
      </c>
      <c r="B3844" s="23" t="str">
        <f ca="1">IFERROR(__xludf.DUMMYFUNCTION("""COMPUTED_VALUE"""),"Umywalka blatowa")</f>
        <v>Umywalka blatowa</v>
      </c>
      <c r="C3844" s="23" t="str">
        <f ca="1">IFERROR(__xludf.DUMMYFUNCTION("""COMPUTED_VALUE"""),"Linda Silver White")</f>
        <v>Linda Silver White</v>
      </c>
      <c r="D3844" s="24">
        <f ca="1">IFERROR(__xludf.DUMMYFUNCTION("""COMPUTED_VALUE"""),369)</f>
        <v>369</v>
      </c>
      <c r="E3844" s="26" t="str">
        <f ca="1">IFERROR(__xludf.DUMMYFUNCTION("""COMPUTED_VALUE"""),"REA-U1135")</f>
        <v>REA-U1135</v>
      </c>
    </row>
    <row r="3845" spans="1:5" x14ac:dyDescent="0.2">
      <c r="A3845" s="22">
        <f ca="1">IFERROR(__xludf.DUMMYFUNCTION("""COMPUTED_VALUE"""),44412)</f>
        <v>44412</v>
      </c>
      <c r="B3845" s="23" t="str">
        <f ca="1">IFERROR(__xludf.DUMMYFUNCTION("""COMPUTED_VALUE"""),"Umywalka blatowa")</f>
        <v>Umywalka blatowa</v>
      </c>
      <c r="C3845" s="23" t="str">
        <f ca="1">IFERROR(__xludf.DUMMYFUNCTION("""COMPUTED_VALUE"""),"Linda Stone")</f>
        <v>Linda Stone</v>
      </c>
      <c r="D3845" s="24">
        <f ca="1">IFERROR(__xludf.DUMMYFUNCTION("""COMPUTED_VALUE"""),339)</f>
        <v>339</v>
      </c>
      <c r="E3845" s="26" t="str">
        <f ca="1">IFERROR(__xludf.DUMMYFUNCTION("""COMPUTED_VALUE"""),"REA-U1020")</f>
        <v>REA-U1020</v>
      </c>
    </row>
    <row r="3846" spans="1:5" x14ac:dyDescent="0.2">
      <c r="A3846" s="22">
        <f ca="1">IFERROR(__xludf.DUMMYFUNCTION("""COMPUTED_VALUE"""),44412)</f>
        <v>44412</v>
      </c>
      <c r="B3846" s="23" t="str">
        <f ca="1">IFERROR(__xludf.DUMMYFUNCTION("""COMPUTED_VALUE"""),"Umywalka blatowa")</f>
        <v>Umywalka blatowa</v>
      </c>
      <c r="C3846" s="23" t="str">
        <f ca="1">IFERROR(__xludf.DUMMYFUNCTION("""COMPUTED_VALUE"""),"Sofia Black Marble Shiny")</f>
        <v>Sofia Black Marble Shiny</v>
      </c>
      <c r="D3846" s="24">
        <f ca="1">IFERROR(__xludf.DUMMYFUNCTION("""COMPUTED_VALUE"""),299)</f>
        <v>299</v>
      </c>
      <c r="E3846" s="26" t="str">
        <f ca="1">IFERROR(__xludf.DUMMYFUNCTION("""COMPUTED_VALUE"""),"REA-U5611")</f>
        <v>REA-U5611</v>
      </c>
    </row>
    <row r="3847" spans="1:5" x14ac:dyDescent="0.2">
      <c r="A3847" s="22">
        <f ca="1">IFERROR(__xludf.DUMMYFUNCTION("""COMPUTED_VALUE"""),44412)</f>
        <v>44412</v>
      </c>
      <c r="B3847" s="23" t="str">
        <f ca="1">IFERROR(__xludf.DUMMYFUNCTION("""COMPUTED_VALUE"""),"Ścianka do kabin Rapid")</f>
        <v>Ścianka do kabin Rapid</v>
      </c>
      <c r="C3847" s="23" t="str">
        <f ca="1">IFERROR(__xludf.DUMMYFUNCTION("""COMPUTED_VALUE"""),"RAPID 90")</f>
        <v>RAPID 90</v>
      </c>
      <c r="D3847" s="24">
        <f ca="1">IFERROR(__xludf.DUMMYFUNCTION("""COMPUTED_VALUE"""),609)</f>
        <v>609</v>
      </c>
      <c r="E3847" s="26" t="str">
        <f ca="1">IFERROR(__xludf.DUMMYFUNCTION("""COMPUTED_VALUE"""),"REA-K6422")</f>
        <v>REA-K6422</v>
      </c>
    </row>
    <row r="3848" spans="1:5" x14ac:dyDescent="0.2">
      <c r="A3848" s="22">
        <f ca="1">IFERROR(__xludf.DUMMYFUNCTION("""COMPUTED_VALUE"""),44412)</f>
        <v>44412</v>
      </c>
      <c r="B3848" s="23" t="str">
        <f ca="1">IFERROR(__xludf.DUMMYFUNCTION("""COMPUTED_VALUE"""),"KABINA SOLAR BLACK 90X120")</f>
        <v>KABINA SOLAR BLACK 90X120</v>
      </c>
      <c r="C3848" s="23" t="str">
        <f ca="1">IFERROR(__xludf.DUMMYFUNCTION("""COMPUTED_VALUE"""),"Solar")</f>
        <v>Solar</v>
      </c>
      <c r="D3848" s="24">
        <f ca="1">IFERROR(__xludf.DUMMYFUNCTION("""COMPUTED_VALUE"""),1339)</f>
        <v>1339</v>
      </c>
      <c r="E3848" s="26" t="str">
        <f ca="1">IFERROR(__xludf.DUMMYFUNCTION("""COMPUTED_VALUE"""),"REA-K6311")</f>
        <v>REA-K6311</v>
      </c>
    </row>
    <row r="3849" spans="1:5" x14ac:dyDescent="0.2">
      <c r="A3849" s="22">
        <f ca="1">IFERROR(__xludf.DUMMYFUNCTION("""COMPUTED_VALUE"""),44412)</f>
        <v>44412</v>
      </c>
      <c r="B3849" s="23" t="str">
        <f ca="1">IFERROR(__xludf.DUMMYFUNCTION("""COMPUTED_VALUE"""),"KABINA SOLAR BLACK 80X100")</f>
        <v>KABINA SOLAR BLACK 80X100</v>
      </c>
      <c r="C3849" s="23" t="str">
        <f ca="1">IFERROR(__xludf.DUMMYFUNCTION("""COMPUTED_VALUE"""),"Solar")</f>
        <v>Solar</v>
      </c>
      <c r="D3849" s="24">
        <f ca="1">IFERROR(__xludf.DUMMYFUNCTION("""COMPUTED_VALUE"""),1229)</f>
        <v>1229</v>
      </c>
      <c r="E3849" s="26" t="str">
        <f ca="1">IFERROR(__xludf.DUMMYFUNCTION("""COMPUTED_VALUE"""),"REA-K6310")</f>
        <v>REA-K6310</v>
      </c>
    </row>
    <row r="3850" spans="1:5" x14ac:dyDescent="0.2">
      <c r="A3850" s="22">
        <f ca="1">IFERROR(__xludf.DUMMYFUNCTION("""COMPUTED_VALUE"""),44412)</f>
        <v>44412</v>
      </c>
      <c r="B3850" s="23" t="str">
        <f ca="1">IFERROR(__xludf.DUMMYFUNCTION("""COMPUTED_VALUE"""),"Bateria umywalkowa")</f>
        <v>Bateria umywalkowa</v>
      </c>
      <c r="C3850" s="23" t="str">
        <f ca="1">IFERROR(__xludf.DUMMYFUNCTION("""COMPUTED_VALUE"""),"Icon Black Niska")</f>
        <v>Icon Black Niska</v>
      </c>
      <c r="D3850" s="24">
        <f ca="1">IFERROR(__xludf.DUMMYFUNCTION("""COMPUTED_VALUE"""),219)</f>
        <v>219</v>
      </c>
      <c r="E3850" s="26" t="str">
        <f ca="1">IFERROR(__xludf.DUMMYFUNCTION("""COMPUTED_VALUE"""),"REA-B5680")</f>
        <v>REA-B5680</v>
      </c>
    </row>
    <row r="3851" spans="1:5" x14ac:dyDescent="0.2">
      <c r="A3851" s="22">
        <f ca="1">IFERROR(__xludf.DUMMYFUNCTION("""COMPUTED_VALUE"""),44412)</f>
        <v>44412</v>
      </c>
      <c r="B3851" s="23" t="str">
        <f ca="1">IFERROR(__xludf.DUMMYFUNCTION("""COMPUTED_VALUE"""),"Bateria umywalkowa")</f>
        <v>Bateria umywalkowa</v>
      </c>
      <c r="C3851" s="23" t="str">
        <f ca="1">IFERROR(__xludf.DUMMYFUNCTION("""COMPUTED_VALUE"""),"Icon Black Wysoka")</f>
        <v>Icon Black Wysoka</v>
      </c>
      <c r="D3851" s="24">
        <f ca="1">IFERROR(__xludf.DUMMYFUNCTION("""COMPUTED_VALUE"""),279)</f>
        <v>279</v>
      </c>
      <c r="E3851" s="26" t="str">
        <f ca="1">IFERROR(__xludf.DUMMYFUNCTION("""COMPUTED_VALUE"""),"REA-B5681")</f>
        <v>REA-B5681</v>
      </c>
    </row>
    <row r="3852" spans="1:5" x14ac:dyDescent="0.2">
      <c r="A3852" s="22">
        <f ca="1">IFERROR(__xludf.DUMMYFUNCTION("""COMPUTED_VALUE"""),44412)</f>
        <v>44412</v>
      </c>
      <c r="B3852" s="23" t="str">
        <f ca="1">IFERROR(__xludf.DUMMYFUNCTION("""COMPUTED_VALUE"""),"Bateria umywalkowa")</f>
        <v>Bateria umywalkowa</v>
      </c>
      <c r="C3852" s="23" t="str">
        <f ca="1">IFERROR(__xludf.DUMMYFUNCTION("""COMPUTED_VALUE"""),"Luppo Black Niska")</f>
        <v>Luppo Black Niska</v>
      </c>
      <c r="D3852" s="24">
        <f ca="1">IFERROR(__xludf.DUMMYFUNCTION("""COMPUTED_VALUE"""),179)</f>
        <v>179</v>
      </c>
      <c r="E3852" s="26" t="str">
        <f ca="1">IFERROR(__xludf.DUMMYFUNCTION("""COMPUTED_VALUE"""),"REA-B5668")</f>
        <v>REA-B5668</v>
      </c>
    </row>
    <row r="3853" spans="1:5" x14ac:dyDescent="0.2">
      <c r="A3853" s="22">
        <f ca="1">IFERROR(__xludf.DUMMYFUNCTION("""COMPUTED_VALUE"""),44412)</f>
        <v>44412</v>
      </c>
      <c r="B3853" s="23" t="str">
        <f ca="1">IFERROR(__xludf.DUMMYFUNCTION("""COMPUTED_VALUE"""),"Wanna wolnostojąca")</f>
        <v>Wanna wolnostojąca</v>
      </c>
      <c r="C3853" s="23" t="str">
        <f ca="1">IFERROR(__xludf.DUMMYFUNCTION("""COMPUTED_VALUE"""),"Silvano 1700")</f>
        <v>Silvano 1700</v>
      </c>
      <c r="D3853" s="24">
        <f ca="1">IFERROR(__xludf.DUMMYFUNCTION("""COMPUTED_VALUE"""),4699)</f>
        <v>4699</v>
      </c>
      <c r="E3853" s="26" t="str">
        <f ca="1">IFERROR(__xludf.DUMMYFUNCTION("""COMPUTED_VALUE"""),"REA-W0105")</f>
        <v>REA-W0105</v>
      </c>
    </row>
    <row r="3854" spans="1:5" x14ac:dyDescent="0.2">
      <c r="A3854" s="22">
        <f ca="1">IFERROR(__xludf.DUMMYFUNCTION("""COMPUTED_VALUE"""),44412)</f>
        <v>44412</v>
      </c>
      <c r="B3854" s="23" t="str">
        <f ca="1">IFERROR(__xludf.DUMMYFUNCTION("""COMPUTED_VALUE"""),"Wanna wolnostojąca")</f>
        <v>Wanna wolnostojąca</v>
      </c>
      <c r="C3854" s="23" t="str">
        <f ca="1">IFERROR(__xludf.DUMMYFUNCTION("""COMPUTED_VALUE"""),"Ferrano 1600")</f>
        <v>Ferrano 1600</v>
      </c>
      <c r="D3854" s="24">
        <f ca="1">IFERROR(__xludf.DUMMYFUNCTION("""COMPUTED_VALUE"""),4999)</f>
        <v>4999</v>
      </c>
      <c r="E3854" s="26" t="str">
        <f ca="1">IFERROR(__xludf.DUMMYFUNCTION("""COMPUTED_VALUE"""),"REA-W0150")</f>
        <v>REA-W0150</v>
      </c>
    </row>
    <row r="3855" spans="1:5" x14ac:dyDescent="0.2">
      <c r="A3855" s="22">
        <f ca="1">IFERROR(__xludf.DUMMYFUNCTION("""COMPUTED_VALUE"""),44412)</f>
        <v>44412</v>
      </c>
      <c r="B3855" s="23" t="str">
        <f ca="1">IFERROR(__xludf.DUMMYFUNCTION("""COMPUTED_VALUE"""),"Wanna wolnostojąca")</f>
        <v>Wanna wolnostojąca</v>
      </c>
      <c r="C3855" s="23" t="str">
        <f ca="1">IFERROR(__xludf.DUMMYFUNCTION("""COMPUTED_VALUE"""),"Ferrano 1700")</f>
        <v>Ferrano 1700</v>
      </c>
      <c r="D3855" s="24">
        <f ca="1">IFERROR(__xludf.DUMMYFUNCTION("""COMPUTED_VALUE"""),5199)</f>
        <v>5199</v>
      </c>
      <c r="E3855" s="26" t="str">
        <f ca="1">IFERROR(__xludf.DUMMYFUNCTION("""COMPUTED_VALUE"""),"REA-W6000")</f>
        <v>REA-W6000</v>
      </c>
    </row>
    <row r="3856" spans="1:5" x14ac:dyDescent="0.2">
      <c r="A3856" s="22">
        <f ca="1">IFERROR(__xludf.DUMMYFUNCTION("""COMPUTED_VALUE"""),44412)</f>
        <v>44412</v>
      </c>
      <c r="B3856" s="23" t="str">
        <f ca="1">IFERROR(__xludf.DUMMYFUNCTION("""COMPUTED_VALUE"""),"Wanna wolnostojąca/przyścienna 1700")</f>
        <v>Wanna wolnostojąca/przyścienna 1700</v>
      </c>
      <c r="C3856" s="23" t="str">
        <f ca="1">IFERROR(__xludf.DUMMYFUNCTION("""COMPUTED_VALUE"""),"Olimpia")</f>
        <v>Olimpia</v>
      </c>
      <c r="D3856" s="24">
        <f ca="1">IFERROR(__xludf.DUMMYFUNCTION("""COMPUTED_VALUE"""),5159)</f>
        <v>5159</v>
      </c>
      <c r="E3856" s="26" t="str">
        <f ca="1">IFERROR(__xludf.DUMMYFUNCTION("""COMPUTED_VALUE"""),"REA-W0633")</f>
        <v>REA-W0633</v>
      </c>
    </row>
    <row r="3857" spans="1:5" x14ac:dyDescent="0.2">
      <c r="A3857" s="22">
        <f ca="1">IFERROR(__xludf.DUMMYFUNCTION("""COMPUTED_VALUE"""),44412)</f>
        <v>44412</v>
      </c>
      <c r="B3857" s="23" t="str">
        <f ca="1">IFERROR(__xludf.DUMMYFUNCTION("""COMPUTED_VALUE"""),"Zestaw natryskowy z baterią i deszczownicą UltraSlim ""20""")</f>
        <v>Zestaw natryskowy z baterią i deszczownicą UltraSlim "20"</v>
      </c>
      <c r="C3857" s="23" t="str">
        <f ca="1">IFERROR(__xludf.DUMMYFUNCTION("""COMPUTED_VALUE"""),"Navaro")</f>
        <v>Navaro</v>
      </c>
      <c r="D3857" s="24">
        <f ca="1">IFERROR(__xludf.DUMMYFUNCTION("""COMPUTED_VALUE"""),689)</f>
        <v>689</v>
      </c>
      <c r="E3857" s="26" t="str">
        <f ca="1">IFERROR(__xludf.DUMMYFUNCTION("""COMPUTED_VALUE"""),"REA-P0802")</f>
        <v>REA-P0802</v>
      </c>
    </row>
    <row r="3858" spans="1:5" x14ac:dyDescent="0.2">
      <c r="A3858" s="22">
        <f ca="1">IFERROR(__xludf.DUMMYFUNCTION("""COMPUTED_VALUE"""),44412)</f>
        <v>44412</v>
      </c>
      <c r="B3858" s="23" t="str">
        <f ca="1">IFERROR(__xludf.DUMMYFUNCTION("""COMPUTED_VALUE"""),"Kabina prysznicowa")</f>
        <v>Kabina prysznicowa</v>
      </c>
      <c r="C3858" s="23" t="str">
        <f ca="1">IFERROR(__xludf.DUMMYFUNCTION("""COMPUTED_VALUE"""),"Punto Black 90x90")</f>
        <v>Punto Black 90x90</v>
      </c>
      <c r="D3858" s="24">
        <f ca="1">IFERROR(__xludf.DUMMYFUNCTION("""COMPUTED_VALUE"""),869)</f>
        <v>869</v>
      </c>
      <c r="E3858" s="26" t="str">
        <f ca="1">IFERROR(__xludf.DUMMYFUNCTION("""COMPUTED_VALUE"""),"REA-K4801")</f>
        <v>REA-K4801</v>
      </c>
    </row>
    <row r="3859" spans="1:5" x14ac:dyDescent="0.2">
      <c r="A3859" s="22">
        <f ca="1">IFERROR(__xludf.DUMMYFUNCTION("""COMPUTED_VALUE"""),44412)</f>
        <v>44412</v>
      </c>
      <c r="B3859" s="23" t="str">
        <f ca="1">IFERROR(__xludf.DUMMYFUNCTION("""COMPUTED_VALUE"""),"Bateria Bidetowa")</f>
        <v>Bateria Bidetowa</v>
      </c>
      <c r="C3859" s="23" t="str">
        <f ca="1">IFERROR(__xludf.DUMMYFUNCTION("""COMPUTED_VALUE"""),"Fenix Gold")</f>
        <v>Fenix Gold</v>
      </c>
      <c r="D3859" s="24">
        <f ca="1">IFERROR(__xludf.DUMMYFUNCTION("""COMPUTED_VALUE"""),359)</f>
        <v>359</v>
      </c>
      <c r="E3859" s="26" t="str">
        <f ca="1">IFERROR(__xludf.DUMMYFUNCTION("""COMPUTED_VALUE"""),"REA-B5771")</f>
        <v>REA-B5771</v>
      </c>
    </row>
    <row r="3860" spans="1:5" x14ac:dyDescent="0.2">
      <c r="A3860" s="22">
        <f ca="1">IFERROR(__xludf.DUMMYFUNCTION("""COMPUTED_VALUE"""),44403)</f>
        <v>44403</v>
      </c>
      <c r="B3860" s="23" t="str">
        <f ca="1">IFERROR(__xludf.DUMMYFUNCTION("""COMPUTED_VALUE"""),"Bateria wannowa")</f>
        <v>Bateria wannowa</v>
      </c>
      <c r="C3860" s="23" t="str">
        <f ca="1">IFERROR(__xludf.DUMMYFUNCTION("""COMPUTED_VALUE"""),"Luppo ")</f>
        <v xml:space="preserve">Luppo </v>
      </c>
      <c r="D3860" s="24">
        <f ca="1">IFERROR(__xludf.DUMMYFUNCTION("""COMPUTED_VALUE"""),299)</f>
        <v>299</v>
      </c>
      <c r="E3860" s="26" t="str">
        <f ca="1">IFERROR(__xludf.DUMMYFUNCTION("""COMPUTED_VALUE"""),"REA-B5770")</f>
        <v>REA-B5770</v>
      </c>
    </row>
    <row r="3861" spans="1:5" x14ac:dyDescent="0.2">
      <c r="A3861" s="22">
        <f ca="1">IFERROR(__xludf.DUMMYFUNCTION("""COMPUTED_VALUE"""),44403)</f>
        <v>44403</v>
      </c>
      <c r="B3861" s="23" t="str">
        <f ca="1">IFERROR(__xludf.DUMMYFUNCTION("""COMPUTED_VALUE"""),"Bateria wannowa")</f>
        <v>Bateria wannowa</v>
      </c>
      <c r="C3861" s="23" t="str">
        <f ca="1">IFERROR(__xludf.DUMMYFUNCTION("""COMPUTED_VALUE"""),"Buzz Black Mat")</f>
        <v>Buzz Black Mat</v>
      </c>
      <c r="D3861" s="24">
        <f ca="1">IFERROR(__xludf.DUMMYFUNCTION("""COMPUTED_VALUE"""),299)</f>
        <v>299</v>
      </c>
      <c r="E3861" s="26" t="str">
        <f ca="1">IFERROR(__xludf.DUMMYFUNCTION("""COMPUTED_VALUE"""),"REA-B3421")</f>
        <v>REA-B3421</v>
      </c>
    </row>
    <row r="3862" spans="1:5" x14ac:dyDescent="0.2">
      <c r="A3862" s="22">
        <f ca="1">IFERROR(__xludf.DUMMYFUNCTION("""COMPUTED_VALUE"""),44403)</f>
        <v>44403</v>
      </c>
      <c r="B3862" s="23" t="str">
        <f ca="1">IFERROR(__xludf.DUMMYFUNCTION("""COMPUTED_VALUE"""),"Bateria kuchenna")</f>
        <v>Bateria kuchenna</v>
      </c>
      <c r="C3862" s="23" t="str">
        <f ca="1">IFERROR(__xludf.DUMMYFUNCTION("""COMPUTED_VALUE"""),"Clever")</f>
        <v>Clever</v>
      </c>
      <c r="D3862" s="24">
        <f ca="1">IFERROR(__xludf.DUMMYFUNCTION("""COMPUTED_VALUE"""),169)</f>
        <v>169</v>
      </c>
      <c r="E3862" s="26" t="str">
        <f ca="1">IFERROR(__xludf.DUMMYFUNCTION("""COMPUTED_VALUE"""),"REA-B5698")</f>
        <v>REA-B5698</v>
      </c>
    </row>
    <row r="3863" spans="1:5" x14ac:dyDescent="0.2">
      <c r="A3863" s="22">
        <f ca="1">IFERROR(__xludf.DUMMYFUNCTION("""COMPUTED_VALUE"""),44403)</f>
        <v>44403</v>
      </c>
      <c r="B3863" s="23" t="str">
        <f ca="1">IFERROR(__xludf.DUMMYFUNCTION("""COMPUTED_VALUE"""),"Bateria kuchenna")</f>
        <v>Bateria kuchenna</v>
      </c>
      <c r="C3863" s="23" t="str">
        <f ca="1">IFERROR(__xludf.DUMMYFUNCTION("""COMPUTED_VALUE"""),"Clever Black/Gold")</f>
        <v>Clever Black/Gold</v>
      </c>
      <c r="D3863" s="24">
        <f ca="1">IFERROR(__xludf.DUMMYFUNCTION("""COMPUTED_VALUE"""),179)</f>
        <v>179</v>
      </c>
      <c r="E3863" s="26" t="str">
        <f ca="1">IFERROR(__xludf.DUMMYFUNCTION("""COMPUTED_VALUE"""),"REA-B5219")</f>
        <v>REA-B5219</v>
      </c>
    </row>
    <row r="3864" spans="1:5" x14ac:dyDescent="0.2">
      <c r="A3864" s="22">
        <f ca="1">IFERROR(__xludf.DUMMYFUNCTION("""COMPUTED_VALUE"""),44403)</f>
        <v>44403</v>
      </c>
      <c r="B3864" s="23" t="str">
        <f ca="1">IFERROR(__xludf.DUMMYFUNCTION("""COMPUTED_VALUE"""),"Bateria umywalkowa wysoka")</f>
        <v>Bateria umywalkowa wysoka</v>
      </c>
      <c r="C3864" s="23" t="str">
        <f ca="1">IFERROR(__xludf.DUMMYFUNCTION("""COMPUTED_VALUE"""),"Fenix Black")</f>
        <v>Fenix Black</v>
      </c>
      <c r="D3864" s="24">
        <f ca="1">IFERROR(__xludf.DUMMYFUNCTION("""COMPUTED_VALUE"""),389)</f>
        <v>389</v>
      </c>
      <c r="E3864" s="26" t="str">
        <f ca="1">IFERROR(__xludf.DUMMYFUNCTION("""COMPUTED_VALUE"""),"REA-B7849")</f>
        <v>REA-B7849</v>
      </c>
    </row>
    <row r="3865" spans="1:5" x14ac:dyDescent="0.2">
      <c r="A3865" s="22">
        <f ca="1">IFERROR(__xludf.DUMMYFUNCTION("""COMPUTED_VALUE"""),44403)</f>
        <v>44403</v>
      </c>
      <c r="B3865" s="23" t="str">
        <f ca="1">IFERROR(__xludf.DUMMYFUNCTION("""COMPUTED_VALUE"""),"Bateria umywalkowa /wysoka/")</f>
        <v>Bateria umywalkowa /wysoka/</v>
      </c>
      <c r="C3865" s="23" t="str">
        <f ca="1">IFERROR(__xludf.DUMMYFUNCTION("""COMPUTED_VALUE"""),"Lugano Gold")</f>
        <v>Lugano Gold</v>
      </c>
      <c r="D3865" s="24">
        <f ca="1">IFERROR(__xludf.DUMMYFUNCTION("""COMPUTED_VALUE"""),289)</f>
        <v>289</v>
      </c>
      <c r="E3865" s="26" t="str">
        <f ca="1">IFERROR(__xludf.DUMMYFUNCTION("""COMPUTED_VALUE"""),"REA-B5002")</f>
        <v>REA-B5002</v>
      </c>
    </row>
    <row r="3866" spans="1:5" x14ac:dyDescent="0.2">
      <c r="A3866" s="22">
        <f ca="1">IFERROR(__xludf.DUMMYFUNCTION("""COMPUTED_VALUE"""),44403)</f>
        <v>44403</v>
      </c>
      <c r="B3866" s="23" t="str">
        <f ca="1">IFERROR(__xludf.DUMMYFUNCTION("""COMPUTED_VALUE"""),"Bateria wannowa")</f>
        <v>Bateria wannowa</v>
      </c>
      <c r="C3866" s="23" t="str">
        <f ca="1">IFERROR(__xludf.DUMMYFUNCTION("""COMPUTED_VALUE"""),"Lungo Black")</f>
        <v>Lungo Black</v>
      </c>
      <c r="D3866" s="24">
        <f ca="1">IFERROR(__xludf.DUMMYFUNCTION("""COMPUTED_VALUE"""),479)</f>
        <v>479</v>
      </c>
      <c r="E3866" s="26" t="str">
        <f ca="1">IFERROR(__xludf.DUMMYFUNCTION("""COMPUTED_VALUE"""),"REA-B6634")</f>
        <v>REA-B6634</v>
      </c>
    </row>
    <row r="3867" spans="1:5" x14ac:dyDescent="0.2">
      <c r="A3867" s="22">
        <f ca="1">IFERROR(__xludf.DUMMYFUNCTION("""COMPUTED_VALUE"""),44403)</f>
        <v>44403</v>
      </c>
      <c r="B3867" s="23" t="str">
        <f ca="1">IFERROR(__xludf.DUMMYFUNCTION("""COMPUTED_VALUE"""),"Bateria kuchenna")</f>
        <v>Bateria kuchenna</v>
      </c>
      <c r="C3867" s="23" t="str">
        <f ca="1">IFERROR(__xludf.DUMMYFUNCTION("""COMPUTED_VALUE"""),"Talisa Black mat")</f>
        <v>Talisa Black mat</v>
      </c>
      <c r="D3867" s="24">
        <f ca="1">IFERROR(__xludf.DUMMYFUNCTION("""COMPUTED_VALUE"""),179)</f>
        <v>179</v>
      </c>
      <c r="E3867" s="26" t="str">
        <f ca="1">IFERROR(__xludf.DUMMYFUNCTION("""COMPUTED_VALUE"""),"REA-B0978")</f>
        <v>REA-B0978</v>
      </c>
    </row>
    <row r="3868" spans="1:5" x14ac:dyDescent="0.2">
      <c r="A3868" s="22">
        <f ca="1">IFERROR(__xludf.DUMMYFUNCTION("""COMPUTED_VALUE"""),44403)</f>
        <v>44403</v>
      </c>
      <c r="B3868" s="23" t="str">
        <f ca="1">IFERROR(__xludf.DUMMYFUNCTION("""COMPUTED_VALUE"""),"Bateria kuchenna")</f>
        <v>Bateria kuchenna</v>
      </c>
      <c r="C3868" s="23" t="str">
        <f ca="1">IFERROR(__xludf.DUMMYFUNCTION("""COMPUTED_VALUE"""),"Talisa Gold")</f>
        <v>Talisa Gold</v>
      </c>
      <c r="D3868" s="24">
        <f ca="1">IFERROR(__xludf.DUMMYFUNCTION("""COMPUTED_VALUE"""),199)</f>
        <v>199</v>
      </c>
      <c r="E3868" s="26" t="str">
        <f ca="1">IFERROR(__xludf.DUMMYFUNCTION("""COMPUTED_VALUE"""),"REA-B1020")</f>
        <v>REA-B1020</v>
      </c>
    </row>
    <row r="3869" spans="1:5" x14ac:dyDescent="0.2">
      <c r="A3869" s="22">
        <f ca="1">IFERROR(__xludf.DUMMYFUNCTION("""COMPUTED_VALUE"""),44403)</f>
        <v>44403</v>
      </c>
      <c r="B3869" s="23" t="str">
        <f ca="1">IFERROR(__xludf.DUMMYFUNCTION("""COMPUTED_VALUE"""),"Uniwersalny korek klik-klak")</f>
        <v>Uniwersalny korek klik-klak</v>
      </c>
      <c r="C3869" s="23" t="str">
        <f ca="1">IFERROR(__xludf.DUMMYFUNCTION("""COMPUTED_VALUE"""),"Black")</f>
        <v>Black</v>
      </c>
      <c r="D3869" s="24">
        <f ca="1">IFERROR(__xludf.DUMMYFUNCTION("""COMPUTED_VALUE"""),69)</f>
        <v>69</v>
      </c>
      <c r="E3869" s="26" t="str">
        <f ca="1">IFERROR(__xludf.DUMMYFUNCTION("""COMPUTED_VALUE"""),"REA-A5216")</f>
        <v>REA-A5216</v>
      </c>
    </row>
    <row r="3870" spans="1:5" x14ac:dyDescent="0.2">
      <c r="A3870" s="22">
        <f ca="1">IFERROR(__xludf.DUMMYFUNCTION("""COMPUTED_VALUE"""),44403)</f>
        <v>44403</v>
      </c>
      <c r="B3870" s="23" t="str">
        <f ca="1">IFERROR(__xludf.DUMMYFUNCTION("""COMPUTED_VALUE"""),"Uniwersalny korek klik-klak")</f>
        <v>Uniwersalny korek klik-klak</v>
      </c>
      <c r="C3870" s="23" t="str">
        <f ca="1">IFERROR(__xludf.DUMMYFUNCTION("""COMPUTED_VALUE"""),"Old Black")</f>
        <v>Old Black</v>
      </c>
      <c r="D3870" s="24">
        <f ca="1">IFERROR(__xludf.DUMMYFUNCTION("""COMPUTED_VALUE"""),69)</f>
        <v>69</v>
      </c>
      <c r="E3870" s="26" t="str">
        <f ca="1">IFERROR(__xludf.DUMMYFUNCTION("""COMPUTED_VALUE"""),"REA-A5218")</f>
        <v>REA-A5218</v>
      </c>
    </row>
    <row r="3871" spans="1:5" x14ac:dyDescent="0.2">
      <c r="A3871" s="22">
        <f ca="1">IFERROR(__xludf.DUMMYFUNCTION("""COMPUTED_VALUE"""),44403)</f>
        <v>44403</v>
      </c>
      <c r="B3871" s="23" t="str">
        <f ca="1">IFERROR(__xludf.DUMMYFUNCTION("""COMPUTED_VALUE"""),"ŚCIANKA PRYSZNICOWA AERO 110 BLACK")</f>
        <v>ŚCIANKA PRYSZNICOWA AERO 110 BLACK</v>
      </c>
      <c r="C3871" s="23" t="str">
        <f ca="1">IFERROR(__xludf.DUMMYFUNCTION("""COMPUTED_VALUE"""),"AERO BLACK")</f>
        <v>AERO BLACK</v>
      </c>
      <c r="D3871" s="24">
        <f ca="1">IFERROR(__xludf.DUMMYFUNCTION("""COMPUTED_VALUE"""),879)</f>
        <v>879</v>
      </c>
      <c r="E3871" s="26" t="str">
        <f ca="1">IFERROR(__xludf.DUMMYFUNCTION("""COMPUTED_VALUE"""),"REA-K6597")</f>
        <v>REA-K6597</v>
      </c>
    </row>
    <row r="3872" spans="1:5" x14ac:dyDescent="0.2">
      <c r="A3872" s="22">
        <f ca="1">IFERROR(__xludf.DUMMYFUNCTION("""COMPUTED_VALUE"""),44403)</f>
        <v>44403</v>
      </c>
      <c r="B3872" s="23" t="str">
        <f ca="1">IFERROR(__xludf.DUMMYFUNCTION("""COMPUTED_VALUE"""),"Drzwi prysznicowe SOLAR")</f>
        <v>Drzwi prysznicowe SOLAR</v>
      </c>
      <c r="C3872" s="23" t="str">
        <f ca="1">IFERROR(__xludf.DUMMYFUNCTION("""COMPUTED_VALUE"""),"Solar 130")</f>
        <v>Solar 130</v>
      </c>
      <c r="D3872" s="24">
        <f ca="1">IFERROR(__xludf.DUMMYFUNCTION("""COMPUTED_VALUE"""),969)</f>
        <v>969</v>
      </c>
      <c r="E3872" s="26" t="str">
        <f ca="1">IFERROR(__xludf.DUMMYFUNCTION("""COMPUTED_VALUE"""),"REA-K6358")</f>
        <v>REA-K6358</v>
      </c>
    </row>
    <row r="3873" spans="1:5" x14ac:dyDescent="0.2">
      <c r="A3873" s="22">
        <f ca="1">IFERROR(__xludf.DUMMYFUNCTION("""COMPUTED_VALUE"""),44403)</f>
        <v>44403</v>
      </c>
      <c r="B3873" s="23" t="str">
        <f ca="1">IFERROR(__xludf.DUMMYFUNCTION("""COMPUTED_VALUE"""),"Drzwi prysznicowe")</f>
        <v>Drzwi prysznicowe</v>
      </c>
      <c r="C3873" s="23" t="str">
        <f ca="1">IFERROR(__xludf.DUMMYFUNCTION("""COMPUTED_VALUE"""),"RAPID SLIDE 110")</f>
        <v>RAPID SLIDE 110</v>
      </c>
      <c r="D3873" s="24">
        <f ca="1">IFERROR(__xludf.DUMMYFUNCTION("""COMPUTED_VALUE"""),879)</f>
        <v>879</v>
      </c>
      <c r="E3873" s="26" t="str">
        <f ca="1">IFERROR(__xludf.DUMMYFUNCTION("""COMPUTED_VALUE"""),"REA-K6401")</f>
        <v>REA-K6401</v>
      </c>
    </row>
    <row r="3874" spans="1:5" x14ac:dyDescent="0.2">
      <c r="A3874" s="22">
        <f ca="1">IFERROR(__xludf.DUMMYFUNCTION("""COMPUTED_VALUE"""),44403)</f>
        <v>44403</v>
      </c>
      <c r="B3874" s="23" t="str">
        <f ca="1">IFERROR(__xludf.DUMMYFUNCTION("""COMPUTED_VALUE"""),"Drzwi prysznicowe")</f>
        <v>Drzwi prysznicowe</v>
      </c>
      <c r="C3874" s="23" t="str">
        <f ca="1">IFERROR(__xludf.DUMMYFUNCTION("""COMPUTED_VALUE"""),"RAPID SLIDE 120")</f>
        <v>RAPID SLIDE 120</v>
      </c>
      <c r="D3874" s="24">
        <f ca="1">IFERROR(__xludf.DUMMYFUNCTION("""COMPUTED_VALUE"""),909)</f>
        <v>909</v>
      </c>
      <c r="E3874" s="26" t="str">
        <f ca="1">IFERROR(__xludf.DUMMYFUNCTION("""COMPUTED_VALUE"""),"REA-K6402")</f>
        <v>REA-K6402</v>
      </c>
    </row>
    <row r="3875" spans="1:5" x14ac:dyDescent="0.2">
      <c r="A3875" s="22">
        <f ca="1">IFERROR(__xludf.DUMMYFUNCTION("""COMPUTED_VALUE"""),44403)</f>
        <v>44403</v>
      </c>
      <c r="B3875" s="23" t="str">
        <f ca="1">IFERROR(__xludf.DUMMYFUNCTION("""COMPUTED_VALUE"""),"Drzwi prysznicowe")</f>
        <v>Drzwi prysznicowe</v>
      </c>
      <c r="C3875" s="23" t="str">
        <f ca="1">IFERROR(__xludf.DUMMYFUNCTION("""COMPUTED_VALUE"""),"RAPID SLIDE 130")</f>
        <v>RAPID SLIDE 130</v>
      </c>
      <c r="D3875" s="24">
        <f ca="1">IFERROR(__xludf.DUMMYFUNCTION("""COMPUTED_VALUE"""),949)</f>
        <v>949</v>
      </c>
      <c r="E3875" s="26" t="str">
        <f ca="1">IFERROR(__xludf.DUMMYFUNCTION("""COMPUTED_VALUE"""),"REA-K6403")</f>
        <v>REA-K6403</v>
      </c>
    </row>
    <row r="3876" spans="1:5" x14ac:dyDescent="0.2">
      <c r="A3876" s="22">
        <f ca="1">IFERROR(__xludf.DUMMYFUNCTION("""COMPUTED_VALUE"""),44403)</f>
        <v>44403</v>
      </c>
      <c r="B3876" s="23" t="str">
        <f ca="1">IFERROR(__xludf.DUMMYFUNCTION("""COMPUTED_VALUE"""),"Drzwi prysznicowe")</f>
        <v>Drzwi prysznicowe</v>
      </c>
      <c r="C3876" s="23" t="str">
        <f ca="1">IFERROR(__xludf.DUMMYFUNCTION("""COMPUTED_VALUE"""),"RAPID SLIDE 140")</f>
        <v>RAPID SLIDE 140</v>
      </c>
      <c r="D3876" s="24">
        <f ca="1">IFERROR(__xludf.DUMMYFUNCTION("""COMPUTED_VALUE"""),999)</f>
        <v>999</v>
      </c>
      <c r="E3876" s="26" t="str">
        <f ca="1">IFERROR(__xludf.DUMMYFUNCTION("""COMPUTED_VALUE"""),"REA-K6404")</f>
        <v>REA-K6404</v>
      </c>
    </row>
    <row r="3877" spans="1:5" x14ac:dyDescent="0.2">
      <c r="A3877" s="22">
        <f ca="1">IFERROR(__xludf.DUMMYFUNCTION("""COMPUTED_VALUE"""),44403)</f>
        <v>44403</v>
      </c>
      <c r="B3877" s="23" t="str">
        <f ca="1">IFERROR(__xludf.DUMMYFUNCTION("""COMPUTED_VALUE"""),"Drzwi prysznicowe")</f>
        <v>Drzwi prysznicowe</v>
      </c>
      <c r="C3877" s="23" t="str">
        <f ca="1">IFERROR(__xludf.DUMMYFUNCTION("""COMPUTED_VALUE"""),"RAPID SLIDE 150")</f>
        <v>RAPID SLIDE 150</v>
      </c>
      <c r="D3877" s="24">
        <f ca="1">IFERROR(__xludf.DUMMYFUNCTION("""COMPUTED_VALUE"""),1029)</f>
        <v>1029</v>
      </c>
      <c r="E3877" s="26" t="str">
        <f ca="1">IFERROR(__xludf.DUMMYFUNCTION("""COMPUTED_VALUE"""),"REA-K6405")</f>
        <v>REA-K6405</v>
      </c>
    </row>
    <row r="3878" spans="1:5" x14ac:dyDescent="0.2">
      <c r="A3878" s="22">
        <f ca="1">IFERROR(__xludf.DUMMYFUNCTION("""COMPUTED_VALUE"""),44403)</f>
        <v>44403</v>
      </c>
      <c r="B3878" s="23" t="str">
        <f ca="1">IFERROR(__xludf.DUMMYFUNCTION("""COMPUTED_VALUE"""),"Drzwi prysznicowe")</f>
        <v>Drzwi prysznicowe</v>
      </c>
      <c r="C3878" s="23" t="str">
        <f ca="1">IFERROR(__xludf.DUMMYFUNCTION("""COMPUTED_VALUE"""),"RAPID SLIDE 160")</f>
        <v>RAPID SLIDE 160</v>
      </c>
      <c r="D3878" s="24">
        <f ca="1">IFERROR(__xludf.DUMMYFUNCTION("""COMPUTED_VALUE"""),1089)</f>
        <v>1089</v>
      </c>
      <c r="E3878" s="26" t="str">
        <f ca="1">IFERROR(__xludf.DUMMYFUNCTION("""COMPUTED_VALUE"""),"REA-K6406")</f>
        <v>REA-K6406</v>
      </c>
    </row>
    <row r="3879" spans="1:5" x14ac:dyDescent="0.2">
      <c r="A3879" s="22">
        <f ca="1">IFERROR(__xludf.DUMMYFUNCTION("""COMPUTED_VALUE"""),44403)</f>
        <v>44403</v>
      </c>
      <c r="B3879" s="23" t="str">
        <f ca="1">IFERROR(__xludf.DUMMYFUNCTION("""COMPUTED_VALUE"""),"Kabina prysznicowa")</f>
        <v>Kabina prysznicowa</v>
      </c>
      <c r="C3879" s="23" t="str">
        <f ca="1">IFERROR(__xludf.DUMMYFUNCTION("""COMPUTED_VALUE"""),"Madox U 90x90")</f>
        <v>Madox U 90x90</v>
      </c>
      <c r="D3879" s="24">
        <f ca="1">IFERROR(__xludf.DUMMYFUNCTION("""COMPUTED_VALUE"""),1589)</f>
        <v>1589</v>
      </c>
      <c r="E3879" s="26" t="str">
        <f ca="1">IFERROR(__xludf.DUMMYFUNCTION("""COMPUTED_VALUE"""),"REA-K4527")</f>
        <v>REA-K4527</v>
      </c>
    </row>
    <row r="3880" spans="1:5" x14ac:dyDescent="0.2">
      <c r="A3880" s="22">
        <f ca="1">IFERROR(__xludf.DUMMYFUNCTION("""COMPUTED_VALUE"""),44403)</f>
        <v>44403</v>
      </c>
      <c r="B3880" s="23" t="str">
        <f ca="1">IFERROR(__xludf.DUMMYFUNCTION("""COMPUTED_VALUE"""),"Kabina prysznicowa")</f>
        <v>Kabina prysznicowa</v>
      </c>
      <c r="C3880" s="23" t="str">
        <f ca="1">IFERROR(__xludf.DUMMYFUNCTION("""COMPUTED_VALUE"""),"Marten 80x100")</f>
        <v>Marten 80x100</v>
      </c>
      <c r="D3880" s="24">
        <f ca="1">IFERROR(__xludf.DUMMYFUNCTION("""COMPUTED_VALUE"""),1599)</f>
        <v>1599</v>
      </c>
      <c r="E3880" s="26" t="str">
        <f ca="1">IFERROR(__xludf.DUMMYFUNCTION("""COMPUTED_VALUE"""),"REA-K4000")</f>
        <v>REA-K4000</v>
      </c>
    </row>
    <row r="3881" spans="1:5" x14ac:dyDescent="0.2">
      <c r="A3881" s="22">
        <f ca="1">IFERROR(__xludf.DUMMYFUNCTION("""COMPUTED_VALUE"""),44403)</f>
        <v>44403</v>
      </c>
      <c r="B3881" s="23" t="str">
        <f ca="1">IFERROR(__xludf.DUMMYFUNCTION("""COMPUTED_VALUE"""),"Kabina prysznicowa")</f>
        <v>Kabina prysznicowa</v>
      </c>
      <c r="C3881" s="23" t="str">
        <f ca="1">IFERROR(__xludf.DUMMYFUNCTION("""COMPUTED_VALUE"""),"Diamond 100x100")</f>
        <v>Diamond 100x100</v>
      </c>
      <c r="D3881" s="24">
        <f ca="1">IFERROR(__xludf.DUMMYFUNCTION("""COMPUTED_VALUE"""),1699)</f>
        <v>1699</v>
      </c>
      <c r="E3881" s="26" t="str">
        <f ca="1">IFERROR(__xludf.DUMMYFUNCTION("""COMPUTED_VALUE"""),"REA-K5623")</f>
        <v>REA-K5623</v>
      </c>
    </row>
    <row r="3882" spans="1:5" x14ac:dyDescent="0.2">
      <c r="A3882" s="22">
        <f ca="1">IFERROR(__xludf.DUMMYFUNCTION("""COMPUTED_VALUE"""),44403)</f>
        <v>44403</v>
      </c>
      <c r="B3882" s="23" t="str">
        <f ca="1">IFERROR(__xludf.DUMMYFUNCTION("""COMPUTED_VALUE"""),"Skrzydło modułowe")</f>
        <v>Skrzydło modułowe</v>
      </c>
      <c r="C3882" s="23" t="str">
        <f ca="1">IFERROR(__xludf.DUMMYFUNCTION("""COMPUTED_VALUE"""),"Fold MODUŁ 90")</f>
        <v>Fold MODUŁ 90</v>
      </c>
      <c r="D3882" s="24">
        <f ca="1">IFERROR(__xludf.DUMMYFUNCTION("""COMPUTED_VALUE"""),840)</f>
        <v>840</v>
      </c>
      <c r="E3882" s="26" t="str">
        <f ca="1">IFERROR(__xludf.DUMMYFUNCTION("""COMPUTED_VALUE"""),"REA-K7442")</f>
        <v>REA-K7442</v>
      </c>
    </row>
    <row r="3883" spans="1:5" x14ac:dyDescent="0.2">
      <c r="A3883" s="22">
        <f ca="1">IFERROR(__xludf.DUMMYFUNCTION("""COMPUTED_VALUE"""),44403)</f>
        <v>44403</v>
      </c>
      <c r="B3883" s="23" t="str">
        <f ca="1">IFERROR(__xludf.DUMMYFUNCTION("""COMPUTED_VALUE"""),"Skrzydło modułowe")</f>
        <v>Skrzydło modułowe</v>
      </c>
      <c r="C3883" s="23" t="str">
        <f ca="1">IFERROR(__xludf.DUMMYFUNCTION("""COMPUTED_VALUE"""),"Fold MODUŁ 100")</f>
        <v>Fold MODUŁ 100</v>
      </c>
      <c r="D3883" s="24">
        <f ca="1">IFERROR(__xludf.DUMMYFUNCTION("""COMPUTED_VALUE"""),880)</f>
        <v>880</v>
      </c>
      <c r="E3883" s="26" t="str">
        <f ca="1">IFERROR(__xludf.DUMMYFUNCTION("""COMPUTED_VALUE"""),"REA-K7439")</f>
        <v>REA-K7439</v>
      </c>
    </row>
    <row r="3884" spans="1:5" x14ac:dyDescent="0.2">
      <c r="A3884" s="22">
        <f ca="1">IFERROR(__xludf.DUMMYFUNCTION("""COMPUTED_VALUE"""),44398)</f>
        <v>44398</v>
      </c>
      <c r="B3884" s="23" t="str">
        <f ca="1">IFERROR(__xludf.DUMMYFUNCTION("""COMPUTED_VALUE"""),"Skrzydło modułowe")</f>
        <v>Skrzydło modułowe</v>
      </c>
      <c r="C3884" s="23" t="str">
        <f ca="1">IFERROR(__xludf.DUMMYFUNCTION("""COMPUTED_VALUE"""),"Fold MODUŁ 110")</f>
        <v>Fold MODUŁ 110</v>
      </c>
      <c r="D3884" s="24">
        <f ca="1">IFERROR(__xludf.DUMMYFUNCTION("""COMPUTED_VALUE"""),890)</f>
        <v>890</v>
      </c>
      <c r="E3884" s="26" t="str">
        <f ca="1">IFERROR(__xludf.DUMMYFUNCTION("""COMPUTED_VALUE"""),"REA-K7438")</f>
        <v>REA-K7438</v>
      </c>
    </row>
    <row r="3885" spans="1:5" x14ac:dyDescent="0.2">
      <c r="A3885" s="22">
        <f ca="1">IFERROR(__xludf.DUMMYFUNCTION("""COMPUTED_VALUE"""),44398)</f>
        <v>44398</v>
      </c>
      <c r="B3885" s="23" t="str">
        <f ca="1">IFERROR(__xludf.DUMMYFUNCTION("""COMPUTED_VALUE"""),"Skrzydło modułowe")</f>
        <v>Skrzydło modułowe</v>
      </c>
      <c r="C3885" s="23" t="str">
        <f ca="1">IFERROR(__xludf.DUMMYFUNCTION("""COMPUTED_VALUE"""),"Fold MODUŁ 120")</f>
        <v>Fold MODUŁ 120</v>
      </c>
      <c r="D3885" s="24">
        <f ca="1">IFERROR(__xludf.DUMMYFUNCTION("""COMPUTED_VALUE"""),910)</f>
        <v>910</v>
      </c>
      <c r="E3885" s="26" t="str">
        <f ca="1">IFERROR(__xludf.DUMMYFUNCTION("""COMPUTED_VALUE"""),"REA-K7437")</f>
        <v>REA-K7437</v>
      </c>
    </row>
    <row r="3886" spans="1:5" x14ac:dyDescent="0.2">
      <c r="A3886" s="22">
        <f ca="1">IFERROR(__xludf.DUMMYFUNCTION("""COMPUTED_VALUE"""),44398)</f>
        <v>44398</v>
      </c>
      <c r="B3886" s="23" t="str">
        <f ca="1">IFERROR(__xludf.DUMMYFUNCTION("""COMPUTED_VALUE"""),"Ścianka prysznicowa CORTIS")</f>
        <v>Ścianka prysznicowa CORTIS</v>
      </c>
      <c r="C3886" s="23">
        <f ca="1">IFERROR(__xludf.DUMMYFUNCTION("""COMPUTED_VALUE"""),100)</f>
        <v>100</v>
      </c>
      <c r="D3886" s="24">
        <f ca="1">IFERROR(__xludf.DUMMYFUNCTION("""COMPUTED_VALUE"""),999)</f>
        <v>999</v>
      </c>
      <c r="E3886" s="26" t="str">
        <f ca="1">IFERROR(__xludf.DUMMYFUNCTION("""COMPUTED_VALUE"""),"REA-K7210")</f>
        <v>REA-K7210</v>
      </c>
    </row>
    <row r="3887" spans="1:5" x14ac:dyDescent="0.2">
      <c r="A3887" s="22">
        <f ca="1">IFERROR(__xludf.DUMMYFUNCTION("""COMPUTED_VALUE"""),44398)</f>
        <v>44398</v>
      </c>
      <c r="B3887" s="23" t="str">
        <f ca="1">IFERROR(__xludf.DUMMYFUNCTION("""COMPUTED_VALUE"""),"Ścianka prysznicowa CORTIS")</f>
        <v>Ścianka prysznicowa CORTIS</v>
      </c>
      <c r="C3887" s="23">
        <f ca="1">IFERROR(__xludf.DUMMYFUNCTION("""COMPUTED_VALUE"""),120)</f>
        <v>120</v>
      </c>
      <c r="D3887" s="24">
        <f ca="1">IFERROR(__xludf.DUMMYFUNCTION("""COMPUTED_VALUE"""),1059)</f>
        <v>1059</v>
      </c>
      <c r="E3887" s="26" t="str">
        <f ca="1">IFERROR(__xludf.DUMMYFUNCTION("""COMPUTED_VALUE"""),"REA-K7211")</f>
        <v>REA-K7211</v>
      </c>
    </row>
    <row r="3888" spans="1:5" x14ac:dyDescent="0.2">
      <c r="A3888" s="22">
        <f ca="1">IFERROR(__xludf.DUMMYFUNCTION("""COMPUTED_VALUE"""),44398)</f>
        <v>44398</v>
      </c>
      <c r="B3888" s="23" t="str">
        <f ca="1">IFERROR(__xludf.DUMMYFUNCTION("""COMPUTED_VALUE"""),"Ścianka prysznicowa CORTIS")</f>
        <v>Ścianka prysznicowa CORTIS</v>
      </c>
      <c r="C3888" s="23" t="str">
        <f ca="1">IFERROR(__xludf.DUMMYFUNCTION("""COMPUTED_VALUE"""),"Black 100")</f>
        <v>Black 100</v>
      </c>
      <c r="D3888" s="24">
        <f ca="1">IFERROR(__xludf.DUMMYFUNCTION("""COMPUTED_VALUE"""),1039)</f>
        <v>1039</v>
      </c>
      <c r="E3888" s="26" t="str">
        <f ca="1">IFERROR(__xludf.DUMMYFUNCTION("""COMPUTED_VALUE"""),"REA-K7740")</f>
        <v>REA-K7740</v>
      </c>
    </row>
    <row r="3889" spans="1:5" x14ac:dyDescent="0.2">
      <c r="A3889" s="22">
        <f ca="1">IFERROR(__xludf.DUMMYFUNCTION("""COMPUTED_VALUE"""),44398)</f>
        <v>44398</v>
      </c>
      <c r="B3889" s="23" t="str">
        <f ca="1">IFERROR(__xludf.DUMMYFUNCTION("""COMPUTED_VALUE"""),"Ścianka prysznicowa CORTIS")</f>
        <v>Ścianka prysznicowa CORTIS</v>
      </c>
      <c r="C3889" s="23" t="str">
        <f ca="1">IFERROR(__xludf.DUMMYFUNCTION("""COMPUTED_VALUE"""),"Black 120")</f>
        <v>Black 120</v>
      </c>
      <c r="D3889" s="24">
        <f ca="1">IFERROR(__xludf.DUMMYFUNCTION("""COMPUTED_VALUE"""),1069)</f>
        <v>1069</v>
      </c>
      <c r="E3889" s="26" t="str">
        <f ca="1">IFERROR(__xludf.DUMMYFUNCTION("""COMPUTED_VALUE"""),"REA-K8880")</f>
        <v>REA-K8880</v>
      </c>
    </row>
    <row r="3890" spans="1:5" x14ac:dyDescent="0.2">
      <c r="A3890" s="22">
        <f ca="1">IFERROR(__xludf.DUMMYFUNCTION("""COMPUTED_VALUE"""),44398)</f>
        <v>44398</v>
      </c>
      <c r="B3890" s="23" t="str">
        <f ca="1">IFERROR(__xludf.DUMMYFUNCTION("""COMPUTED_VALUE"""),"Kabina prysznicowa")</f>
        <v>Kabina prysznicowa</v>
      </c>
      <c r="C3890" s="23" t="str">
        <f ca="1">IFERROR(__xludf.DUMMYFUNCTION("""COMPUTED_VALUE"""),"Concept 90x90")</f>
        <v>Concept 90x90</v>
      </c>
      <c r="D3890" s="24">
        <f ca="1">IFERROR(__xludf.DUMMYFUNCTION("""COMPUTED_VALUE"""),799)</f>
        <v>799</v>
      </c>
      <c r="E3890" s="26" t="str">
        <f ca="1">IFERROR(__xludf.DUMMYFUNCTION("""COMPUTED_VALUE"""),"REA-K5478")</f>
        <v>REA-K5478</v>
      </c>
    </row>
    <row r="3891" spans="1:5" x14ac:dyDescent="0.2">
      <c r="A3891" s="22">
        <f ca="1">IFERROR(__xludf.DUMMYFUNCTION("""COMPUTED_VALUE"""),44398)</f>
        <v>44398</v>
      </c>
      <c r="B3891" s="23" t="str">
        <f ca="1">IFERROR(__xludf.DUMMYFUNCTION("""COMPUTED_VALUE"""),"Drzwi prysznicowe")</f>
        <v>Drzwi prysznicowe</v>
      </c>
      <c r="C3891" s="23" t="str">
        <f ca="1">IFERROR(__xludf.DUMMYFUNCTION("""COMPUTED_VALUE"""),"FARGO 100")</f>
        <v>FARGO 100</v>
      </c>
      <c r="D3891" s="24">
        <f ca="1">IFERROR(__xludf.DUMMYFUNCTION("""COMPUTED_VALUE"""),899)</f>
        <v>899</v>
      </c>
      <c r="E3891" s="26" t="str">
        <f ca="1">IFERROR(__xludf.DUMMYFUNCTION("""COMPUTED_VALUE"""),"REA-K6330")</f>
        <v>REA-K6330</v>
      </c>
    </row>
    <row r="3892" spans="1:5" x14ac:dyDescent="0.2">
      <c r="A3892" s="22">
        <f ca="1">IFERROR(__xludf.DUMMYFUNCTION("""COMPUTED_VALUE"""),44398)</f>
        <v>44398</v>
      </c>
      <c r="B3892" s="23" t="str">
        <f ca="1">IFERROR(__xludf.DUMMYFUNCTION("""COMPUTED_VALUE"""),"Drzwi prysznicowe")</f>
        <v>Drzwi prysznicowe</v>
      </c>
      <c r="C3892" s="23" t="str">
        <f ca="1">IFERROR(__xludf.DUMMYFUNCTION("""COMPUTED_VALUE"""),"FARGO 110")</f>
        <v>FARGO 110</v>
      </c>
      <c r="D3892" s="24">
        <f ca="1">IFERROR(__xludf.DUMMYFUNCTION("""COMPUTED_VALUE"""),999)</f>
        <v>999</v>
      </c>
      <c r="E3892" s="26" t="str">
        <f ca="1">IFERROR(__xludf.DUMMYFUNCTION("""COMPUTED_VALUE"""),"REA-K6325")</f>
        <v>REA-K6325</v>
      </c>
    </row>
    <row r="3893" spans="1:5" x14ac:dyDescent="0.2">
      <c r="A3893" s="22">
        <f ca="1">IFERROR(__xludf.DUMMYFUNCTION("""COMPUTED_VALUE"""),44398)</f>
        <v>44398</v>
      </c>
      <c r="B3893" s="23" t="str">
        <f ca="1">IFERROR(__xludf.DUMMYFUNCTION("""COMPUTED_VALUE"""),"Drzwi prysznicowe")</f>
        <v>Drzwi prysznicowe</v>
      </c>
      <c r="C3893" s="23" t="str">
        <f ca="1">IFERROR(__xludf.DUMMYFUNCTION("""COMPUTED_VALUE"""),"FARGO 120")</f>
        <v>FARGO 120</v>
      </c>
      <c r="D3893" s="24">
        <f ca="1">IFERROR(__xludf.DUMMYFUNCTION("""COMPUTED_VALUE"""),1049)</f>
        <v>1049</v>
      </c>
      <c r="E3893" s="26" t="str">
        <f ca="1">IFERROR(__xludf.DUMMYFUNCTION("""COMPUTED_VALUE"""),"REA-K6328")</f>
        <v>REA-K6328</v>
      </c>
    </row>
    <row r="3894" spans="1:5" x14ac:dyDescent="0.2">
      <c r="A3894" s="22">
        <f ca="1">IFERROR(__xludf.DUMMYFUNCTION("""COMPUTED_VALUE"""),44398)</f>
        <v>44398</v>
      </c>
      <c r="B3894" s="23" t="str">
        <f ca="1">IFERROR(__xludf.DUMMYFUNCTION("""COMPUTED_VALUE"""),"Kabina prysznicowa")</f>
        <v>Kabina prysznicowa</v>
      </c>
      <c r="C3894" s="23" t="str">
        <f ca="1">IFERROR(__xludf.DUMMYFUNCTION("""COMPUTED_VALUE"""),"Diamond 80x80")</f>
        <v>Diamond 80x80</v>
      </c>
      <c r="D3894" s="24">
        <f ca="1">IFERROR(__xludf.DUMMYFUNCTION("""COMPUTED_VALUE"""),1489)</f>
        <v>1489</v>
      </c>
      <c r="E3894" s="26" t="str">
        <f ca="1">IFERROR(__xludf.DUMMYFUNCTION("""COMPUTED_VALUE"""),"REA-K6900")</f>
        <v>REA-K6900</v>
      </c>
    </row>
    <row r="3895" spans="1:5" x14ac:dyDescent="0.2">
      <c r="A3895" s="22">
        <f ca="1">IFERROR(__xludf.DUMMYFUNCTION("""COMPUTED_VALUE"""),44398)</f>
        <v>44398</v>
      </c>
      <c r="B3895" s="23" t="str">
        <f ca="1">IFERROR(__xludf.DUMMYFUNCTION("""COMPUTED_VALUE"""),"Kabina prysznicowa")</f>
        <v>Kabina prysznicowa</v>
      </c>
      <c r="C3895" s="23" t="str">
        <f ca="1">IFERROR(__xludf.DUMMYFUNCTION("""COMPUTED_VALUE"""),"Diamond 90x90")</f>
        <v>Diamond 90x90</v>
      </c>
      <c r="D3895" s="24">
        <f ca="1">IFERROR(__xludf.DUMMYFUNCTION("""COMPUTED_VALUE"""),1519)</f>
        <v>1519</v>
      </c>
      <c r="E3895" s="26" t="str">
        <f ca="1">IFERROR(__xludf.DUMMYFUNCTION("""COMPUTED_VALUE"""),"REA-K5622")</f>
        <v>REA-K5622</v>
      </c>
    </row>
    <row r="3896" spans="1:5" x14ac:dyDescent="0.2">
      <c r="A3896" s="22">
        <f ca="1">IFERROR(__xludf.DUMMYFUNCTION("""COMPUTED_VALUE"""),44398)</f>
        <v>44398</v>
      </c>
      <c r="B3896" s="23" t="str">
        <f ca="1">IFERROR(__xludf.DUMMYFUNCTION("""COMPUTED_VALUE"""),"Kabina prysznicowa")</f>
        <v>Kabina prysznicowa</v>
      </c>
      <c r="C3896" s="23" t="str">
        <f ca="1">IFERROR(__xludf.DUMMYFUNCTION("""COMPUTED_VALUE"""),"Rubik 80x80")</f>
        <v>Rubik 80x80</v>
      </c>
      <c r="D3896" s="24">
        <f ca="1">IFERROR(__xludf.DUMMYFUNCTION("""COMPUTED_VALUE"""),1299)</f>
        <v>1299</v>
      </c>
      <c r="E3896" s="26" t="str">
        <f ca="1">IFERROR(__xludf.DUMMYFUNCTION("""COMPUTED_VALUE"""),"REA-K9230")</f>
        <v>REA-K9230</v>
      </c>
    </row>
    <row r="3897" spans="1:5" x14ac:dyDescent="0.2">
      <c r="A3897" s="22">
        <f ca="1">IFERROR(__xludf.DUMMYFUNCTION("""COMPUTED_VALUE"""),44398)</f>
        <v>44398</v>
      </c>
      <c r="B3897" s="23" t="str">
        <f ca="1">IFERROR(__xludf.DUMMYFUNCTION("""COMPUTED_VALUE"""),"Kabina prysznicowa")</f>
        <v>Kabina prysznicowa</v>
      </c>
      <c r="C3897" s="23" t="str">
        <f ca="1">IFERROR(__xludf.DUMMYFUNCTION("""COMPUTED_VALUE"""),"Rubik 90x90")</f>
        <v>Rubik 90x90</v>
      </c>
      <c r="D3897" s="24">
        <f ca="1">IFERROR(__xludf.DUMMYFUNCTION("""COMPUTED_VALUE"""),1349)</f>
        <v>1349</v>
      </c>
      <c r="E3897" s="26" t="str">
        <f ca="1">IFERROR(__xludf.DUMMYFUNCTION("""COMPUTED_VALUE"""),"REA-K9231")</f>
        <v>REA-K9231</v>
      </c>
    </row>
    <row r="3898" spans="1:5" x14ac:dyDescent="0.2">
      <c r="A3898" s="22">
        <f ca="1">IFERROR(__xludf.DUMMYFUNCTION("""COMPUTED_VALUE"""),44398)</f>
        <v>44398</v>
      </c>
      <c r="B3898" s="23" t="str">
        <f ca="1">IFERROR(__xludf.DUMMYFUNCTION("""COMPUTED_VALUE"""),"KABINA SOLAR BLACK 80X100")</f>
        <v>KABINA SOLAR BLACK 80X100</v>
      </c>
      <c r="C3898" s="23" t="str">
        <f ca="1">IFERROR(__xludf.DUMMYFUNCTION("""COMPUTED_VALUE"""),"Solar")</f>
        <v>Solar</v>
      </c>
      <c r="D3898" s="24">
        <f ca="1">IFERROR(__xludf.DUMMYFUNCTION("""COMPUTED_VALUE"""),1159)</f>
        <v>1159</v>
      </c>
      <c r="E3898" s="26" t="str">
        <f ca="1">IFERROR(__xludf.DUMMYFUNCTION("""COMPUTED_VALUE"""),"REA-K6310")</f>
        <v>REA-K6310</v>
      </c>
    </row>
    <row r="3899" spans="1:5" x14ac:dyDescent="0.2">
      <c r="A3899" s="22">
        <f ca="1">IFERROR(__xludf.DUMMYFUNCTION("""COMPUTED_VALUE"""),44398)</f>
        <v>44398</v>
      </c>
      <c r="B3899" s="23" t="str">
        <f ca="1">IFERROR(__xludf.DUMMYFUNCTION("""COMPUTED_VALUE"""),"ŚCIANKA PRYSZNICOWA AERO 90 BLACK")</f>
        <v>ŚCIANKA PRYSZNICOWA AERO 90 BLACK</v>
      </c>
      <c r="C3899" s="23" t="str">
        <f ca="1">IFERROR(__xludf.DUMMYFUNCTION("""COMPUTED_VALUE"""),"AERO BLACK")</f>
        <v>AERO BLACK</v>
      </c>
      <c r="D3899" s="24">
        <f ca="1">IFERROR(__xludf.DUMMYFUNCTION("""COMPUTED_VALUE"""),739)</f>
        <v>739</v>
      </c>
      <c r="E3899" s="26" t="str">
        <f ca="1">IFERROR(__xludf.DUMMYFUNCTION("""COMPUTED_VALUE"""),"REA-K7581")</f>
        <v>REA-K7581</v>
      </c>
    </row>
    <row r="3900" spans="1:5" x14ac:dyDescent="0.2">
      <c r="A3900" s="22">
        <f ca="1">IFERROR(__xludf.DUMMYFUNCTION("""COMPUTED_VALUE"""),44398)</f>
        <v>44398</v>
      </c>
      <c r="B3900" s="23" t="str">
        <f ca="1">IFERROR(__xludf.DUMMYFUNCTION("""COMPUTED_VALUE"""),"ŚCIANKA PRYSZNICOWA AERO 100 BLACK")</f>
        <v>ŚCIANKA PRYSZNICOWA AERO 100 BLACK</v>
      </c>
      <c r="C3900" s="23" t="str">
        <f ca="1">IFERROR(__xludf.DUMMYFUNCTION("""COMPUTED_VALUE"""),"AERO BLACK")</f>
        <v>AERO BLACK</v>
      </c>
      <c r="D3900" s="24">
        <f ca="1">IFERROR(__xludf.DUMMYFUNCTION("""COMPUTED_VALUE"""),789)</f>
        <v>789</v>
      </c>
      <c r="E3900" s="26" t="str">
        <f ca="1">IFERROR(__xludf.DUMMYFUNCTION("""COMPUTED_VALUE"""),"REA-K6596")</f>
        <v>REA-K6596</v>
      </c>
    </row>
    <row r="3901" spans="1:5" x14ac:dyDescent="0.2">
      <c r="A3901" s="22">
        <f ca="1">IFERROR(__xludf.DUMMYFUNCTION("""COMPUTED_VALUE"""),44398)</f>
        <v>44398</v>
      </c>
      <c r="B3901" s="23" t="str">
        <f ca="1">IFERROR(__xludf.DUMMYFUNCTION("""COMPUTED_VALUE"""),"ŚCIANKA PRYSZNICOWA AERO 110 BLACK")</f>
        <v>ŚCIANKA PRYSZNICOWA AERO 110 BLACK</v>
      </c>
      <c r="C3901" s="23" t="str">
        <f ca="1">IFERROR(__xludf.DUMMYFUNCTION("""COMPUTED_VALUE"""),"AERO BLACK")</f>
        <v>AERO BLACK</v>
      </c>
      <c r="D3901" s="24">
        <f ca="1">IFERROR(__xludf.DUMMYFUNCTION("""COMPUTED_VALUE"""),879)</f>
        <v>879</v>
      </c>
      <c r="E3901" s="26" t="str">
        <f ca="1">IFERROR(__xludf.DUMMYFUNCTION("""COMPUTED_VALUE"""),"REA-K6597")</f>
        <v>REA-K6597</v>
      </c>
    </row>
    <row r="3902" spans="1:5" x14ac:dyDescent="0.2">
      <c r="A3902" s="22">
        <f ca="1">IFERROR(__xludf.DUMMYFUNCTION("""COMPUTED_VALUE"""),44397)</f>
        <v>44397</v>
      </c>
      <c r="B3902" s="23" t="str">
        <f ca="1">IFERROR(__xludf.DUMMYFUNCTION("""COMPUTED_VALUE"""),"ŚCIANKA PRYSZNICOWA AERO 120 BLACK")</f>
        <v>ŚCIANKA PRYSZNICOWA AERO 120 BLACK</v>
      </c>
      <c r="C3902" s="23" t="str">
        <f ca="1">IFERROR(__xludf.DUMMYFUNCTION("""COMPUTED_VALUE"""),"AERO BLACK")</f>
        <v>AERO BLACK</v>
      </c>
      <c r="D3902" s="24">
        <f ca="1">IFERROR(__xludf.DUMMYFUNCTION("""COMPUTED_VALUE"""),889)</f>
        <v>889</v>
      </c>
      <c r="E3902" s="26" t="str">
        <f ca="1">IFERROR(__xludf.DUMMYFUNCTION("""COMPUTED_VALUE"""),"REA-K6599")</f>
        <v>REA-K6599</v>
      </c>
    </row>
    <row r="3903" spans="1:5" x14ac:dyDescent="0.2">
      <c r="A3903" s="22">
        <f ca="1">IFERROR(__xludf.DUMMYFUNCTION("""COMPUTED_VALUE"""),44397)</f>
        <v>44397</v>
      </c>
      <c r="B3903" s="23" t="str">
        <f ca="1">IFERROR(__xludf.DUMMYFUNCTION("""COMPUTED_VALUE"""),"Drzwi prysznicowe SOLAR")</f>
        <v>Drzwi prysznicowe SOLAR</v>
      </c>
      <c r="C3903" s="23" t="str">
        <f ca="1">IFERROR(__xludf.DUMMYFUNCTION("""COMPUTED_VALUE"""),"Solar 130")</f>
        <v>Solar 130</v>
      </c>
      <c r="D3903" s="24">
        <f ca="1">IFERROR(__xludf.DUMMYFUNCTION("""COMPUTED_VALUE"""),909)</f>
        <v>909</v>
      </c>
      <c r="E3903" s="26" t="str">
        <f ca="1">IFERROR(__xludf.DUMMYFUNCTION("""COMPUTED_VALUE"""),"REA-K6358")</f>
        <v>REA-K6358</v>
      </c>
    </row>
    <row r="3904" spans="1:5" x14ac:dyDescent="0.2">
      <c r="A3904" s="22">
        <f ca="1">IFERROR(__xludf.DUMMYFUNCTION("""COMPUTED_VALUE"""),44397)</f>
        <v>44397</v>
      </c>
      <c r="B3904" s="23" t="str">
        <f ca="1">IFERROR(__xludf.DUMMYFUNCTION("""COMPUTED_VALUE"""),"Drzwi prysznicowe SOLAR")</f>
        <v>Drzwi prysznicowe SOLAR</v>
      </c>
      <c r="C3904" s="23" t="str">
        <f ca="1">IFERROR(__xludf.DUMMYFUNCTION("""COMPUTED_VALUE"""),"Solar 140")</f>
        <v>Solar 140</v>
      </c>
      <c r="D3904" s="24">
        <f ca="1">IFERROR(__xludf.DUMMYFUNCTION("""COMPUTED_VALUE"""),929)</f>
        <v>929</v>
      </c>
      <c r="E3904" s="26" t="str">
        <f ca="1">IFERROR(__xludf.DUMMYFUNCTION("""COMPUTED_VALUE"""),"REA-K6359")</f>
        <v>REA-K6359</v>
      </c>
    </row>
    <row r="3905" spans="1:5" x14ac:dyDescent="0.2">
      <c r="A3905" s="22">
        <f ca="1">IFERROR(__xludf.DUMMYFUNCTION("""COMPUTED_VALUE"""),44397)</f>
        <v>44397</v>
      </c>
      <c r="B3905" s="23" t="str">
        <f ca="1">IFERROR(__xludf.DUMMYFUNCTION("""COMPUTED_VALUE"""),"Drzwi prysznicowe SOLAR")</f>
        <v>Drzwi prysznicowe SOLAR</v>
      </c>
      <c r="C3905" s="23" t="str">
        <f ca="1">IFERROR(__xludf.DUMMYFUNCTION("""COMPUTED_VALUE"""),"Solar 150")</f>
        <v>Solar 150</v>
      </c>
      <c r="D3905" s="24">
        <f ca="1">IFERROR(__xludf.DUMMYFUNCTION("""COMPUTED_VALUE"""),949)</f>
        <v>949</v>
      </c>
      <c r="E3905" s="26" t="str">
        <f ca="1">IFERROR(__xludf.DUMMYFUNCTION("""COMPUTED_VALUE"""),"REA-K6360")</f>
        <v>REA-K6360</v>
      </c>
    </row>
    <row r="3906" spans="1:5" x14ac:dyDescent="0.2">
      <c r="A3906" s="22">
        <f ca="1">IFERROR(__xludf.DUMMYFUNCTION("""COMPUTED_VALUE"""),44379)</f>
        <v>44379</v>
      </c>
      <c r="B3906" s="23" t="str">
        <f ca="1">IFERROR(__xludf.DUMMYFUNCTION("""COMPUTED_VALUE"""),"Zestaw natryskowy z baterią")</f>
        <v>Zestaw natryskowy z baterią</v>
      </c>
      <c r="C3906" s="23" t="str">
        <f ca="1">IFERROR(__xludf.DUMMYFUNCTION("""COMPUTED_VALUE"""),"Retro Old Black")</f>
        <v>Retro Old Black</v>
      </c>
      <c r="D3906" s="24">
        <f ca="1">IFERROR(__xludf.DUMMYFUNCTION("""COMPUTED_VALUE"""),799)</f>
        <v>799</v>
      </c>
      <c r="E3906" s="26" t="str">
        <f ca="1">IFERROR(__xludf.DUMMYFUNCTION("""COMPUTED_VALUE"""),"REA-P2366")</f>
        <v>REA-P2366</v>
      </c>
    </row>
    <row r="3907" spans="1:5" x14ac:dyDescent="0.2">
      <c r="A3907" s="22">
        <f ca="1">IFERROR(__xludf.DUMMYFUNCTION("""COMPUTED_VALUE"""),44379)</f>
        <v>44379</v>
      </c>
      <c r="B3907" s="23" t="str">
        <f ca="1">IFERROR(__xludf.DUMMYFUNCTION("""COMPUTED_VALUE"""),"Zestaw natryskowy z baterią")</f>
        <v>Zestaw natryskowy z baterią</v>
      </c>
      <c r="C3907" s="23" t="str">
        <f ca="1">IFERROR(__xludf.DUMMYFUNCTION("""COMPUTED_VALUE"""),"Vintage Old Black")</f>
        <v>Vintage Old Black</v>
      </c>
      <c r="D3907" s="24">
        <f ca="1">IFERROR(__xludf.DUMMYFUNCTION("""COMPUTED_VALUE"""),1179)</f>
        <v>1179</v>
      </c>
      <c r="E3907" s="26" t="str">
        <f ca="1">IFERROR(__xludf.DUMMYFUNCTION("""COMPUTED_VALUE"""),"REA-P2367")</f>
        <v>REA-P2367</v>
      </c>
    </row>
    <row r="3908" spans="1:5" x14ac:dyDescent="0.2">
      <c r="A3908" s="22">
        <f ca="1">IFERROR(__xludf.DUMMYFUNCTION("""COMPUTED_VALUE"""),44379)</f>
        <v>44379</v>
      </c>
      <c r="B3908" s="23" t="str">
        <f ca="1">IFERROR(__xludf.DUMMYFUNCTION("""COMPUTED_VALUE"""),"Bateria umywalkowa /wysoka/")</f>
        <v>Bateria umywalkowa /wysoka/</v>
      </c>
      <c r="C3908" s="23" t="str">
        <f ca="1">IFERROR(__xludf.DUMMYFUNCTION("""COMPUTED_VALUE"""),"Bona Old Gold")</f>
        <v>Bona Old Gold</v>
      </c>
      <c r="D3908" s="24">
        <f ca="1">IFERROR(__xludf.DUMMYFUNCTION("""COMPUTED_VALUE"""),229)</f>
        <v>229</v>
      </c>
      <c r="E3908" s="26" t="str">
        <f ca="1">IFERROR(__xludf.DUMMYFUNCTION("""COMPUTED_VALUE"""),"REA-B2150")</f>
        <v>REA-B2150</v>
      </c>
    </row>
    <row r="3909" spans="1:5" x14ac:dyDescent="0.2">
      <c r="A3909" s="22">
        <f ca="1">IFERROR(__xludf.DUMMYFUNCTION("""COMPUTED_VALUE"""),44379)</f>
        <v>44379</v>
      </c>
      <c r="B3909" s="23" t="str">
        <f ca="1">IFERROR(__xludf.DUMMYFUNCTION("""COMPUTED_VALUE"""),"Bateria umywalkowa niska")</f>
        <v>Bateria umywalkowa niska</v>
      </c>
      <c r="C3909" s="23" t="str">
        <f ca="1">IFERROR(__xludf.DUMMYFUNCTION("""COMPUTED_VALUE"""),"Buzz Black Mat")</f>
        <v>Buzz Black Mat</v>
      </c>
      <c r="D3909" s="24">
        <f ca="1">IFERROR(__xludf.DUMMYFUNCTION("""COMPUTED_VALUE"""),199)</f>
        <v>199</v>
      </c>
      <c r="E3909" s="26" t="str">
        <f ca="1">IFERROR(__xludf.DUMMYFUNCTION("""COMPUTED_VALUE"""),"REA-B6920")</f>
        <v>REA-B6920</v>
      </c>
    </row>
    <row r="3910" spans="1:5" x14ac:dyDescent="0.2">
      <c r="A3910" s="22">
        <f ca="1">IFERROR(__xludf.DUMMYFUNCTION("""COMPUTED_VALUE"""),44379)</f>
        <v>44379</v>
      </c>
      <c r="B3910" s="23" t="str">
        <f ca="1">IFERROR(__xludf.DUMMYFUNCTION("""COMPUTED_VALUE"""),"Bateria umywalkowa WYSOKA")</f>
        <v>Bateria umywalkowa WYSOKA</v>
      </c>
      <c r="C3910" s="23" t="str">
        <f ca="1">IFERROR(__xludf.DUMMYFUNCTION("""COMPUTED_VALUE"""),"Graf Black")</f>
        <v>Graf Black</v>
      </c>
      <c r="D3910" s="24">
        <f ca="1">IFERROR(__xludf.DUMMYFUNCTION("""COMPUTED_VALUE"""),115)</f>
        <v>115</v>
      </c>
      <c r="E3910" s="26" t="str">
        <f ca="1">IFERROR(__xludf.DUMMYFUNCTION("""COMPUTED_VALUE"""),"REA-B0174")</f>
        <v>REA-B0174</v>
      </c>
    </row>
    <row r="3911" spans="1:5" x14ac:dyDescent="0.2">
      <c r="A3911" s="22">
        <f ca="1">IFERROR(__xludf.DUMMYFUNCTION("""COMPUTED_VALUE"""),44379)</f>
        <v>44379</v>
      </c>
      <c r="B3911" s="23" t="str">
        <f ca="1">IFERROR(__xludf.DUMMYFUNCTION("""COMPUTED_VALUE"""),"Bateria wannowa")</f>
        <v>Bateria wannowa</v>
      </c>
      <c r="C3911" s="23" t="str">
        <f ca="1">IFERROR(__xludf.DUMMYFUNCTION("""COMPUTED_VALUE"""),"Lungo L.Gold")</f>
        <v>Lungo L.Gold</v>
      </c>
      <c r="D3911" s="24">
        <f ca="1">IFERROR(__xludf.DUMMYFUNCTION("""COMPUTED_VALUE"""),529)</f>
        <v>529</v>
      </c>
      <c r="E3911" s="26" t="str">
        <f ca="1">IFERROR(__xludf.DUMMYFUNCTION("""COMPUTED_VALUE"""),"REA-B6635")</f>
        <v>REA-B6635</v>
      </c>
    </row>
    <row r="3912" spans="1:5" x14ac:dyDescent="0.2">
      <c r="A3912" s="22">
        <f ca="1">IFERROR(__xludf.DUMMYFUNCTION("""COMPUTED_VALUE"""),44379)</f>
        <v>44379</v>
      </c>
      <c r="B3912" s="23" t="str">
        <f ca="1">IFERROR(__xludf.DUMMYFUNCTION("""COMPUTED_VALUE"""),"Bateria umywalkowa podtynkowa")</f>
        <v>Bateria umywalkowa podtynkowa</v>
      </c>
      <c r="C3912" s="23" t="str">
        <f ca="1">IFERROR(__xludf.DUMMYFUNCTION("""COMPUTED_VALUE"""),"Mason Black")</f>
        <v>Mason Black</v>
      </c>
      <c r="D3912" s="24">
        <f ca="1">IFERROR(__xludf.DUMMYFUNCTION("""COMPUTED_VALUE"""),439)</f>
        <v>439</v>
      </c>
      <c r="E3912" s="26" t="str">
        <f ca="1">IFERROR(__xludf.DUMMYFUNCTION("""COMPUTED_VALUE"""),"REA-B0690")</f>
        <v>REA-B0690</v>
      </c>
    </row>
    <row r="3913" spans="1:5" x14ac:dyDescent="0.2">
      <c r="A3913" s="22" t="str">
        <f ca="1">IFERROR(__xludf.DUMMYFUNCTION("""COMPUTED_VALUE"""),"202107-02")</f>
        <v>202107-02</v>
      </c>
      <c r="B3913" s="23" t="str">
        <f ca="1">IFERROR(__xludf.DUMMYFUNCTION("""COMPUTED_VALUE"""),"Bateria wannowa z wężem i słuchawką")</f>
        <v>Bateria wannowa z wężem i słuchawką</v>
      </c>
      <c r="C3913" s="23" t="str">
        <f ca="1">IFERROR(__xludf.DUMMYFUNCTION("""COMPUTED_VALUE"""),"Retro Old Black")</f>
        <v>Retro Old Black</v>
      </c>
      <c r="D3913" s="24">
        <f ca="1">IFERROR(__xludf.DUMMYFUNCTION("""COMPUTED_VALUE"""),459)</f>
        <v>459</v>
      </c>
      <c r="E3913" s="26" t="str">
        <f ca="1">IFERROR(__xludf.DUMMYFUNCTION("""COMPUTED_VALUE"""),"REA-B0224")</f>
        <v>REA-B0224</v>
      </c>
    </row>
    <row r="3914" spans="1:5" x14ac:dyDescent="0.2">
      <c r="A3914" s="22">
        <f ca="1">IFERROR(__xludf.DUMMYFUNCTION("""COMPUTED_VALUE"""),44379)</f>
        <v>44379</v>
      </c>
      <c r="B3914" s="23" t="str">
        <f ca="1">IFERROR(__xludf.DUMMYFUNCTION("""COMPUTED_VALUE"""),"Bateria umywalkowa WYSOKA")</f>
        <v>Bateria umywalkowa WYSOKA</v>
      </c>
      <c r="C3914" s="23" t="str">
        <f ca="1">IFERROR(__xludf.DUMMYFUNCTION("""COMPUTED_VALUE"""),"Vintage Old Black High")</f>
        <v>Vintage Old Black High</v>
      </c>
      <c r="D3914" s="24">
        <f ca="1">IFERROR(__xludf.DUMMYFUNCTION("""COMPUTED_VALUE"""),319)</f>
        <v>319</v>
      </c>
      <c r="E3914" s="26" t="str">
        <f ca="1">IFERROR(__xludf.DUMMYFUNCTION("""COMPUTED_VALUE"""),"REA-B0227")</f>
        <v>REA-B0227</v>
      </c>
    </row>
    <row r="3915" spans="1:5" x14ac:dyDescent="0.2">
      <c r="A3915" s="22">
        <f ca="1">IFERROR(__xludf.DUMMYFUNCTION("""COMPUTED_VALUE"""),44379)</f>
        <v>44379</v>
      </c>
      <c r="B3915" s="23" t="str">
        <f ca="1">IFERROR(__xludf.DUMMYFUNCTION("""COMPUTED_VALUE"""),"Umywalka blatowa")</f>
        <v>Umywalka blatowa</v>
      </c>
      <c r="C3915" s="23" t="str">
        <f ca="1">IFERROR(__xludf.DUMMYFUNCTION("""COMPUTED_VALUE"""),"Belinda Mini")</f>
        <v>Belinda Mini</v>
      </c>
      <c r="D3915" s="24">
        <f ca="1">IFERROR(__xludf.DUMMYFUNCTION("""COMPUTED_VALUE"""),159)</f>
        <v>159</v>
      </c>
      <c r="E3915" s="26" t="str">
        <f ca="1">IFERROR(__xludf.DUMMYFUNCTION("""COMPUTED_VALUE"""),"REA-U5667")</f>
        <v>REA-U5667</v>
      </c>
    </row>
    <row r="3916" spans="1:5" x14ac:dyDescent="0.2">
      <c r="A3916" s="22">
        <f ca="1">IFERROR(__xludf.DUMMYFUNCTION("""COMPUTED_VALUE"""),44377)</f>
        <v>44377</v>
      </c>
      <c r="B3916" s="23" t="str">
        <f ca="1">IFERROR(__xludf.DUMMYFUNCTION("""COMPUTED_VALUE"""),"Umywalka blatowa")</f>
        <v>Umywalka blatowa</v>
      </c>
      <c r="C3916" s="23" t="str">
        <f ca="1">IFERROR(__xludf.DUMMYFUNCTION("""COMPUTED_VALUE"""),"Vivien")</f>
        <v>Vivien</v>
      </c>
      <c r="D3916" s="24">
        <f ca="1">IFERROR(__xludf.DUMMYFUNCTION("""COMPUTED_VALUE"""),499)</f>
        <v>499</v>
      </c>
      <c r="E3916" s="26" t="str">
        <f ca="1">IFERROR(__xludf.DUMMYFUNCTION("""COMPUTED_VALUE"""),"REA-U5666")</f>
        <v>REA-U5666</v>
      </c>
    </row>
    <row r="3917" spans="1:5" x14ac:dyDescent="0.2">
      <c r="A3917" s="22">
        <f ca="1">IFERROR(__xludf.DUMMYFUNCTION("""COMPUTED_VALUE"""),44377)</f>
        <v>44377</v>
      </c>
      <c r="B3917" s="23" t="str">
        <f ca="1">IFERROR(__xludf.DUMMYFUNCTION("""COMPUTED_VALUE"""),"Umywalka blatowa")</f>
        <v>Umywalka blatowa</v>
      </c>
      <c r="C3917" s="23" t="str">
        <f ca="1">IFERROR(__xludf.DUMMYFUNCTION("""COMPUTED_VALUE"""),"Greta 55")</f>
        <v>Greta 55</v>
      </c>
      <c r="D3917" s="24">
        <f ca="1">IFERROR(__xludf.DUMMYFUNCTION("""COMPUTED_VALUE"""),329)</f>
        <v>329</v>
      </c>
      <c r="E3917" s="26" t="str">
        <f ca="1">IFERROR(__xludf.DUMMYFUNCTION("""COMPUTED_VALUE"""),"REA-U8536")</f>
        <v>REA-U8536</v>
      </c>
    </row>
    <row r="3918" spans="1:5" x14ac:dyDescent="0.2">
      <c r="A3918" s="22">
        <f ca="1">IFERROR(__xludf.DUMMYFUNCTION("""COMPUTED_VALUE"""),44377)</f>
        <v>44377</v>
      </c>
      <c r="B3918" s="23" t="str">
        <f ca="1">IFERROR(__xludf.DUMMYFUNCTION("""COMPUTED_VALUE"""),"Umywalka blatowa")</f>
        <v>Umywalka blatowa</v>
      </c>
      <c r="C3918" s="23" t="str">
        <f ca="1">IFERROR(__xludf.DUMMYFUNCTION("""COMPUTED_VALUE"""),"Cindy")</f>
        <v>Cindy</v>
      </c>
      <c r="D3918" s="24">
        <f ca="1">IFERROR(__xludf.DUMMYFUNCTION("""COMPUTED_VALUE"""),219)</f>
        <v>219</v>
      </c>
      <c r="E3918" s="26" t="str">
        <f ca="1">IFERROR(__xludf.DUMMYFUNCTION("""COMPUTED_VALUE"""),"REA-U0155")</f>
        <v>REA-U0155</v>
      </c>
    </row>
    <row r="3919" spans="1:5" x14ac:dyDescent="0.2">
      <c r="A3919" s="22">
        <f ca="1">IFERROR(__xludf.DUMMYFUNCTION("""COMPUTED_VALUE"""),44365)</f>
        <v>44365</v>
      </c>
      <c r="B3919" s="23" t="str">
        <f ca="1">IFERROR(__xludf.DUMMYFUNCTION("""COMPUTED_VALUE"""),"Umywalka blatowa")</f>
        <v>Umywalka blatowa</v>
      </c>
      <c r="C3919" s="23" t="str">
        <f ca="1">IFERROR(__xludf.DUMMYFUNCTION("""COMPUTED_VALUE"""),"Greta 65")</f>
        <v>Greta 65</v>
      </c>
      <c r="D3919" s="24">
        <f ca="1">IFERROR(__xludf.DUMMYFUNCTION("""COMPUTED_VALUE"""),359)</f>
        <v>359</v>
      </c>
      <c r="E3919" s="26" t="str">
        <f ca="1">IFERROR(__xludf.DUMMYFUNCTION("""COMPUTED_VALUE"""),"REA-U8537")</f>
        <v>REA-U8537</v>
      </c>
    </row>
    <row r="3920" spans="1:5" x14ac:dyDescent="0.2">
      <c r="A3920" s="22">
        <f ca="1">IFERROR(__xludf.DUMMYFUNCTION("""COMPUTED_VALUE"""),44365)</f>
        <v>44365</v>
      </c>
      <c r="B3920" s="23" t="str">
        <f ca="1">IFERROR(__xludf.DUMMYFUNCTION("""COMPUTED_VALUE"""),"Umywalka blatowa")</f>
        <v>Umywalka blatowa</v>
      </c>
      <c r="C3920" s="23" t="str">
        <f ca="1">IFERROR(__xludf.DUMMYFUNCTION("""COMPUTED_VALUE"""),"Greta 75")</f>
        <v>Greta 75</v>
      </c>
      <c r="D3920" s="24">
        <f ca="1">IFERROR(__xludf.DUMMYFUNCTION("""COMPUTED_VALUE"""),439)</f>
        <v>439</v>
      </c>
      <c r="E3920" s="26" t="str">
        <f ca="1">IFERROR(__xludf.DUMMYFUNCTION("""COMPUTED_VALUE"""),"REA-U1500")</f>
        <v>REA-U1500</v>
      </c>
    </row>
    <row r="3921" spans="1:5" x14ac:dyDescent="0.2">
      <c r="A3921" s="22">
        <f ca="1">IFERROR(__xludf.DUMMYFUNCTION("""COMPUTED_VALUE"""),44365)</f>
        <v>44365</v>
      </c>
      <c r="B3921" s="23" t="str">
        <f ca="1">IFERROR(__xludf.DUMMYFUNCTION("""COMPUTED_VALUE"""),"Uniwersalny syfon z korkiem klik-klak")</f>
        <v>Uniwersalny syfon z korkiem klik-klak</v>
      </c>
      <c r="C3921" s="23" t="str">
        <f ca="1">IFERROR(__xludf.DUMMYFUNCTION("""COMPUTED_VALUE"""),"Light Gold")</f>
        <v>Light Gold</v>
      </c>
      <c r="D3921" s="24">
        <f ca="1">IFERROR(__xludf.DUMMYFUNCTION("""COMPUTED_VALUE"""),179)</f>
        <v>179</v>
      </c>
      <c r="E3921" s="26" t="str">
        <f ca="1">IFERROR(__xludf.DUMMYFUNCTION("""COMPUTED_VALUE"""),"REA-A5692")</f>
        <v>REA-A5692</v>
      </c>
    </row>
    <row r="3922" spans="1:5" x14ac:dyDescent="0.2">
      <c r="A3922" s="22">
        <f ca="1">IFERROR(__xludf.DUMMYFUNCTION("""COMPUTED_VALUE"""),44365)</f>
        <v>44365</v>
      </c>
      <c r="B3922" s="23" t="str">
        <f ca="1">IFERROR(__xludf.DUMMYFUNCTION("""COMPUTED_VALUE"""),"Uniwersalny syfon z korkiem klik-klak")</f>
        <v>Uniwersalny syfon z korkiem klik-klak</v>
      </c>
      <c r="C3922" s="23" t="str">
        <f ca="1">IFERROR(__xludf.DUMMYFUNCTION("""COMPUTED_VALUE"""),"Black")</f>
        <v>Black</v>
      </c>
      <c r="D3922" s="24">
        <f ca="1">IFERROR(__xludf.DUMMYFUNCTION("""COMPUTED_VALUE"""),169)</f>
        <v>169</v>
      </c>
      <c r="E3922" s="26" t="str">
        <f ca="1">IFERROR(__xludf.DUMMYFUNCTION("""COMPUTED_VALUE"""),"REA-A5215")</f>
        <v>REA-A5215</v>
      </c>
    </row>
    <row r="3923" spans="1:5" x14ac:dyDescent="0.2">
      <c r="A3923" s="22">
        <f ca="1">IFERROR(__xludf.DUMMYFUNCTION("""COMPUTED_VALUE"""),44365)</f>
        <v>44365</v>
      </c>
      <c r="B3923" s="23" t="str">
        <f ca="1">IFERROR(__xludf.DUMMYFUNCTION("""COMPUTED_VALUE"""),"Misa wisząca")</f>
        <v>Misa wisząca</v>
      </c>
      <c r="C3923" s="23" t="str">
        <f ca="1">IFERROR(__xludf.DUMMYFUNCTION("""COMPUTED_VALUE"""),"Carlos Aiax Shiny")</f>
        <v>Carlos Aiax Shiny</v>
      </c>
      <c r="D3923" s="28">
        <f ca="1">IFERROR(__xludf.DUMMYFUNCTION("""COMPUTED_VALUE"""),1299)</f>
        <v>1299</v>
      </c>
      <c r="E3923" s="26" t="str">
        <f ca="1">IFERROR(__xludf.DUMMYFUNCTION("""COMPUTED_VALUE"""),"REA-C6385")</f>
        <v>REA-C6385</v>
      </c>
    </row>
    <row r="3924" spans="1:5" x14ac:dyDescent="0.2">
      <c r="A3924" s="22">
        <f ca="1">IFERROR(__xludf.DUMMYFUNCTION("""COMPUTED_VALUE"""),44365)</f>
        <v>44365</v>
      </c>
      <c r="B3924" s="23" t="str">
        <f ca="1">IFERROR(__xludf.DUMMYFUNCTION("""COMPUTED_VALUE"""),"Umywalka blatowa")</f>
        <v>Umywalka blatowa</v>
      </c>
      <c r="C3924" s="23" t="str">
        <f ca="1">IFERROR(__xludf.DUMMYFUNCTION("""COMPUTED_VALUE"""),"Elita")</f>
        <v>Elita</v>
      </c>
      <c r="D3924" s="24">
        <f ca="1">IFERROR(__xludf.DUMMYFUNCTION("""COMPUTED_VALUE"""),399)</f>
        <v>399</v>
      </c>
      <c r="E3924" s="26" t="str">
        <f ca="1">IFERROR(__xludf.DUMMYFUNCTION("""COMPUTED_VALUE"""),"REA-U6658")</f>
        <v>REA-U6658</v>
      </c>
    </row>
    <row r="3925" spans="1:5" x14ac:dyDescent="0.2">
      <c r="A3925" s="22">
        <f ca="1">IFERROR(__xludf.DUMMYFUNCTION("""COMPUTED_VALUE"""),44365)</f>
        <v>44365</v>
      </c>
      <c r="B3925" s="23" t="str">
        <f ca="1">IFERROR(__xludf.DUMMYFUNCTION("""COMPUTED_VALUE"""),"Umywalka blatowa")</f>
        <v>Umywalka blatowa</v>
      </c>
      <c r="C3925" s="23" t="str">
        <f ca="1">IFERROR(__xludf.DUMMYFUNCTION("""COMPUTED_VALUE"""),"Gina 60")</f>
        <v>Gina 60</v>
      </c>
      <c r="D3925" s="24">
        <f ca="1">IFERROR(__xludf.DUMMYFUNCTION("""COMPUTED_VALUE"""),369)</f>
        <v>369</v>
      </c>
      <c r="E3925" s="26" t="str">
        <f ca="1">IFERROR(__xludf.DUMMYFUNCTION("""COMPUTED_VALUE"""),"REA-U0677")</f>
        <v>REA-U0677</v>
      </c>
    </row>
    <row r="3926" spans="1:5" x14ac:dyDescent="0.2">
      <c r="A3926" s="22">
        <f ca="1">IFERROR(__xludf.DUMMYFUNCTION("""COMPUTED_VALUE"""),44365)</f>
        <v>44365</v>
      </c>
      <c r="B3926" s="23" t="str">
        <f ca="1">IFERROR(__xludf.DUMMYFUNCTION("""COMPUTED_VALUE"""),"Umywalka wolnostojąca")</f>
        <v>Umywalka wolnostojąca</v>
      </c>
      <c r="C3926" s="23" t="str">
        <f ca="1">IFERROR(__xludf.DUMMYFUNCTION("""COMPUTED_VALUE"""),"Kamila Black")</f>
        <v>Kamila Black</v>
      </c>
      <c r="D3926" s="24">
        <f ca="1">IFERROR(__xludf.DUMMYFUNCTION("""COMPUTED_VALUE"""),959)</f>
        <v>959</v>
      </c>
      <c r="E3926" s="26" t="str">
        <f ca="1">IFERROR(__xludf.DUMMYFUNCTION("""COMPUTED_VALUE"""),"REA-U5644")</f>
        <v>REA-U5644</v>
      </c>
    </row>
    <row r="3927" spans="1:5" x14ac:dyDescent="0.2">
      <c r="A3927" s="22">
        <f ca="1">IFERROR(__xludf.DUMMYFUNCTION("""COMPUTED_VALUE"""),44365)</f>
        <v>44365</v>
      </c>
      <c r="B3927" s="23" t="str">
        <f ca="1">IFERROR(__xludf.DUMMYFUNCTION("""COMPUTED_VALUE"""),"Umywalka podblatowa")</f>
        <v>Umywalka podblatowa</v>
      </c>
      <c r="C3927" s="23" t="str">
        <f ca="1">IFERROR(__xludf.DUMMYFUNCTION("""COMPUTED_VALUE"""),"Nel")</f>
        <v>Nel</v>
      </c>
      <c r="D3927" s="24">
        <f ca="1">IFERROR(__xludf.DUMMYFUNCTION("""COMPUTED_VALUE"""),129)</f>
        <v>129</v>
      </c>
      <c r="E3927" s="26" t="str">
        <f ca="1">IFERROR(__xludf.DUMMYFUNCTION("""COMPUTED_VALUE"""),"REA-U6330")</f>
        <v>REA-U6330</v>
      </c>
    </row>
    <row r="3928" spans="1:5" x14ac:dyDescent="0.2">
      <c r="A3928" s="22">
        <f ca="1">IFERROR(__xludf.DUMMYFUNCTION("""COMPUTED_VALUE"""),44365)</f>
        <v>44365</v>
      </c>
      <c r="B3928" s="23" t="str">
        <f ca="1">IFERROR(__xludf.DUMMYFUNCTION("""COMPUTED_VALUE"""),"Umywalka blatowa")</f>
        <v>Umywalka blatowa</v>
      </c>
      <c r="C3928" s="23" t="str">
        <f ca="1">IFERROR(__xludf.DUMMYFUNCTION("""COMPUTED_VALUE"""),"Stella Black Mat")</f>
        <v>Stella Black Mat</v>
      </c>
      <c r="D3928" s="24">
        <f ca="1">IFERROR(__xludf.DUMMYFUNCTION("""COMPUTED_VALUE"""),409)</f>
        <v>409</v>
      </c>
      <c r="E3928" s="26" t="str">
        <f ca="1">IFERROR(__xludf.DUMMYFUNCTION("""COMPUTED_VALUE"""),"REA-U1890")</f>
        <v>REA-U1890</v>
      </c>
    </row>
    <row r="3929" spans="1:5" x14ac:dyDescent="0.2">
      <c r="A3929" s="22">
        <f ca="1">IFERROR(__xludf.DUMMYFUNCTION("""COMPUTED_VALUE"""),44358)</f>
        <v>44358</v>
      </c>
      <c r="B3929" s="23" t="str">
        <f ca="1">IFERROR(__xludf.DUMMYFUNCTION("""COMPUTED_VALUE"""),"Umywalka blatowa")</f>
        <v>Umywalka blatowa</v>
      </c>
      <c r="C3929" s="23" t="str">
        <f ca="1">IFERROR(__xludf.DUMMYFUNCTION("""COMPUTED_VALUE"""),"Olga")</f>
        <v>Olga</v>
      </c>
      <c r="D3929" s="24">
        <f ca="1">IFERROR(__xludf.DUMMYFUNCTION("""COMPUTED_VALUE"""),209)</f>
        <v>209</v>
      </c>
      <c r="E3929" s="26" t="str">
        <f ca="1">IFERROR(__xludf.DUMMYFUNCTION("""COMPUTED_VALUE"""),"REA-U1060")</f>
        <v>REA-U1060</v>
      </c>
    </row>
    <row r="3930" spans="1:5" x14ac:dyDescent="0.2">
      <c r="A3930" s="22">
        <f ca="1">IFERROR(__xludf.DUMMYFUNCTION("""COMPUTED_VALUE"""),44358)</f>
        <v>44358</v>
      </c>
      <c r="B3930" s="23" t="str">
        <f ca="1">IFERROR(__xludf.DUMMYFUNCTION("""COMPUTED_VALUE"""),"Umywalka blatowa")</f>
        <v>Umywalka blatowa</v>
      </c>
      <c r="C3930" s="23" t="str">
        <f ca="1">IFERROR(__xludf.DUMMYFUNCTION("""COMPUTED_VALUE"""),"Stella")</f>
        <v>Stella</v>
      </c>
      <c r="D3930" s="24">
        <f ca="1">IFERROR(__xludf.DUMMYFUNCTION("""COMPUTED_VALUE"""),189)</f>
        <v>189</v>
      </c>
      <c r="E3930" s="26" t="str">
        <f ca="1">IFERROR(__xludf.DUMMYFUNCTION("""COMPUTED_VALUE"""),"REA-U1878")</f>
        <v>REA-U1878</v>
      </c>
    </row>
    <row r="3931" spans="1:5" x14ac:dyDescent="0.2">
      <c r="A3931" s="22">
        <f ca="1">IFERROR(__xludf.DUMMYFUNCTION("""COMPUTED_VALUE"""),44358)</f>
        <v>44358</v>
      </c>
      <c r="B3931" s="23" t="str">
        <f ca="1">IFERROR(__xludf.DUMMYFUNCTION("""COMPUTED_VALUE"""),"Umywalka blatowa")</f>
        <v>Umywalka blatowa</v>
      </c>
      <c r="C3931" s="23" t="str">
        <f ca="1">IFERROR(__xludf.DUMMYFUNCTION("""COMPUTED_VALUE"""),"Celia SLIM")</f>
        <v>Celia SLIM</v>
      </c>
      <c r="D3931" s="24">
        <f ca="1">IFERROR(__xludf.DUMMYFUNCTION("""COMPUTED_VALUE"""),249)</f>
        <v>249</v>
      </c>
      <c r="E3931" s="26" t="str">
        <f ca="1">IFERROR(__xludf.DUMMYFUNCTION("""COMPUTED_VALUE"""),"REA-U1952")</f>
        <v>REA-U1952</v>
      </c>
    </row>
    <row r="3932" spans="1:5" x14ac:dyDescent="0.2">
      <c r="A3932" s="22">
        <f ca="1">IFERROR(__xludf.DUMMYFUNCTION("""COMPUTED_VALUE"""),44358)</f>
        <v>44358</v>
      </c>
      <c r="B3932" s="23" t="str">
        <f ca="1">IFERROR(__xludf.DUMMYFUNCTION("""COMPUTED_VALUE"""),"Umywalka ceramiczna wpuszczana")</f>
        <v>Umywalka ceramiczna wpuszczana</v>
      </c>
      <c r="C3932" s="23" t="str">
        <f ca="1">IFERROR(__xludf.DUMMYFUNCTION("""COMPUTED_VALUE"""),"Dafne ""60""")</f>
        <v>Dafne "60"</v>
      </c>
      <c r="D3932" s="24">
        <f ca="1">IFERROR(__xludf.DUMMYFUNCTION("""COMPUTED_VALUE"""),239)</f>
        <v>239</v>
      </c>
      <c r="E3932" s="26" t="str">
        <f ca="1">IFERROR(__xludf.DUMMYFUNCTION("""COMPUTED_VALUE"""),"REA-U0008")</f>
        <v>REA-U0008</v>
      </c>
    </row>
    <row r="3933" spans="1:5" x14ac:dyDescent="0.2">
      <c r="A3933" s="22">
        <f ca="1">IFERROR(__xludf.DUMMYFUNCTION("""COMPUTED_VALUE"""),44358)</f>
        <v>44358</v>
      </c>
      <c r="B3933" s="23" t="str">
        <f ca="1">IFERROR(__xludf.DUMMYFUNCTION("""COMPUTED_VALUE"""),"Umywalka ceramiczna wpuszczana")</f>
        <v>Umywalka ceramiczna wpuszczana</v>
      </c>
      <c r="C3933" s="23" t="str">
        <f ca="1">IFERROR(__xludf.DUMMYFUNCTION("""COMPUTED_VALUE"""),"Dafne ""75""")</f>
        <v>Dafne "75"</v>
      </c>
      <c r="D3933" s="24">
        <f ca="1">IFERROR(__xludf.DUMMYFUNCTION("""COMPUTED_VALUE"""),299)</f>
        <v>299</v>
      </c>
      <c r="E3933" s="26" t="str">
        <f ca="1">IFERROR(__xludf.DUMMYFUNCTION("""COMPUTED_VALUE"""),"REA-U0040")</f>
        <v>REA-U0040</v>
      </c>
    </row>
    <row r="3934" spans="1:5" x14ac:dyDescent="0.2">
      <c r="A3934" s="22">
        <f ca="1">IFERROR(__xludf.DUMMYFUNCTION("""COMPUTED_VALUE"""),44358)</f>
        <v>44358</v>
      </c>
      <c r="B3934" s="23" t="str">
        <f ca="1">IFERROR(__xludf.DUMMYFUNCTION("""COMPUTED_VALUE"""),"Umywalka ścienna/meblowa")</f>
        <v>Umywalka ścienna/meblowa</v>
      </c>
      <c r="C3934" s="23" t="str">
        <f ca="1">IFERROR(__xludf.DUMMYFUNCTION("""COMPUTED_VALUE"""),"Daisy")</f>
        <v>Daisy</v>
      </c>
      <c r="D3934" s="24">
        <f ca="1">IFERROR(__xludf.DUMMYFUNCTION("""COMPUTED_VALUE"""),399)</f>
        <v>399</v>
      </c>
      <c r="E3934" s="26" t="str">
        <f ca="1">IFERROR(__xludf.DUMMYFUNCTION("""COMPUTED_VALUE"""),"REA-U0875")</f>
        <v>REA-U0875</v>
      </c>
    </row>
    <row r="3935" spans="1:5" x14ac:dyDescent="0.2">
      <c r="A3935" s="22">
        <f ca="1">IFERROR(__xludf.DUMMYFUNCTION("""COMPUTED_VALUE"""),44358)</f>
        <v>44358</v>
      </c>
      <c r="B3935" s="23" t="str">
        <f ca="1">IFERROR(__xludf.DUMMYFUNCTION("""COMPUTED_VALUE"""),"Umywalka blatowa")</f>
        <v>Umywalka blatowa</v>
      </c>
      <c r="C3935" s="23" t="str">
        <f ca="1">IFERROR(__xludf.DUMMYFUNCTION("""COMPUTED_VALUE"""),"Ida")</f>
        <v>Ida</v>
      </c>
      <c r="D3935" s="24">
        <f ca="1">IFERROR(__xludf.DUMMYFUNCTION("""COMPUTED_VALUE"""),179)</f>
        <v>179</v>
      </c>
      <c r="E3935" s="26" t="str">
        <f ca="1">IFERROR(__xludf.DUMMYFUNCTION("""COMPUTED_VALUE"""),"REA-U7400")</f>
        <v>REA-U7400</v>
      </c>
    </row>
    <row r="3936" spans="1:5" x14ac:dyDescent="0.2">
      <c r="A3936" s="22">
        <f ca="1">IFERROR(__xludf.DUMMYFUNCTION("""COMPUTED_VALUE"""),44358)</f>
        <v>44358</v>
      </c>
      <c r="B3936" s="23" t="str">
        <f ca="1">IFERROR(__xludf.DUMMYFUNCTION("""COMPUTED_VALUE"""),"Umywalka blatowa")</f>
        <v>Umywalka blatowa</v>
      </c>
      <c r="C3936" s="23" t="str">
        <f ca="1">IFERROR(__xludf.DUMMYFUNCTION("""COMPUTED_VALUE"""),"Queen Carrara Shiny")</f>
        <v>Queen Carrara Shiny</v>
      </c>
      <c r="D3936" s="24">
        <f ca="1">IFERROR(__xludf.DUMMYFUNCTION("""COMPUTED_VALUE"""),359)</f>
        <v>359</v>
      </c>
      <c r="E3936" s="26" t="str">
        <f ca="1">IFERROR(__xludf.DUMMYFUNCTION("""COMPUTED_VALUE"""),"REA-U1232")</f>
        <v>REA-U1232</v>
      </c>
    </row>
    <row r="3937" spans="1:5" x14ac:dyDescent="0.2">
      <c r="A3937" s="22">
        <f ca="1">IFERROR(__xludf.DUMMYFUNCTION("""COMPUTED_VALUE"""),44358)</f>
        <v>44358</v>
      </c>
      <c r="B3937" s="23" t="str">
        <f ca="1">IFERROR(__xludf.DUMMYFUNCTION("""COMPUTED_VALUE"""),"Umywalka blatowa")</f>
        <v>Umywalka blatowa</v>
      </c>
      <c r="C3937" s="23" t="str">
        <f ca="1">IFERROR(__xludf.DUMMYFUNCTION("""COMPUTED_VALUE"""),"Ashley")</f>
        <v>Ashley</v>
      </c>
      <c r="D3937" s="24">
        <f ca="1">IFERROR(__xludf.DUMMYFUNCTION("""COMPUTED_VALUE"""),439)</f>
        <v>439</v>
      </c>
      <c r="E3937" s="26" t="str">
        <f ca="1">IFERROR(__xludf.DUMMYFUNCTION("""COMPUTED_VALUE"""),"REA-U4663")</f>
        <v>REA-U4663</v>
      </c>
    </row>
    <row r="3938" spans="1:5" x14ac:dyDescent="0.2">
      <c r="A3938" s="22">
        <f ca="1">IFERROR(__xludf.DUMMYFUNCTION("""COMPUTED_VALUE"""),44358)</f>
        <v>44358</v>
      </c>
      <c r="B3938" s="23" t="str">
        <f ca="1">IFERROR(__xludf.DUMMYFUNCTION("""COMPUTED_VALUE"""),"Umywalka blatowa")</f>
        <v>Umywalka blatowa</v>
      </c>
      <c r="C3938" s="23" t="str">
        <f ca="1">IFERROR(__xludf.DUMMYFUNCTION("""COMPUTED_VALUE"""),"Linda Shiny Black")</f>
        <v>Linda Shiny Black</v>
      </c>
      <c r="D3938" s="24">
        <f ca="1">IFERROR(__xludf.DUMMYFUNCTION("""COMPUTED_VALUE"""),269)</f>
        <v>269</v>
      </c>
      <c r="E3938" s="26" t="str">
        <f ca="1">IFERROR(__xludf.DUMMYFUNCTION("""COMPUTED_VALUE"""),"REA-U8523")</f>
        <v>REA-U8523</v>
      </c>
    </row>
    <row r="3939" spans="1:5" x14ac:dyDescent="0.2">
      <c r="A3939" s="22">
        <f ca="1">IFERROR(__xludf.DUMMYFUNCTION("""COMPUTED_VALUE"""),44358)</f>
        <v>44358</v>
      </c>
      <c r="B3939" s="23" t="str">
        <f ca="1">IFERROR(__xludf.DUMMYFUNCTION("""COMPUTED_VALUE"""),"Umywalka blatowa")</f>
        <v>Umywalka blatowa</v>
      </c>
      <c r="C3939" s="23" t="str">
        <f ca="1">IFERROR(__xludf.DUMMYFUNCTION("""COMPUTED_VALUE"""),"Pamela Gold/White")</f>
        <v>Pamela Gold/White</v>
      </c>
      <c r="D3939" s="24">
        <f ca="1">IFERROR(__xludf.DUMMYFUNCTION("""COMPUTED_VALUE"""),339)</f>
        <v>339</v>
      </c>
      <c r="E3939" s="26" t="str">
        <f ca="1">IFERROR(__xludf.DUMMYFUNCTION("""COMPUTED_VALUE"""),"REA-U6345")</f>
        <v>REA-U6345</v>
      </c>
    </row>
    <row r="3940" spans="1:5" x14ac:dyDescent="0.2">
      <c r="A3940" s="22">
        <f ca="1">IFERROR(__xludf.DUMMYFUNCTION("""COMPUTED_VALUE"""),44358)</f>
        <v>44358</v>
      </c>
      <c r="B3940" s="23" t="str">
        <f ca="1">IFERROR(__xludf.DUMMYFUNCTION("""COMPUTED_VALUE"""),"Umywalka blatowa")</f>
        <v>Umywalka blatowa</v>
      </c>
      <c r="C3940" s="23" t="str">
        <f ca="1">IFERROR(__xludf.DUMMYFUNCTION("""COMPUTED_VALUE"""),"Sofia Black Edge")</f>
        <v>Sofia Black Edge</v>
      </c>
      <c r="D3940" s="24">
        <f ca="1">IFERROR(__xludf.DUMMYFUNCTION("""COMPUTED_VALUE"""),259)</f>
        <v>259</v>
      </c>
      <c r="E3940" s="26" t="str">
        <f ca="1">IFERROR(__xludf.DUMMYFUNCTION("""COMPUTED_VALUE"""),"REA-U3217")</f>
        <v>REA-U3217</v>
      </c>
    </row>
    <row r="3941" spans="1:5" x14ac:dyDescent="0.2">
      <c r="A3941" s="22">
        <f ca="1">IFERROR(__xludf.DUMMYFUNCTION("""COMPUTED_VALUE"""),44358)</f>
        <v>44358</v>
      </c>
      <c r="B3941" s="23" t="str">
        <f ca="1">IFERROR(__xludf.DUMMYFUNCTION("""COMPUTED_VALUE"""),"Umywalka stojąca")</f>
        <v>Umywalka stojąca</v>
      </c>
      <c r="C3941" s="23" t="str">
        <f ca="1">IFERROR(__xludf.DUMMYFUNCTION("""COMPUTED_VALUE"""),"Ada Slim")</f>
        <v>Ada Slim</v>
      </c>
      <c r="D3941" s="24">
        <f ca="1">IFERROR(__xludf.DUMMYFUNCTION("""COMPUTED_VALUE"""),999)</f>
        <v>999</v>
      </c>
      <c r="E3941" s="26" t="str">
        <f ca="1">IFERROR(__xludf.DUMMYFUNCTION("""COMPUTED_VALUE"""),"REA-U9902")</f>
        <v>REA-U9902</v>
      </c>
    </row>
    <row r="3942" spans="1:5" x14ac:dyDescent="0.2">
      <c r="A3942" s="22">
        <f ca="1">IFERROR(__xludf.DUMMYFUNCTION("""COMPUTED_VALUE"""),44358)</f>
        <v>44358</v>
      </c>
      <c r="B3942" s="23" t="str">
        <f ca="1">IFERROR(__xludf.DUMMYFUNCTION("""COMPUTED_VALUE"""),"Umywalka wolnostojąca")</f>
        <v>Umywalka wolnostojąca</v>
      </c>
      <c r="C3942" s="23" t="str">
        <f ca="1">IFERROR(__xludf.DUMMYFUNCTION("""COMPUTED_VALUE"""),"AGNES")</f>
        <v>AGNES</v>
      </c>
      <c r="D3942" s="24">
        <f ca="1">IFERROR(__xludf.DUMMYFUNCTION("""COMPUTED_VALUE"""),999)</f>
        <v>999</v>
      </c>
      <c r="E3942" s="26" t="str">
        <f ca="1">IFERROR(__xludf.DUMMYFUNCTION("""COMPUTED_VALUE"""),"REA-U9906")</f>
        <v>REA-U9906</v>
      </c>
    </row>
    <row r="3943" spans="1:5" x14ac:dyDescent="0.2">
      <c r="A3943" s="22">
        <f ca="1">IFERROR(__xludf.DUMMYFUNCTION("""COMPUTED_VALUE"""),44358)</f>
        <v>44358</v>
      </c>
      <c r="B3943" s="23" t="str">
        <f ca="1">IFERROR(__xludf.DUMMYFUNCTION("""COMPUTED_VALUE"""),"Umywalka stojąca")</f>
        <v>Umywalka stojąca</v>
      </c>
      <c r="C3943" s="23" t="str">
        <f ca="1">IFERROR(__xludf.DUMMYFUNCTION("""COMPUTED_VALUE"""),"Aris")</f>
        <v>Aris</v>
      </c>
      <c r="D3943" s="24">
        <f ca="1">IFERROR(__xludf.DUMMYFUNCTION("""COMPUTED_VALUE"""),999)</f>
        <v>999</v>
      </c>
      <c r="E3943" s="26" t="str">
        <f ca="1">IFERROR(__xludf.DUMMYFUNCTION("""COMPUTED_VALUE"""),"REA-U5637")</f>
        <v>REA-U5637</v>
      </c>
    </row>
    <row r="3944" spans="1:5" x14ac:dyDescent="0.2">
      <c r="A3944" s="22">
        <f ca="1">IFERROR(__xludf.DUMMYFUNCTION("""COMPUTED_VALUE"""),44358)</f>
        <v>44358</v>
      </c>
      <c r="B3944" s="23" t="str">
        <f ca="1">IFERROR(__xludf.DUMMYFUNCTION("""COMPUTED_VALUE"""),"Umywalka stojąca")</f>
        <v>Umywalka stojąca</v>
      </c>
      <c r="C3944" s="23" t="str">
        <f ca="1">IFERROR(__xludf.DUMMYFUNCTION("""COMPUTED_VALUE"""),"Aris Marble")</f>
        <v>Aris Marble</v>
      </c>
      <c r="D3944" s="24">
        <f ca="1">IFERROR(__xludf.DUMMYFUNCTION("""COMPUTED_VALUE"""),1799)</f>
        <v>1799</v>
      </c>
      <c r="E3944" s="26" t="str">
        <f ca="1">IFERROR(__xludf.DUMMYFUNCTION("""COMPUTED_VALUE"""),"REA-U6906")</f>
        <v>REA-U6906</v>
      </c>
    </row>
    <row r="3945" spans="1:5" x14ac:dyDescent="0.2">
      <c r="A3945" s="22">
        <f ca="1">IFERROR(__xludf.DUMMYFUNCTION("""COMPUTED_VALUE"""),44358)</f>
        <v>44358</v>
      </c>
      <c r="B3945" s="23" t="str">
        <f ca="1">IFERROR(__xludf.DUMMYFUNCTION("""COMPUTED_VALUE"""),"Umywalka stojąca")</f>
        <v>Umywalka stojąca</v>
      </c>
      <c r="C3945" s="23" t="str">
        <f ca="1">IFERROR(__xludf.DUMMYFUNCTION("""COMPUTED_VALUE"""),"Estera")</f>
        <v>Estera</v>
      </c>
      <c r="D3945" s="24">
        <f ca="1">IFERROR(__xludf.DUMMYFUNCTION("""COMPUTED_VALUE"""),1599)</f>
        <v>1599</v>
      </c>
      <c r="E3945" s="26" t="str">
        <f ca="1">IFERROR(__xludf.DUMMYFUNCTION("""COMPUTED_VALUE"""),"REA-U0756")</f>
        <v>REA-U0756</v>
      </c>
    </row>
    <row r="3946" spans="1:5" x14ac:dyDescent="0.2">
      <c r="A3946" s="22">
        <f ca="1">IFERROR(__xludf.DUMMYFUNCTION("""COMPUTED_VALUE"""),44358)</f>
        <v>44358</v>
      </c>
      <c r="B3946" s="23" t="str">
        <f ca="1">IFERROR(__xludf.DUMMYFUNCTION("""COMPUTED_VALUE"""),"Umywalka stojąca")</f>
        <v>Umywalka stojąca</v>
      </c>
      <c r="C3946" s="23" t="str">
        <f ca="1">IFERROR(__xludf.DUMMYFUNCTION("""COMPUTED_VALUE"""),"Molly")</f>
        <v>Molly</v>
      </c>
      <c r="D3946" s="24">
        <f ca="1">IFERROR(__xludf.DUMMYFUNCTION("""COMPUTED_VALUE"""),1399)</f>
        <v>1399</v>
      </c>
      <c r="E3946" s="26" t="str">
        <f ca="1">IFERROR(__xludf.DUMMYFUNCTION("""COMPUTED_VALUE"""),"REA-U0638")</f>
        <v>REA-U0638</v>
      </c>
    </row>
    <row r="3947" spans="1:5" x14ac:dyDescent="0.2">
      <c r="A3947" s="22">
        <f ca="1">IFERROR(__xludf.DUMMYFUNCTION("""COMPUTED_VALUE"""),44358)</f>
        <v>44358</v>
      </c>
      <c r="B3947" s="23" t="str">
        <f ca="1">IFERROR(__xludf.DUMMYFUNCTION("""COMPUTED_VALUE"""),"Umywalka stojąca")</f>
        <v>Umywalka stojąca</v>
      </c>
      <c r="C3947" s="23" t="str">
        <f ca="1">IFERROR(__xludf.DUMMYFUNCTION("""COMPUTED_VALUE"""),"Rita Slim")</f>
        <v>Rita Slim</v>
      </c>
      <c r="D3947" s="24">
        <f ca="1">IFERROR(__xludf.DUMMYFUNCTION("""COMPUTED_VALUE"""),999)</f>
        <v>999</v>
      </c>
      <c r="E3947" s="26" t="str">
        <f ca="1">IFERROR(__xludf.DUMMYFUNCTION("""COMPUTED_VALUE"""),"REA-U9901")</f>
        <v>REA-U9901</v>
      </c>
    </row>
    <row r="3948" spans="1:5" x14ac:dyDescent="0.2">
      <c r="A3948" s="22">
        <f ca="1">IFERROR(__xludf.DUMMYFUNCTION("""COMPUTED_VALUE"""),44358)</f>
        <v>44358</v>
      </c>
      <c r="B3948" s="23" t="str">
        <f ca="1">IFERROR(__xludf.DUMMYFUNCTION("""COMPUTED_VALUE"""),"Umywalka stojąca")</f>
        <v>Umywalka stojąca</v>
      </c>
      <c r="C3948" s="23" t="str">
        <f ca="1">IFERROR(__xludf.DUMMYFUNCTION("""COMPUTED_VALUE"""),"Daria Marble")</f>
        <v>Daria Marble</v>
      </c>
      <c r="D3948" s="24">
        <f ca="1">IFERROR(__xludf.DUMMYFUNCTION("""COMPUTED_VALUE"""),1699)</f>
        <v>1699</v>
      </c>
      <c r="E3948" s="26" t="str">
        <f ca="1">IFERROR(__xludf.DUMMYFUNCTION("""COMPUTED_VALUE"""),"REA-U6678")</f>
        <v>REA-U6678</v>
      </c>
    </row>
    <row r="3949" spans="1:5" x14ac:dyDescent="0.2">
      <c r="A3949" s="22">
        <f ca="1">IFERROR(__xludf.DUMMYFUNCTION("""COMPUTED_VALUE"""),44358)</f>
        <v>44358</v>
      </c>
      <c r="B3949" s="23" t="str">
        <f ca="1">IFERROR(__xludf.DUMMYFUNCTION("""COMPUTED_VALUE"""),"Umywalka blatowa")</f>
        <v>Umywalka blatowa</v>
      </c>
      <c r="C3949" s="23" t="str">
        <f ca="1">IFERROR(__xludf.DUMMYFUNCTION("""COMPUTED_VALUE"""),"Pamela Shiny Aiax")</f>
        <v>Pamela Shiny Aiax</v>
      </c>
      <c r="D3949" s="24">
        <f ca="1">IFERROR(__xludf.DUMMYFUNCTION("""COMPUTED_VALUE"""),319)</f>
        <v>319</v>
      </c>
      <c r="E3949" s="26" t="str">
        <f ca="1">IFERROR(__xludf.DUMMYFUNCTION("""COMPUTED_VALUE"""),"REA-U9685")</f>
        <v>REA-U9685</v>
      </c>
    </row>
    <row r="3950" spans="1:5" x14ac:dyDescent="0.2">
      <c r="A3950" s="22">
        <f ca="1">IFERROR(__xludf.DUMMYFUNCTION("""COMPUTED_VALUE"""),44358)</f>
        <v>44358</v>
      </c>
      <c r="B3950" s="23" t="str">
        <f ca="1">IFERROR(__xludf.DUMMYFUNCTION("""COMPUTED_VALUE"""),"Umywalka blatowa")</f>
        <v>Umywalka blatowa</v>
      </c>
      <c r="C3950" s="23" t="str">
        <f ca="1">IFERROR(__xludf.DUMMYFUNCTION("""COMPUTED_VALUE"""),"Vista White")</f>
        <v>Vista White</v>
      </c>
      <c r="D3950" s="24">
        <f ca="1">IFERROR(__xludf.DUMMYFUNCTION("""COMPUTED_VALUE"""),219)</f>
        <v>219</v>
      </c>
      <c r="E3950" s="26" t="str">
        <f ca="1">IFERROR(__xludf.DUMMYFUNCTION("""COMPUTED_VALUE"""),"REA-U4601")</f>
        <v>REA-U4601</v>
      </c>
    </row>
    <row r="3951" spans="1:5" x14ac:dyDescent="0.2">
      <c r="A3951" s="22">
        <f ca="1">IFERROR(__xludf.DUMMYFUNCTION("""COMPUTED_VALUE"""),44358)</f>
        <v>44358</v>
      </c>
      <c r="B3951" s="23" t="str">
        <f ca="1">IFERROR(__xludf.DUMMYFUNCTION("""COMPUTED_VALUE"""),"Rama / Stelaż do umywalki")</f>
        <v>Rama / Stelaż do umywalki</v>
      </c>
      <c r="C3951" s="23" t="str">
        <f ca="1">IFERROR(__xludf.DUMMYFUNCTION("""COMPUTED_VALUE"""),"Stelaż do umywalki GOYA 50")</f>
        <v>Stelaż do umywalki GOYA 50</v>
      </c>
      <c r="D3951" s="24">
        <f ca="1">IFERROR(__xludf.DUMMYFUNCTION("""COMPUTED_VALUE"""),319)</f>
        <v>319</v>
      </c>
      <c r="E3951" s="26" t="str">
        <f ca="1">IFERROR(__xludf.DUMMYFUNCTION("""COMPUTED_VALUE"""),"REA-U8667")</f>
        <v>REA-U8667</v>
      </c>
    </row>
    <row r="3952" spans="1:5" x14ac:dyDescent="0.2">
      <c r="A3952" s="22">
        <f ca="1">IFERROR(__xludf.DUMMYFUNCTION("""COMPUTED_VALUE"""),44358)</f>
        <v>44358</v>
      </c>
      <c r="B3952" s="23" t="str">
        <f ca="1">IFERROR(__xludf.DUMMYFUNCTION("""COMPUTED_VALUE"""),"Rama / Stelaż do umywalki")</f>
        <v>Rama / Stelaż do umywalki</v>
      </c>
      <c r="C3952" s="23" t="str">
        <f ca="1">IFERROR(__xludf.DUMMYFUNCTION("""COMPUTED_VALUE"""),"Stelaż do umywalki GOYA 70")</f>
        <v>Stelaż do umywalki GOYA 70</v>
      </c>
      <c r="D3952" s="24">
        <f ca="1">IFERROR(__xludf.DUMMYFUNCTION("""COMPUTED_VALUE"""),359)</f>
        <v>359</v>
      </c>
      <c r="E3952" s="26" t="str">
        <f ca="1">IFERROR(__xludf.DUMMYFUNCTION("""COMPUTED_VALUE"""),"REA-U8668")</f>
        <v>REA-U8668</v>
      </c>
    </row>
    <row r="3953" spans="1:5" x14ac:dyDescent="0.2">
      <c r="A3953" s="22">
        <f ca="1">IFERROR(__xludf.DUMMYFUNCTION("""COMPUTED_VALUE"""),44358)</f>
        <v>44358</v>
      </c>
      <c r="B3953" s="23" t="str">
        <f ca="1">IFERROR(__xludf.DUMMYFUNCTION("""COMPUTED_VALUE"""),"Rama / Stelaż do umywalki")</f>
        <v>Rama / Stelaż do umywalki</v>
      </c>
      <c r="C3953" s="23" t="str">
        <f ca="1">IFERROR(__xludf.DUMMYFUNCTION("""COMPUTED_VALUE"""),"Stelaż do umywalki GOYA 60")</f>
        <v>Stelaż do umywalki GOYA 60</v>
      </c>
      <c r="D3953" s="24">
        <f ca="1">IFERROR(__xludf.DUMMYFUNCTION("""COMPUTED_VALUE"""),329)</f>
        <v>329</v>
      </c>
      <c r="E3953" s="26" t="str">
        <f ca="1">IFERROR(__xludf.DUMMYFUNCTION("""COMPUTED_VALUE"""),"REA-U6534")</f>
        <v>REA-U6534</v>
      </c>
    </row>
    <row r="3954" spans="1:5" x14ac:dyDescent="0.2">
      <c r="A3954" s="22">
        <f ca="1">IFERROR(__xludf.DUMMYFUNCTION("""COMPUTED_VALUE"""),44358)</f>
        <v>44358</v>
      </c>
      <c r="B3954" s="23" t="str">
        <f ca="1">IFERROR(__xludf.DUMMYFUNCTION("""COMPUTED_VALUE"""),"Umywalka konglomeratowa")</f>
        <v>Umywalka konglomeratowa</v>
      </c>
      <c r="C3954" s="23" t="str">
        <f ca="1">IFERROR(__xludf.DUMMYFUNCTION("""COMPUTED_VALUE"""),"GOYA 100")</f>
        <v>GOYA 100</v>
      </c>
      <c r="D3954" s="24">
        <f ca="1">IFERROR(__xludf.DUMMYFUNCTION("""COMPUTED_VALUE"""),799)</f>
        <v>799</v>
      </c>
      <c r="E3954" s="26" t="str">
        <f ca="1">IFERROR(__xludf.DUMMYFUNCTION("""COMPUTED_VALUE"""),"REA-U8903")</f>
        <v>REA-U8903</v>
      </c>
    </row>
    <row r="3955" spans="1:5" x14ac:dyDescent="0.2">
      <c r="A3955" s="22">
        <f ca="1">IFERROR(__xludf.DUMMYFUNCTION("""COMPUTED_VALUE"""),44358)</f>
        <v>44358</v>
      </c>
      <c r="B3955" s="23" t="str">
        <f ca="1">IFERROR(__xludf.DUMMYFUNCTION("""COMPUTED_VALUE"""),"Umywalka konglomeratowa")</f>
        <v>Umywalka konglomeratowa</v>
      </c>
      <c r="C3955" s="23" t="str">
        <f ca="1">IFERROR(__xludf.DUMMYFUNCTION("""COMPUTED_VALUE"""),"GOYA 50")</f>
        <v>GOYA 50</v>
      </c>
      <c r="D3955" s="24">
        <f ca="1">IFERROR(__xludf.DUMMYFUNCTION("""COMPUTED_VALUE"""),489)</f>
        <v>489</v>
      </c>
      <c r="E3955" s="26" t="str">
        <f ca="1">IFERROR(__xludf.DUMMYFUNCTION("""COMPUTED_VALUE"""),"REA-U8900")</f>
        <v>REA-U8900</v>
      </c>
    </row>
    <row r="3956" spans="1:5" x14ac:dyDescent="0.2">
      <c r="A3956" s="22">
        <f ca="1">IFERROR(__xludf.DUMMYFUNCTION("""COMPUTED_VALUE"""),44358)</f>
        <v>44358</v>
      </c>
      <c r="B3956" s="23" t="str">
        <f ca="1">IFERROR(__xludf.DUMMYFUNCTION("""COMPUTED_VALUE"""),"Umywalka konglomeratowa")</f>
        <v>Umywalka konglomeratowa</v>
      </c>
      <c r="C3956" s="23" t="str">
        <f ca="1">IFERROR(__xludf.DUMMYFUNCTION("""COMPUTED_VALUE"""),"GOYA 60")</f>
        <v>GOYA 60</v>
      </c>
      <c r="D3956" s="24">
        <f ca="1">IFERROR(__xludf.DUMMYFUNCTION("""COMPUTED_VALUE"""),589)</f>
        <v>589</v>
      </c>
      <c r="E3956" s="26" t="str">
        <f ca="1">IFERROR(__xludf.DUMMYFUNCTION("""COMPUTED_VALUE"""),"REA-U8901")</f>
        <v>REA-U8901</v>
      </c>
    </row>
    <row r="3957" spans="1:5" x14ac:dyDescent="0.2">
      <c r="A3957" s="22">
        <f ca="1">IFERROR(__xludf.DUMMYFUNCTION("""COMPUTED_VALUE"""),44358)</f>
        <v>44358</v>
      </c>
      <c r="B3957" s="23" t="str">
        <f ca="1">IFERROR(__xludf.DUMMYFUNCTION("""COMPUTED_VALUE"""),"Umywalka konglomeratowa")</f>
        <v>Umywalka konglomeratowa</v>
      </c>
      <c r="C3957" s="23" t="str">
        <f ca="1">IFERROR(__xludf.DUMMYFUNCTION("""COMPUTED_VALUE"""),"GOYA 70")</f>
        <v>GOYA 70</v>
      </c>
      <c r="D3957" s="24">
        <f ca="1">IFERROR(__xludf.DUMMYFUNCTION("""COMPUTED_VALUE"""),669)</f>
        <v>669</v>
      </c>
      <c r="E3957" s="26" t="str">
        <f ca="1">IFERROR(__xludf.DUMMYFUNCTION("""COMPUTED_VALUE"""),"REA-U8902")</f>
        <v>REA-U8902</v>
      </c>
    </row>
    <row r="3958" spans="1:5" x14ac:dyDescent="0.2">
      <c r="A3958" s="22">
        <f ca="1">IFERROR(__xludf.DUMMYFUNCTION("""COMPUTED_VALUE"""),44358)</f>
        <v>44358</v>
      </c>
      <c r="B3958" s="23" t="str">
        <f ca="1">IFERROR(__xludf.DUMMYFUNCTION("""COMPUTED_VALUE"""),"Umywalka konglomeratowa")</f>
        <v>Umywalka konglomeratowa</v>
      </c>
      <c r="C3958" s="23" t="str">
        <f ca="1">IFERROR(__xludf.DUMMYFUNCTION("""COMPUTED_VALUE"""),"Goya Black 50")</f>
        <v>Goya Black 50</v>
      </c>
      <c r="D3958" s="24">
        <f ca="1">IFERROR(__xludf.DUMMYFUNCTION("""COMPUTED_VALUE"""),599)</f>
        <v>599</v>
      </c>
      <c r="E3958" s="26" t="str">
        <f ca="1">IFERROR(__xludf.DUMMYFUNCTION("""COMPUTED_VALUE"""),"REA-U8778")</f>
        <v>REA-U8778</v>
      </c>
    </row>
    <row r="3959" spans="1:5" x14ac:dyDescent="0.2">
      <c r="A3959" s="22">
        <f ca="1">IFERROR(__xludf.DUMMYFUNCTION("""COMPUTED_VALUE"""),44358)</f>
        <v>44358</v>
      </c>
      <c r="B3959" s="23" t="str">
        <f ca="1">IFERROR(__xludf.DUMMYFUNCTION("""COMPUTED_VALUE"""),"Umywalka konglomeratowa")</f>
        <v>Umywalka konglomeratowa</v>
      </c>
      <c r="C3959" s="23" t="str">
        <f ca="1">IFERROR(__xludf.DUMMYFUNCTION("""COMPUTED_VALUE"""),"Goya Black 60")</f>
        <v>Goya Black 60</v>
      </c>
      <c r="D3959" s="24">
        <f ca="1">IFERROR(__xludf.DUMMYFUNCTION("""COMPUTED_VALUE"""),669)</f>
        <v>669</v>
      </c>
      <c r="E3959" s="26" t="str">
        <f ca="1">IFERROR(__xludf.DUMMYFUNCTION("""COMPUTED_VALUE"""),"REA-U8779")</f>
        <v>REA-U8779</v>
      </c>
    </row>
    <row r="3960" spans="1:5" x14ac:dyDescent="0.2">
      <c r="A3960" s="22">
        <f ca="1">IFERROR(__xludf.DUMMYFUNCTION("""COMPUTED_VALUE"""),44358)</f>
        <v>44358</v>
      </c>
      <c r="B3960" s="23" t="str">
        <f ca="1">IFERROR(__xludf.DUMMYFUNCTION("""COMPUTED_VALUE"""),"Umywalka konglomeratowa")</f>
        <v>Umywalka konglomeratowa</v>
      </c>
      <c r="C3960" s="23" t="str">
        <f ca="1">IFERROR(__xludf.DUMMYFUNCTION("""COMPUTED_VALUE"""),"Goya Black 100")</f>
        <v>Goya Black 100</v>
      </c>
      <c r="D3960" s="24">
        <f ca="1">IFERROR(__xludf.DUMMYFUNCTION("""COMPUTED_VALUE"""),999)</f>
        <v>999</v>
      </c>
      <c r="E3960" s="26" t="str">
        <f ca="1">IFERROR(__xludf.DUMMYFUNCTION("""COMPUTED_VALUE"""),"REA-U8666")</f>
        <v>REA-U8666</v>
      </c>
    </row>
    <row r="3961" spans="1:5" x14ac:dyDescent="0.2">
      <c r="A3961" s="22">
        <f ca="1">IFERROR(__xludf.DUMMYFUNCTION("""COMPUTED_VALUE"""),44358)</f>
        <v>44358</v>
      </c>
      <c r="B3961" s="23" t="str">
        <f ca="1">IFERROR(__xludf.DUMMYFUNCTION("""COMPUTED_VALUE"""),"Umywalka konglomeratowa")</f>
        <v>Umywalka konglomeratowa</v>
      </c>
      <c r="C3961" s="23" t="str">
        <f ca="1">IFERROR(__xludf.DUMMYFUNCTION("""COMPUTED_VALUE"""),"Goya Black 70")</f>
        <v>Goya Black 70</v>
      </c>
      <c r="D3961" s="24">
        <f ca="1">IFERROR(__xludf.DUMMYFUNCTION("""COMPUTED_VALUE"""),789)</f>
        <v>789</v>
      </c>
      <c r="E3961" s="26" t="str">
        <f ca="1">IFERROR(__xludf.DUMMYFUNCTION("""COMPUTED_VALUE"""),"REA-U8802")</f>
        <v>REA-U8802</v>
      </c>
    </row>
    <row r="3962" spans="1:5" x14ac:dyDescent="0.2">
      <c r="A3962" s="22">
        <f ca="1">IFERROR(__xludf.DUMMYFUNCTION("""COMPUTED_VALUE"""),44358)</f>
        <v>44358</v>
      </c>
      <c r="B3962" s="23" t="str">
        <f ca="1">IFERROR(__xludf.DUMMYFUNCTION("""COMPUTED_VALUE"""),"Bateria umywalkowa podtynkowa")</f>
        <v>Bateria umywalkowa podtynkowa</v>
      </c>
      <c r="C3962" s="23" t="str">
        <f ca="1">IFERROR(__xludf.DUMMYFUNCTION("""COMPUTED_VALUE"""),"Mason Gold")</f>
        <v>Mason Gold</v>
      </c>
      <c r="D3962" s="24">
        <f ca="1">IFERROR(__xludf.DUMMYFUNCTION("""COMPUTED_VALUE"""),529)</f>
        <v>529</v>
      </c>
      <c r="E3962" s="26" t="str">
        <f ca="1">IFERROR(__xludf.DUMMYFUNCTION("""COMPUTED_VALUE"""),"REA-B5150")</f>
        <v>REA-B5150</v>
      </c>
    </row>
    <row r="3963" spans="1:5" x14ac:dyDescent="0.2">
      <c r="A3963" s="22">
        <f ca="1">IFERROR(__xludf.DUMMYFUNCTION("""COMPUTED_VALUE"""),44358)</f>
        <v>44358</v>
      </c>
      <c r="B3963" s="23" t="str">
        <f ca="1">IFERROR(__xludf.DUMMYFUNCTION("""COMPUTED_VALUE"""),"Bateria umywalkowa")</f>
        <v>Bateria umywalkowa</v>
      </c>
      <c r="C3963" s="23" t="str">
        <f ca="1">IFERROR(__xludf.DUMMYFUNCTION("""COMPUTED_VALUE"""),"FOLK")</f>
        <v>FOLK</v>
      </c>
      <c r="D3963" s="24">
        <f ca="1">IFERROR(__xludf.DUMMYFUNCTION("""COMPUTED_VALUE"""),299)</f>
        <v>299</v>
      </c>
      <c r="E3963" s="26" t="str">
        <f ca="1">IFERROR(__xludf.DUMMYFUNCTION("""COMPUTED_VALUE"""),"REA-B5151")</f>
        <v>REA-B5151</v>
      </c>
    </row>
    <row r="3964" spans="1:5" x14ac:dyDescent="0.2">
      <c r="A3964" s="22">
        <f ca="1">IFERROR(__xludf.DUMMYFUNCTION("""COMPUTED_VALUE"""),44356)</f>
        <v>44356</v>
      </c>
      <c r="B3964" s="23" t="str">
        <f ca="1">IFERROR(__xludf.DUMMYFUNCTION("""COMPUTED_VALUE"""),"Bateria umywalkowa wysoka")</f>
        <v>Bateria umywalkowa wysoka</v>
      </c>
      <c r="C3964" s="23" t="str">
        <f ca="1">IFERROR(__xludf.DUMMYFUNCTION("""COMPUTED_VALUE"""),"Buzz Black Mat")</f>
        <v>Buzz Black Mat</v>
      </c>
      <c r="D3964" s="24">
        <f ca="1">IFERROR(__xludf.DUMMYFUNCTION("""COMPUTED_VALUE"""),289)</f>
        <v>289</v>
      </c>
      <c r="E3964" s="26" t="str">
        <f ca="1">IFERROR(__xludf.DUMMYFUNCTION("""COMPUTED_VALUE"""),"REA-B6921")</f>
        <v>REA-B6921</v>
      </c>
    </row>
    <row r="3965" spans="1:5" x14ac:dyDescent="0.2">
      <c r="A3965" s="22">
        <f ca="1">IFERROR(__xludf.DUMMYFUNCTION("""COMPUTED_VALUE"""),44356)</f>
        <v>44356</v>
      </c>
      <c r="B3965" s="23" t="str">
        <f ca="1">IFERROR(__xludf.DUMMYFUNCTION("""COMPUTED_VALUE"""),"Bateria umywalkowa")</f>
        <v>Bateria umywalkowa</v>
      </c>
      <c r="C3965" s="23" t="str">
        <f ca="1">IFERROR(__xludf.DUMMYFUNCTION("""COMPUTED_VALUE"""),"Enzo")</f>
        <v>Enzo</v>
      </c>
      <c r="D3965" s="24">
        <f ca="1">IFERROR(__xludf.DUMMYFUNCTION("""COMPUTED_VALUE"""),189)</f>
        <v>189</v>
      </c>
      <c r="E3965" s="26" t="str">
        <f ca="1">IFERROR(__xludf.DUMMYFUNCTION("""COMPUTED_VALUE"""),"REA-B0113")</f>
        <v>REA-B0113</v>
      </c>
    </row>
    <row r="3966" spans="1:5" x14ac:dyDescent="0.2">
      <c r="A3966" s="22">
        <f ca="1">IFERROR(__xludf.DUMMYFUNCTION("""COMPUTED_VALUE"""),44356)</f>
        <v>44356</v>
      </c>
      <c r="B3966" s="23" t="str">
        <f ca="1">IFERROR(__xludf.DUMMYFUNCTION("""COMPUTED_VALUE"""),"Bateria umywalkowa")</f>
        <v>Bateria umywalkowa</v>
      </c>
      <c r="C3966" s="23" t="str">
        <f ca="1">IFERROR(__xludf.DUMMYFUNCTION("""COMPUTED_VALUE"""),"Enzo High /WYSOKA/")</f>
        <v>Enzo High /WYSOKA/</v>
      </c>
      <c r="D3966" s="24">
        <f ca="1">IFERROR(__xludf.DUMMYFUNCTION("""COMPUTED_VALUE"""),269)</f>
        <v>269</v>
      </c>
      <c r="E3966" s="26" t="str">
        <f ca="1">IFERROR(__xludf.DUMMYFUNCTION("""COMPUTED_VALUE"""),"REA-B0966")</f>
        <v>REA-B0966</v>
      </c>
    </row>
    <row r="3967" spans="1:5" x14ac:dyDescent="0.2">
      <c r="A3967" s="22">
        <f ca="1">IFERROR(__xludf.DUMMYFUNCTION("""COMPUTED_VALUE"""),44356)</f>
        <v>44356</v>
      </c>
      <c r="B3967" s="23" t="str">
        <f ca="1">IFERROR(__xludf.DUMMYFUNCTION("""COMPUTED_VALUE"""),"Bateria umywalkowa")</f>
        <v>Bateria umywalkowa</v>
      </c>
      <c r="C3967" s="23" t="str">
        <f ca="1">IFERROR(__xludf.DUMMYFUNCTION("""COMPUTED_VALUE"""),"Falcon 30")</f>
        <v>Falcon 30</v>
      </c>
      <c r="D3967" s="24">
        <f ca="1">IFERROR(__xludf.DUMMYFUNCTION("""COMPUTED_VALUE"""),259)</f>
        <v>259</v>
      </c>
      <c r="E3967" s="26" t="str">
        <f ca="1">IFERROR(__xludf.DUMMYFUNCTION("""COMPUTED_VALUE"""),"BAT-00149")</f>
        <v>BAT-00149</v>
      </c>
    </row>
    <row r="3968" spans="1:5" x14ac:dyDescent="0.2">
      <c r="A3968" s="22">
        <f ca="1">IFERROR(__xludf.DUMMYFUNCTION("""COMPUTED_VALUE"""),44356)</f>
        <v>44356</v>
      </c>
      <c r="B3968" s="23" t="str">
        <f ca="1">IFERROR(__xludf.DUMMYFUNCTION("""COMPUTED_VALUE"""),"Bateria umywalkowa")</f>
        <v>Bateria umywalkowa</v>
      </c>
      <c r="C3968" s="23" t="str">
        <f ca="1">IFERROR(__xludf.DUMMYFUNCTION("""COMPUTED_VALUE"""),"Falcon 30 Black")</f>
        <v>Falcon 30 Black</v>
      </c>
      <c r="D3968" s="24">
        <f ca="1">IFERROR(__xludf.DUMMYFUNCTION("""COMPUTED_VALUE"""),289)</f>
        <v>289</v>
      </c>
      <c r="E3968" s="26" t="str">
        <f ca="1">IFERROR(__xludf.DUMMYFUNCTION("""COMPUTED_VALUE"""),"REA-B0252")</f>
        <v>REA-B0252</v>
      </c>
    </row>
    <row r="3969" spans="1:5" x14ac:dyDescent="0.2">
      <c r="A3969" s="22">
        <f ca="1">IFERROR(__xludf.DUMMYFUNCTION("""COMPUTED_VALUE"""),44356)</f>
        <v>44356</v>
      </c>
      <c r="B3969" s="23" t="str">
        <f ca="1">IFERROR(__xludf.DUMMYFUNCTION("""COMPUTED_VALUE"""),"Bateria umywalkowa podtynkowa")</f>
        <v>Bateria umywalkowa podtynkowa</v>
      </c>
      <c r="C3969" s="23" t="str">
        <f ca="1">IFERROR(__xludf.DUMMYFUNCTION("""COMPUTED_VALUE"""),"Lungo black matt")</f>
        <v>Lungo black matt</v>
      </c>
      <c r="D3969" s="24">
        <f ca="1">IFERROR(__xludf.DUMMYFUNCTION("""COMPUTED_VALUE"""),449)</f>
        <v>449</v>
      </c>
      <c r="E3969" s="26" t="str">
        <f ca="1">IFERROR(__xludf.DUMMYFUNCTION("""COMPUTED_VALUE"""),"BAT-B0969")</f>
        <v>BAT-B0969</v>
      </c>
    </row>
    <row r="3970" spans="1:5" x14ac:dyDescent="0.2">
      <c r="A3970" s="22">
        <f ca="1">IFERROR(__xludf.DUMMYFUNCTION("""COMPUTED_VALUE"""),44356)</f>
        <v>44356</v>
      </c>
      <c r="B3970" s="23" t="str">
        <f ca="1">IFERROR(__xludf.DUMMYFUNCTION("""COMPUTED_VALUE"""),"Bateria umywalkowa wysoka")</f>
        <v>Bateria umywalkowa wysoka</v>
      </c>
      <c r="C3970" s="23" t="str">
        <f ca="1">IFERROR(__xludf.DUMMYFUNCTION("""COMPUTED_VALUE"""),"Lungo czarny mat")</f>
        <v>Lungo czarny mat</v>
      </c>
      <c r="D3970" s="24">
        <f ca="1">IFERROR(__xludf.DUMMYFUNCTION("""COMPUTED_VALUE"""),219)</f>
        <v>219</v>
      </c>
      <c r="E3970" s="26" t="str">
        <f ca="1">IFERROR(__xludf.DUMMYFUNCTION("""COMPUTED_VALUE"""),"REA-B4103")</f>
        <v>REA-B4103</v>
      </c>
    </row>
    <row r="3971" spans="1:5" x14ac:dyDescent="0.2">
      <c r="A3971" s="22">
        <f ca="1">IFERROR(__xludf.DUMMYFUNCTION("""COMPUTED_VALUE"""),44356)</f>
        <v>44356</v>
      </c>
      <c r="B3971" s="23" t="str">
        <f ca="1">IFERROR(__xludf.DUMMYFUNCTION("""COMPUTED_VALUE"""),"Bateria umywalkowa")</f>
        <v>Bateria umywalkowa</v>
      </c>
      <c r="C3971" s="23" t="str">
        <f ca="1">IFERROR(__xludf.DUMMYFUNCTION("""COMPUTED_VALUE"""),"Lungo czarny mat niska")</f>
        <v>Lungo czarny mat niska</v>
      </c>
      <c r="D3971" s="24">
        <f ca="1">IFERROR(__xludf.DUMMYFUNCTION("""COMPUTED_VALUE"""),179)</f>
        <v>179</v>
      </c>
      <c r="E3971" s="26" t="str">
        <f ca="1">IFERROR(__xludf.DUMMYFUNCTION("""COMPUTED_VALUE"""),"REA-B4102")</f>
        <v>REA-B4102</v>
      </c>
    </row>
    <row r="3972" spans="1:5" x14ac:dyDescent="0.2">
      <c r="A3972" s="22">
        <f ca="1">IFERROR(__xludf.DUMMYFUNCTION("""COMPUTED_VALUE"""),44356)</f>
        <v>44356</v>
      </c>
      <c r="B3972" s="23" t="str">
        <f ca="1">IFERROR(__xludf.DUMMYFUNCTION("""COMPUTED_VALUE"""),"Bateria umywalkowa wysoka")</f>
        <v>Bateria umywalkowa wysoka</v>
      </c>
      <c r="C3972" s="23" t="str">
        <f ca="1">IFERROR(__xludf.DUMMYFUNCTION("""COMPUTED_VALUE"""),"Lungo L.Gold")</f>
        <v>Lungo L.Gold</v>
      </c>
      <c r="D3972" s="24">
        <f ca="1">IFERROR(__xludf.DUMMYFUNCTION("""COMPUTED_VALUE"""),259)</f>
        <v>259</v>
      </c>
      <c r="E3972" s="26" t="str">
        <f ca="1">IFERROR(__xludf.DUMMYFUNCTION("""COMPUTED_VALUE"""),"REA-B9409")</f>
        <v>REA-B9409</v>
      </c>
    </row>
    <row r="3973" spans="1:5" x14ac:dyDescent="0.2">
      <c r="A3973" s="22">
        <f ca="1">IFERROR(__xludf.DUMMYFUNCTION("""COMPUTED_VALUE"""),44356)</f>
        <v>44356</v>
      </c>
      <c r="B3973" s="23" t="str">
        <f ca="1">IFERROR(__xludf.DUMMYFUNCTION("""COMPUTED_VALUE"""),"Bateria umywalkowa")</f>
        <v>Bateria umywalkowa</v>
      </c>
      <c r="C3973" s="23" t="str">
        <f ca="1">IFERROR(__xludf.DUMMYFUNCTION("""COMPUTED_VALUE"""),"Lungo niska L.Gold")</f>
        <v>Lungo niska L.Gold</v>
      </c>
      <c r="D3973" s="24">
        <f ca="1">IFERROR(__xludf.DUMMYFUNCTION("""COMPUTED_VALUE"""),219)</f>
        <v>219</v>
      </c>
      <c r="E3973" s="26" t="str">
        <f ca="1">IFERROR(__xludf.DUMMYFUNCTION("""COMPUTED_VALUE"""),"REA-B4520")</f>
        <v>REA-B4520</v>
      </c>
    </row>
    <row r="3974" spans="1:5" x14ac:dyDescent="0.2">
      <c r="A3974" s="22">
        <f ca="1">IFERROR(__xludf.DUMMYFUNCTION("""COMPUTED_VALUE"""),44356)</f>
        <v>44356</v>
      </c>
      <c r="B3974" s="23" t="str">
        <f ca="1">IFERROR(__xludf.DUMMYFUNCTION("""COMPUTED_VALUE"""),"Bateria umywalkowa /wysoka/")</f>
        <v>Bateria umywalkowa /wysoka/</v>
      </c>
      <c r="C3974" s="23" t="str">
        <f ca="1">IFERROR(__xludf.DUMMYFUNCTION("""COMPUTED_VALUE"""),"Tess Black")</f>
        <v>Tess Black</v>
      </c>
      <c r="D3974" s="24">
        <f ca="1">IFERROR(__xludf.DUMMYFUNCTION("""COMPUTED_VALUE"""),239)</f>
        <v>239</v>
      </c>
      <c r="E3974" s="26" t="str">
        <f ca="1">IFERROR(__xludf.DUMMYFUNCTION("""COMPUTED_VALUE"""),"REA-B0229")</f>
        <v>REA-B0229</v>
      </c>
    </row>
    <row r="3975" spans="1:5" x14ac:dyDescent="0.2">
      <c r="A3975" s="22">
        <f ca="1">IFERROR(__xludf.DUMMYFUNCTION("""COMPUTED_VALUE"""),44356)</f>
        <v>44356</v>
      </c>
      <c r="B3975" s="23" t="str">
        <f ca="1">IFERROR(__xludf.DUMMYFUNCTION("""COMPUTED_VALUE"""),"Bateria umywalkowa /wysoka/")</f>
        <v>Bateria umywalkowa /wysoka/</v>
      </c>
      <c r="C3975" s="23" t="str">
        <f ca="1">IFERROR(__xludf.DUMMYFUNCTION("""COMPUTED_VALUE"""),"Tess Gold")</f>
        <v>Tess Gold</v>
      </c>
      <c r="D3975" s="24">
        <f ca="1">IFERROR(__xludf.DUMMYFUNCTION("""COMPUTED_VALUE"""),289)</f>
        <v>289</v>
      </c>
      <c r="E3975" s="26" t="str">
        <f ca="1">IFERROR(__xludf.DUMMYFUNCTION("""COMPUTED_VALUE"""),"REA-B8803")</f>
        <v>REA-B8803</v>
      </c>
    </row>
    <row r="3976" spans="1:5" x14ac:dyDescent="0.2">
      <c r="A3976" s="22">
        <f ca="1">IFERROR(__xludf.DUMMYFUNCTION("""COMPUTED_VALUE"""),44356)</f>
        <v>44356</v>
      </c>
      <c r="B3976" s="23" t="str">
        <f ca="1">IFERROR(__xludf.DUMMYFUNCTION("""COMPUTED_VALUE"""),"Bateria umywalkowa")</f>
        <v>Bateria umywalkowa</v>
      </c>
      <c r="C3976" s="23" t="str">
        <f ca="1">IFERROR(__xludf.DUMMYFUNCTION("""COMPUTED_VALUE"""),"Tess Light Gold")</f>
        <v>Tess Light Gold</v>
      </c>
      <c r="D3976" s="24">
        <f ca="1">IFERROR(__xludf.DUMMYFUNCTION("""COMPUTED_VALUE"""),239)</f>
        <v>239</v>
      </c>
      <c r="E3976" s="26" t="str">
        <f ca="1">IFERROR(__xludf.DUMMYFUNCTION("""COMPUTED_VALUE"""),"REA-B8865")</f>
        <v>REA-B8865</v>
      </c>
    </row>
    <row r="3977" spans="1:5" x14ac:dyDescent="0.2">
      <c r="A3977" s="22">
        <f ca="1">IFERROR(__xludf.DUMMYFUNCTION("""COMPUTED_VALUE"""),44356)</f>
        <v>44356</v>
      </c>
      <c r="B3977" s="23" t="str">
        <f ca="1">IFERROR(__xludf.DUMMYFUNCTION("""COMPUTED_VALUE"""),"Bateria umywalkowa podtynkowa")</f>
        <v>Bateria umywalkowa podtynkowa</v>
      </c>
      <c r="C3977" s="23" t="str">
        <f ca="1">IFERROR(__xludf.DUMMYFUNCTION("""COMPUTED_VALUE"""),"Lungo Gold")</f>
        <v>Lungo Gold</v>
      </c>
      <c r="D3977" s="24">
        <f ca="1">IFERROR(__xludf.DUMMYFUNCTION("""COMPUTED_VALUE"""),489)</f>
        <v>489</v>
      </c>
      <c r="E3977" s="26" t="str">
        <f ca="1">IFERROR(__xludf.DUMMYFUNCTION("""COMPUTED_VALUE"""),"REA-B8559")</f>
        <v>REA-B8559</v>
      </c>
    </row>
    <row r="3978" spans="1:5" x14ac:dyDescent="0.2">
      <c r="A3978" s="22">
        <f ca="1">IFERROR(__xludf.DUMMYFUNCTION("""COMPUTED_VALUE"""),44356)</f>
        <v>44356</v>
      </c>
      <c r="B3978" s="23" t="str">
        <f ca="1">IFERROR(__xludf.DUMMYFUNCTION("""COMPUTED_VALUE"""),"Uniwersalny syfon z korkiem klik-klak")</f>
        <v>Uniwersalny syfon z korkiem klik-klak</v>
      </c>
      <c r="C3978" s="23" t="str">
        <f ca="1">IFERROR(__xludf.DUMMYFUNCTION("""COMPUTED_VALUE"""),"l.gold matt(szczotkowany)")</f>
        <v>l.gold matt(szczotkowany)</v>
      </c>
      <c r="D3978" s="24">
        <f ca="1">IFERROR(__xludf.DUMMYFUNCTION("""COMPUTED_VALUE"""),199)</f>
        <v>199</v>
      </c>
      <c r="E3978" s="26" t="str">
        <f ca="1">IFERROR(__xludf.DUMMYFUNCTION("""COMPUTED_VALUE"""),"REA-A8586")</f>
        <v>REA-A8586</v>
      </c>
    </row>
    <row r="3979" spans="1:5" x14ac:dyDescent="0.2">
      <c r="A3979" s="22">
        <f ca="1">IFERROR(__xludf.DUMMYFUNCTION("""COMPUTED_VALUE"""),44356)</f>
        <v>44356</v>
      </c>
      <c r="B3979" s="23" t="str">
        <f ca="1">IFERROR(__xludf.DUMMYFUNCTION("""COMPUTED_VALUE"""),"Uniwersalny korek klik-klak")</f>
        <v>Uniwersalny korek klik-klak</v>
      </c>
      <c r="C3979" s="23" t="str">
        <f ca="1">IFERROR(__xludf.DUMMYFUNCTION("""COMPUTED_VALUE"""),"Rose Gold")</f>
        <v>Rose Gold</v>
      </c>
      <c r="D3979" s="24">
        <f ca="1">IFERROR(__xludf.DUMMYFUNCTION("""COMPUTED_VALUE"""),69)</f>
        <v>69</v>
      </c>
      <c r="E3979" s="26" t="str">
        <f ca="1">IFERROR(__xludf.DUMMYFUNCTION("""COMPUTED_VALUE"""),"REA-A533A")</f>
        <v>REA-A533A</v>
      </c>
    </row>
    <row r="3980" spans="1:5" x14ac:dyDescent="0.2">
      <c r="A3980" s="22">
        <f ca="1">IFERROR(__xludf.DUMMYFUNCTION("""COMPUTED_VALUE"""),44356)</f>
        <v>44356</v>
      </c>
      <c r="B3980" s="23" t="str">
        <f ca="1">IFERROR(__xludf.DUMMYFUNCTION("""COMPUTED_VALUE"""),"Zestaw natryskowy podtynkowy deszczownica 30cm")</f>
        <v>Zestaw natryskowy podtynkowy deszczownica 30cm</v>
      </c>
      <c r="C3980" s="23" t="str">
        <f ca="1">IFERROR(__xludf.DUMMYFUNCTION("""COMPUTED_VALUE"""),"Lungo Black Matt")</f>
        <v>Lungo Black Matt</v>
      </c>
      <c r="D3980" s="24">
        <f ca="1">IFERROR(__xludf.DUMMYFUNCTION("""COMPUTED_VALUE"""),899)</f>
        <v>899</v>
      </c>
      <c r="E3980" s="26" t="str">
        <f ca="1">IFERROR(__xludf.DUMMYFUNCTION("""COMPUTED_VALUE"""),"REA-P4100")</f>
        <v>REA-P4100</v>
      </c>
    </row>
    <row r="3981" spans="1:5" x14ac:dyDescent="0.2">
      <c r="A3981" s="22">
        <f ca="1">IFERROR(__xludf.DUMMYFUNCTION("""COMPUTED_VALUE"""),44356)</f>
        <v>44356</v>
      </c>
      <c r="B3981" s="23" t="str">
        <f ca="1">IFERROR(__xludf.DUMMYFUNCTION("""COMPUTED_VALUE"""),"Zestaw natryskowo- wannowy z termostatem")</f>
        <v>Zestaw natryskowo- wannowy z termostatem</v>
      </c>
      <c r="C3981" s="23" t="str">
        <f ca="1">IFERROR(__xludf.DUMMYFUNCTION("""COMPUTED_VALUE"""),"Lungo Termostat Black")</f>
        <v>Lungo Termostat Black</v>
      </c>
      <c r="D3981" s="24">
        <f ca="1">IFERROR(__xludf.DUMMYFUNCTION("""COMPUTED_VALUE"""),899)</f>
        <v>899</v>
      </c>
      <c r="E3981" s="26" t="str">
        <f ca="1">IFERROR(__xludf.DUMMYFUNCTION("""COMPUTED_VALUE"""),"REA-P4113")</f>
        <v>REA-P4113</v>
      </c>
    </row>
    <row r="3982" spans="1:5" x14ac:dyDescent="0.2">
      <c r="A3982" s="22">
        <f ca="1">IFERROR(__xludf.DUMMYFUNCTION("""COMPUTED_VALUE"""),44356)</f>
        <v>44356</v>
      </c>
      <c r="B3982" s="23" t="str">
        <f ca="1">IFERROR(__xludf.DUMMYFUNCTION("""COMPUTED_VALUE"""),"Zestaw natryskowo-wannowy z wylewką")</f>
        <v>Zestaw natryskowo-wannowy z wylewką</v>
      </c>
      <c r="C3982" s="23" t="str">
        <f ca="1">IFERROR(__xludf.DUMMYFUNCTION("""COMPUTED_VALUE"""),"Lungo Black")</f>
        <v>Lungo Black</v>
      </c>
      <c r="D3982" s="24">
        <f ca="1">IFERROR(__xludf.DUMMYFUNCTION("""COMPUTED_VALUE"""),959)</f>
        <v>959</v>
      </c>
      <c r="E3982" s="26" t="str">
        <f ca="1">IFERROR(__xludf.DUMMYFUNCTION("""COMPUTED_VALUE"""),"REA-P4112")</f>
        <v>REA-P4112</v>
      </c>
    </row>
    <row r="3983" spans="1:5" x14ac:dyDescent="0.2">
      <c r="A3983" s="22">
        <f ca="1">IFERROR(__xludf.DUMMYFUNCTION("""COMPUTED_VALUE"""),44356)</f>
        <v>44356</v>
      </c>
      <c r="B3983" s="23" t="str">
        <f ca="1">IFERROR(__xludf.DUMMYFUNCTION("""COMPUTED_VALUE"""),"Zestaw natryskowy z baterią z wylewką")</f>
        <v>Zestaw natryskowy z baterią z wylewką</v>
      </c>
      <c r="C3983" s="23" t="str">
        <f ca="1">IFERROR(__xludf.DUMMYFUNCTION("""COMPUTED_VALUE"""),"Jet Black Matt")</f>
        <v>Jet Black Matt</v>
      </c>
      <c r="D3983" s="24">
        <f ca="1">IFERROR(__xludf.DUMMYFUNCTION("""COMPUTED_VALUE"""),899)</f>
        <v>899</v>
      </c>
      <c r="E3983" s="26" t="str">
        <f ca="1">IFERROR(__xludf.DUMMYFUNCTION("""COMPUTED_VALUE"""),"REA-P9411")</f>
        <v>REA-P9411</v>
      </c>
    </row>
    <row r="3984" spans="1:5" x14ac:dyDescent="0.2">
      <c r="A3984" s="22">
        <f ca="1">IFERROR(__xludf.DUMMYFUNCTION("""COMPUTED_VALUE"""),44356)</f>
        <v>44356</v>
      </c>
      <c r="B3984" s="23" t="str">
        <f ca="1">IFERROR(__xludf.DUMMYFUNCTION("""COMPUTED_VALUE"""),"Zestaw natryskowy podtynkowy z baterią, deszczownicą i ramienimiem ściennym, słuchawką")</f>
        <v>Zestaw natryskowy podtynkowy z baterią, deszczownicą i ramienimiem ściennym, słuchawką</v>
      </c>
      <c r="C3984" s="23" t="str">
        <f ca="1">IFERROR(__xludf.DUMMYFUNCTION("""COMPUTED_VALUE"""),"Sonic Black")</f>
        <v>Sonic Black</v>
      </c>
      <c r="D3984" s="24">
        <f ca="1">IFERROR(__xludf.DUMMYFUNCTION("""COMPUTED_VALUE"""),799)</f>
        <v>799</v>
      </c>
      <c r="E3984" s="26" t="str">
        <f ca="1">IFERROR(__xludf.DUMMYFUNCTION("""COMPUTED_VALUE"""),"REA-P0369")</f>
        <v>REA-P0369</v>
      </c>
    </row>
    <row r="3985" spans="1:5" x14ac:dyDescent="0.2">
      <c r="A3985" s="22">
        <f ca="1">IFERROR(__xludf.DUMMYFUNCTION("""COMPUTED_VALUE"""),44356)</f>
        <v>44356</v>
      </c>
      <c r="B3985" s="23" t="str">
        <f ca="1">IFERROR(__xludf.DUMMYFUNCTION("""COMPUTED_VALUE"""),"Zestaw natryskowy")</f>
        <v>Zestaw natryskowy</v>
      </c>
      <c r="C3985" s="23" t="str">
        <f ca="1">IFERROR(__xludf.DUMMYFUNCTION("""COMPUTED_VALUE"""),"Vincent L.Gold")</f>
        <v>Vincent L.Gold</v>
      </c>
      <c r="D3985" s="24">
        <f ca="1">IFERROR(__xludf.DUMMYFUNCTION("""COMPUTED_VALUE"""),899)</f>
        <v>899</v>
      </c>
      <c r="E3985" s="26" t="str">
        <f ca="1">IFERROR(__xludf.DUMMYFUNCTION("""COMPUTED_VALUE"""),"REA-P8004")</f>
        <v>REA-P8004</v>
      </c>
    </row>
    <row r="3986" spans="1:5" x14ac:dyDescent="0.2">
      <c r="A3986" s="22">
        <f ca="1">IFERROR(__xludf.DUMMYFUNCTION("""COMPUTED_VALUE"""),44356)</f>
        <v>44356</v>
      </c>
      <c r="B3986" s="23" t="str">
        <f ca="1">IFERROR(__xludf.DUMMYFUNCTION("""COMPUTED_VALUE"""),"Umywalka")</f>
        <v>Umywalka</v>
      </c>
      <c r="C3986" s="23" t="str">
        <f ca="1">IFERROR(__xludf.DUMMYFUNCTION("""COMPUTED_VALUE"""),"Rosalia")</f>
        <v>Rosalia</v>
      </c>
      <c r="D3986" s="24">
        <f ca="1">IFERROR(__xludf.DUMMYFUNCTION("""COMPUTED_VALUE"""),499)</f>
        <v>499</v>
      </c>
      <c r="E3986" s="26" t="str">
        <f ca="1">IFERROR(__xludf.DUMMYFUNCTION("""COMPUTED_VALUE"""),"REA-U1224")</f>
        <v>REA-U1224</v>
      </c>
    </row>
    <row r="3987" spans="1:5" x14ac:dyDescent="0.2">
      <c r="A3987" s="22">
        <f ca="1">IFERROR(__xludf.DUMMYFUNCTION("""COMPUTED_VALUE"""),44356)</f>
        <v>44356</v>
      </c>
      <c r="B3987" s="23" t="str">
        <f ca="1">IFERROR(__xludf.DUMMYFUNCTION("""COMPUTED_VALUE"""),"SŁUCHAWKA + WĄŻ + UCHWYT")</f>
        <v>SŁUCHAWKA + WĄŻ + UCHWYT</v>
      </c>
      <c r="C3987" s="23" t="str">
        <f ca="1">IFERROR(__xludf.DUMMYFUNCTION("""COMPUTED_VALUE"""),"Black")</f>
        <v>Black</v>
      </c>
      <c r="D3987" s="24">
        <f ca="1">IFERROR(__xludf.DUMMYFUNCTION("""COMPUTED_VALUE"""),79)</f>
        <v>79</v>
      </c>
      <c r="E3987" s="26" t="str">
        <f ca="1">IFERROR(__xludf.DUMMYFUNCTION("""COMPUTED_VALUE"""),"REA-P4101")</f>
        <v>REA-P4101</v>
      </c>
    </row>
    <row r="3988" spans="1:5" x14ac:dyDescent="0.2">
      <c r="A3988" s="22">
        <f ca="1">IFERROR(__xludf.DUMMYFUNCTION("""COMPUTED_VALUE"""),44356)</f>
        <v>44356</v>
      </c>
      <c r="B3988" s="23" t="str">
        <f ca="1">IFERROR(__xludf.DUMMYFUNCTION("""COMPUTED_VALUE"""),"Zestaw natryskowy z baterią z wylewką i półką")</f>
        <v>Zestaw natryskowy z baterią z wylewką i półką</v>
      </c>
      <c r="C3988" s="23" t="str">
        <f ca="1">IFERROR(__xludf.DUMMYFUNCTION("""COMPUTED_VALUE"""),"Bravo Black")</f>
        <v>Bravo Black</v>
      </c>
      <c r="D3988" s="24">
        <f ca="1">IFERROR(__xludf.DUMMYFUNCTION("""COMPUTED_VALUE"""),469)</f>
        <v>469</v>
      </c>
      <c r="E3988" s="26" t="str">
        <f ca="1">IFERROR(__xludf.DUMMYFUNCTION("""COMPUTED_VALUE"""),"REA-P0636")</f>
        <v>REA-P0636</v>
      </c>
    </row>
    <row r="3989" spans="1:5" x14ac:dyDescent="0.2">
      <c r="A3989" s="22">
        <f ca="1">IFERROR(__xludf.DUMMYFUNCTION("""COMPUTED_VALUE"""),44356)</f>
        <v>44356</v>
      </c>
      <c r="B3989" s="23" t="str">
        <f ca="1">IFERROR(__xludf.DUMMYFUNCTION("""COMPUTED_VALUE"""),"Zestaw natryskowy")</f>
        <v>Zestaw natryskowy</v>
      </c>
      <c r="C3989" s="23" t="str">
        <f ca="1">IFERROR(__xludf.DUMMYFUNCTION("""COMPUTED_VALUE"""),"Jack Black")</f>
        <v>Jack Black</v>
      </c>
      <c r="D3989" s="24">
        <f ca="1">IFERROR(__xludf.DUMMYFUNCTION("""COMPUTED_VALUE"""),739)</f>
        <v>739</v>
      </c>
      <c r="E3989" s="26" t="str">
        <f ca="1">IFERROR(__xludf.DUMMYFUNCTION("""COMPUTED_VALUE"""),"REA-P7009")</f>
        <v>REA-P7009</v>
      </c>
    </row>
    <row r="3990" spans="1:5" x14ac:dyDescent="0.2">
      <c r="A3990" s="22">
        <f ca="1">IFERROR(__xludf.DUMMYFUNCTION("""COMPUTED_VALUE"""),44356)</f>
        <v>44356</v>
      </c>
      <c r="B3990" s="23" t="str">
        <f ca="1">IFERROR(__xludf.DUMMYFUNCTION("""COMPUTED_VALUE"""),"Zestaw natryskowy")</f>
        <v>Zestaw natryskowy</v>
      </c>
      <c r="C3990" s="23" t="str">
        <f ca="1">IFERROR(__xludf.DUMMYFUNCTION("""COMPUTED_VALUE"""),"Jack Gold")</f>
        <v>Jack Gold</v>
      </c>
      <c r="D3990" s="24">
        <f ca="1">IFERROR(__xludf.DUMMYFUNCTION("""COMPUTED_VALUE"""),859)</f>
        <v>859</v>
      </c>
      <c r="E3990" s="26" t="str">
        <f ca="1">IFERROR(__xludf.DUMMYFUNCTION("""COMPUTED_VALUE"""),"REA-P7008")</f>
        <v>REA-P7008</v>
      </c>
    </row>
    <row r="3991" spans="1:5" x14ac:dyDescent="0.2">
      <c r="A3991" s="22">
        <f ca="1">IFERROR(__xludf.DUMMYFUNCTION("""COMPUTED_VALUE"""),44356)</f>
        <v>44356</v>
      </c>
      <c r="B3991" s="23" t="str">
        <f ca="1">IFERROR(__xludf.DUMMYFUNCTION("""COMPUTED_VALUE"""),"Zestaw natryskowy")</f>
        <v>Zestaw natryskowy</v>
      </c>
      <c r="C3991" s="23" t="str">
        <f ca="1">IFERROR(__xludf.DUMMYFUNCTION("""COMPUTED_VALUE"""),"Luis Black")</f>
        <v>Luis Black</v>
      </c>
      <c r="D3991" s="24">
        <f ca="1">IFERROR(__xludf.DUMMYFUNCTION("""COMPUTED_VALUE"""),399)</f>
        <v>399</v>
      </c>
      <c r="E3991" s="26" t="str">
        <f ca="1">IFERROR(__xludf.DUMMYFUNCTION("""COMPUTED_VALUE"""),"REA-P7005")</f>
        <v>REA-P7005</v>
      </c>
    </row>
    <row r="3992" spans="1:5" x14ac:dyDescent="0.2">
      <c r="A3992" s="22">
        <f ca="1">IFERROR(__xludf.DUMMYFUNCTION("""COMPUTED_VALUE"""),44356)</f>
        <v>44356</v>
      </c>
      <c r="B3992" s="23" t="str">
        <f ca="1">IFERROR(__xludf.DUMMYFUNCTION("""COMPUTED_VALUE"""),"Zestaw natryskowy")</f>
        <v>Zestaw natryskowy</v>
      </c>
      <c r="C3992" s="23" t="str">
        <f ca="1">IFERROR(__xludf.DUMMYFUNCTION("""COMPUTED_VALUE"""),"Luis Gold")</f>
        <v>Luis Gold</v>
      </c>
      <c r="D3992" s="24">
        <f ca="1">IFERROR(__xludf.DUMMYFUNCTION("""COMPUTED_VALUE"""),499)</f>
        <v>499</v>
      </c>
      <c r="E3992" s="26" t="str">
        <f ca="1">IFERROR(__xludf.DUMMYFUNCTION("""COMPUTED_VALUE"""),"REA-P7006")</f>
        <v>REA-P7006</v>
      </c>
    </row>
    <row r="3993" spans="1:5" x14ac:dyDescent="0.2">
      <c r="A3993" s="22">
        <f ca="1">IFERROR(__xludf.DUMMYFUNCTION("""COMPUTED_VALUE"""),44356)</f>
        <v>44356</v>
      </c>
      <c r="B3993" s="23" t="str">
        <f ca="1">IFERROR(__xludf.DUMMYFUNCTION("""COMPUTED_VALUE"""),"Zestaw natryskowy z baterią z termostatem i półką")</f>
        <v>Zestaw natryskowy z baterią z termostatem i półką</v>
      </c>
      <c r="C3993" s="23" t="str">
        <f ca="1">IFERROR(__xludf.DUMMYFUNCTION("""COMPUTED_VALUE"""),"Mike Black")</f>
        <v>Mike Black</v>
      </c>
      <c r="D3993" s="24">
        <f ca="1">IFERROR(__xludf.DUMMYFUNCTION("""COMPUTED_VALUE"""),639)</f>
        <v>639</v>
      </c>
      <c r="E3993" s="26" t="str">
        <f ca="1">IFERROR(__xludf.DUMMYFUNCTION("""COMPUTED_VALUE"""),"REA-P0550")</f>
        <v>REA-P0550</v>
      </c>
    </row>
    <row r="3994" spans="1:5" x14ac:dyDescent="0.2">
      <c r="A3994" s="22">
        <f ca="1">IFERROR(__xludf.DUMMYFUNCTION("""COMPUTED_VALUE"""),44356)</f>
        <v>44356</v>
      </c>
      <c r="B3994" s="23" t="str">
        <f ca="1">IFERROR(__xludf.DUMMYFUNCTION("""COMPUTED_VALUE"""),"Zestaw natryskowy z baterią termostatyczną i deszczownicą UltraSlim ""20""")</f>
        <v>Zestaw natryskowy z baterią termostatyczną i deszczownicą UltraSlim "20"</v>
      </c>
      <c r="C3994" s="23" t="str">
        <f ca="1">IFERROR(__xludf.DUMMYFUNCTION("""COMPUTED_VALUE"""),"Milan Black")</f>
        <v>Milan Black</v>
      </c>
      <c r="D3994" s="24">
        <f ca="1">IFERROR(__xludf.DUMMYFUNCTION("""COMPUTED_VALUE"""),759)</f>
        <v>759</v>
      </c>
      <c r="E3994" s="26" t="str">
        <f ca="1">IFERROR(__xludf.DUMMYFUNCTION("""COMPUTED_VALUE"""),"REA-P7000")</f>
        <v>REA-P7000</v>
      </c>
    </row>
    <row r="3995" spans="1:5" x14ac:dyDescent="0.2">
      <c r="A3995" s="22">
        <f ca="1">IFERROR(__xludf.DUMMYFUNCTION("""COMPUTED_VALUE"""),44356)</f>
        <v>44356</v>
      </c>
      <c r="B3995" s="23" t="str">
        <f ca="1">IFERROR(__xludf.DUMMYFUNCTION("""COMPUTED_VALUE"""),"Zestaw natryskowy")</f>
        <v>Zestaw natryskowy</v>
      </c>
      <c r="C3995" s="23" t="str">
        <f ca="1">IFERROR(__xludf.DUMMYFUNCTION("""COMPUTED_VALUE"""),"Vigo")</f>
        <v>Vigo</v>
      </c>
      <c r="D3995" s="24">
        <f ca="1">IFERROR(__xludf.DUMMYFUNCTION("""COMPUTED_VALUE"""),469)</f>
        <v>469</v>
      </c>
      <c r="E3995" s="26" t="str">
        <f ca="1">IFERROR(__xludf.DUMMYFUNCTION("""COMPUTED_VALUE"""),"REA-P7001")</f>
        <v>REA-P7001</v>
      </c>
    </row>
    <row r="3996" spans="1:5" x14ac:dyDescent="0.2">
      <c r="A3996" s="22">
        <f ca="1">IFERROR(__xludf.DUMMYFUNCTION("""COMPUTED_VALUE"""),44356)</f>
        <v>44356</v>
      </c>
      <c r="B3996" s="23" t="str">
        <f ca="1">IFERROR(__xludf.DUMMYFUNCTION("""COMPUTED_VALUE"""),"Umywalka podblatowa")</f>
        <v>Umywalka podblatowa</v>
      </c>
      <c r="C3996" s="23" t="str">
        <f ca="1">IFERROR(__xludf.DUMMYFUNCTION("""COMPUTED_VALUE"""),"Under Arte  Blue")</f>
        <v>Under Arte  Blue</v>
      </c>
      <c r="D3996" s="24">
        <f ca="1">IFERROR(__xludf.DUMMYFUNCTION("""COMPUTED_VALUE"""),449)</f>
        <v>449</v>
      </c>
      <c r="E3996" s="26" t="str">
        <f ca="1">IFERROR(__xludf.DUMMYFUNCTION("""COMPUTED_VALUE"""),"REA-U1222")</f>
        <v>REA-U1222</v>
      </c>
    </row>
    <row r="3997" spans="1:5" x14ac:dyDescent="0.2">
      <c r="A3997" s="22">
        <f ca="1">IFERROR(__xludf.DUMMYFUNCTION("""COMPUTED_VALUE"""),44356)</f>
        <v>44356</v>
      </c>
      <c r="B3997" s="23" t="str">
        <f ca="1">IFERROR(__xludf.DUMMYFUNCTION("""COMPUTED_VALUE"""),"Umywalka blatowa")</f>
        <v>Umywalka blatowa</v>
      </c>
      <c r="C3997" s="23" t="str">
        <f ca="1">IFERROR(__xludf.DUMMYFUNCTION("""COMPUTED_VALUE"""),"Queen White")</f>
        <v>Queen White</v>
      </c>
      <c r="D3997" s="24">
        <f ca="1">IFERROR(__xludf.DUMMYFUNCTION("""COMPUTED_VALUE"""),299)</f>
        <v>299</v>
      </c>
      <c r="E3997" s="26" t="str">
        <f ca="1">IFERROR(__xludf.DUMMYFUNCTION("""COMPUTED_VALUE"""),"REA-U1223")</f>
        <v>REA-U1223</v>
      </c>
    </row>
    <row r="3998" spans="1:5" x14ac:dyDescent="0.2">
      <c r="A3998" s="22">
        <f ca="1">IFERROR(__xludf.DUMMYFUNCTION("""COMPUTED_VALUE"""),44356)</f>
        <v>44356</v>
      </c>
      <c r="B3998" s="23" t="str">
        <f ca="1">IFERROR(__xludf.DUMMYFUNCTION("""COMPUTED_VALUE"""),"Umywalka ceramiczna blatowa złoto/biała")</f>
        <v>Umywalka ceramiczna blatowa złoto/biała</v>
      </c>
      <c r="C3998" s="23" t="str">
        <f ca="1">IFERROR(__xludf.DUMMYFUNCTION("""COMPUTED_VALUE"""),"Sofia Gold White")</f>
        <v>Sofia Gold White</v>
      </c>
      <c r="D3998" s="24">
        <f ca="1">IFERROR(__xludf.DUMMYFUNCTION("""COMPUTED_VALUE"""),379)</f>
        <v>379</v>
      </c>
      <c r="E3998" s="26" t="str">
        <f ca="1">IFERROR(__xludf.DUMMYFUNCTION("""COMPUTED_VALUE"""),"REA-U0456")</f>
        <v>REA-U0456</v>
      </c>
    </row>
    <row r="3999" spans="1:5" x14ac:dyDescent="0.2">
      <c r="A3999" s="22">
        <f ca="1">IFERROR(__xludf.DUMMYFUNCTION("""COMPUTED_VALUE"""),44356)</f>
        <v>44356</v>
      </c>
      <c r="B3999" s="23" t="str">
        <f ca="1">IFERROR(__xludf.DUMMYFUNCTION("""COMPUTED_VALUE"""),"Umywalka blatowa")</f>
        <v>Umywalka blatowa</v>
      </c>
      <c r="C3999" s="23" t="str">
        <f ca="1">IFERROR(__xludf.DUMMYFUNCTION("""COMPUTED_VALUE"""),"Belinda Black Matt SLIM")</f>
        <v>Belinda Black Matt SLIM</v>
      </c>
      <c r="D3999" s="24">
        <f ca="1">IFERROR(__xludf.DUMMYFUNCTION("""COMPUTED_VALUE"""),419)</f>
        <v>419</v>
      </c>
      <c r="E3999" s="26" t="str">
        <f ca="1">IFERROR(__xludf.DUMMYFUNCTION("""COMPUTED_VALUE"""),"REA-U8470")</f>
        <v>REA-U8470</v>
      </c>
    </row>
    <row r="4000" spans="1:5" x14ac:dyDescent="0.2">
      <c r="A4000" s="22">
        <f ca="1">IFERROR(__xludf.DUMMYFUNCTION("""COMPUTED_VALUE"""),44356)</f>
        <v>44356</v>
      </c>
      <c r="B4000" s="23" t="str">
        <f ca="1">IFERROR(__xludf.DUMMYFUNCTION("""COMPUTED_VALUE"""),"Umywalka stojąca")</f>
        <v>Umywalka stojąca</v>
      </c>
      <c r="C4000" s="23" t="str">
        <f ca="1">IFERROR(__xludf.DUMMYFUNCTION("""COMPUTED_VALUE"""),"Kamila")</f>
        <v>Kamila</v>
      </c>
      <c r="D4000" s="24">
        <f ca="1">IFERROR(__xludf.DUMMYFUNCTION("""COMPUTED_VALUE"""),799)</f>
        <v>799</v>
      </c>
      <c r="E4000" s="26" t="str">
        <f ca="1">IFERROR(__xludf.DUMMYFUNCTION("""COMPUTED_VALUE"""),"REA-U5633")</f>
        <v>REA-U5633</v>
      </c>
    </row>
    <row r="4001" spans="1:5" x14ac:dyDescent="0.2">
      <c r="A4001" s="22">
        <f ca="1">IFERROR(__xludf.DUMMYFUNCTION("""COMPUTED_VALUE"""),44356)</f>
        <v>44356</v>
      </c>
      <c r="B4001" s="23" t="str">
        <f ca="1">IFERROR(__xludf.DUMMYFUNCTION("""COMPUTED_VALUE"""),"Umywalka blatowa")</f>
        <v>Umywalka blatowa</v>
      </c>
      <c r="C4001" s="23" t="str">
        <f ca="1">IFERROR(__xludf.DUMMYFUNCTION("""COMPUTED_VALUE"""),"DENIS BLACK MATT")</f>
        <v>DENIS BLACK MATT</v>
      </c>
      <c r="D4001" s="24">
        <f ca="1">IFERROR(__xludf.DUMMYFUNCTION("""COMPUTED_VALUE"""),499)</f>
        <v>499</v>
      </c>
      <c r="E4001" s="26" t="str">
        <f ca="1">IFERROR(__xludf.DUMMYFUNCTION("""COMPUTED_VALUE"""),"REA-U3690")</f>
        <v>REA-U3690</v>
      </c>
    </row>
    <row r="4002" spans="1:5" x14ac:dyDescent="0.2">
      <c r="A4002" s="22">
        <f ca="1">IFERROR(__xludf.DUMMYFUNCTION("""COMPUTED_VALUE"""),44356)</f>
        <v>44356</v>
      </c>
      <c r="B4002" s="23" t="str">
        <f ca="1">IFERROR(__xludf.DUMMYFUNCTION("""COMPUTED_VALUE"""),"Umywalka wpuszczana")</f>
        <v>Umywalka wpuszczana</v>
      </c>
      <c r="C4002" s="23" t="str">
        <f ca="1">IFERROR(__xludf.DUMMYFUNCTION("""COMPUTED_VALUE"""),"Arleta")</f>
        <v>Arleta</v>
      </c>
      <c r="D4002" s="24">
        <f ca="1">IFERROR(__xludf.DUMMYFUNCTION("""COMPUTED_VALUE"""),239)</f>
        <v>239</v>
      </c>
      <c r="E4002" s="26" t="str">
        <f ca="1">IFERROR(__xludf.DUMMYFUNCTION("""COMPUTED_VALUE"""),"REA-U8700")</f>
        <v>REA-U8700</v>
      </c>
    </row>
    <row r="4003" spans="1:5" x14ac:dyDescent="0.2">
      <c r="A4003" s="22">
        <f ca="1">IFERROR(__xludf.DUMMYFUNCTION("""COMPUTED_VALUE"""),44356)</f>
        <v>44356</v>
      </c>
      <c r="B4003" s="23" t="str">
        <f ca="1">IFERROR(__xludf.DUMMYFUNCTION("""COMPUTED_VALUE"""),"Umywalka blatowa")</f>
        <v>Umywalka blatowa</v>
      </c>
      <c r="C4003" s="23" t="str">
        <f ca="1">IFERROR(__xludf.DUMMYFUNCTION("""COMPUTED_VALUE"""),"Livia Beige")</f>
        <v>Livia Beige</v>
      </c>
      <c r="D4003" s="24">
        <f ca="1">IFERROR(__xludf.DUMMYFUNCTION("""COMPUTED_VALUE"""),299)</f>
        <v>299</v>
      </c>
      <c r="E4003" s="26" t="str">
        <f ca="1">IFERROR(__xludf.DUMMYFUNCTION("""COMPUTED_VALUE"""),"REA-U3802")</f>
        <v>REA-U3802</v>
      </c>
    </row>
    <row r="4004" spans="1:5" x14ac:dyDescent="0.2">
      <c r="A4004" s="22">
        <f ca="1">IFERROR(__xludf.DUMMYFUNCTION("""COMPUTED_VALUE"""),44356)</f>
        <v>44356</v>
      </c>
      <c r="B4004" s="23" t="str">
        <f ca="1">IFERROR(__xludf.DUMMYFUNCTION("""COMPUTED_VALUE"""),"Umywalka blatowa")</f>
        <v>Umywalka blatowa</v>
      </c>
      <c r="C4004" s="23" t="str">
        <f ca="1">IFERROR(__xludf.DUMMYFUNCTION("""COMPUTED_VALUE"""),"Livia Grey")</f>
        <v>Livia Grey</v>
      </c>
      <c r="D4004" s="24">
        <f ca="1">IFERROR(__xludf.DUMMYFUNCTION("""COMPUTED_VALUE"""),299)</f>
        <v>299</v>
      </c>
      <c r="E4004" s="26" t="str">
        <f ca="1">IFERROR(__xludf.DUMMYFUNCTION("""COMPUTED_VALUE"""),"REA-U3801")</f>
        <v>REA-U3801</v>
      </c>
    </row>
    <row r="4005" spans="1:5" x14ac:dyDescent="0.2">
      <c r="A4005" s="22">
        <f ca="1">IFERROR(__xludf.DUMMYFUNCTION("""COMPUTED_VALUE"""),44356)</f>
        <v>44356</v>
      </c>
      <c r="B4005" s="23" t="str">
        <f ca="1">IFERROR(__xludf.DUMMYFUNCTION("""COMPUTED_VALUE"""),"Umywalka blatowa")</f>
        <v>Umywalka blatowa</v>
      </c>
      <c r="C4005" s="23" t="str">
        <f ca="1">IFERROR(__xludf.DUMMYFUNCTION("""COMPUTED_VALUE"""),"Livia Stone")</f>
        <v>Livia Stone</v>
      </c>
      <c r="D4005" s="24">
        <f ca="1">IFERROR(__xludf.DUMMYFUNCTION("""COMPUTED_VALUE"""),299)</f>
        <v>299</v>
      </c>
      <c r="E4005" s="26" t="str">
        <f ca="1">IFERROR(__xludf.DUMMYFUNCTION("""COMPUTED_VALUE"""),"REA-U3800")</f>
        <v>REA-U3800</v>
      </c>
    </row>
    <row r="4006" spans="1:5" x14ac:dyDescent="0.2">
      <c r="A4006" s="22">
        <f ca="1">IFERROR(__xludf.DUMMYFUNCTION("""COMPUTED_VALUE"""),44349)</f>
        <v>44349</v>
      </c>
      <c r="B4006" s="23" t="str">
        <f ca="1">IFERROR(__xludf.DUMMYFUNCTION("""COMPUTED_VALUE"""),"Umywalka blatowa")</f>
        <v>Umywalka blatowa</v>
      </c>
      <c r="C4006" s="23" t="str">
        <f ca="1">IFERROR(__xludf.DUMMYFUNCTION("""COMPUTED_VALUE"""),"Avia")</f>
        <v>Avia</v>
      </c>
      <c r="D4006" s="24">
        <f ca="1">IFERROR(__xludf.DUMMYFUNCTION("""COMPUTED_VALUE"""),269)</f>
        <v>269</v>
      </c>
      <c r="E4006" s="26" t="str">
        <f ca="1">IFERROR(__xludf.DUMMYFUNCTION("""COMPUTED_VALUE"""),"REA-U0840")</f>
        <v>REA-U0840</v>
      </c>
    </row>
    <row r="4007" spans="1:5" x14ac:dyDescent="0.2">
      <c r="A4007" s="22">
        <f ca="1">IFERROR(__xludf.DUMMYFUNCTION("""COMPUTED_VALUE"""),44349)</f>
        <v>44349</v>
      </c>
      <c r="B4007" s="23" t="str">
        <f ca="1">IFERROR(__xludf.DUMMYFUNCTION("""COMPUTED_VALUE"""),"Umywalka blatowa")</f>
        <v>Umywalka blatowa</v>
      </c>
      <c r="C4007" s="23" t="str">
        <f ca="1">IFERROR(__xludf.DUMMYFUNCTION("""COMPUTED_VALUE"""),"AVIA BLACK MATT")</f>
        <v>AVIA BLACK MATT</v>
      </c>
      <c r="D4007" s="24">
        <f ca="1">IFERROR(__xludf.DUMMYFUNCTION("""COMPUTED_VALUE"""),419)</f>
        <v>419</v>
      </c>
      <c r="E4007" s="26" t="str">
        <f ca="1">IFERROR(__xludf.DUMMYFUNCTION("""COMPUTED_VALUE"""),"REA-U0843")</f>
        <v>REA-U0843</v>
      </c>
    </row>
    <row r="4008" spans="1:5" x14ac:dyDescent="0.2">
      <c r="A4008" s="22">
        <f ca="1">IFERROR(__xludf.DUMMYFUNCTION("""COMPUTED_VALUE"""),44349)</f>
        <v>44349</v>
      </c>
      <c r="B4008" s="23" t="str">
        <f ca="1">IFERROR(__xludf.DUMMYFUNCTION("""COMPUTED_VALUE"""),"Umywalka blatowa")</f>
        <v>Umywalka blatowa</v>
      </c>
      <c r="C4008" s="23" t="str">
        <f ca="1">IFERROR(__xludf.DUMMYFUNCTION("""COMPUTED_VALUE"""),"Belinda Black SLIM")</f>
        <v>Belinda Black SLIM</v>
      </c>
      <c r="D4008" s="24">
        <f ca="1">IFERROR(__xludf.DUMMYFUNCTION("""COMPUTED_VALUE"""),399)</f>
        <v>399</v>
      </c>
      <c r="E4008" s="26" t="str">
        <f ca="1">IFERROR(__xludf.DUMMYFUNCTION("""COMPUTED_VALUE"""),"REA-U8490")</f>
        <v>REA-U8490</v>
      </c>
    </row>
    <row r="4009" spans="1:5" x14ac:dyDescent="0.2">
      <c r="A4009" s="22">
        <f ca="1">IFERROR(__xludf.DUMMYFUNCTION("""COMPUTED_VALUE"""),44349)</f>
        <v>44349</v>
      </c>
      <c r="B4009" s="23" t="str">
        <f ca="1">IFERROR(__xludf.DUMMYFUNCTION("""COMPUTED_VALUE"""),"Umywalka stojąca")</f>
        <v>Umywalka stojąca</v>
      </c>
      <c r="C4009" s="23" t="str">
        <f ca="1">IFERROR(__xludf.DUMMYFUNCTION("""COMPUTED_VALUE"""),"Blanka Natural Matt")</f>
        <v>Blanka Natural Matt</v>
      </c>
      <c r="D4009" s="24">
        <f ca="1">IFERROR(__xludf.DUMMYFUNCTION("""COMPUTED_VALUE"""),1599)</f>
        <v>1599</v>
      </c>
      <c r="E4009" s="26" t="str">
        <f ca="1">IFERROR(__xludf.DUMMYFUNCTION("""COMPUTED_VALUE"""),"REA-U4664")</f>
        <v>REA-U4664</v>
      </c>
    </row>
    <row r="4010" spans="1:5" x14ac:dyDescent="0.2">
      <c r="A4010" s="22">
        <f ca="1">IFERROR(__xludf.DUMMYFUNCTION("""COMPUTED_VALUE"""),44349)</f>
        <v>44349</v>
      </c>
      <c r="B4010" s="23" t="str">
        <f ca="1">IFERROR(__xludf.DUMMYFUNCTION("""COMPUTED_VALUE"""),"Umywalka blatowa")</f>
        <v>Umywalka blatowa</v>
      </c>
      <c r="C4010" s="23" t="str">
        <f ca="1">IFERROR(__xludf.DUMMYFUNCTION("""COMPUTED_VALUE"""),"Linda Lava")</f>
        <v>Linda Lava</v>
      </c>
      <c r="D4010" s="24">
        <f ca="1">IFERROR(__xludf.DUMMYFUNCTION("""COMPUTED_VALUE"""),339)</f>
        <v>339</v>
      </c>
      <c r="E4010" s="26" t="str">
        <f ca="1">IFERROR(__xludf.DUMMYFUNCTION("""COMPUTED_VALUE"""),"REA-U8695")</f>
        <v>REA-U8695</v>
      </c>
    </row>
    <row r="4011" spans="1:5" x14ac:dyDescent="0.2">
      <c r="A4011" s="22">
        <f ca="1">IFERROR(__xludf.DUMMYFUNCTION("""COMPUTED_VALUE"""),44349)</f>
        <v>44349</v>
      </c>
      <c r="B4011" s="23" t="str">
        <f ca="1">IFERROR(__xludf.DUMMYFUNCTION("""COMPUTED_VALUE"""),"Umywalka blatowa")</f>
        <v>Umywalka blatowa</v>
      </c>
      <c r="C4011" s="23" t="str">
        <f ca="1">IFERROR(__xludf.DUMMYFUNCTION("""COMPUTED_VALUE"""),"Linda Lava mat")</f>
        <v>Linda Lava mat</v>
      </c>
      <c r="D4011" s="24">
        <f ca="1">IFERROR(__xludf.DUMMYFUNCTION("""COMPUTED_VALUE"""),339)</f>
        <v>339</v>
      </c>
      <c r="E4011" s="26" t="str">
        <f ca="1">IFERROR(__xludf.DUMMYFUNCTION("""COMPUTED_VALUE"""),"REA-U8568")</f>
        <v>REA-U8568</v>
      </c>
    </row>
    <row r="4012" spans="1:5" x14ac:dyDescent="0.2">
      <c r="A4012" s="22">
        <f ca="1">IFERROR(__xludf.DUMMYFUNCTION("""COMPUTED_VALUE"""),44349)</f>
        <v>44349</v>
      </c>
      <c r="B4012" s="23" t="str">
        <f ca="1">IFERROR(__xludf.DUMMYFUNCTION("""COMPUTED_VALUE"""),"Umywalka blatowa")</f>
        <v>Umywalka blatowa</v>
      </c>
      <c r="C4012" s="23" t="str">
        <f ca="1">IFERROR(__xludf.DUMMYFUNCTION("""COMPUTED_VALUE"""),"Margot Black/Gold")</f>
        <v>Margot Black/Gold</v>
      </c>
      <c r="D4012" s="24">
        <f ca="1">IFERROR(__xludf.DUMMYFUNCTION("""COMPUTED_VALUE"""),579)</f>
        <v>579</v>
      </c>
      <c r="E4012" s="26" t="str">
        <f ca="1">IFERROR(__xludf.DUMMYFUNCTION("""COMPUTED_VALUE"""),"REA-U8978")</f>
        <v>REA-U8978</v>
      </c>
    </row>
    <row r="4013" spans="1:5" x14ac:dyDescent="0.2">
      <c r="A4013" s="22">
        <f ca="1">IFERROR(__xludf.DUMMYFUNCTION("""COMPUTED_VALUE"""),44349)</f>
        <v>44349</v>
      </c>
      <c r="B4013" s="23" t="str">
        <f ca="1">IFERROR(__xludf.DUMMYFUNCTION("""COMPUTED_VALUE"""),"Umywalka blatowa")</f>
        <v>Umywalka blatowa</v>
      </c>
      <c r="C4013" s="23" t="str">
        <f ca="1">IFERROR(__xludf.DUMMYFUNCTION("""COMPUTED_VALUE"""),"Margot Blue/Gold")</f>
        <v>Margot Blue/Gold</v>
      </c>
      <c r="D4013" s="24">
        <f ca="1">IFERROR(__xludf.DUMMYFUNCTION("""COMPUTED_VALUE"""),579)</f>
        <v>579</v>
      </c>
      <c r="E4013" s="26" t="str">
        <f ca="1">IFERROR(__xludf.DUMMYFUNCTION("""COMPUTED_VALUE"""),"REA-U8709")</f>
        <v>REA-U8709</v>
      </c>
    </row>
    <row r="4014" spans="1:5" x14ac:dyDescent="0.2">
      <c r="A4014" s="22">
        <f ca="1">IFERROR(__xludf.DUMMYFUNCTION("""COMPUTED_VALUE"""),44349)</f>
        <v>44349</v>
      </c>
      <c r="B4014" s="23" t="str">
        <f ca="1">IFERROR(__xludf.DUMMYFUNCTION("""COMPUTED_VALUE"""),"Umywalka blatowa")</f>
        <v>Umywalka blatowa</v>
      </c>
      <c r="C4014" s="23" t="str">
        <f ca="1">IFERROR(__xludf.DUMMYFUNCTION("""COMPUTED_VALUE"""),"Margot Green")</f>
        <v>Margot Green</v>
      </c>
      <c r="D4014" s="24">
        <f ca="1">IFERROR(__xludf.DUMMYFUNCTION("""COMPUTED_VALUE"""),579)</f>
        <v>579</v>
      </c>
      <c r="E4014" s="26" t="str">
        <f ca="1">IFERROR(__xludf.DUMMYFUNCTION("""COMPUTED_VALUE"""),"REA-U8462")</f>
        <v>REA-U8462</v>
      </c>
    </row>
    <row r="4015" spans="1:5" x14ac:dyDescent="0.2">
      <c r="A4015" s="22">
        <f ca="1">IFERROR(__xludf.DUMMYFUNCTION("""COMPUTED_VALUE"""),44349)</f>
        <v>44349</v>
      </c>
      <c r="B4015" s="23" t="str">
        <f ca="1">IFERROR(__xludf.DUMMYFUNCTION("""COMPUTED_VALUE"""),"Umywalka stojąca")</f>
        <v>Umywalka stojąca</v>
      </c>
      <c r="C4015" s="23" t="str">
        <f ca="1">IFERROR(__xludf.DUMMYFUNCTION("""COMPUTED_VALUE"""),"Mia")</f>
        <v>Mia</v>
      </c>
      <c r="D4015" s="24">
        <f ca="1">IFERROR(__xludf.DUMMYFUNCTION("""COMPUTED_VALUE"""),1199)</f>
        <v>1199</v>
      </c>
      <c r="E4015" s="26" t="str">
        <f ca="1">IFERROR(__xludf.DUMMYFUNCTION("""COMPUTED_VALUE"""),"REA-U5634")</f>
        <v>REA-U5634</v>
      </c>
    </row>
    <row r="4016" spans="1:5" x14ac:dyDescent="0.2">
      <c r="A4016" s="22">
        <f ca="1">IFERROR(__xludf.DUMMYFUNCTION("""COMPUTED_VALUE"""),44349)</f>
        <v>44349</v>
      </c>
      <c r="B4016" s="23" t="str">
        <f ca="1">IFERROR(__xludf.DUMMYFUNCTION("""COMPUTED_VALUE"""),"Umywalka ceramiczna blatowa")</f>
        <v>Umywalka ceramiczna blatowa</v>
      </c>
      <c r="C4016" s="23" t="str">
        <f ca="1">IFERROR(__xludf.DUMMYFUNCTION("""COMPUTED_VALUE"""),"Rosa")</f>
        <v>Rosa</v>
      </c>
      <c r="D4016" s="24">
        <f ca="1">IFERROR(__xludf.DUMMYFUNCTION("""COMPUTED_VALUE"""),229)</f>
        <v>229</v>
      </c>
      <c r="E4016" s="26" t="str">
        <f ca="1">IFERROR(__xludf.DUMMYFUNCTION("""COMPUTED_VALUE"""),"REA-00692")</f>
        <v>REA-00692</v>
      </c>
    </row>
    <row r="4017" spans="1:5" x14ac:dyDescent="0.2">
      <c r="A4017" s="22">
        <f ca="1">IFERROR(__xludf.DUMMYFUNCTION("""COMPUTED_VALUE"""),44349)</f>
        <v>44349</v>
      </c>
      <c r="B4017" s="23" t="str">
        <f ca="1">IFERROR(__xludf.DUMMYFUNCTION("""COMPUTED_VALUE"""),"Umywalka blatowa")</f>
        <v>Umywalka blatowa</v>
      </c>
      <c r="C4017" s="23" t="str">
        <f ca="1">IFERROR(__xludf.DUMMYFUNCTION("""COMPUTED_VALUE"""),"Shila")</f>
        <v>Shila</v>
      </c>
      <c r="D4017" s="24">
        <f ca="1">IFERROR(__xludf.DUMMYFUNCTION("""COMPUTED_VALUE"""),299)</f>
        <v>299</v>
      </c>
      <c r="E4017" s="26" t="str">
        <f ca="1">IFERROR(__xludf.DUMMYFUNCTION("""COMPUTED_VALUE"""),"REA-U6655")</f>
        <v>REA-U6655</v>
      </c>
    </row>
    <row r="4018" spans="1:5" x14ac:dyDescent="0.2">
      <c r="A4018" s="22">
        <f ca="1">IFERROR(__xludf.DUMMYFUNCTION("""COMPUTED_VALUE"""),44349)</f>
        <v>44349</v>
      </c>
      <c r="B4018" s="23" t="str">
        <f ca="1">IFERROR(__xludf.DUMMYFUNCTION("""COMPUTED_VALUE"""),"Umywalka ceramiczna blatowa złoto/złota")</f>
        <v>Umywalka ceramiczna blatowa złoto/złota</v>
      </c>
      <c r="C4018" s="23" t="str">
        <f ca="1">IFERROR(__xludf.DUMMYFUNCTION("""COMPUTED_VALUE"""),"Sofia Gold")</f>
        <v>Sofia Gold</v>
      </c>
      <c r="D4018" s="24">
        <f ca="1">IFERROR(__xludf.DUMMYFUNCTION("""COMPUTED_VALUE"""),379)</f>
        <v>379</v>
      </c>
      <c r="E4018" s="26" t="str">
        <f ca="1">IFERROR(__xludf.DUMMYFUNCTION("""COMPUTED_VALUE"""),"REA-U9015")</f>
        <v>REA-U9015</v>
      </c>
    </row>
    <row r="4019" spans="1:5" x14ac:dyDescent="0.2">
      <c r="A4019" s="22">
        <f ca="1">IFERROR(__xludf.DUMMYFUNCTION("""COMPUTED_VALUE"""),44349)</f>
        <v>44349</v>
      </c>
      <c r="B4019" s="23" t="str">
        <f ca="1">IFERROR(__xludf.DUMMYFUNCTION("""COMPUTED_VALUE"""),"Umywalka blatowa")</f>
        <v>Umywalka blatowa</v>
      </c>
      <c r="C4019" s="23" t="str">
        <f ca="1">IFERROR(__xludf.DUMMYFUNCTION("""COMPUTED_VALUE"""),"Sofia Gold Edge")</f>
        <v>Sofia Gold Edge</v>
      </c>
      <c r="D4019" s="24">
        <f ca="1">IFERROR(__xludf.DUMMYFUNCTION("""COMPUTED_VALUE"""),299)</f>
        <v>299</v>
      </c>
      <c r="E4019" s="26" t="str">
        <f ca="1">IFERROR(__xludf.DUMMYFUNCTION("""COMPUTED_VALUE"""),"REA-U3287")</f>
        <v>REA-U3287</v>
      </c>
    </row>
    <row r="4020" spans="1:5" x14ac:dyDescent="0.2">
      <c r="A4020" s="22">
        <f ca="1">IFERROR(__xludf.DUMMYFUNCTION("""COMPUTED_VALUE"""),44349)</f>
        <v>44349</v>
      </c>
      <c r="B4020" s="23" t="str">
        <f ca="1">IFERROR(__xludf.DUMMYFUNCTION("""COMPUTED_VALUE"""),"Umywalka ceramiczna blatowa")</f>
        <v>Umywalka ceramiczna blatowa</v>
      </c>
      <c r="C4020" s="23" t="str">
        <f ca="1">IFERROR(__xludf.DUMMYFUNCTION("""COMPUTED_VALUE"""),"Sofia Green Gloss")</f>
        <v>Sofia Green Gloss</v>
      </c>
      <c r="D4020" s="24">
        <f ca="1">IFERROR(__xludf.DUMMYFUNCTION("""COMPUTED_VALUE"""),299)</f>
        <v>299</v>
      </c>
      <c r="E4020" s="26" t="str">
        <f ca="1">IFERROR(__xludf.DUMMYFUNCTION("""COMPUTED_VALUE"""),"REA-U8543")</f>
        <v>REA-U8543</v>
      </c>
    </row>
    <row r="4021" spans="1:5" x14ac:dyDescent="0.2">
      <c r="A4021" s="22">
        <f ca="1">IFERROR(__xludf.DUMMYFUNCTION("""COMPUTED_VALUE"""),44349)</f>
        <v>44349</v>
      </c>
      <c r="B4021" s="23" t="str">
        <f ca="1">IFERROR(__xludf.DUMMYFUNCTION("""COMPUTED_VALUE"""),"Umywalka blatowa")</f>
        <v>Umywalka blatowa</v>
      </c>
      <c r="C4021" s="23" t="str">
        <f ca="1">IFERROR(__xludf.DUMMYFUNCTION("""COMPUTED_VALUE"""),"Sofia Stone")</f>
        <v>Sofia Stone</v>
      </c>
      <c r="D4021" s="24">
        <f ca="1">IFERROR(__xludf.DUMMYFUNCTION("""COMPUTED_VALUE"""),299)</f>
        <v>299</v>
      </c>
      <c r="E4021" s="26" t="str">
        <f ca="1">IFERROR(__xludf.DUMMYFUNCTION("""COMPUTED_VALUE"""),"REA-U9908")</f>
        <v>REA-U9908</v>
      </c>
    </row>
    <row r="4022" spans="1:5" x14ac:dyDescent="0.2">
      <c r="A4022" s="22">
        <f ca="1">IFERROR(__xludf.DUMMYFUNCTION("""COMPUTED_VALUE"""),44349)</f>
        <v>44349</v>
      </c>
      <c r="B4022" s="23" t="str">
        <f ca="1">IFERROR(__xludf.DUMMYFUNCTION("""COMPUTED_VALUE"""),"Odpływ liniowy + syfon + nóżki + mankiet uszczelniający")</f>
        <v>Odpływ liniowy + syfon + nóżki + mankiet uszczelniający</v>
      </c>
      <c r="C4022" s="23" t="str">
        <f ca="1">IFERROR(__xludf.DUMMYFUNCTION("""COMPUTED_VALUE"""),"Neo&amp;Pure 700 N")</f>
        <v>Neo&amp;Pure 700 N</v>
      </c>
      <c r="D4022" s="24">
        <f ca="1">IFERROR(__xludf.DUMMYFUNCTION("""COMPUTED_VALUE"""),199)</f>
        <v>199</v>
      </c>
      <c r="E4022" s="26" t="str">
        <f ca="1">IFERROR(__xludf.DUMMYFUNCTION("""COMPUTED_VALUE"""),"REA-G0092")</f>
        <v>REA-G0092</v>
      </c>
    </row>
    <row r="4023" spans="1:5" x14ac:dyDescent="0.2">
      <c r="A4023" s="22">
        <f ca="1">IFERROR(__xludf.DUMMYFUNCTION("""COMPUTED_VALUE"""),44349)</f>
        <v>44349</v>
      </c>
      <c r="B4023" s="23" t="str">
        <f ca="1">IFERROR(__xludf.DUMMYFUNCTION("""COMPUTED_VALUE"""),"Odpływ liniowy + syfon + nóżki + mankiet uszczelniający")</f>
        <v>Odpływ liniowy + syfon + nóżki + mankiet uszczelniający</v>
      </c>
      <c r="C4023" s="23" t="str">
        <f ca="1">IFERROR(__xludf.DUMMYFUNCTION("""COMPUTED_VALUE"""),"Neo&amp;Pure 800 N")</f>
        <v>Neo&amp;Pure 800 N</v>
      </c>
      <c r="D4023" s="24">
        <f ca="1">IFERROR(__xludf.DUMMYFUNCTION("""COMPUTED_VALUE"""),219)</f>
        <v>219</v>
      </c>
      <c r="E4023" s="26" t="str">
        <f ca="1">IFERROR(__xludf.DUMMYFUNCTION("""COMPUTED_VALUE"""),"REA-G0093")</f>
        <v>REA-G0093</v>
      </c>
    </row>
    <row r="4024" spans="1:5" x14ac:dyDescent="0.2">
      <c r="A4024" s="22">
        <f ca="1">IFERROR(__xludf.DUMMYFUNCTION("""COMPUTED_VALUE"""),44349)</f>
        <v>44349</v>
      </c>
      <c r="B4024" s="23" t="str">
        <f ca="1">IFERROR(__xludf.DUMMYFUNCTION("""COMPUTED_VALUE"""),"Odpływ liniowy + syfon + nóżki + mankiet uszczelniający")</f>
        <v>Odpływ liniowy + syfon + nóżki + mankiet uszczelniający</v>
      </c>
      <c r="C4024" s="23" t="str">
        <f ca="1">IFERROR(__xludf.DUMMYFUNCTION("""COMPUTED_VALUE"""),"Neo&amp;Pure 500 N")</f>
        <v>Neo&amp;Pure 500 N</v>
      </c>
      <c r="D4024" s="24">
        <f ca="1">IFERROR(__xludf.DUMMYFUNCTION("""COMPUTED_VALUE"""),169)</f>
        <v>169</v>
      </c>
      <c r="E4024" s="26" t="str">
        <f ca="1">IFERROR(__xludf.DUMMYFUNCTION("""COMPUTED_VALUE"""),"REA-G0090")</f>
        <v>REA-G0090</v>
      </c>
    </row>
    <row r="4025" spans="1:5" x14ac:dyDescent="0.2">
      <c r="A4025" s="22">
        <f ca="1">IFERROR(__xludf.DUMMYFUNCTION("""COMPUTED_VALUE"""),44349)</f>
        <v>44349</v>
      </c>
      <c r="B4025" s="23" t="str">
        <f ca="1">IFERROR(__xludf.DUMMYFUNCTION("""COMPUTED_VALUE"""),"Odpływ liniowy + syfon + nóżki + mankiet uszczelniający")</f>
        <v>Odpływ liniowy + syfon + nóżki + mankiet uszczelniający</v>
      </c>
      <c r="C4025" s="23" t="str">
        <f ca="1">IFERROR(__xludf.DUMMYFUNCTION("""COMPUTED_VALUE"""),"Neo&amp;Pure 900 N")</f>
        <v>Neo&amp;Pure 900 N</v>
      </c>
      <c r="D4025" s="24">
        <f ca="1">IFERROR(__xludf.DUMMYFUNCTION("""COMPUTED_VALUE"""),239)</f>
        <v>239</v>
      </c>
      <c r="E4025" s="26" t="str">
        <f ca="1">IFERROR(__xludf.DUMMYFUNCTION("""COMPUTED_VALUE"""),"REA-G0094")</f>
        <v>REA-G0094</v>
      </c>
    </row>
    <row r="4026" spans="1:5" x14ac:dyDescent="0.2">
      <c r="A4026" s="22">
        <f ca="1">IFERROR(__xludf.DUMMYFUNCTION("""COMPUTED_VALUE"""),44349)</f>
        <v>44349</v>
      </c>
      <c r="B4026" s="23" t="str">
        <f ca="1">IFERROR(__xludf.DUMMYFUNCTION("""COMPUTED_VALUE"""),"Odpływ liniowy + syfon + nóżki + mankiet uszczelniający")</f>
        <v>Odpływ liniowy + syfon + nóżki + mankiet uszczelniający</v>
      </c>
      <c r="C4026" s="23" t="str">
        <f ca="1">IFERROR(__xludf.DUMMYFUNCTION("""COMPUTED_VALUE"""),"Neo&amp;Pure 1000 N")</f>
        <v>Neo&amp;Pure 1000 N</v>
      </c>
      <c r="D4026" s="24">
        <f ca="1">IFERROR(__xludf.DUMMYFUNCTION("""COMPUTED_VALUE"""),259)</f>
        <v>259</v>
      </c>
      <c r="E4026" s="26" t="str">
        <f ca="1">IFERROR(__xludf.DUMMYFUNCTION("""COMPUTED_VALUE"""),"REA-G0095")</f>
        <v>REA-G0095</v>
      </c>
    </row>
    <row r="4027" spans="1:5" x14ac:dyDescent="0.2">
      <c r="A4027" s="22">
        <f ca="1">IFERROR(__xludf.DUMMYFUNCTION("""COMPUTED_VALUE"""),44349)</f>
        <v>44349</v>
      </c>
      <c r="B4027" s="23" t="str">
        <f ca="1">IFERROR(__xludf.DUMMYFUNCTION("""COMPUTED_VALUE"""),"adapter Magnetyczny")</f>
        <v>adapter Magnetyczny</v>
      </c>
      <c r="C4027" s="23" t="str">
        <f ca="1">IFERROR(__xludf.DUMMYFUNCTION("""COMPUTED_VALUE"""),"Molier black")</f>
        <v>Molier black</v>
      </c>
      <c r="D4027" s="24">
        <f ca="1">IFERROR(__xludf.DUMMYFUNCTION("""COMPUTED_VALUE"""),199)</f>
        <v>199</v>
      </c>
      <c r="E4027" s="26" t="str">
        <f ca="1">IFERROR(__xludf.DUMMYFUNCTION("""COMPUTED_VALUE"""),"REA-K6395")</f>
        <v>REA-K6395</v>
      </c>
    </row>
    <row r="4028" spans="1:5" x14ac:dyDescent="0.2">
      <c r="A4028" s="22">
        <f ca="1">IFERROR(__xludf.DUMMYFUNCTION("""COMPUTED_VALUE"""),44349)</f>
        <v>44349</v>
      </c>
      <c r="B4028" s="23" t="str">
        <f ca="1">IFERROR(__xludf.DUMMYFUNCTION("""COMPUTED_VALUE"""),"Umywalka blatowa")</f>
        <v>Umywalka blatowa</v>
      </c>
      <c r="C4028" s="23" t="str">
        <f ca="1">IFERROR(__xludf.DUMMYFUNCTION("""COMPUTED_VALUE"""),"Aura")</f>
        <v>Aura</v>
      </c>
      <c r="D4028" s="24">
        <f ca="1">IFERROR(__xludf.DUMMYFUNCTION("""COMPUTED_VALUE"""),299)</f>
        <v>299</v>
      </c>
      <c r="E4028" s="26" t="str">
        <f ca="1">IFERROR(__xludf.DUMMYFUNCTION("""COMPUTED_VALUE"""),"REA-U7900")</f>
        <v>REA-U7900</v>
      </c>
    </row>
    <row r="4029" spans="1:5" x14ac:dyDescent="0.2">
      <c r="A4029" s="22">
        <f ca="1">IFERROR(__xludf.DUMMYFUNCTION("""COMPUTED_VALUE"""),44349)</f>
        <v>44349</v>
      </c>
      <c r="B4029" s="23" t="str">
        <f ca="1">IFERROR(__xludf.DUMMYFUNCTION("""COMPUTED_VALUE"""),"Umywalka blatowa")</f>
        <v>Umywalka blatowa</v>
      </c>
      <c r="C4029" s="23" t="str">
        <f ca="1">IFERROR(__xludf.DUMMYFUNCTION("""COMPUTED_VALUE"""),"Belinda White Black")</f>
        <v>Belinda White Black</v>
      </c>
      <c r="D4029" s="24">
        <f ca="1">IFERROR(__xludf.DUMMYFUNCTION("""COMPUTED_VALUE"""),399)</f>
        <v>399</v>
      </c>
      <c r="E4029" s="26" t="str">
        <f ca="1">IFERROR(__xludf.DUMMYFUNCTION("""COMPUTED_VALUE"""),"REA-U6332")</f>
        <v>REA-U6332</v>
      </c>
    </row>
    <row r="4030" spans="1:5" x14ac:dyDescent="0.2">
      <c r="A4030" s="22">
        <f ca="1">IFERROR(__xludf.DUMMYFUNCTION("""COMPUTED_VALUE"""),44349)</f>
        <v>44349</v>
      </c>
      <c r="B4030" s="23" t="str">
        <f ca="1">IFERROR(__xludf.DUMMYFUNCTION("""COMPUTED_VALUE"""),"Umywalka blatowa")</f>
        <v>Umywalka blatowa</v>
      </c>
      <c r="C4030" s="23" t="str">
        <f ca="1">IFERROR(__xludf.DUMMYFUNCTION("""COMPUTED_VALUE"""),"Cleo 81")</f>
        <v>Cleo 81</v>
      </c>
      <c r="D4030" s="24">
        <f ca="1">IFERROR(__xludf.DUMMYFUNCTION("""COMPUTED_VALUE"""),459)</f>
        <v>459</v>
      </c>
      <c r="E4030" s="26" t="str">
        <f ca="1">IFERROR(__xludf.DUMMYFUNCTION("""COMPUTED_VALUE"""),"REA-U0563")</f>
        <v>REA-U0563</v>
      </c>
    </row>
    <row r="4031" spans="1:5" x14ac:dyDescent="0.2">
      <c r="A4031" s="22">
        <f ca="1">IFERROR(__xludf.DUMMYFUNCTION("""COMPUTED_VALUE"""),44349)</f>
        <v>44349</v>
      </c>
      <c r="B4031" s="23" t="str">
        <f ca="1">IFERROR(__xludf.DUMMYFUNCTION("""COMPUTED_VALUE"""),"Umywalka blatowa")</f>
        <v>Umywalka blatowa</v>
      </c>
      <c r="C4031" s="23" t="str">
        <f ca="1">IFERROR(__xludf.DUMMYFUNCTION("""COMPUTED_VALUE"""),"Royal Black Gloss")</f>
        <v>Royal Black Gloss</v>
      </c>
      <c r="D4031" s="24">
        <f ca="1">IFERROR(__xludf.DUMMYFUNCTION("""COMPUTED_VALUE"""),399)</f>
        <v>399</v>
      </c>
      <c r="E4031" s="26" t="str">
        <f ca="1">IFERROR(__xludf.DUMMYFUNCTION("""COMPUTED_VALUE"""),"REA-U0445")</f>
        <v>REA-U0445</v>
      </c>
    </row>
    <row r="4032" spans="1:5" x14ac:dyDescent="0.2">
      <c r="A4032" s="22">
        <f ca="1">IFERROR(__xludf.DUMMYFUNCTION("""COMPUTED_VALUE"""),44349)</f>
        <v>44349</v>
      </c>
      <c r="B4032" s="23" t="str">
        <f ca="1">IFERROR(__xludf.DUMMYFUNCTION("""COMPUTED_VALUE"""),"Umywalka blatowa")</f>
        <v>Umywalka blatowa</v>
      </c>
      <c r="C4032" s="23" t="str">
        <f ca="1">IFERROR(__xludf.DUMMYFUNCTION("""COMPUTED_VALUE"""),"Cleo")</f>
        <v>Cleo</v>
      </c>
      <c r="D4032" s="24">
        <f ca="1">IFERROR(__xludf.DUMMYFUNCTION("""COMPUTED_VALUE"""),359)</f>
        <v>359</v>
      </c>
      <c r="E4032" s="26" t="str">
        <f ca="1">IFERROR(__xludf.DUMMYFUNCTION("""COMPUTED_VALUE"""),"REA-U0024")</f>
        <v>REA-U0024</v>
      </c>
    </row>
    <row r="4033" spans="1:5" x14ac:dyDescent="0.2">
      <c r="A4033" s="22">
        <f ca="1">IFERROR(__xludf.DUMMYFUNCTION("""COMPUTED_VALUE"""),44349)</f>
        <v>44349</v>
      </c>
      <c r="B4033" s="23" t="str">
        <f ca="1">IFERROR(__xludf.DUMMYFUNCTION("""COMPUTED_VALUE"""),"Umywalka blatowa")</f>
        <v>Umywalka blatowa</v>
      </c>
      <c r="C4033" s="23" t="str">
        <f ca="1">IFERROR(__xludf.DUMMYFUNCTION("""COMPUTED_VALUE"""),"Kelly Mini")</f>
        <v>Kelly Mini</v>
      </c>
      <c r="D4033" s="24">
        <f ca="1">IFERROR(__xludf.DUMMYFUNCTION("""COMPUTED_VALUE"""),159)</f>
        <v>159</v>
      </c>
      <c r="E4033" s="26" t="str">
        <f ca="1">IFERROR(__xludf.DUMMYFUNCTION("""COMPUTED_VALUE"""),"REA-U8196")</f>
        <v>REA-U8196</v>
      </c>
    </row>
    <row r="4034" spans="1:5" x14ac:dyDescent="0.2">
      <c r="A4034" s="22">
        <f ca="1">IFERROR(__xludf.DUMMYFUNCTION("""COMPUTED_VALUE"""),44349)</f>
        <v>44349</v>
      </c>
      <c r="B4034" s="23" t="str">
        <f ca="1">IFERROR(__xludf.DUMMYFUNCTION("""COMPUTED_VALUE"""),"Umywalka ceramiczna blatowa")</f>
        <v>Umywalka ceramiczna blatowa</v>
      </c>
      <c r="C4034" s="23" t="str">
        <f ca="1">IFERROR(__xludf.DUMMYFUNCTION("""COMPUTED_VALUE"""),"Belinda Shiny Aiax")</f>
        <v>Belinda Shiny Aiax</v>
      </c>
      <c r="D4034" s="24">
        <f ca="1">IFERROR(__xludf.DUMMYFUNCTION("""COMPUTED_VALUE"""),329)</f>
        <v>329</v>
      </c>
      <c r="E4034" s="26" t="str">
        <f ca="1">IFERROR(__xludf.DUMMYFUNCTION("""COMPUTED_VALUE"""),"REA-U6596")</f>
        <v>REA-U6596</v>
      </c>
    </row>
    <row r="4035" spans="1:5" x14ac:dyDescent="0.2">
      <c r="A4035" s="22">
        <f ca="1">IFERROR(__xludf.DUMMYFUNCTION("""COMPUTED_VALUE"""),44349)</f>
        <v>44349</v>
      </c>
      <c r="B4035" s="23" t="str">
        <f ca="1">IFERROR(__xludf.DUMMYFUNCTION("""COMPUTED_VALUE"""),"Umywalka blatowa")</f>
        <v>Umywalka blatowa</v>
      </c>
      <c r="C4035" s="23" t="str">
        <f ca="1">IFERROR(__xludf.DUMMYFUNCTION("""COMPUTED_VALUE"""),"Amelia 48")</f>
        <v>Amelia 48</v>
      </c>
      <c r="D4035" s="24">
        <f ca="1">IFERROR(__xludf.DUMMYFUNCTION("""COMPUTED_VALUE"""),179)</f>
        <v>179</v>
      </c>
      <c r="E4035" s="26" t="str">
        <f ca="1">IFERROR(__xludf.DUMMYFUNCTION("""COMPUTED_VALUE"""),"REA-U0416")</f>
        <v>REA-U0416</v>
      </c>
    </row>
    <row r="4036" spans="1:5" x14ac:dyDescent="0.2">
      <c r="A4036" s="22">
        <f ca="1">IFERROR(__xludf.DUMMYFUNCTION("""COMPUTED_VALUE"""),44349)</f>
        <v>44349</v>
      </c>
      <c r="B4036" s="23" t="str">
        <f ca="1">IFERROR(__xludf.DUMMYFUNCTION("""COMPUTED_VALUE"""),"Umywalka blatowa")</f>
        <v>Umywalka blatowa</v>
      </c>
      <c r="C4036" s="23" t="str">
        <f ca="1">IFERROR(__xludf.DUMMYFUNCTION("""COMPUTED_VALUE"""),"Amelia 48 Black")</f>
        <v>Amelia 48 Black</v>
      </c>
      <c r="D4036" s="24">
        <f ca="1">IFERROR(__xludf.DUMMYFUNCTION("""COMPUTED_VALUE"""),269)</f>
        <v>269</v>
      </c>
      <c r="E4036" s="26" t="str">
        <f ca="1">IFERROR(__xludf.DUMMYFUNCTION("""COMPUTED_VALUE"""),"REA-U7411")</f>
        <v>REA-U7411</v>
      </c>
    </row>
    <row r="4037" spans="1:5" x14ac:dyDescent="0.2">
      <c r="A4037" s="22">
        <f ca="1">IFERROR(__xludf.DUMMYFUNCTION("""COMPUTED_VALUE"""),44349)</f>
        <v>44349</v>
      </c>
      <c r="B4037" s="23" t="str">
        <f ca="1">IFERROR(__xludf.DUMMYFUNCTION("""COMPUTED_VALUE"""),"Umywalka ceramiczna blatowa")</f>
        <v>Umywalka ceramiczna blatowa</v>
      </c>
      <c r="C4037" s="23" t="str">
        <f ca="1">IFERROR(__xludf.DUMMYFUNCTION("""COMPUTED_VALUE"""),"Belinda Shiny Calala")</f>
        <v>Belinda Shiny Calala</v>
      </c>
      <c r="D4037" s="24">
        <f ca="1">IFERROR(__xludf.DUMMYFUNCTION("""COMPUTED_VALUE"""),329)</f>
        <v>329</v>
      </c>
      <c r="E4037" s="26" t="str">
        <f ca="1">IFERROR(__xludf.DUMMYFUNCTION("""COMPUTED_VALUE"""),"REA-U6599")</f>
        <v>REA-U6599</v>
      </c>
    </row>
    <row r="4038" spans="1:5" x14ac:dyDescent="0.2">
      <c r="A4038" s="22">
        <f ca="1">IFERROR(__xludf.DUMMYFUNCTION("""COMPUTED_VALUE"""),44349)</f>
        <v>44349</v>
      </c>
      <c r="B4038" s="23" t="str">
        <f ca="1">IFERROR(__xludf.DUMMYFUNCTION("""COMPUTED_VALUE"""),"Umywalka stojąca")</f>
        <v>Umywalka stojąca</v>
      </c>
      <c r="C4038" s="23" t="str">
        <f ca="1">IFERROR(__xludf.DUMMYFUNCTION("""COMPUTED_VALUE"""),"Daria")</f>
        <v>Daria</v>
      </c>
      <c r="D4038" s="24">
        <f ca="1">IFERROR(__xludf.DUMMYFUNCTION("""COMPUTED_VALUE"""),999)</f>
        <v>999</v>
      </c>
      <c r="E4038" s="26" t="str">
        <f ca="1">IFERROR(__xludf.DUMMYFUNCTION("""COMPUTED_VALUE"""),"REA-U9900")</f>
        <v>REA-U9900</v>
      </c>
    </row>
    <row r="4039" spans="1:5" x14ac:dyDescent="0.2">
      <c r="A4039" s="22">
        <f ca="1">IFERROR(__xludf.DUMMYFUNCTION("""COMPUTED_VALUE"""),44349)</f>
        <v>44349</v>
      </c>
      <c r="B4039" s="23" t="str">
        <f ca="1">IFERROR(__xludf.DUMMYFUNCTION("""COMPUTED_VALUE"""),"Umywalka blatowa")</f>
        <v>Umywalka blatowa</v>
      </c>
      <c r="C4039" s="23" t="str">
        <f ca="1">IFERROR(__xludf.DUMMYFUNCTION("""COMPUTED_VALUE"""),"Demi SLIM")</f>
        <v>Demi SLIM</v>
      </c>
      <c r="D4039" s="24">
        <f ca="1">IFERROR(__xludf.DUMMYFUNCTION("""COMPUTED_VALUE"""),269)</f>
        <v>269</v>
      </c>
      <c r="E4039" s="26" t="str">
        <f ca="1">IFERROR(__xludf.DUMMYFUNCTION("""COMPUTED_VALUE"""),"REA-U1953")</f>
        <v>REA-U1953</v>
      </c>
    </row>
    <row r="4040" spans="1:5" x14ac:dyDescent="0.2">
      <c r="A4040" s="22">
        <f ca="1">IFERROR(__xludf.DUMMYFUNCTION("""COMPUTED_VALUE"""),44349)</f>
        <v>44349</v>
      </c>
      <c r="B4040" s="23" t="str">
        <f ca="1">IFERROR(__xludf.DUMMYFUNCTION("""COMPUTED_VALUE"""),"Umywalka blatowa")</f>
        <v>Umywalka blatowa</v>
      </c>
      <c r="C4040" s="23" t="str">
        <f ca="1">IFERROR(__xludf.DUMMYFUNCTION("""COMPUTED_VALUE"""),"Jasper")</f>
        <v>Jasper</v>
      </c>
      <c r="D4040" s="24">
        <f ca="1">IFERROR(__xludf.DUMMYFUNCTION("""COMPUTED_VALUE"""),269)</f>
        <v>269</v>
      </c>
      <c r="E4040" s="26" t="str">
        <f ca="1">IFERROR(__xludf.DUMMYFUNCTION("""COMPUTED_VALUE"""),"REA-U3624")</f>
        <v>REA-U3624</v>
      </c>
    </row>
    <row r="4041" spans="1:5" x14ac:dyDescent="0.2">
      <c r="A4041" s="22">
        <f ca="1">IFERROR(__xludf.DUMMYFUNCTION("""COMPUTED_VALUE"""),44349)</f>
        <v>44349</v>
      </c>
      <c r="B4041" s="23" t="str">
        <f ca="1">IFERROR(__xludf.DUMMYFUNCTION("""COMPUTED_VALUE"""),"Umywalka blatowa")</f>
        <v>Umywalka blatowa</v>
      </c>
      <c r="C4041" s="23" t="str">
        <f ca="1">IFERROR(__xludf.DUMMYFUNCTION("""COMPUTED_VALUE"""),"Kelly")</f>
        <v>Kelly</v>
      </c>
      <c r="D4041" s="24">
        <f ca="1">IFERROR(__xludf.DUMMYFUNCTION("""COMPUTED_VALUE"""),169)</f>
        <v>169</v>
      </c>
      <c r="E4041" s="26" t="str">
        <f ca="1">IFERROR(__xludf.DUMMYFUNCTION("""COMPUTED_VALUE"""),"REA-U6524")</f>
        <v>REA-U6524</v>
      </c>
    </row>
    <row r="4042" spans="1:5" x14ac:dyDescent="0.2">
      <c r="A4042" s="22">
        <f ca="1">IFERROR(__xludf.DUMMYFUNCTION("""COMPUTED_VALUE"""),44349)</f>
        <v>44349</v>
      </c>
      <c r="B4042" s="23" t="str">
        <f ca="1">IFERROR(__xludf.DUMMYFUNCTION("""COMPUTED_VALUE"""),"Umywalka blatowa")</f>
        <v>Umywalka blatowa</v>
      </c>
      <c r="C4042" s="23" t="str">
        <f ca="1">IFERROR(__xludf.DUMMYFUNCTION("""COMPUTED_VALUE"""),"ROYAL BLACK WHITE")</f>
        <v>ROYAL BLACK WHITE</v>
      </c>
      <c r="D4042" s="24">
        <f ca="1">IFERROR(__xludf.DUMMYFUNCTION("""COMPUTED_VALUE"""),459)</f>
        <v>459</v>
      </c>
      <c r="E4042" s="26" t="str">
        <f ca="1">IFERROR(__xludf.DUMMYFUNCTION("""COMPUTED_VALUE"""),"REA-U6600")</f>
        <v>REA-U6600</v>
      </c>
    </row>
    <row r="4043" spans="1:5" x14ac:dyDescent="0.2">
      <c r="A4043" s="22">
        <f ca="1">IFERROR(__xludf.DUMMYFUNCTION("""COMPUTED_VALUE"""),44349)</f>
        <v>44349</v>
      </c>
      <c r="B4043" s="23" t="str">
        <f ca="1">IFERROR(__xludf.DUMMYFUNCTION("""COMPUTED_VALUE"""),"Umywalka blatowa")</f>
        <v>Umywalka blatowa</v>
      </c>
      <c r="C4043" s="23" t="str">
        <f ca="1">IFERROR(__xludf.DUMMYFUNCTION("""COMPUTED_VALUE"""),"Royal Gold")</f>
        <v>Royal Gold</v>
      </c>
      <c r="D4043" s="24">
        <f ca="1">IFERROR(__xludf.DUMMYFUNCTION("""COMPUTED_VALUE"""),459)</f>
        <v>459</v>
      </c>
      <c r="E4043" s="26" t="str">
        <f ca="1">IFERROR(__xludf.DUMMYFUNCTION("""COMPUTED_VALUE"""),"REA-U4545")</f>
        <v>REA-U4545</v>
      </c>
    </row>
    <row r="4044" spans="1:5" x14ac:dyDescent="0.2">
      <c r="A4044" s="22">
        <f ca="1">IFERROR(__xludf.DUMMYFUNCTION("""COMPUTED_VALUE"""),44344)</f>
        <v>44344</v>
      </c>
      <c r="B4044" s="23" t="str">
        <f ca="1">IFERROR(__xludf.DUMMYFUNCTION("""COMPUTED_VALUE"""),"Umywalka blatowa")</f>
        <v>Umywalka blatowa</v>
      </c>
      <c r="C4044" s="23" t="str">
        <f ca="1">IFERROR(__xludf.DUMMYFUNCTION("""COMPUTED_VALUE"""),"Sofia")</f>
        <v>Sofia</v>
      </c>
      <c r="D4044" s="24">
        <f ca="1">IFERROR(__xludf.DUMMYFUNCTION("""COMPUTED_VALUE"""),149)</f>
        <v>149</v>
      </c>
      <c r="E4044" s="26" t="str">
        <f ca="1">IFERROR(__xludf.DUMMYFUNCTION("""COMPUTED_VALUE"""),"REA-U0133")</f>
        <v>REA-U0133</v>
      </c>
    </row>
    <row r="4045" spans="1:5" x14ac:dyDescent="0.2">
      <c r="A4045" s="22">
        <f ca="1">IFERROR(__xludf.DUMMYFUNCTION("""COMPUTED_VALUE"""),44344)</f>
        <v>44344</v>
      </c>
      <c r="B4045" s="23" t="str">
        <f ca="1">IFERROR(__xludf.DUMMYFUNCTION("""COMPUTED_VALUE"""),"Umywalka ceramiczna blatowa")</f>
        <v>Umywalka ceramiczna blatowa</v>
      </c>
      <c r="C4045" s="23" t="str">
        <f ca="1">IFERROR(__xludf.DUMMYFUNCTION("""COMPUTED_VALUE"""),"Sofia Black")</f>
        <v>Sofia Black</v>
      </c>
      <c r="D4045" s="24">
        <f ca="1">IFERROR(__xludf.DUMMYFUNCTION("""COMPUTED_VALUE"""),299)</f>
        <v>299</v>
      </c>
      <c r="E4045" s="26" t="str">
        <f ca="1">IFERROR(__xludf.DUMMYFUNCTION("""COMPUTED_VALUE"""),"REA-U0154")</f>
        <v>REA-U0154</v>
      </c>
    </row>
    <row r="4046" spans="1:5" x14ac:dyDescent="0.2">
      <c r="A4046" s="22">
        <f ca="1">IFERROR(__xludf.DUMMYFUNCTION("""COMPUTED_VALUE"""),44344)</f>
        <v>44344</v>
      </c>
      <c r="B4046" s="23" t="str">
        <f ca="1">IFERROR(__xludf.DUMMYFUNCTION("""COMPUTED_VALUE"""),"Umywalka ceramiczna blatowa złoto/biała")</f>
        <v>Umywalka ceramiczna blatowa złoto/biała</v>
      </c>
      <c r="C4046" s="23" t="str">
        <f ca="1">IFERROR(__xludf.DUMMYFUNCTION("""COMPUTED_VALUE"""),"Sofia Gold White")</f>
        <v>Sofia Gold White</v>
      </c>
      <c r="D4046" s="24">
        <f ca="1">IFERROR(__xludf.DUMMYFUNCTION("""COMPUTED_VALUE"""),299)</f>
        <v>299</v>
      </c>
      <c r="E4046" s="26" t="str">
        <f ca="1">IFERROR(__xludf.DUMMYFUNCTION("""COMPUTED_VALUE"""),"REA-U0456")</f>
        <v>REA-U0456</v>
      </c>
    </row>
    <row r="4047" spans="1:5" x14ac:dyDescent="0.2">
      <c r="A4047" s="22">
        <f ca="1">IFERROR(__xludf.DUMMYFUNCTION("""COMPUTED_VALUE"""),44344)</f>
        <v>44344</v>
      </c>
      <c r="B4047" s="23" t="str">
        <f ca="1">IFERROR(__xludf.DUMMYFUNCTION("""COMPUTED_VALUE"""),"Umywalka blatowa")</f>
        <v>Umywalka blatowa</v>
      </c>
      <c r="C4047" s="23" t="str">
        <f ca="1">IFERROR(__xludf.DUMMYFUNCTION("""COMPUTED_VALUE"""),"Sofia mini white")</f>
        <v>Sofia mini white</v>
      </c>
      <c r="D4047" s="24">
        <f ca="1">IFERROR(__xludf.DUMMYFUNCTION("""COMPUTED_VALUE"""),129)</f>
        <v>129</v>
      </c>
      <c r="E4047" s="26" t="str">
        <f ca="1">IFERROR(__xludf.DUMMYFUNCTION("""COMPUTED_VALUE"""),"REA-U0623")</f>
        <v>REA-U0623</v>
      </c>
    </row>
    <row r="4048" spans="1:5" x14ac:dyDescent="0.2">
      <c r="A4048" s="22">
        <f ca="1">IFERROR(__xludf.DUMMYFUNCTION("""COMPUTED_VALUE"""),44344)</f>
        <v>44344</v>
      </c>
      <c r="B4048" s="23" t="str">
        <f ca="1">IFERROR(__xludf.DUMMYFUNCTION("""COMPUTED_VALUE"""),"Umywalka ceramiczna blatowa")</f>
        <v>Umywalka ceramiczna blatowa</v>
      </c>
      <c r="C4048" s="23" t="str">
        <f ca="1">IFERROR(__xludf.DUMMYFUNCTION("""COMPUTED_VALUE"""),"Sofia Shiny Aiax")</f>
        <v>Sofia Shiny Aiax</v>
      </c>
      <c r="D4048" s="24">
        <f ca="1">IFERROR(__xludf.DUMMYFUNCTION("""COMPUTED_VALUE"""),329)</f>
        <v>329</v>
      </c>
      <c r="E4048" s="26" t="str">
        <f ca="1">IFERROR(__xludf.DUMMYFUNCTION("""COMPUTED_VALUE"""),"REA-U6597")</f>
        <v>REA-U6597</v>
      </c>
    </row>
    <row r="4049" spans="1:5" x14ac:dyDescent="0.2">
      <c r="A4049" s="22">
        <f ca="1">IFERROR(__xludf.DUMMYFUNCTION("""COMPUTED_VALUE"""),44344)</f>
        <v>44344</v>
      </c>
      <c r="B4049" s="23" t="str">
        <f ca="1">IFERROR(__xludf.DUMMYFUNCTION("""COMPUTED_VALUE"""),"Umywalka ceramiczna blatowa")</f>
        <v>Umywalka ceramiczna blatowa</v>
      </c>
      <c r="C4049" s="23" t="str">
        <f ca="1">IFERROR(__xludf.DUMMYFUNCTION("""COMPUTED_VALUE"""),"Sofia Shiny Calala")</f>
        <v>Sofia Shiny Calala</v>
      </c>
      <c r="D4049" s="24">
        <f ca="1">IFERROR(__xludf.DUMMYFUNCTION("""COMPUTED_VALUE"""),329)</f>
        <v>329</v>
      </c>
      <c r="E4049" s="26" t="str">
        <f ca="1">IFERROR(__xludf.DUMMYFUNCTION("""COMPUTED_VALUE"""),"REA-U6598")</f>
        <v>REA-U6598</v>
      </c>
    </row>
    <row r="4050" spans="1:5" x14ac:dyDescent="0.2">
      <c r="A4050" s="22">
        <f ca="1">IFERROR(__xludf.DUMMYFUNCTION("""COMPUTED_VALUE"""),44344)</f>
        <v>44344</v>
      </c>
      <c r="B4050" s="23" t="str">
        <f ca="1">IFERROR(__xludf.DUMMYFUNCTION("""COMPUTED_VALUE"""),"Wieszak na ręczniki / półka")</f>
        <v>Wieszak na ręczniki / półka</v>
      </c>
      <c r="C4050" s="23" t="str">
        <f ca="1">IFERROR(__xludf.DUMMYFUNCTION("""COMPUTED_VALUE"""),"Evo Gold")</f>
        <v>Evo Gold</v>
      </c>
      <c r="D4050" s="24">
        <f ca="1">IFERROR(__xludf.DUMMYFUNCTION("""COMPUTED_VALUE"""),399)</f>
        <v>399</v>
      </c>
      <c r="E4050" s="26" t="str">
        <f ca="1">IFERROR(__xludf.DUMMYFUNCTION("""COMPUTED_VALUE"""),"HOM-00653")</f>
        <v>HOM-00653</v>
      </c>
    </row>
    <row r="4051" spans="1:5" x14ac:dyDescent="0.2">
      <c r="A4051" s="22">
        <f ca="1">IFERROR(__xludf.DUMMYFUNCTION("""COMPUTED_VALUE"""),44344)</f>
        <v>44344</v>
      </c>
      <c r="B4051" s="23" t="str">
        <f ca="1">IFERROR(__xludf.DUMMYFUNCTION("""COMPUTED_VALUE"""),"Ścianka prysznicowa")</f>
        <v>Ścianka prysznicowa</v>
      </c>
      <c r="C4051" s="23" t="str">
        <f ca="1">IFERROR(__xludf.DUMMYFUNCTION("""COMPUTED_VALUE"""),"Aero GOLD 110")</f>
        <v>Aero GOLD 110</v>
      </c>
      <c r="D4051" s="24">
        <f ca="1">IFERROR(__xludf.DUMMYFUNCTION("""COMPUTED_VALUE"""),999)</f>
        <v>999</v>
      </c>
      <c r="E4051" s="26" t="str">
        <f ca="1">IFERROR(__xludf.DUMMYFUNCTION("""COMPUTED_VALUE"""),"REA-K8441")</f>
        <v>REA-K8441</v>
      </c>
    </row>
    <row r="4052" spans="1:5" x14ac:dyDescent="0.2">
      <c r="A4052" s="22">
        <f ca="1">IFERROR(__xludf.DUMMYFUNCTION("""COMPUTED_VALUE"""),44344)</f>
        <v>44344</v>
      </c>
      <c r="B4052" s="23" t="str">
        <f ca="1">IFERROR(__xludf.DUMMYFUNCTION("""COMPUTED_VALUE"""),"Scianka prysznicowa")</f>
        <v>Scianka prysznicowa</v>
      </c>
      <c r="C4052" s="23" t="str">
        <f ca="1">IFERROR(__xludf.DUMMYFUNCTION("""COMPUTED_VALUE"""),"Aero GOLD 100")</f>
        <v>Aero GOLD 100</v>
      </c>
      <c r="D4052" s="24">
        <f ca="1">IFERROR(__xludf.DUMMYFUNCTION("""COMPUTED_VALUE"""),979)</f>
        <v>979</v>
      </c>
      <c r="E4052" s="26" t="str">
        <f ca="1">IFERROR(__xludf.DUMMYFUNCTION("""COMPUTED_VALUE"""),"REA-K8440")</f>
        <v>REA-K8440</v>
      </c>
    </row>
    <row r="4053" spans="1:5" x14ac:dyDescent="0.2">
      <c r="A4053" s="22">
        <f ca="1">IFERROR(__xludf.DUMMYFUNCTION("""COMPUTED_VALUE"""),44344)</f>
        <v>44344</v>
      </c>
      <c r="B4053" s="23" t="str">
        <f ca="1">IFERROR(__xludf.DUMMYFUNCTION("""COMPUTED_VALUE"""),"Ścianka prysznicowa")</f>
        <v>Ścianka prysznicowa</v>
      </c>
      <c r="C4053" s="23" t="str">
        <f ca="1">IFERROR(__xludf.DUMMYFUNCTION("""COMPUTED_VALUE"""),"Aero GOLD 90")</f>
        <v>Aero GOLD 90</v>
      </c>
      <c r="D4053" s="24">
        <f ca="1">IFERROR(__xludf.DUMMYFUNCTION("""COMPUTED_VALUE"""),949)</f>
        <v>949</v>
      </c>
      <c r="E4053" s="26" t="str">
        <f ca="1">IFERROR(__xludf.DUMMYFUNCTION("""COMPUTED_VALUE"""),"REA-K8442")</f>
        <v>REA-K8442</v>
      </c>
    </row>
    <row r="4054" spans="1:5" x14ac:dyDescent="0.2">
      <c r="A4054" s="22">
        <f ca="1">IFERROR(__xludf.DUMMYFUNCTION("""COMPUTED_VALUE"""),44344)</f>
        <v>44344</v>
      </c>
      <c r="B4054" s="23" t="str">
        <f ca="1">IFERROR(__xludf.DUMMYFUNCTION("""COMPUTED_VALUE"""),"Ścianka prysznicowa")</f>
        <v>Ścianka prysznicowa</v>
      </c>
      <c r="C4054" s="23" t="str">
        <f ca="1">IFERROR(__xludf.DUMMYFUNCTION("""COMPUTED_VALUE"""),"Aero GOLD 80")</f>
        <v>Aero GOLD 80</v>
      </c>
      <c r="D4054" s="24">
        <f ca="1">IFERROR(__xludf.DUMMYFUNCTION("""COMPUTED_VALUE"""),899)</f>
        <v>899</v>
      </c>
      <c r="E4054" s="26" t="str">
        <f ca="1">IFERROR(__xludf.DUMMYFUNCTION("""COMPUTED_VALUE"""),"REA-K8439")</f>
        <v>REA-K8439</v>
      </c>
    </row>
    <row r="4055" spans="1:5" x14ac:dyDescent="0.2">
      <c r="A4055" s="22">
        <f ca="1">IFERROR(__xludf.DUMMYFUNCTION("""COMPUTED_VALUE"""),44344)</f>
        <v>44344</v>
      </c>
      <c r="B4055" s="23" t="str">
        <f ca="1">IFERROR(__xludf.DUMMYFUNCTION("""COMPUTED_VALUE"""),"Wieszak na ręczniki / półka")</f>
        <v>Wieszak na ręczniki / półka</v>
      </c>
      <c r="C4055" s="23" t="str">
        <f ca="1">IFERROR(__xludf.DUMMYFUNCTION("""COMPUTED_VALUE"""),"Evo Black")</f>
        <v>Evo Black</v>
      </c>
      <c r="D4055" s="24">
        <f ca="1">IFERROR(__xludf.DUMMYFUNCTION("""COMPUTED_VALUE"""),359)</f>
        <v>359</v>
      </c>
      <c r="E4055" s="26" t="str">
        <f ca="1">IFERROR(__xludf.DUMMYFUNCTION("""COMPUTED_VALUE"""),"HOM-00652")</f>
        <v>HOM-00652</v>
      </c>
    </row>
    <row r="4056" spans="1:5" x14ac:dyDescent="0.2">
      <c r="A4056" s="22">
        <f ca="1">IFERROR(__xludf.DUMMYFUNCTION("""COMPUTED_VALUE"""),44344)</f>
        <v>44344</v>
      </c>
      <c r="B4056" s="23" t="str">
        <f ca="1">IFERROR(__xludf.DUMMYFUNCTION("""COMPUTED_VALUE"""),"ŚCIANKA PRYSZNICOWA")</f>
        <v>ŚCIANKA PRYSZNICOWA</v>
      </c>
      <c r="C4056" s="23" t="str">
        <f ca="1">IFERROR(__xludf.DUMMYFUNCTION("""COMPUTED_VALUE"""),"AERO GOLD 120")</f>
        <v>AERO GOLD 120</v>
      </c>
      <c r="D4056" s="24">
        <f ca="1">IFERROR(__xludf.DUMMYFUNCTION("""COMPUTED_VALUE"""),1049)</f>
        <v>1049</v>
      </c>
      <c r="E4056" s="26" t="str">
        <f ca="1">IFERROR(__xludf.DUMMYFUNCTION("""COMPUTED_VALUE"""),"REA-K8443")</f>
        <v>REA-K8443</v>
      </c>
    </row>
    <row r="4057" spans="1:5" x14ac:dyDescent="0.2">
      <c r="A4057" s="22">
        <f ca="1">IFERROR(__xludf.DUMMYFUNCTION("""COMPUTED_VALUE"""),44344)</f>
        <v>44344</v>
      </c>
      <c r="B4057" s="23" t="str">
        <f ca="1">IFERROR(__xludf.DUMMYFUNCTION("""COMPUTED_VALUE"""),"Brodzik pięciokątny akrylowy")</f>
        <v>Brodzik pięciokątny akrylowy</v>
      </c>
      <c r="C4057" s="23" t="str">
        <f ca="1">IFERROR(__xludf.DUMMYFUNCTION("""COMPUTED_VALUE"""),"Diamond 80x80")</f>
        <v>Diamond 80x80</v>
      </c>
      <c r="D4057" s="24">
        <f ca="1">IFERROR(__xludf.DUMMYFUNCTION("""COMPUTED_VALUE"""),559)</f>
        <v>559</v>
      </c>
      <c r="E4057" s="26" t="str">
        <f ca="1">IFERROR(__xludf.DUMMYFUNCTION("""COMPUTED_VALUE"""),"REA-K8544")</f>
        <v>REA-K8544</v>
      </c>
    </row>
    <row r="4058" spans="1:5" x14ac:dyDescent="0.2">
      <c r="A4058" s="22">
        <f ca="1">IFERROR(__xludf.DUMMYFUNCTION("""COMPUTED_VALUE"""),44344)</f>
        <v>44344</v>
      </c>
      <c r="B4058" s="23" t="str">
        <f ca="1">IFERROR(__xludf.DUMMYFUNCTION("""COMPUTED_VALUE"""),"Brodzik pięciokątny akrylowy")</f>
        <v>Brodzik pięciokątny akrylowy</v>
      </c>
      <c r="C4058" s="23" t="str">
        <f ca="1">IFERROR(__xludf.DUMMYFUNCTION("""COMPUTED_VALUE"""),"Diamond 90x90")</f>
        <v>Diamond 90x90</v>
      </c>
      <c r="D4058" s="24">
        <f ca="1">IFERROR(__xludf.DUMMYFUNCTION("""COMPUTED_VALUE"""),579)</f>
        <v>579</v>
      </c>
      <c r="E4058" s="26" t="str">
        <f ca="1">IFERROR(__xludf.DUMMYFUNCTION("""COMPUTED_VALUE"""),"REA-K6522")</f>
        <v>REA-K6522</v>
      </c>
    </row>
    <row r="4059" spans="1:5" x14ac:dyDescent="0.2">
      <c r="A4059" s="22">
        <f ca="1">IFERROR(__xludf.DUMMYFUNCTION("""COMPUTED_VALUE"""),44344)</f>
        <v>44344</v>
      </c>
      <c r="B4059" s="23" t="str">
        <f ca="1">IFERROR(__xludf.DUMMYFUNCTION("""COMPUTED_VALUE"""),"Brodzik pięciokątny akrylowy")</f>
        <v>Brodzik pięciokątny akrylowy</v>
      </c>
      <c r="C4059" s="23" t="str">
        <f ca="1">IFERROR(__xludf.DUMMYFUNCTION("""COMPUTED_VALUE"""),"Diamond Black 90x90")</f>
        <v>Diamond Black 90x90</v>
      </c>
      <c r="D4059" s="24">
        <f ca="1">IFERROR(__xludf.DUMMYFUNCTION("""COMPUTED_VALUE"""),599)</f>
        <v>599</v>
      </c>
      <c r="E4059" s="26" t="str">
        <f ca="1">IFERROR(__xludf.DUMMYFUNCTION("""COMPUTED_VALUE"""),"REA-K8543")</f>
        <v>REA-K8543</v>
      </c>
    </row>
    <row r="4060" spans="1:5" x14ac:dyDescent="0.2">
      <c r="A4060" s="22">
        <f ca="1">IFERROR(__xludf.DUMMYFUNCTION("""COMPUTED_VALUE"""),44344)</f>
        <v>44344</v>
      </c>
      <c r="B4060" s="23" t="str">
        <f ca="1">IFERROR(__xludf.DUMMYFUNCTION("""COMPUTED_VALUE"""),"Kabina prysznicowa")</f>
        <v>Kabina prysznicowa</v>
      </c>
      <c r="C4060" s="23" t="str">
        <f ca="1">IFERROR(__xludf.DUMMYFUNCTION("""COMPUTED_VALUE"""),"Fargo Gold 80x100")</f>
        <v>Fargo Gold 80x100</v>
      </c>
      <c r="D4060" s="24">
        <f ca="1">IFERROR(__xludf.DUMMYFUNCTION("""COMPUTED_VALUE"""),2199)</f>
        <v>2199</v>
      </c>
      <c r="E4060" s="26" t="str">
        <f ca="1">IFERROR(__xludf.DUMMYFUNCTION("""COMPUTED_VALUE"""),"REA-K4907")</f>
        <v>REA-K4907</v>
      </c>
    </row>
    <row r="4061" spans="1:5" x14ac:dyDescent="0.2">
      <c r="A4061" s="22">
        <f ca="1">IFERROR(__xludf.DUMMYFUNCTION("""COMPUTED_VALUE"""),44344)</f>
        <v>44344</v>
      </c>
      <c r="B4061" s="23" t="str">
        <f ca="1">IFERROR(__xludf.DUMMYFUNCTION("""COMPUTED_VALUE"""),"Kabina prysznicowa")</f>
        <v>Kabina prysznicowa</v>
      </c>
      <c r="C4061" s="23" t="str">
        <f ca="1">IFERROR(__xludf.DUMMYFUNCTION("""COMPUTED_VALUE"""),"Diamond Gold 90x90")</f>
        <v>Diamond Gold 90x90</v>
      </c>
      <c r="D4061" s="24">
        <f ca="1">IFERROR(__xludf.DUMMYFUNCTION("""COMPUTED_VALUE"""),1959)</f>
        <v>1959</v>
      </c>
      <c r="E4061" s="26" t="str">
        <f ca="1">IFERROR(__xludf.DUMMYFUNCTION("""COMPUTED_VALUE"""),"REA-K4904")</f>
        <v>REA-K4904</v>
      </c>
    </row>
    <row r="4062" spans="1:5" x14ac:dyDescent="0.2">
      <c r="A4062" s="22">
        <f ca="1">IFERROR(__xludf.DUMMYFUNCTION("""COMPUTED_VALUE"""),44344)</f>
        <v>44344</v>
      </c>
      <c r="B4062" s="23" t="str">
        <f ca="1">IFERROR(__xludf.DUMMYFUNCTION("""COMPUTED_VALUE"""),"Kabina prysznicowa")</f>
        <v>Kabina prysznicowa</v>
      </c>
      <c r="C4062" s="23" t="str">
        <f ca="1">IFERROR(__xludf.DUMMYFUNCTION("""COMPUTED_VALUE"""),"Fargo Gold 90x90")</f>
        <v>Fargo Gold 90x90</v>
      </c>
      <c r="D4062" s="24">
        <f ca="1">IFERROR(__xludf.DUMMYFUNCTION("""COMPUTED_VALUE"""),1999)</f>
        <v>1999</v>
      </c>
      <c r="E4062" s="26" t="str">
        <f ca="1">IFERROR(__xludf.DUMMYFUNCTION("""COMPUTED_VALUE"""),"REA-K4903")</f>
        <v>REA-K4903</v>
      </c>
    </row>
    <row r="4063" spans="1:5" x14ac:dyDescent="0.2">
      <c r="A4063" s="22">
        <f ca="1">IFERROR(__xludf.DUMMYFUNCTION("""COMPUTED_VALUE"""),44344)</f>
        <v>44344</v>
      </c>
      <c r="B4063" s="23" t="str">
        <f ca="1">IFERROR(__xludf.DUMMYFUNCTION("""COMPUTED_VALUE"""),"Kabina prysznicowa")</f>
        <v>Kabina prysznicowa</v>
      </c>
      <c r="C4063" s="23" t="str">
        <f ca="1">IFERROR(__xludf.DUMMYFUNCTION("""COMPUTED_VALUE"""),"Diamond 100x100")</f>
        <v>Diamond 100x100</v>
      </c>
      <c r="D4063" s="24">
        <f ca="1">IFERROR(__xludf.DUMMYFUNCTION("""COMPUTED_VALUE"""),1599)</f>
        <v>1599</v>
      </c>
      <c r="E4063" s="26" t="str">
        <f ca="1">IFERROR(__xludf.DUMMYFUNCTION("""COMPUTED_VALUE"""),"REA-K5623")</f>
        <v>REA-K5623</v>
      </c>
    </row>
    <row r="4064" spans="1:5" x14ac:dyDescent="0.2">
      <c r="A4064" s="22">
        <f ca="1">IFERROR(__xludf.DUMMYFUNCTION("""COMPUTED_VALUE"""),44344)</f>
        <v>44344</v>
      </c>
      <c r="B4064" s="23" t="str">
        <f ca="1">IFERROR(__xludf.DUMMYFUNCTION("""COMPUTED_VALUE"""),"Kabina prysznicowa")</f>
        <v>Kabina prysznicowa</v>
      </c>
      <c r="C4064" s="23" t="str">
        <f ca="1">IFERROR(__xludf.DUMMYFUNCTION("""COMPUTED_VALUE"""),"Diamond 90x90")</f>
        <v>Diamond 90x90</v>
      </c>
      <c r="D4064" s="24">
        <f ca="1">IFERROR(__xludf.DUMMYFUNCTION("""COMPUTED_VALUE"""),1499)</f>
        <v>1499</v>
      </c>
      <c r="E4064" s="26" t="str">
        <f ca="1">IFERROR(__xludf.DUMMYFUNCTION("""COMPUTED_VALUE"""),"REA-K5622")</f>
        <v>REA-K5622</v>
      </c>
    </row>
    <row r="4065" spans="1:5" x14ac:dyDescent="0.2">
      <c r="A4065" s="22">
        <f ca="1">IFERROR(__xludf.DUMMYFUNCTION("""COMPUTED_VALUE"""),44344)</f>
        <v>44344</v>
      </c>
      <c r="B4065" s="23" t="str">
        <f ca="1">IFERROR(__xludf.DUMMYFUNCTION("""COMPUTED_VALUE"""),"Kabina prysznicowa")</f>
        <v>Kabina prysznicowa</v>
      </c>
      <c r="C4065" s="23" t="str">
        <f ca="1">IFERROR(__xludf.DUMMYFUNCTION("""COMPUTED_VALUE"""),"Diamond 80x80")</f>
        <v>Diamond 80x80</v>
      </c>
      <c r="D4065" s="24">
        <f ca="1">IFERROR(__xludf.DUMMYFUNCTION("""COMPUTED_VALUE"""),1459)</f>
        <v>1459</v>
      </c>
      <c r="E4065" s="26" t="str">
        <f ca="1">IFERROR(__xludf.DUMMYFUNCTION("""COMPUTED_VALUE"""),"REA-K6900")</f>
        <v>REA-K6900</v>
      </c>
    </row>
    <row r="4066" spans="1:5" x14ac:dyDescent="0.2">
      <c r="A4066" s="22">
        <f ca="1">IFERROR(__xludf.DUMMYFUNCTION("""COMPUTED_VALUE"""),44344)</f>
        <v>44344</v>
      </c>
      <c r="B4066" s="23" t="str">
        <f ca="1">IFERROR(__xludf.DUMMYFUNCTION("""COMPUTED_VALUE"""),"Ścianka prysznicowa")</f>
        <v>Ścianka prysznicowa</v>
      </c>
      <c r="C4066" s="23" t="str">
        <f ca="1">IFERROR(__xludf.DUMMYFUNCTION("""COMPUTED_VALUE"""),"Molier Black 80")</f>
        <v>Molier Black 80</v>
      </c>
      <c r="D4066" s="24">
        <f ca="1">IFERROR(__xludf.DUMMYFUNCTION("""COMPUTED_VALUE"""),559)</f>
        <v>559</v>
      </c>
      <c r="E4066" s="26" t="str">
        <f ca="1">IFERROR(__xludf.DUMMYFUNCTION("""COMPUTED_VALUE"""),"REA-K8412")</f>
        <v>REA-K8412</v>
      </c>
    </row>
    <row r="4067" spans="1:5" x14ac:dyDescent="0.2">
      <c r="A4067" s="22">
        <f ca="1">IFERROR(__xludf.DUMMYFUNCTION("""COMPUTED_VALUE"""),44344)</f>
        <v>44344</v>
      </c>
      <c r="B4067" s="23" t="str">
        <f ca="1">IFERROR(__xludf.DUMMYFUNCTION("""COMPUTED_VALUE"""),"Ścianka prysznicowa")</f>
        <v>Ścianka prysznicowa</v>
      </c>
      <c r="C4067" s="23" t="str">
        <f ca="1">IFERROR(__xludf.DUMMYFUNCTION("""COMPUTED_VALUE"""),"Molier Black 90")</f>
        <v>Molier Black 90</v>
      </c>
      <c r="D4067" s="24">
        <f ca="1">IFERROR(__xludf.DUMMYFUNCTION("""COMPUTED_VALUE"""),579)</f>
        <v>579</v>
      </c>
      <c r="E4067" s="26" t="str">
        <f ca="1">IFERROR(__xludf.DUMMYFUNCTION("""COMPUTED_VALUE"""),"REA-K8531")</f>
        <v>REA-K8531</v>
      </c>
    </row>
    <row r="4068" spans="1:5" x14ac:dyDescent="0.2">
      <c r="A4068" s="22">
        <f ca="1">IFERROR(__xludf.DUMMYFUNCTION("""COMPUTED_VALUE"""),44344)</f>
        <v>44344</v>
      </c>
      <c r="B4068" s="23" t="str">
        <f ca="1">IFERROR(__xludf.DUMMYFUNCTION("""COMPUTED_VALUE"""),"Ścianka prysznicowa")</f>
        <v>Ścianka prysznicowa</v>
      </c>
      <c r="C4068" s="23" t="str">
        <f ca="1">IFERROR(__xludf.DUMMYFUNCTION("""COMPUTED_VALUE"""),"Molier Black 100")</f>
        <v>Molier Black 100</v>
      </c>
      <c r="D4068" s="24">
        <f ca="1">IFERROR(__xludf.DUMMYFUNCTION("""COMPUTED_VALUE"""),599)</f>
        <v>599</v>
      </c>
      <c r="E4068" s="26" t="str">
        <f ca="1">IFERROR(__xludf.DUMMYFUNCTION("""COMPUTED_VALUE"""),"REA-K1763")</f>
        <v>REA-K1763</v>
      </c>
    </row>
    <row r="4069" spans="1:5" x14ac:dyDescent="0.2">
      <c r="A4069" s="22">
        <f ca="1">IFERROR(__xludf.DUMMYFUNCTION("""COMPUTED_VALUE"""),44344)</f>
        <v>44344</v>
      </c>
      <c r="B4069" s="23" t="str">
        <f ca="1">IFERROR(__xludf.DUMMYFUNCTION("""COMPUTED_VALUE"""),"Drzwi prysznicowe ")</f>
        <v xml:space="preserve">Drzwi prysznicowe </v>
      </c>
      <c r="C4069" s="23" t="str">
        <f ca="1">IFERROR(__xludf.DUMMYFUNCTION("""COMPUTED_VALUE"""),"Molier Black 80")</f>
        <v>Molier Black 80</v>
      </c>
      <c r="D4069" s="24">
        <f ca="1">IFERROR(__xludf.DUMMYFUNCTION("""COMPUTED_VALUE"""),819)</f>
        <v>819</v>
      </c>
      <c r="E4069" s="26" t="str">
        <f ca="1">IFERROR(__xludf.DUMMYFUNCTION("""COMPUTED_VALUE"""),"REA-K8537")</f>
        <v>REA-K8537</v>
      </c>
    </row>
    <row r="4070" spans="1:5" x14ac:dyDescent="0.2">
      <c r="A4070" s="22">
        <f ca="1">IFERROR(__xludf.DUMMYFUNCTION("""COMPUTED_VALUE"""),44344)</f>
        <v>44344</v>
      </c>
      <c r="B4070" s="23" t="str">
        <f ca="1">IFERROR(__xludf.DUMMYFUNCTION("""COMPUTED_VALUE"""),"Drzwi prysznicowe")</f>
        <v>Drzwi prysznicowe</v>
      </c>
      <c r="C4070" s="23" t="str">
        <f ca="1">IFERROR(__xludf.DUMMYFUNCTION("""COMPUTED_VALUE"""),"Molier Black 90")</f>
        <v>Molier Black 90</v>
      </c>
      <c r="D4070" s="24">
        <f ca="1">IFERROR(__xludf.DUMMYFUNCTION("""COMPUTED_VALUE"""),859)</f>
        <v>859</v>
      </c>
      <c r="E4070" s="26" t="str">
        <f ca="1">IFERROR(__xludf.DUMMYFUNCTION("""COMPUTED_VALUE"""),"REA-K8538")</f>
        <v>REA-K8538</v>
      </c>
    </row>
    <row r="4071" spans="1:5" x14ac:dyDescent="0.2">
      <c r="A4071" s="22">
        <f ca="1">IFERROR(__xludf.DUMMYFUNCTION("""COMPUTED_VALUE"""),44344)</f>
        <v>44344</v>
      </c>
      <c r="B4071" s="23" t="str">
        <f ca="1">IFERROR(__xludf.DUMMYFUNCTION("""COMPUTED_VALUE"""),"Drzwi prysznicowe")</f>
        <v>Drzwi prysznicowe</v>
      </c>
      <c r="C4071" s="23" t="str">
        <f ca="1">IFERROR(__xludf.DUMMYFUNCTION("""COMPUTED_VALUE"""),"Molier Black 100")</f>
        <v>Molier Black 100</v>
      </c>
      <c r="D4071" s="24">
        <f ca="1">IFERROR(__xludf.DUMMYFUNCTION("""COMPUTED_VALUE"""),899)</f>
        <v>899</v>
      </c>
      <c r="E4071" s="26" t="str">
        <f ca="1">IFERROR(__xludf.DUMMYFUNCTION("""COMPUTED_VALUE"""),"REA-K6963")</f>
        <v>REA-K6963</v>
      </c>
    </row>
    <row r="4072" spans="1:5" x14ac:dyDescent="0.2">
      <c r="A4072" s="22">
        <f ca="1">IFERROR(__xludf.DUMMYFUNCTION("""COMPUTED_VALUE"""),44344)</f>
        <v>44344</v>
      </c>
      <c r="B4072" s="23" t="str">
        <f ca="1">IFERROR(__xludf.DUMMYFUNCTION("""COMPUTED_VALUE"""),"Parawan wannowy")</f>
        <v>Parawan wannowy</v>
      </c>
      <c r="C4072" s="23" t="str">
        <f ca="1">IFERROR(__xludf.DUMMYFUNCTION("""COMPUTED_VALUE"""),"Elegant Gold 70")</f>
        <v>Elegant Gold 70</v>
      </c>
      <c r="D4072" s="28">
        <f ca="1">IFERROR(__xludf.DUMMYFUNCTION("""COMPUTED_VALUE"""),529)</f>
        <v>529</v>
      </c>
      <c r="E4072" s="26" t="str">
        <f ca="1">IFERROR(__xludf.DUMMYFUNCTION("""COMPUTED_VALUE"""),"REA-W5600")</f>
        <v>REA-W5600</v>
      </c>
    </row>
    <row r="4073" spans="1:5" x14ac:dyDescent="0.2">
      <c r="A4073" s="22">
        <f ca="1">IFERROR(__xludf.DUMMYFUNCTION("""COMPUTED_VALUE"""),44344)</f>
        <v>44344</v>
      </c>
      <c r="B4073" s="23" t="str">
        <f ca="1">IFERROR(__xludf.DUMMYFUNCTION("""COMPUTED_VALUE"""),"Parawan wannowy")</f>
        <v>Parawan wannowy</v>
      </c>
      <c r="C4073" s="23" t="str">
        <f ca="1">IFERROR(__xludf.DUMMYFUNCTION("""COMPUTED_VALUE"""),"Elegant Gold 80")</f>
        <v>Elegant Gold 80</v>
      </c>
      <c r="D4073" s="28">
        <f ca="1">IFERROR(__xludf.DUMMYFUNCTION("""COMPUTED_VALUE"""),549)</f>
        <v>549</v>
      </c>
      <c r="E4073" s="26" t="str">
        <f ca="1">IFERROR(__xludf.DUMMYFUNCTION("""COMPUTED_VALUE"""),"REA-W5601")</f>
        <v>REA-W5601</v>
      </c>
    </row>
    <row r="4074" spans="1:5" x14ac:dyDescent="0.2">
      <c r="A4074" s="22">
        <f ca="1">IFERROR(__xludf.DUMMYFUNCTION("""COMPUTED_VALUE"""),44344)</f>
        <v>44344</v>
      </c>
      <c r="B4074" s="23" t="str">
        <f ca="1">IFERROR(__xludf.DUMMYFUNCTION("""COMPUTED_VALUE"""),"Ścianka do kabin Rapid")</f>
        <v>Ścianka do kabin Rapid</v>
      </c>
      <c r="C4074" s="23" t="str">
        <f ca="1">IFERROR(__xludf.DUMMYFUNCTION("""COMPUTED_VALUE"""),"RAPID 80")</f>
        <v>RAPID 80</v>
      </c>
      <c r="D4074" s="24">
        <f ca="1">IFERROR(__xludf.DUMMYFUNCTION("""COMPUTED_VALUE"""),549)</f>
        <v>549</v>
      </c>
      <c r="E4074" s="26" t="str">
        <f ca="1">IFERROR(__xludf.DUMMYFUNCTION("""COMPUTED_VALUE"""),"REA-K6421")</f>
        <v>REA-K6421</v>
      </c>
    </row>
    <row r="4075" spans="1:5" x14ac:dyDescent="0.2">
      <c r="A4075" s="22">
        <f ca="1">IFERROR(__xludf.DUMMYFUNCTION("""COMPUTED_VALUE"""),44344)</f>
        <v>44344</v>
      </c>
      <c r="B4075" s="23" t="str">
        <f ca="1">IFERROR(__xludf.DUMMYFUNCTION("""COMPUTED_VALUE"""),"Ścianka do kabin Rapid")</f>
        <v>Ścianka do kabin Rapid</v>
      </c>
      <c r="C4075" s="23" t="str">
        <f ca="1">IFERROR(__xludf.DUMMYFUNCTION("""COMPUTED_VALUE"""),"RAPID 90")</f>
        <v>RAPID 90</v>
      </c>
      <c r="D4075" s="24">
        <f ca="1">IFERROR(__xludf.DUMMYFUNCTION("""COMPUTED_VALUE"""),589)</f>
        <v>589</v>
      </c>
      <c r="E4075" s="26" t="str">
        <f ca="1">IFERROR(__xludf.DUMMYFUNCTION("""COMPUTED_VALUE"""),"REA-K6422")</f>
        <v>REA-K6422</v>
      </c>
    </row>
    <row r="4076" spans="1:5" x14ac:dyDescent="0.2">
      <c r="A4076" s="22">
        <f ca="1">IFERROR(__xludf.DUMMYFUNCTION("""COMPUTED_VALUE"""),44344)</f>
        <v>44344</v>
      </c>
      <c r="B4076" s="23" t="str">
        <f ca="1">IFERROR(__xludf.DUMMYFUNCTION("""COMPUTED_VALUE"""),"Ścianka do kabin Rapid")</f>
        <v>Ścianka do kabin Rapid</v>
      </c>
      <c r="C4076" s="23" t="str">
        <f ca="1">IFERROR(__xludf.DUMMYFUNCTION("""COMPUTED_VALUE"""),"RAPID 100")</f>
        <v>RAPID 100</v>
      </c>
      <c r="D4076" s="24">
        <f ca="1">IFERROR(__xludf.DUMMYFUNCTION("""COMPUTED_VALUE"""),629)</f>
        <v>629</v>
      </c>
      <c r="E4076" s="26" t="str">
        <f ca="1">IFERROR(__xludf.DUMMYFUNCTION("""COMPUTED_VALUE"""),"REA-K6423")</f>
        <v>REA-K6423</v>
      </c>
    </row>
    <row r="4077" spans="1:5" x14ac:dyDescent="0.2">
      <c r="A4077" s="22">
        <f ca="1">IFERROR(__xludf.DUMMYFUNCTION("""COMPUTED_VALUE"""),44344)</f>
        <v>44344</v>
      </c>
      <c r="B4077" s="23" t="str">
        <f ca="1">IFERROR(__xludf.DUMMYFUNCTION("""COMPUTED_VALUE"""),"Ścianka prysznicowa BLER")</f>
        <v>Ścianka prysznicowa BLER</v>
      </c>
      <c r="C4077" s="23">
        <f ca="1">IFERROR(__xludf.DUMMYFUNCTION("""COMPUTED_VALUE"""),70)</f>
        <v>70</v>
      </c>
      <c r="D4077" s="24">
        <f ca="1">IFERROR(__xludf.DUMMYFUNCTION("""COMPUTED_VALUE"""),679)</f>
        <v>679</v>
      </c>
      <c r="E4077" s="26" t="str">
        <f ca="1">IFERROR(__xludf.DUMMYFUNCTION("""COMPUTED_VALUE"""),"REA-K7636")</f>
        <v>REA-K7636</v>
      </c>
    </row>
    <row r="4078" spans="1:5" x14ac:dyDescent="0.2">
      <c r="A4078" s="22">
        <f ca="1">IFERROR(__xludf.DUMMYFUNCTION("""COMPUTED_VALUE"""),44344)</f>
        <v>44344</v>
      </c>
      <c r="B4078" s="23" t="str">
        <f ca="1">IFERROR(__xludf.DUMMYFUNCTION("""COMPUTED_VALUE"""),"Ścianka prysznicowa BLER")</f>
        <v>Ścianka prysznicowa BLER</v>
      </c>
      <c r="C4078" s="23">
        <f ca="1">IFERROR(__xludf.DUMMYFUNCTION("""COMPUTED_VALUE"""),80)</f>
        <v>80</v>
      </c>
      <c r="D4078" s="24">
        <f ca="1">IFERROR(__xludf.DUMMYFUNCTION("""COMPUTED_VALUE"""),749)</f>
        <v>749</v>
      </c>
      <c r="E4078" s="26" t="str">
        <f ca="1">IFERROR(__xludf.DUMMYFUNCTION("""COMPUTED_VALUE"""),"REA-K7637")</f>
        <v>REA-K7637</v>
      </c>
    </row>
    <row r="4079" spans="1:5" x14ac:dyDescent="0.2">
      <c r="A4079" s="22">
        <f ca="1">IFERROR(__xludf.DUMMYFUNCTION("""COMPUTED_VALUE"""),44344)</f>
        <v>44344</v>
      </c>
      <c r="B4079" s="23" t="str">
        <f ca="1">IFERROR(__xludf.DUMMYFUNCTION("""COMPUTED_VALUE"""),"Ścianka prysznicowa BLER")</f>
        <v>Ścianka prysznicowa BLER</v>
      </c>
      <c r="C4079" s="23">
        <f ca="1">IFERROR(__xludf.DUMMYFUNCTION("""COMPUTED_VALUE"""),90)</f>
        <v>90</v>
      </c>
      <c r="D4079" s="24">
        <f ca="1">IFERROR(__xludf.DUMMYFUNCTION("""COMPUTED_VALUE"""),789)</f>
        <v>789</v>
      </c>
      <c r="E4079" s="26" t="str">
        <f ca="1">IFERROR(__xludf.DUMMYFUNCTION("""COMPUTED_VALUE"""),"REA-K7638")</f>
        <v>REA-K7638</v>
      </c>
    </row>
    <row r="4080" spans="1:5" x14ac:dyDescent="0.2">
      <c r="A4080" s="22">
        <f ca="1">IFERROR(__xludf.DUMMYFUNCTION("""COMPUTED_VALUE"""),44344)</f>
        <v>44344</v>
      </c>
      <c r="B4080" s="23" t="str">
        <f ca="1">IFERROR(__xludf.DUMMYFUNCTION("""COMPUTED_VALUE"""),"Ścianka prysznicowa BLER")</f>
        <v>Ścianka prysznicowa BLER</v>
      </c>
      <c r="C4080" s="23">
        <f ca="1">IFERROR(__xludf.DUMMYFUNCTION("""COMPUTED_VALUE"""),100)</f>
        <v>100</v>
      </c>
      <c r="D4080" s="24">
        <f ca="1">IFERROR(__xludf.DUMMYFUNCTION("""COMPUTED_VALUE"""),849)</f>
        <v>849</v>
      </c>
      <c r="E4080" s="26" t="str">
        <f ca="1">IFERROR(__xludf.DUMMYFUNCTION("""COMPUTED_VALUE"""),"REA-K7634")</f>
        <v>REA-K7634</v>
      </c>
    </row>
    <row r="4081" spans="1:5" x14ac:dyDescent="0.2">
      <c r="A4081" s="22">
        <f ca="1">IFERROR(__xludf.DUMMYFUNCTION("""COMPUTED_VALUE"""),44344)</f>
        <v>44344</v>
      </c>
      <c r="B4081" s="23" t="str">
        <f ca="1">IFERROR(__xludf.DUMMYFUNCTION("""COMPUTED_VALUE"""),"Ścianka prysznicowa BLER")</f>
        <v>Ścianka prysznicowa BLER</v>
      </c>
      <c r="C4081" s="23">
        <f ca="1">IFERROR(__xludf.DUMMYFUNCTION("""COMPUTED_VALUE"""),110)</f>
        <v>110</v>
      </c>
      <c r="D4081" s="24">
        <f ca="1">IFERROR(__xludf.DUMMYFUNCTION("""COMPUTED_VALUE"""),889)</f>
        <v>889</v>
      </c>
      <c r="E4081" s="26" t="str">
        <f ca="1">IFERROR(__xludf.DUMMYFUNCTION("""COMPUTED_VALUE"""),"REA-K7630")</f>
        <v>REA-K7630</v>
      </c>
    </row>
    <row r="4082" spans="1:5" x14ac:dyDescent="0.2">
      <c r="A4082" s="22">
        <f ca="1">IFERROR(__xludf.DUMMYFUNCTION("""COMPUTED_VALUE"""),44344)</f>
        <v>44344</v>
      </c>
      <c r="B4082" s="23" t="str">
        <f ca="1">IFERROR(__xludf.DUMMYFUNCTION("""COMPUTED_VALUE"""),"Ścianka prysznicowa BLER")</f>
        <v>Ścianka prysznicowa BLER</v>
      </c>
      <c r="C4082" s="23">
        <f ca="1">IFERROR(__xludf.DUMMYFUNCTION("""COMPUTED_VALUE"""),120)</f>
        <v>120</v>
      </c>
      <c r="D4082" s="24">
        <f ca="1">IFERROR(__xludf.DUMMYFUNCTION("""COMPUTED_VALUE"""),929)</f>
        <v>929</v>
      </c>
      <c r="E4082" s="26" t="str">
        <f ca="1">IFERROR(__xludf.DUMMYFUNCTION("""COMPUTED_VALUE"""),"REA-K7631")</f>
        <v>REA-K7631</v>
      </c>
    </row>
    <row r="4083" spans="1:5" x14ac:dyDescent="0.2">
      <c r="A4083" s="22">
        <f ca="1">IFERROR(__xludf.DUMMYFUNCTION("""COMPUTED_VALUE"""),44344)</f>
        <v>44344</v>
      </c>
      <c r="B4083" s="23" t="str">
        <f ca="1">IFERROR(__xludf.DUMMYFUNCTION("""COMPUTED_VALUE"""),"Ścianka prysznicowa BLER-1")</f>
        <v>Ścianka prysznicowa BLER-1</v>
      </c>
      <c r="C4083" s="23">
        <f ca="1">IFERROR(__xludf.DUMMYFUNCTION("""COMPUTED_VALUE"""),70)</f>
        <v>70</v>
      </c>
      <c r="D4083" s="24">
        <f ca="1">IFERROR(__xludf.DUMMYFUNCTION("""COMPUTED_VALUE"""),679)</f>
        <v>679</v>
      </c>
      <c r="E4083" s="26" t="str">
        <f ca="1">IFERROR(__xludf.DUMMYFUNCTION("""COMPUTED_VALUE"""),"REA-K7951")</f>
        <v>REA-K7951</v>
      </c>
    </row>
    <row r="4084" spans="1:5" x14ac:dyDescent="0.2">
      <c r="A4084" s="22">
        <f ca="1">IFERROR(__xludf.DUMMYFUNCTION("""COMPUTED_VALUE"""),44344)</f>
        <v>44344</v>
      </c>
      <c r="B4084" s="23" t="str">
        <f ca="1">IFERROR(__xludf.DUMMYFUNCTION("""COMPUTED_VALUE"""),"Ścianka prysznicowa BLER-1")</f>
        <v>Ścianka prysznicowa BLER-1</v>
      </c>
      <c r="C4084" s="23">
        <f ca="1">IFERROR(__xludf.DUMMYFUNCTION("""COMPUTED_VALUE"""),80)</f>
        <v>80</v>
      </c>
      <c r="D4084" s="24">
        <f ca="1">IFERROR(__xludf.DUMMYFUNCTION("""COMPUTED_VALUE"""),749)</f>
        <v>749</v>
      </c>
      <c r="E4084" s="26" t="str">
        <f ca="1">IFERROR(__xludf.DUMMYFUNCTION("""COMPUTED_VALUE"""),"REA-K7952")</f>
        <v>REA-K7952</v>
      </c>
    </row>
    <row r="4085" spans="1:5" x14ac:dyDescent="0.2">
      <c r="A4085" s="22">
        <f ca="1">IFERROR(__xludf.DUMMYFUNCTION("""COMPUTED_VALUE"""),44344)</f>
        <v>44344</v>
      </c>
      <c r="B4085" s="23" t="str">
        <f ca="1">IFERROR(__xludf.DUMMYFUNCTION("""COMPUTED_VALUE"""),"Ścianka prysznicowa BLER-1")</f>
        <v>Ścianka prysznicowa BLER-1</v>
      </c>
      <c r="C4085" s="23">
        <f ca="1">IFERROR(__xludf.DUMMYFUNCTION("""COMPUTED_VALUE"""),90)</f>
        <v>90</v>
      </c>
      <c r="D4085" s="24">
        <f ca="1">IFERROR(__xludf.DUMMYFUNCTION("""COMPUTED_VALUE"""),789)</f>
        <v>789</v>
      </c>
      <c r="E4085" s="26" t="str">
        <f ca="1">IFERROR(__xludf.DUMMYFUNCTION("""COMPUTED_VALUE"""),"REA-K7953")</f>
        <v>REA-K7953</v>
      </c>
    </row>
    <row r="4086" spans="1:5" x14ac:dyDescent="0.2">
      <c r="A4086" s="22">
        <f ca="1">IFERROR(__xludf.DUMMYFUNCTION("""COMPUTED_VALUE"""),44344)</f>
        <v>44344</v>
      </c>
      <c r="B4086" s="23" t="str">
        <f ca="1">IFERROR(__xludf.DUMMYFUNCTION("""COMPUTED_VALUE"""),"Ścianka prysznicowa BLER-1")</f>
        <v>Ścianka prysznicowa BLER-1</v>
      </c>
      <c r="C4086" s="23">
        <f ca="1">IFERROR(__xludf.DUMMYFUNCTION("""COMPUTED_VALUE"""),100)</f>
        <v>100</v>
      </c>
      <c r="D4086" s="24">
        <f ca="1">IFERROR(__xludf.DUMMYFUNCTION("""COMPUTED_VALUE"""),849)</f>
        <v>849</v>
      </c>
      <c r="E4086" s="26" t="str">
        <f ca="1">IFERROR(__xludf.DUMMYFUNCTION("""COMPUTED_VALUE"""),"REA-K7955")</f>
        <v>REA-K7955</v>
      </c>
    </row>
    <row r="4087" spans="1:5" x14ac:dyDescent="0.2">
      <c r="A4087" s="22">
        <f ca="1">IFERROR(__xludf.DUMMYFUNCTION("""COMPUTED_VALUE"""),44344)</f>
        <v>44344</v>
      </c>
      <c r="B4087" s="23" t="str">
        <f ca="1">IFERROR(__xludf.DUMMYFUNCTION("""COMPUTED_VALUE"""),"Ścianka prysznicowa BLER-1")</f>
        <v>Ścianka prysznicowa BLER-1</v>
      </c>
      <c r="C4087" s="23">
        <f ca="1">IFERROR(__xludf.DUMMYFUNCTION("""COMPUTED_VALUE"""),110)</f>
        <v>110</v>
      </c>
      <c r="D4087" s="24">
        <f ca="1">IFERROR(__xludf.DUMMYFUNCTION("""COMPUTED_VALUE"""),889)</f>
        <v>889</v>
      </c>
      <c r="E4087" s="26" t="str">
        <f ca="1">IFERROR(__xludf.DUMMYFUNCTION("""COMPUTED_VALUE"""),"REA-K7956")</f>
        <v>REA-K7956</v>
      </c>
    </row>
    <row r="4088" spans="1:5" x14ac:dyDescent="0.2">
      <c r="A4088" s="22">
        <f ca="1">IFERROR(__xludf.DUMMYFUNCTION("""COMPUTED_VALUE"""),44344)</f>
        <v>44344</v>
      </c>
      <c r="B4088" s="23" t="str">
        <f ca="1">IFERROR(__xludf.DUMMYFUNCTION("""COMPUTED_VALUE"""),"Ścianka prysznicowa BLER-1")</f>
        <v>Ścianka prysznicowa BLER-1</v>
      </c>
      <c r="C4088" s="23">
        <f ca="1">IFERROR(__xludf.DUMMYFUNCTION("""COMPUTED_VALUE"""),120)</f>
        <v>120</v>
      </c>
      <c r="D4088" s="24">
        <f ca="1">IFERROR(__xludf.DUMMYFUNCTION("""COMPUTED_VALUE"""),929)</f>
        <v>929</v>
      </c>
      <c r="E4088" s="26" t="str">
        <f ca="1">IFERROR(__xludf.DUMMYFUNCTION("""COMPUTED_VALUE"""),"REA-K7957")</f>
        <v>REA-K7957</v>
      </c>
    </row>
    <row r="4089" spans="1:5" x14ac:dyDescent="0.2">
      <c r="A4089" s="22">
        <f ca="1">IFERROR(__xludf.DUMMYFUNCTION("""COMPUTED_VALUE"""),44344)</f>
        <v>44344</v>
      </c>
      <c r="B4089" s="23" t="str">
        <f ca="1">IFERROR(__xludf.DUMMYFUNCTION("""COMPUTED_VALUE"""),"Ścianka prysznicowa BLER-2")</f>
        <v>Ścianka prysznicowa BLER-2</v>
      </c>
      <c r="C4089" s="23">
        <f ca="1">IFERROR(__xludf.DUMMYFUNCTION("""COMPUTED_VALUE"""),80)</f>
        <v>80</v>
      </c>
      <c r="D4089" s="24">
        <f ca="1">IFERROR(__xludf.DUMMYFUNCTION("""COMPUTED_VALUE"""),749)</f>
        <v>749</v>
      </c>
      <c r="E4089" s="26" t="str">
        <f ca="1">IFERROR(__xludf.DUMMYFUNCTION("""COMPUTED_VALUE"""),"REA-K7963")</f>
        <v>REA-K7963</v>
      </c>
    </row>
    <row r="4090" spans="1:5" x14ac:dyDescent="0.2">
      <c r="A4090" s="22">
        <f ca="1">IFERROR(__xludf.DUMMYFUNCTION("""COMPUTED_VALUE"""),44344)</f>
        <v>44344</v>
      </c>
      <c r="B4090" s="23" t="str">
        <f ca="1">IFERROR(__xludf.DUMMYFUNCTION("""COMPUTED_VALUE"""),"Ścianka prysznicowa BLER-2")</f>
        <v>Ścianka prysznicowa BLER-2</v>
      </c>
      <c r="C4090" s="23">
        <f ca="1">IFERROR(__xludf.DUMMYFUNCTION("""COMPUTED_VALUE"""),90)</f>
        <v>90</v>
      </c>
      <c r="D4090" s="24">
        <f ca="1">IFERROR(__xludf.DUMMYFUNCTION("""COMPUTED_VALUE"""),789)</f>
        <v>789</v>
      </c>
      <c r="E4090" s="26" t="str">
        <f ca="1">IFERROR(__xludf.DUMMYFUNCTION("""COMPUTED_VALUE"""),"REA-K7964")</f>
        <v>REA-K7964</v>
      </c>
    </row>
    <row r="4091" spans="1:5" x14ac:dyDescent="0.2">
      <c r="A4091" s="22">
        <f ca="1">IFERROR(__xludf.DUMMYFUNCTION("""COMPUTED_VALUE"""),44344)</f>
        <v>44344</v>
      </c>
      <c r="B4091" s="23" t="str">
        <f ca="1">IFERROR(__xludf.DUMMYFUNCTION("""COMPUTED_VALUE"""),"Ścianka prysznicowa BLER-2")</f>
        <v>Ścianka prysznicowa BLER-2</v>
      </c>
      <c r="C4091" s="23">
        <f ca="1">IFERROR(__xludf.DUMMYFUNCTION("""COMPUTED_VALUE"""),100)</f>
        <v>100</v>
      </c>
      <c r="D4091" s="24">
        <f ca="1">IFERROR(__xludf.DUMMYFUNCTION("""COMPUTED_VALUE"""),849)</f>
        <v>849</v>
      </c>
      <c r="E4091" s="26" t="str">
        <f ca="1">IFERROR(__xludf.DUMMYFUNCTION("""COMPUTED_VALUE"""),"REA-K7966")</f>
        <v>REA-K7966</v>
      </c>
    </row>
    <row r="4092" spans="1:5" x14ac:dyDescent="0.2">
      <c r="A4092" s="22">
        <f ca="1">IFERROR(__xludf.DUMMYFUNCTION("""COMPUTED_VALUE"""),44344)</f>
        <v>44344</v>
      </c>
      <c r="B4092" s="23" t="str">
        <f ca="1">IFERROR(__xludf.DUMMYFUNCTION("""COMPUTED_VALUE"""),"Ścianka prysznicowa BLER-2")</f>
        <v>Ścianka prysznicowa BLER-2</v>
      </c>
      <c r="C4092" s="23">
        <f ca="1">IFERROR(__xludf.DUMMYFUNCTION("""COMPUTED_VALUE"""),110)</f>
        <v>110</v>
      </c>
      <c r="D4092" s="24">
        <f ca="1">IFERROR(__xludf.DUMMYFUNCTION("""COMPUTED_VALUE"""),889)</f>
        <v>889</v>
      </c>
      <c r="E4092" s="26" t="str">
        <f ca="1">IFERROR(__xludf.DUMMYFUNCTION("""COMPUTED_VALUE"""),"REA-K7968")</f>
        <v>REA-K7968</v>
      </c>
    </row>
    <row r="4093" spans="1:5" x14ac:dyDescent="0.2">
      <c r="A4093" s="22">
        <f ca="1">IFERROR(__xludf.DUMMYFUNCTION("""COMPUTED_VALUE"""),44344)</f>
        <v>44344</v>
      </c>
      <c r="B4093" s="23" t="str">
        <f ca="1">IFERROR(__xludf.DUMMYFUNCTION("""COMPUTED_VALUE"""),"Ścianka prysznicowa BLER-2")</f>
        <v>Ścianka prysznicowa BLER-2</v>
      </c>
      <c r="C4093" s="23">
        <f ca="1">IFERROR(__xludf.DUMMYFUNCTION("""COMPUTED_VALUE"""),120)</f>
        <v>120</v>
      </c>
      <c r="D4093" s="24">
        <f ca="1">IFERROR(__xludf.DUMMYFUNCTION("""COMPUTED_VALUE"""),929)</f>
        <v>929</v>
      </c>
      <c r="E4093" s="26" t="str">
        <f ca="1">IFERROR(__xludf.DUMMYFUNCTION("""COMPUTED_VALUE"""),"REA-K7967")</f>
        <v>REA-K7967</v>
      </c>
    </row>
    <row r="4094" spans="1:5" x14ac:dyDescent="0.2">
      <c r="A4094" s="22">
        <f ca="1">IFERROR(__xludf.DUMMYFUNCTION("""COMPUTED_VALUE"""),44344)</f>
        <v>44344</v>
      </c>
      <c r="B4094" s="23" t="str">
        <f ca="1">IFERROR(__xludf.DUMMYFUNCTION("""COMPUTED_VALUE"""),"Umywalka blatowa")</f>
        <v>Umywalka blatowa</v>
      </c>
      <c r="C4094" s="23" t="str">
        <f ca="1">IFERROR(__xludf.DUMMYFUNCTION("""COMPUTED_VALUE"""),"Meryl White")</f>
        <v>Meryl White</v>
      </c>
      <c r="D4094" s="24">
        <f ca="1">IFERROR(__xludf.DUMMYFUNCTION("""COMPUTED_VALUE"""),599)</f>
        <v>599</v>
      </c>
      <c r="E4094" s="26" t="str">
        <f ca="1">IFERROR(__xludf.DUMMYFUNCTION("""COMPUTED_VALUE"""),"NOWOŚĆ")</f>
        <v>NOWOŚĆ</v>
      </c>
    </row>
    <row r="4095" spans="1:5" x14ac:dyDescent="0.2">
      <c r="A4095" s="22">
        <f ca="1">IFERROR(__xludf.DUMMYFUNCTION("""COMPUTED_VALUE"""),44342)</f>
        <v>44342</v>
      </c>
      <c r="B4095" s="23" t="str">
        <f ca="1">IFERROR(__xludf.DUMMYFUNCTION("""COMPUTED_VALUE"""),"adapter poszerzający do kabin/drzwi")</f>
        <v>adapter poszerzający do kabin/drzwi</v>
      </c>
      <c r="C4095" s="23" t="str">
        <f ca="1">IFERROR(__xludf.DUMMYFUNCTION("""COMPUTED_VALUE"""),"Molier Black")</f>
        <v>Molier Black</v>
      </c>
      <c r="D4095" s="24">
        <f ca="1">IFERROR(__xludf.DUMMYFUNCTION("""COMPUTED_VALUE"""),199)</f>
        <v>199</v>
      </c>
      <c r="E4095" s="26" t="str">
        <f ca="1">IFERROR(__xludf.DUMMYFUNCTION("""COMPUTED_VALUE"""),"REA-K6000")</f>
        <v>REA-K6000</v>
      </c>
    </row>
    <row r="4096" spans="1:5" x14ac:dyDescent="0.2">
      <c r="A4096" s="22">
        <f ca="1">IFERROR(__xludf.DUMMYFUNCTION("""COMPUTED_VALUE"""),44342)</f>
        <v>44342</v>
      </c>
      <c r="B4096" s="23" t="str">
        <f ca="1">IFERROR(__xludf.DUMMYFUNCTION("""COMPUTED_VALUE"""),"adapter poszerzający")</f>
        <v>adapter poszerzający</v>
      </c>
      <c r="C4096" s="23" t="str">
        <f ca="1">IFERROR(__xludf.DUMMYFUNCTION("""COMPUTED_VALUE"""),"Black Solar Rapid ")</f>
        <v xml:space="preserve">Black Solar Rapid </v>
      </c>
      <c r="D4096" s="24">
        <f ca="1">IFERROR(__xludf.DUMMYFUNCTION("""COMPUTED_VALUE"""),199)</f>
        <v>199</v>
      </c>
      <c r="E4096" s="26" t="str">
        <f ca="1">IFERROR(__xludf.DUMMYFUNCTION("""COMPUTED_VALUE"""),"REA-K6351")</f>
        <v>REA-K6351</v>
      </c>
    </row>
    <row r="4097" spans="1:5" x14ac:dyDescent="0.2">
      <c r="A4097" s="22">
        <f ca="1">IFERROR(__xludf.DUMMYFUNCTION("""COMPUTED_VALUE"""),44342)</f>
        <v>44342</v>
      </c>
      <c r="B4097" s="23" t="str">
        <f ca="1">IFERROR(__xludf.DUMMYFUNCTION("""COMPUTED_VALUE"""),"adapter poszerzający")</f>
        <v>adapter poszerzający</v>
      </c>
      <c r="C4097" s="23" t="str">
        <f ca="1">IFERROR(__xludf.DUMMYFUNCTION("""COMPUTED_VALUE"""),"Slim N")</f>
        <v>Slim N</v>
      </c>
      <c r="D4097" s="24">
        <f ca="1">IFERROR(__xludf.DUMMYFUNCTION("""COMPUTED_VALUE"""),199)</f>
        <v>199</v>
      </c>
      <c r="E4097" s="26" t="str">
        <f ca="1">IFERROR(__xludf.DUMMYFUNCTION("""COMPUTED_VALUE"""),"REA-K7512")</f>
        <v>REA-K7512</v>
      </c>
    </row>
    <row r="4098" spans="1:5" x14ac:dyDescent="0.2">
      <c r="A4098" s="22">
        <f ca="1">IFERROR(__xludf.DUMMYFUNCTION("""COMPUTED_VALUE"""),44342)</f>
        <v>44342</v>
      </c>
      <c r="B4098" s="23" t="str">
        <f ca="1">IFERROR(__xludf.DUMMYFUNCTION("""COMPUTED_VALUE"""),"Kabina prysznicowa")</f>
        <v>Kabina prysznicowa</v>
      </c>
      <c r="C4098" s="23" t="str">
        <f ca="1">IFERROR(__xludf.DUMMYFUNCTION("""COMPUTED_VALUE"""),"Solar Gold 90x120")</f>
        <v>Solar Gold 90x120</v>
      </c>
      <c r="D4098" s="24">
        <f ca="1">IFERROR(__xludf.DUMMYFUNCTION("""COMPUTED_VALUE"""),1599)</f>
        <v>1599</v>
      </c>
      <c r="E4098" s="26" t="str">
        <f ca="1">IFERROR(__xludf.DUMMYFUNCTION("""COMPUTED_VALUE"""),"REA-K4902")</f>
        <v>REA-K4902</v>
      </c>
    </row>
    <row r="4099" spans="1:5" x14ac:dyDescent="0.2">
      <c r="A4099" s="22">
        <f ca="1">IFERROR(__xludf.DUMMYFUNCTION("""COMPUTED_VALUE"""),44342)</f>
        <v>44342</v>
      </c>
      <c r="B4099" s="23" t="str">
        <f ca="1">IFERROR(__xludf.DUMMYFUNCTION("""COMPUTED_VALUE"""),"Kabina prysznicowa")</f>
        <v>Kabina prysznicowa</v>
      </c>
      <c r="C4099" s="23" t="str">
        <f ca="1">IFERROR(__xludf.DUMMYFUNCTION("""COMPUTED_VALUE"""),"Solar Gold 80x100")</f>
        <v>Solar Gold 80x100</v>
      </c>
      <c r="D4099" s="24">
        <f ca="1">IFERROR(__xludf.DUMMYFUNCTION("""COMPUTED_VALUE"""),1499)</f>
        <v>1499</v>
      </c>
      <c r="E4099" s="26" t="str">
        <f ca="1">IFERROR(__xludf.DUMMYFUNCTION("""COMPUTED_VALUE"""),"REA-K4901")</f>
        <v>REA-K4901</v>
      </c>
    </row>
    <row r="4100" spans="1:5" x14ac:dyDescent="0.2">
      <c r="A4100" s="22">
        <f ca="1">IFERROR(__xludf.DUMMYFUNCTION("""COMPUTED_VALUE"""),44341)</f>
        <v>44341</v>
      </c>
      <c r="B4100" s="23" t="str">
        <f ca="1">IFERROR(__xludf.DUMMYFUNCTION("""COMPUTED_VALUE"""),"Kabina prysznicowa")</f>
        <v>Kabina prysznicowa</v>
      </c>
      <c r="C4100" s="23" t="str">
        <f ca="1">IFERROR(__xludf.DUMMYFUNCTION("""COMPUTED_VALUE"""),"Solar Gold 90x90")</f>
        <v>Solar Gold 90x90</v>
      </c>
      <c r="D4100" s="24">
        <f ca="1">IFERROR(__xludf.DUMMYFUNCTION("""COMPUTED_VALUE"""),1399)</f>
        <v>1399</v>
      </c>
      <c r="E4100" s="26" t="str">
        <f ca="1">IFERROR(__xludf.DUMMYFUNCTION("""COMPUTED_VALUE"""),"REA-K4900")</f>
        <v>REA-K4900</v>
      </c>
    </row>
    <row r="4101" spans="1:5" x14ac:dyDescent="0.2">
      <c r="A4101" s="22">
        <f ca="1">IFERROR(__xludf.DUMMYFUNCTION("""COMPUTED_VALUE"""),44341)</f>
        <v>44341</v>
      </c>
      <c r="B4101" s="23" t="str">
        <f ca="1">IFERROR(__xludf.DUMMYFUNCTION("""COMPUTED_VALUE"""),"Bidet wiszący")</f>
        <v>Bidet wiszący</v>
      </c>
      <c r="C4101" s="23" t="str">
        <f ca="1">IFERROR(__xludf.DUMMYFUNCTION("""COMPUTED_VALUE"""),"Carlo mini")</f>
        <v>Carlo mini</v>
      </c>
      <c r="D4101" s="24">
        <f ca="1">IFERROR(__xludf.DUMMYFUNCTION("""COMPUTED_VALUE"""),539)</f>
        <v>539</v>
      </c>
      <c r="E4101" s="26" t="str">
        <f ca="1">IFERROR(__xludf.DUMMYFUNCTION("""COMPUTED_VALUE"""),"REA-C2276")</f>
        <v>REA-C2276</v>
      </c>
    </row>
    <row r="4102" spans="1:5" x14ac:dyDescent="0.2">
      <c r="A4102" s="22">
        <f ca="1">IFERROR(__xludf.DUMMYFUNCTION("""COMPUTED_VALUE"""),44341)</f>
        <v>44341</v>
      </c>
      <c r="B4102" s="23" t="str">
        <f ca="1">IFERROR(__xludf.DUMMYFUNCTION("""COMPUTED_VALUE"""),"Misa wisząca")</f>
        <v>Misa wisząca</v>
      </c>
      <c r="C4102" s="23" t="str">
        <f ca="1">IFERROR(__xludf.DUMMYFUNCTION("""COMPUTED_VALUE"""),"Carlo Mini Flat Gold Edge")</f>
        <v>Carlo Mini Flat Gold Edge</v>
      </c>
      <c r="D4102" s="24">
        <f ca="1">IFERROR(__xludf.DUMMYFUNCTION("""COMPUTED_VALUE"""),999)</f>
        <v>999</v>
      </c>
      <c r="E4102" s="26" t="str">
        <f ca="1">IFERROR(__xludf.DUMMYFUNCTION("""COMPUTED_VALUE"""),"REA-C1222")</f>
        <v>REA-C1222</v>
      </c>
    </row>
    <row r="4103" spans="1:5" x14ac:dyDescent="0.2">
      <c r="A4103" s="22">
        <f ca="1">IFERROR(__xludf.DUMMYFUNCTION("""COMPUTED_VALUE"""),44341)</f>
        <v>44341</v>
      </c>
      <c r="B4103" s="23" t="str">
        <f ca="1">IFERROR(__xludf.DUMMYFUNCTION("""COMPUTED_VALUE"""),"Misa wisząca")</f>
        <v>Misa wisząca</v>
      </c>
      <c r="C4103" s="23" t="str">
        <f ca="1">IFERROR(__xludf.DUMMYFUNCTION("""COMPUTED_VALUE"""),"Tomas Rimless")</f>
        <v>Tomas Rimless</v>
      </c>
      <c r="D4103" s="24">
        <f ca="1">IFERROR(__xludf.DUMMYFUNCTION("""COMPUTED_VALUE"""),599)</f>
        <v>599</v>
      </c>
      <c r="E4103" s="26" t="str">
        <f ca="1">IFERROR(__xludf.DUMMYFUNCTION("""COMPUTED_VALUE"""),"REA-C1257")</f>
        <v>REA-C1257</v>
      </c>
    </row>
    <row r="4104" spans="1:5" x14ac:dyDescent="0.2">
      <c r="A4104" s="22">
        <f ca="1">IFERROR(__xludf.DUMMYFUNCTION("""COMPUTED_VALUE"""),44341)</f>
        <v>44341</v>
      </c>
      <c r="B4104" s="23" t="str">
        <f ca="1">IFERROR(__xludf.DUMMYFUNCTION("""COMPUTED_VALUE"""),"Umywalka blatowa")</f>
        <v>Umywalka blatowa</v>
      </c>
      <c r="C4104" s="23" t="str">
        <f ca="1">IFERROR(__xludf.DUMMYFUNCTION("""COMPUTED_VALUE"""),"Arte Grey")</f>
        <v>Arte Grey</v>
      </c>
      <c r="D4104" s="24">
        <f ca="1">IFERROR(__xludf.DUMMYFUNCTION("""COMPUTED_VALUE"""),499)</f>
        <v>499</v>
      </c>
      <c r="E4104" s="26" t="str">
        <f ca="1">IFERROR(__xludf.DUMMYFUNCTION("""COMPUTED_VALUE"""),"REA-U0266")</f>
        <v>REA-U0266</v>
      </c>
    </row>
    <row r="4105" spans="1:5" x14ac:dyDescent="0.2">
      <c r="A4105" s="22">
        <f ca="1">IFERROR(__xludf.DUMMYFUNCTION("""COMPUTED_VALUE"""),44341)</f>
        <v>44341</v>
      </c>
      <c r="B4105" s="23" t="str">
        <f ca="1">IFERROR(__xludf.DUMMYFUNCTION("""COMPUTED_VALUE"""),"Umywalka blatowa")</f>
        <v>Umywalka blatowa</v>
      </c>
      <c r="C4105" s="23" t="str">
        <f ca="1">IFERROR(__xludf.DUMMYFUNCTION("""COMPUTED_VALUE"""),"Rosa 2")</f>
        <v>Rosa 2</v>
      </c>
      <c r="D4105" s="24">
        <f ca="1">IFERROR(__xludf.DUMMYFUNCTION("""COMPUTED_VALUE"""),199)</f>
        <v>199</v>
      </c>
      <c r="E4105" s="26" t="str">
        <f ca="1">IFERROR(__xludf.DUMMYFUNCTION("""COMPUTED_VALUE"""),"REA-U0160")</f>
        <v>REA-U0160</v>
      </c>
    </row>
    <row r="4106" spans="1:5" x14ac:dyDescent="0.2">
      <c r="A4106" s="22">
        <f ca="1">IFERROR(__xludf.DUMMYFUNCTION("""COMPUTED_VALUE"""),44341)</f>
        <v>44341</v>
      </c>
      <c r="B4106" s="23" t="str">
        <f ca="1">IFERROR(__xludf.DUMMYFUNCTION("""COMPUTED_VALUE"""),"Umywalka blatowa")</f>
        <v>Umywalka blatowa</v>
      </c>
      <c r="C4106" s="23" t="str">
        <f ca="1">IFERROR(__xludf.DUMMYFUNCTION("""COMPUTED_VALUE"""),"Sami Black Matt")</f>
        <v>Sami Black Matt</v>
      </c>
      <c r="D4106" s="24">
        <f ca="1">IFERROR(__xludf.DUMMYFUNCTION("""COMPUTED_VALUE"""),389)</f>
        <v>389</v>
      </c>
      <c r="E4106" s="26" t="str">
        <f ca="1">IFERROR(__xludf.DUMMYFUNCTION("""COMPUTED_VALUE"""),"REA-U1899")</f>
        <v>REA-U1899</v>
      </c>
    </row>
    <row r="4107" spans="1:5" x14ac:dyDescent="0.2">
      <c r="A4107" s="22">
        <f ca="1">IFERROR(__xludf.DUMMYFUNCTION("""COMPUTED_VALUE"""),44341)</f>
        <v>44341</v>
      </c>
      <c r="B4107" s="23" t="str">
        <f ca="1">IFERROR(__xludf.DUMMYFUNCTION("""COMPUTED_VALUE"""),"Umywalka blatowa")</f>
        <v>Umywalka blatowa</v>
      </c>
      <c r="C4107" s="23" t="str">
        <f ca="1">IFERROR(__xludf.DUMMYFUNCTION("""COMPUTED_VALUE"""),"Belinda black Matt")</f>
        <v>Belinda black Matt</v>
      </c>
      <c r="D4107" s="24">
        <f ca="1">IFERROR(__xludf.DUMMYFUNCTION("""COMPUTED_VALUE"""),379)</f>
        <v>379</v>
      </c>
      <c r="E4107" s="26" t="str">
        <f ca="1">IFERROR(__xludf.DUMMYFUNCTION("""COMPUTED_VALUE"""),"REA-U8470")</f>
        <v>REA-U8470</v>
      </c>
    </row>
    <row r="4108" spans="1:5" x14ac:dyDescent="0.2">
      <c r="A4108" s="22">
        <f ca="1">IFERROR(__xludf.DUMMYFUNCTION("""COMPUTED_VALUE"""),44341)</f>
        <v>44341</v>
      </c>
      <c r="B4108" s="23" t="str">
        <f ca="1">IFERROR(__xludf.DUMMYFUNCTION("""COMPUTED_VALUE"""),"Umywalka blatowa")</f>
        <v>Umywalka blatowa</v>
      </c>
      <c r="C4108" s="23" t="str">
        <f ca="1">IFERROR(__xludf.DUMMYFUNCTION("""COMPUTED_VALUE"""),"Helen")</f>
        <v>Helen</v>
      </c>
      <c r="D4108" s="24">
        <f ca="1">IFERROR(__xludf.DUMMYFUNCTION("""COMPUTED_VALUE"""),459)</f>
        <v>459</v>
      </c>
      <c r="E4108" s="26" t="str">
        <f ca="1">IFERROR(__xludf.DUMMYFUNCTION("""COMPUTED_VALUE"""),"REA-U6978")</f>
        <v>REA-U6978</v>
      </c>
    </row>
    <row r="4109" spans="1:5" x14ac:dyDescent="0.2">
      <c r="A4109" s="22">
        <f ca="1">IFERROR(__xludf.DUMMYFUNCTION("""COMPUTED_VALUE"""),44340)</f>
        <v>44340</v>
      </c>
      <c r="B4109" s="23" t="str">
        <f ca="1">IFERROR(__xludf.DUMMYFUNCTION("""COMPUTED_VALUE"""),"Umywalka blatowa")</f>
        <v>Umywalka blatowa</v>
      </c>
      <c r="C4109" s="23" t="str">
        <f ca="1">IFERROR(__xludf.DUMMYFUNCTION("""COMPUTED_VALUE"""),"Mery")</f>
        <v>Mery</v>
      </c>
      <c r="D4109" s="24">
        <f ca="1">IFERROR(__xludf.DUMMYFUNCTION("""COMPUTED_VALUE"""),239)</f>
        <v>239</v>
      </c>
      <c r="E4109" s="26" t="str">
        <f ca="1">IFERROR(__xludf.DUMMYFUNCTION("""COMPUTED_VALUE"""),"REA-U0699")</f>
        <v>REA-U0699</v>
      </c>
    </row>
    <row r="4110" spans="1:5" x14ac:dyDescent="0.2">
      <c r="A4110" s="22">
        <f ca="1">IFERROR(__xludf.DUMMYFUNCTION("""COMPUTED_VALUE"""),44340)</f>
        <v>44340</v>
      </c>
      <c r="B4110" s="23" t="str">
        <f ca="1">IFERROR(__xludf.DUMMYFUNCTION("""COMPUTED_VALUE"""),"Umywalka blatowa")</f>
        <v>Umywalka blatowa</v>
      </c>
      <c r="C4110" s="23" t="str">
        <f ca="1">IFERROR(__xludf.DUMMYFUNCTION("""COMPUTED_VALUE"""),"Marbel")</f>
        <v>Marbel</v>
      </c>
      <c r="D4110" s="24">
        <f ca="1">IFERROR(__xludf.DUMMYFUNCTION("""COMPUTED_VALUE"""),339)</f>
        <v>339</v>
      </c>
      <c r="E4110" s="26" t="str">
        <f ca="1">IFERROR(__xludf.DUMMYFUNCTION("""COMPUTED_VALUE"""),"REA-U8603")</f>
        <v>REA-U8603</v>
      </c>
    </row>
    <row r="4111" spans="1:5" x14ac:dyDescent="0.2">
      <c r="A4111" s="22">
        <f ca="1">IFERROR(__xludf.DUMMYFUNCTION("""COMPUTED_VALUE"""),44340)</f>
        <v>44340</v>
      </c>
      <c r="B4111" s="23" t="str">
        <f ca="1">IFERROR(__xludf.DUMMYFUNCTION("""COMPUTED_VALUE"""),"Umywalka blatowa")</f>
        <v>Umywalka blatowa</v>
      </c>
      <c r="C4111" s="23" t="str">
        <f ca="1">IFERROR(__xludf.DUMMYFUNCTION("""COMPUTED_VALUE"""),"Carina")</f>
        <v>Carina</v>
      </c>
      <c r="D4111" s="24">
        <f ca="1">IFERROR(__xludf.DUMMYFUNCTION("""COMPUTED_VALUE"""),279)</f>
        <v>279</v>
      </c>
      <c r="E4111" s="26" t="str">
        <f ca="1">IFERROR(__xludf.DUMMYFUNCTION("""COMPUTED_VALUE"""),"REA-U0568")</f>
        <v>REA-U0568</v>
      </c>
    </row>
    <row r="4112" spans="1:5" x14ac:dyDescent="0.2">
      <c r="A4112" s="22">
        <f ca="1">IFERROR(__xludf.DUMMYFUNCTION("""COMPUTED_VALUE"""),44340)</f>
        <v>44340</v>
      </c>
      <c r="B4112" s="23" t="str">
        <f ca="1">IFERROR(__xludf.DUMMYFUNCTION("""COMPUTED_VALUE"""),"Umywalka blatowa")</f>
        <v>Umywalka blatowa</v>
      </c>
      <c r="C4112" s="23" t="str">
        <f ca="1">IFERROR(__xludf.DUMMYFUNCTION("""COMPUTED_VALUE"""),"Kelly Marmo")</f>
        <v>Kelly Marmo</v>
      </c>
      <c r="D4112" s="24">
        <f ca="1">IFERROR(__xludf.DUMMYFUNCTION("""COMPUTED_VALUE"""),369)</f>
        <v>369</v>
      </c>
      <c r="E4112" s="26" t="str">
        <f ca="1">IFERROR(__xludf.DUMMYFUNCTION("""COMPUTED_VALUE"""),"REA-U5052")</f>
        <v>REA-U5052</v>
      </c>
    </row>
    <row r="4113" spans="1:5" x14ac:dyDescent="0.2">
      <c r="A4113" s="22">
        <f ca="1">IFERROR(__xludf.DUMMYFUNCTION("""COMPUTED_VALUE"""),44340)</f>
        <v>44340</v>
      </c>
      <c r="B4113" s="23" t="str">
        <f ca="1">IFERROR(__xludf.DUMMYFUNCTION("""COMPUTED_VALUE"""),"Umywalka blatowa")</f>
        <v>Umywalka blatowa</v>
      </c>
      <c r="C4113" s="23" t="str">
        <f ca="1">IFERROR(__xludf.DUMMYFUNCTION("""COMPUTED_VALUE"""),"Wendy Marmo")</f>
        <v>Wendy Marmo</v>
      </c>
      <c r="D4113" s="24">
        <f ca="1">IFERROR(__xludf.DUMMYFUNCTION("""COMPUTED_VALUE"""),389)</f>
        <v>389</v>
      </c>
      <c r="E4113" s="26" t="str">
        <f ca="1">IFERROR(__xludf.DUMMYFUNCTION("""COMPUTED_VALUE"""),"REA-U5053")</f>
        <v>REA-U5053</v>
      </c>
    </row>
    <row r="4114" spans="1:5" x14ac:dyDescent="0.2">
      <c r="A4114" s="22">
        <f ca="1">IFERROR(__xludf.DUMMYFUNCTION("""COMPUTED_VALUE"""),44340)</f>
        <v>44340</v>
      </c>
      <c r="B4114" s="23" t="str">
        <f ca="1">IFERROR(__xludf.DUMMYFUNCTION("""COMPUTED_VALUE"""),"Umywalka blatowa")</f>
        <v>Umywalka blatowa</v>
      </c>
      <c r="C4114" s="23" t="str">
        <f ca="1">IFERROR(__xludf.DUMMYFUNCTION("""COMPUTED_VALUE"""),"Belinda Wood")</f>
        <v>Belinda Wood</v>
      </c>
      <c r="D4114" s="24">
        <f ca="1">IFERROR(__xludf.DUMMYFUNCTION("""COMPUTED_VALUE"""),369)</f>
        <v>369</v>
      </c>
      <c r="E4114" s="26" t="str">
        <f ca="1">IFERROR(__xludf.DUMMYFUNCTION("""COMPUTED_VALUE"""),"REA-U5051")</f>
        <v>REA-U5051</v>
      </c>
    </row>
    <row r="4115" spans="1:5" x14ac:dyDescent="0.2">
      <c r="A4115" s="22">
        <f ca="1">IFERROR(__xludf.DUMMYFUNCTION("""COMPUTED_VALUE"""),44340)</f>
        <v>44340</v>
      </c>
      <c r="B4115" s="23" t="str">
        <f ca="1">IFERROR(__xludf.DUMMYFUNCTION("""COMPUTED_VALUE"""),"Umywalka blatowa")</f>
        <v>Umywalka blatowa</v>
      </c>
      <c r="C4115" s="23" t="str">
        <f ca="1">IFERROR(__xludf.DUMMYFUNCTION("""COMPUTED_VALUE"""),"Linda")</f>
        <v>Linda</v>
      </c>
      <c r="D4115" s="24">
        <f ca="1">IFERROR(__xludf.DUMMYFUNCTION("""COMPUTED_VALUE"""),229)</f>
        <v>229</v>
      </c>
      <c r="E4115" s="26" t="str">
        <f ca="1">IFERROR(__xludf.DUMMYFUNCTION("""COMPUTED_VALUE"""),"REA-U0462")</f>
        <v>REA-U0462</v>
      </c>
    </row>
    <row r="4116" spans="1:5" x14ac:dyDescent="0.2">
      <c r="A4116" s="22">
        <f ca="1">IFERROR(__xludf.DUMMYFUNCTION("""COMPUTED_VALUE"""),44340)</f>
        <v>44340</v>
      </c>
      <c r="B4116" s="23" t="str">
        <f ca="1">IFERROR(__xludf.DUMMYFUNCTION("""COMPUTED_VALUE"""),"Umywalka blatowa")</f>
        <v>Umywalka blatowa</v>
      </c>
      <c r="C4116" s="23" t="str">
        <f ca="1">IFERROR(__xludf.DUMMYFUNCTION("""COMPUTED_VALUE"""),"Vegas")</f>
        <v>Vegas</v>
      </c>
      <c r="D4116" s="24">
        <f ca="1">IFERROR(__xludf.DUMMYFUNCTION("""COMPUTED_VALUE"""),259)</f>
        <v>259</v>
      </c>
      <c r="E4116" s="26" t="str">
        <f ca="1">IFERROR(__xludf.DUMMYFUNCTION("""COMPUTED_VALUE"""),"REA-U6643")</f>
        <v>REA-U6643</v>
      </c>
    </row>
    <row r="4117" spans="1:5" x14ac:dyDescent="0.2">
      <c r="A4117" s="22">
        <f ca="1">IFERROR(__xludf.DUMMYFUNCTION("""COMPUTED_VALUE"""),44340)</f>
        <v>44340</v>
      </c>
      <c r="B4117" s="23" t="str">
        <f ca="1">IFERROR(__xludf.DUMMYFUNCTION("""COMPUTED_VALUE"""),"Umywalka blatowa")</f>
        <v>Umywalka blatowa</v>
      </c>
      <c r="C4117" s="23" t="str">
        <f ca="1">IFERROR(__xludf.DUMMYFUNCTION("""COMPUTED_VALUE"""),"Arte Blue")</f>
        <v>Arte Blue</v>
      </c>
      <c r="D4117" s="24">
        <f ca="1">IFERROR(__xludf.DUMMYFUNCTION("""COMPUTED_VALUE"""),499)</f>
        <v>499</v>
      </c>
      <c r="E4117" s="26" t="str">
        <f ca="1">IFERROR(__xludf.DUMMYFUNCTION("""COMPUTED_VALUE"""),"REA-U0267")</f>
        <v>REA-U0267</v>
      </c>
    </row>
    <row r="4118" spans="1:5" x14ac:dyDescent="0.2">
      <c r="A4118" s="22">
        <f ca="1">IFERROR(__xludf.DUMMYFUNCTION("""COMPUTED_VALUE"""),44340)</f>
        <v>44340</v>
      </c>
      <c r="B4118" s="23" t="str">
        <f ca="1">IFERROR(__xludf.DUMMYFUNCTION("""COMPUTED_VALUE"""),"Kabina prysznicowa")</f>
        <v>Kabina prysznicowa</v>
      </c>
      <c r="C4118" s="23" t="str">
        <f ca="1">IFERROR(__xludf.DUMMYFUNCTION("""COMPUTED_VALUE"""),"Punto Black 80x100")</f>
        <v>Punto Black 80x100</v>
      </c>
      <c r="D4118" s="24">
        <f ca="1">IFERROR(__xludf.DUMMYFUNCTION("""COMPUTED_VALUE"""),799)</f>
        <v>799</v>
      </c>
      <c r="E4118" s="26" t="str">
        <f ca="1">IFERROR(__xludf.DUMMYFUNCTION("""COMPUTED_VALUE"""),"REA-K4806")</f>
        <v>REA-K4806</v>
      </c>
    </row>
    <row r="4119" spans="1:5" x14ac:dyDescent="0.2">
      <c r="A4119" s="22">
        <f ca="1">IFERROR(__xludf.DUMMYFUNCTION("""COMPUTED_VALUE"""),44340)</f>
        <v>44340</v>
      </c>
      <c r="B4119" s="23" t="str">
        <f ca="1">IFERROR(__xludf.DUMMYFUNCTION("""COMPUTED_VALUE"""),"Kabina prysznicowa")</f>
        <v>Kabina prysznicowa</v>
      </c>
      <c r="C4119" s="23" t="str">
        <f ca="1">IFERROR(__xludf.DUMMYFUNCTION("""COMPUTED_VALUE"""),"Punto Black 80x80")</f>
        <v>Punto Black 80x80</v>
      </c>
      <c r="D4119" s="24">
        <f ca="1">IFERROR(__xludf.DUMMYFUNCTION("""COMPUTED_VALUE"""),729)</f>
        <v>729</v>
      </c>
      <c r="E4119" s="26" t="str">
        <f ca="1">IFERROR(__xludf.DUMMYFUNCTION("""COMPUTED_VALUE"""),"REA-K4800")</f>
        <v>REA-K4800</v>
      </c>
    </row>
    <row r="4120" spans="1:5" x14ac:dyDescent="0.2">
      <c r="A4120" s="22">
        <f ca="1">IFERROR(__xludf.DUMMYFUNCTION("""COMPUTED_VALUE"""),44340)</f>
        <v>44340</v>
      </c>
      <c r="B4120" s="23" t="str">
        <f ca="1">IFERROR(__xludf.DUMMYFUNCTION("""COMPUTED_VALUE"""),"Kabina prysznicowa")</f>
        <v>Kabina prysznicowa</v>
      </c>
      <c r="C4120" s="23" t="str">
        <f ca="1">IFERROR(__xludf.DUMMYFUNCTION("""COMPUTED_VALUE"""),"Punto Black 90x90")</f>
        <v>Punto Black 90x90</v>
      </c>
      <c r="D4120" s="24">
        <f ca="1">IFERROR(__xludf.DUMMYFUNCTION("""COMPUTED_VALUE"""),759)</f>
        <v>759</v>
      </c>
      <c r="E4120" s="26" t="str">
        <f ca="1">IFERROR(__xludf.DUMMYFUNCTION("""COMPUTED_VALUE"""),"REA-K4801")</f>
        <v>REA-K4801</v>
      </c>
    </row>
    <row r="4121" spans="1:5" x14ac:dyDescent="0.2">
      <c r="A4121" s="22">
        <f ca="1">IFERROR(__xludf.DUMMYFUNCTION("""COMPUTED_VALUE"""),44340)</f>
        <v>44340</v>
      </c>
      <c r="B4121" s="23" t="str">
        <f ca="1">IFERROR(__xludf.DUMMYFUNCTION("""COMPUTED_VALUE"""),"Misa wisząca")</f>
        <v>Misa wisząca</v>
      </c>
      <c r="C4121" s="23" t="str">
        <f ca="1">IFERROR(__xludf.DUMMYFUNCTION("""COMPUTED_VALUE"""),"Carlo Gold White ")</f>
        <v xml:space="preserve">Carlo Gold White </v>
      </c>
      <c r="D4121" s="24">
        <f ca="1">IFERROR(__xludf.DUMMYFUNCTION("""COMPUTED_VALUE"""),1299)</f>
        <v>1299</v>
      </c>
      <c r="E4121" s="26" t="str">
        <f ca="1">IFERROR(__xludf.DUMMYFUNCTION("""COMPUTED_VALUE"""),"REA-C0669")</f>
        <v>REA-C0669</v>
      </c>
    </row>
    <row r="4122" spans="1:5" x14ac:dyDescent="0.2">
      <c r="A4122" s="22">
        <f ca="1">IFERROR(__xludf.DUMMYFUNCTION("""COMPUTED_VALUE"""),44340)</f>
        <v>44340</v>
      </c>
      <c r="B4122" s="23" t="str">
        <f ca="1">IFERROR(__xludf.DUMMYFUNCTION("""COMPUTED_VALUE"""),"Kabina prysznicowa")</f>
        <v>Kabina prysznicowa</v>
      </c>
      <c r="C4122" s="23" t="str">
        <f ca="1">IFERROR(__xludf.DUMMYFUNCTION("""COMPUTED_VALUE"""),"Fargo 90x120")</f>
        <v>Fargo 90x120</v>
      </c>
      <c r="D4122" s="24">
        <f ca="1">IFERROR(__xludf.DUMMYFUNCTION("""COMPUTED_VALUE"""),1699)</f>
        <v>1699</v>
      </c>
      <c r="E4122" s="26" t="str">
        <f ca="1">IFERROR(__xludf.DUMMYFUNCTION("""COMPUTED_VALUE"""),"REA-K3214")</f>
        <v>REA-K3214</v>
      </c>
    </row>
    <row r="4123" spans="1:5" x14ac:dyDescent="0.2">
      <c r="A4123" s="22">
        <f ca="1">IFERROR(__xludf.DUMMYFUNCTION("""COMPUTED_VALUE"""),44340)</f>
        <v>44340</v>
      </c>
      <c r="B4123" s="23" t="str">
        <f ca="1">IFERROR(__xludf.DUMMYFUNCTION("""COMPUTED_VALUE"""),"Bidet wiszący")</f>
        <v>Bidet wiszący</v>
      </c>
      <c r="C4123" s="23" t="str">
        <f ca="1">IFERROR(__xludf.DUMMYFUNCTION("""COMPUTED_VALUE"""),"Hary")</f>
        <v>Hary</v>
      </c>
      <c r="D4123" s="24">
        <f ca="1">IFERROR(__xludf.DUMMYFUNCTION("""COMPUTED_VALUE"""),490)</f>
        <v>490</v>
      </c>
      <c r="E4123" s="26" t="str">
        <f ca="1">IFERROR(__xludf.DUMMYFUNCTION("""COMPUTED_VALUE"""),"REA-C6579")</f>
        <v>REA-C6579</v>
      </c>
    </row>
    <row r="4124" spans="1:5" x14ac:dyDescent="0.2">
      <c r="A4124" s="22">
        <f ca="1">IFERROR(__xludf.DUMMYFUNCTION("""COMPUTED_VALUE"""),44340)</f>
        <v>44340</v>
      </c>
      <c r="B4124" s="23" t="str">
        <f ca="1">IFERROR(__xludf.DUMMYFUNCTION("""COMPUTED_VALUE"""),"Misa wisząca")</f>
        <v>Misa wisząca</v>
      </c>
      <c r="C4124" s="23" t="str">
        <f ca="1">IFERROR(__xludf.DUMMYFUNCTION("""COMPUTED_VALUE"""),"Hary")</f>
        <v>Hary</v>
      </c>
      <c r="D4124" s="24">
        <f ca="1">IFERROR(__xludf.DUMMYFUNCTION("""COMPUTED_VALUE"""),539)</f>
        <v>539</v>
      </c>
      <c r="E4124" s="26" t="str">
        <f ca="1">IFERROR(__xludf.DUMMYFUNCTION("""COMPUTED_VALUE"""),"REA-C6578")</f>
        <v>REA-C6578</v>
      </c>
    </row>
    <row r="4125" spans="1:5" x14ac:dyDescent="0.2">
      <c r="A4125" s="22">
        <f ca="1">IFERROR(__xludf.DUMMYFUNCTION("""COMPUTED_VALUE"""),44340)</f>
        <v>44340</v>
      </c>
      <c r="B4125" s="23" t="str">
        <f ca="1">IFERROR(__xludf.DUMMYFUNCTION("""COMPUTED_VALUE"""),"Umywalka blatowa")</f>
        <v>Umywalka blatowa</v>
      </c>
      <c r="C4125" s="23" t="str">
        <f ca="1">IFERROR(__xludf.DUMMYFUNCTION("""COMPUTED_VALUE"""),"Belinda Black Marble Matt")</f>
        <v>Belinda Black Marble Matt</v>
      </c>
      <c r="D4125" s="24">
        <f ca="1">IFERROR(__xludf.DUMMYFUNCTION("""COMPUTED_VALUE"""),319)</f>
        <v>319</v>
      </c>
      <c r="E4125" s="26" t="str">
        <f ca="1">IFERROR(__xludf.DUMMYFUNCTION("""COMPUTED_VALUE"""),"REA-U8908")</f>
        <v>REA-U8908</v>
      </c>
    </row>
    <row r="4126" spans="1:5" x14ac:dyDescent="0.2">
      <c r="A4126" s="22">
        <f ca="1">IFERROR(__xludf.DUMMYFUNCTION("""COMPUTED_VALUE"""),44340)</f>
        <v>44340</v>
      </c>
      <c r="B4126" s="23" t="str">
        <f ca="1">IFERROR(__xludf.DUMMYFUNCTION("""COMPUTED_VALUE"""),"Umywalka blatowa")</f>
        <v>Umywalka blatowa</v>
      </c>
      <c r="C4126" s="23" t="str">
        <f ca="1">IFERROR(__xludf.DUMMYFUNCTION("""COMPUTED_VALUE"""),"Sami Marble")</f>
        <v>Sami Marble</v>
      </c>
      <c r="D4126" s="24">
        <f ca="1">IFERROR(__xludf.DUMMYFUNCTION("""COMPUTED_VALUE"""),299)</f>
        <v>299</v>
      </c>
      <c r="E4126" s="26" t="str">
        <f ca="1">IFERROR(__xludf.DUMMYFUNCTION("""COMPUTED_VALUE"""),"REA-U5685")</f>
        <v>REA-U5685</v>
      </c>
    </row>
    <row r="4127" spans="1:5" x14ac:dyDescent="0.2">
      <c r="A4127" s="22">
        <f ca="1">IFERROR(__xludf.DUMMYFUNCTION("""COMPUTED_VALUE"""),44340)</f>
        <v>44340</v>
      </c>
      <c r="B4127" s="23" t="str">
        <f ca="1">IFERROR(__xludf.DUMMYFUNCTION("""COMPUTED_VALUE"""),"Umywalka blatowa")</f>
        <v>Umywalka blatowa</v>
      </c>
      <c r="C4127" s="23" t="str">
        <f ca="1">IFERROR(__xludf.DUMMYFUNCTION("""COMPUTED_VALUE"""),"Sami Marble Matt")</f>
        <v>Sami Marble Matt</v>
      </c>
      <c r="D4127" s="24">
        <f ca="1">IFERROR(__xludf.DUMMYFUNCTION("""COMPUTED_VALUE"""),299)</f>
        <v>299</v>
      </c>
      <c r="E4127" s="26" t="str">
        <f ca="1">IFERROR(__xludf.DUMMYFUNCTION("""COMPUTED_VALUE"""),"REA-U8703")</f>
        <v>REA-U8703</v>
      </c>
    </row>
    <row r="4128" spans="1:5" x14ac:dyDescent="0.2">
      <c r="A4128" s="22">
        <f ca="1">IFERROR(__xludf.DUMMYFUNCTION("""COMPUTED_VALUE"""),44340)</f>
        <v>44340</v>
      </c>
      <c r="B4128" s="23" t="str">
        <f ca="1">IFERROR(__xludf.DUMMYFUNCTION("""COMPUTED_VALUE"""),"Umywalka blatowa")</f>
        <v>Umywalka blatowa</v>
      </c>
      <c r="C4128" s="23" t="str">
        <f ca="1">IFERROR(__xludf.DUMMYFUNCTION("""COMPUTED_VALUE"""),"Linda Stone")</f>
        <v>Linda Stone</v>
      </c>
      <c r="D4128" s="24">
        <f ca="1">IFERROR(__xludf.DUMMYFUNCTION("""COMPUTED_VALUE"""),299)</f>
        <v>299</v>
      </c>
      <c r="E4128" s="26" t="str">
        <f ca="1">IFERROR(__xludf.DUMMYFUNCTION("""COMPUTED_VALUE"""),"REA-U1020")</f>
        <v>REA-U1020</v>
      </c>
    </row>
    <row r="4129" spans="1:5" x14ac:dyDescent="0.2">
      <c r="A4129" s="22">
        <f ca="1">IFERROR(__xludf.DUMMYFUNCTION("""COMPUTED_VALUE"""),44340)</f>
        <v>44340</v>
      </c>
      <c r="B4129" s="23" t="str">
        <f ca="1">IFERROR(__xludf.DUMMYFUNCTION("""COMPUTED_VALUE"""),"Umywalka blatowa")</f>
        <v>Umywalka blatowa</v>
      </c>
      <c r="C4129" s="23" t="str">
        <f ca="1">IFERROR(__xludf.DUMMYFUNCTION("""COMPUTED_VALUE"""),"Sofia SIlver/ SIlver")</f>
        <v>Sofia SIlver/ SIlver</v>
      </c>
      <c r="D4129" s="24">
        <f ca="1">IFERROR(__xludf.DUMMYFUNCTION("""COMPUTED_VALUE"""),339)</f>
        <v>339</v>
      </c>
      <c r="E4129" s="26" t="str">
        <f ca="1">IFERROR(__xludf.DUMMYFUNCTION("""COMPUTED_VALUE"""),"REA-U0852")</f>
        <v>REA-U0852</v>
      </c>
    </row>
    <row r="4130" spans="1:5" x14ac:dyDescent="0.2">
      <c r="A4130" s="22">
        <f ca="1">IFERROR(__xludf.DUMMYFUNCTION("""COMPUTED_VALUE"""),44340)</f>
        <v>44340</v>
      </c>
      <c r="B4130" s="23" t="str">
        <f ca="1">IFERROR(__xludf.DUMMYFUNCTION("""COMPUTED_VALUE"""),"Umywalka blatowa")</f>
        <v>Umywalka blatowa</v>
      </c>
      <c r="C4130" s="23" t="str">
        <f ca="1">IFERROR(__xludf.DUMMYFUNCTION("""COMPUTED_VALUE"""),"Meryl black")</f>
        <v>Meryl black</v>
      </c>
      <c r="D4130" s="24">
        <f ca="1">IFERROR(__xludf.DUMMYFUNCTION("""COMPUTED_VALUE"""),599)</f>
        <v>599</v>
      </c>
      <c r="E4130" s="26" t="str">
        <f ca="1">IFERROR(__xludf.DUMMYFUNCTION("""COMPUTED_VALUE"""),"REA-U8811")</f>
        <v>REA-U8811</v>
      </c>
    </row>
    <row r="4131" spans="1:5" x14ac:dyDescent="0.2">
      <c r="A4131" s="22">
        <f ca="1">IFERROR(__xludf.DUMMYFUNCTION("""COMPUTED_VALUE"""),44340)</f>
        <v>44340</v>
      </c>
      <c r="B4131" s="23" t="str">
        <f ca="1">IFERROR(__xludf.DUMMYFUNCTION("""COMPUTED_VALUE"""),"Umywalka blatowa")</f>
        <v>Umywalka blatowa</v>
      </c>
      <c r="C4131" s="23" t="str">
        <f ca="1">IFERROR(__xludf.DUMMYFUNCTION("""COMPUTED_VALUE"""),"Belinda black marble shiny")</f>
        <v>Belinda black marble shiny</v>
      </c>
      <c r="D4131" s="24">
        <f ca="1">IFERROR(__xludf.DUMMYFUNCTION("""COMPUTED_VALUE"""),319)</f>
        <v>319</v>
      </c>
      <c r="E4131" s="26" t="str">
        <f ca="1">IFERROR(__xludf.DUMMYFUNCTION("""COMPUTED_VALUE"""),"REA-U8907")</f>
        <v>REA-U8907</v>
      </c>
    </row>
    <row r="4132" spans="1:5" x14ac:dyDescent="0.2">
      <c r="A4132" s="22">
        <f ca="1">IFERROR(__xludf.DUMMYFUNCTION("""COMPUTED_VALUE"""),44340)</f>
        <v>44340</v>
      </c>
      <c r="B4132" s="23" t="str">
        <f ca="1">IFERROR(__xludf.DUMMYFUNCTION("""COMPUTED_VALUE"""),"Umywalka blatowa")</f>
        <v>Umywalka blatowa</v>
      </c>
      <c r="C4132" s="23" t="str">
        <f ca="1">IFERROR(__xludf.DUMMYFUNCTION("""COMPUTED_VALUE"""),"Greta 55")</f>
        <v>Greta 55</v>
      </c>
      <c r="D4132" s="24">
        <f ca="1">IFERROR(__xludf.DUMMYFUNCTION("""COMPUTED_VALUE"""),299)</f>
        <v>299</v>
      </c>
      <c r="E4132" s="26" t="str">
        <f ca="1">IFERROR(__xludf.DUMMYFUNCTION("""COMPUTED_VALUE"""),"REA-U8536")</f>
        <v>REA-U8536</v>
      </c>
    </row>
    <row r="4133" spans="1:5" x14ac:dyDescent="0.2">
      <c r="A4133" s="22">
        <f ca="1">IFERROR(__xludf.DUMMYFUNCTION("""COMPUTED_VALUE"""),44337)</f>
        <v>44337</v>
      </c>
      <c r="B4133" s="23" t="str">
        <f ca="1">IFERROR(__xludf.DUMMYFUNCTION("""COMPUTED_VALUE"""),"Umywalka blatowa")</f>
        <v>Umywalka blatowa</v>
      </c>
      <c r="C4133" s="23" t="str">
        <f ca="1">IFERROR(__xludf.DUMMYFUNCTION("""COMPUTED_VALUE"""),"Martina")</f>
        <v>Martina</v>
      </c>
      <c r="D4133" s="24">
        <f ca="1">IFERROR(__xludf.DUMMYFUNCTION("""COMPUTED_VALUE"""),299)</f>
        <v>299</v>
      </c>
      <c r="E4133" s="26" t="str">
        <f ca="1">IFERROR(__xludf.DUMMYFUNCTION("""COMPUTED_VALUE"""),"REA-U6646")</f>
        <v>REA-U6646</v>
      </c>
    </row>
    <row r="4134" spans="1:5" x14ac:dyDescent="0.2">
      <c r="A4134" s="22">
        <f ca="1">IFERROR(__xludf.DUMMYFUNCTION("""COMPUTED_VALUE"""),44337)</f>
        <v>44337</v>
      </c>
      <c r="B4134" s="23" t="str">
        <f ca="1">IFERROR(__xludf.DUMMYFUNCTION("""COMPUTED_VALUE"""),"Umywalka blatowa")</f>
        <v>Umywalka blatowa</v>
      </c>
      <c r="C4134" s="23" t="str">
        <f ca="1">IFERROR(__xludf.DUMMYFUNCTION("""COMPUTED_VALUE"""),"Bonita")</f>
        <v>Bonita</v>
      </c>
      <c r="D4134" s="24">
        <f ca="1">IFERROR(__xludf.DUMMYFUNCTION("""COMPUTED_VALUE"""),269)</f>
        <v>269</v>
      </c>
      <c r="E4134" s="26" t="str">
        <f ca="1">IFERROR(__xludf.DUMMYFUNCTION("""COMPUTED_VALUE"""),"REA-U8701")</f>
        <v>REA-U8701</v>
      </c>
    </row>
    <row r="4135" spans="1:5" x14ac:dyDescent="0.2">
      <c r="A4135" s="22">
        <f ca="1">IFERROR(__xludf.DUMMYFUNCTION("""COMPUTED_VALUE"""),44337)</f>
        <v>44337</v>
      </c>
      <c r="B4135" s="23" t="str">
        <f ca="1">IFERROR(__xludf.DUMMYFUNCTION("""COMPUTED_VALUE"""),"Odpływ liniowy + syfon + nóżki + mankiet uszczelniający")</f>
        <v>Odpływ liniowy + syfon + nóżki + mankiet uszczelniający</v>
      </c>
      <c r="C4135" s="23" t="str">
        <f ca="1">IFERROR(__xludf.DUMMYFUNCTION("""COMPUTED_VALUE"""),"Neo&amp;Pure 600 N Gold")</f>
        <v>Neo&amp;Pure 600 N Gold</v>
      </c>
      <c r="D4135" s="24">
        <f ca="1">IFERROR(__xludf.DUMMYFUNCTION("""COMPUTED_VALUE"""),369)</f>
        <v>369</v>
      </c>
      <c r="E4135" s="26" t="str">
        <f ca="1">IFERROR(__xludf.DUMMYFUNCTION("""COMPUTED_VALUE"""),"REA-G7000")</f>
        <v>REA-G7000</v>
      </c>
    </row>
    <row r="4136" spans="1:5" x14ac:dyDescent="0.2">
      <c r="A4136" s="22">
        <f ca="1">IFERROR(__xludf.DUMMYFUNCTION("""COMPUTED_VALUE"""),44337)</f>
        <v>44337</v>
      </c>
      <c r="B4136" s="23" t="str">
        <f ca="1">IFERROR(__xludf.DUMMYFUNCTION("""COMPUTED_VALUE"""),"Odpływ liniowy + syfon + nóżki + mankiet uszczelniający")</f>
        <v>Odpływ liniowy + syfon + nóżki + mankiet uszczelniający</v>
      </c>
      <c r="C4136" s="23" t="str">
        <f ca="1">IFERROR(__xludf.DUMMYFUNCTION("""COMPUTED_VALUE"""),"Neo&amp;Pure 700 N Gold")</f>
        <v>Neo&amp;Pure 700 N Gold</v>
      </c>
      <c r="D4136" s="24">
        <f ca="1">IFERROR(__xludf.DUMMYFUNCTION("""COMPUTED_VALUE"""),379)</f>
        <v>379</v>
      </c>
      <c r="E4136" s="26" t="str">
        <f ca="1">IFERROR(__xludf.DUMMYFUNCTION("""COMPUTED_VALUE"""),"REA-G7001")</f>
        <v>REA-G7001</v>
      </c>
    </row>
    <row r="4137" spans="1:5" x14ac:dyDescent="0.2">
      <c r="A4137" s="22">
        <f ca="1">IFERROR(__xludf.DUMMYFUNCTION("""COMPUTED_VALUE"""),44337)</f>
        <v>44337</v>
      </c>
      <c r="B4137" s="23" t="str">
        <f ca="1">IFERROR(__xludf.DUMMYFUNCTION("""COMPUTED_VALUE"""),"Odpływ liniowy + syfon + nóżki + mankiet uszczelniający")</f>
        <v>Odpływ liniowy + syfon + nóżki + mankiet uszczelniający</v>
      </c>
      <c r="C4137" s="23" t="str">
        <f ca="1">IFERROR(__xludf.DUMMYFUNCTION("""COMPUTED_VALUE"""),"Neo&amp;Pure 800 N Gold")</f>
        <v>Neo&amp;Pure 800 N Gold</v>
      </c>
      <c r="D4137" s="24">
        <f ca="1">IFERROR(__xludf.DUMMYFUNCTION("""COMPUTED_VALUE"""),389)</f>
        <v>389</v>
      </c>
      <c r="E4137" s="26" t="str">
        <f ca="1">IFERROR(__xludf.DUMMYFUNCTION("""COMPUTED_VALUE"""),"REA-G7002")</f>
        <v>REA-G7002</v>
      </c>
    </row>
    <row r="4138" spans="1:5" x14ac:dyDescent="0.2">
      <c r="A4138" s="22">
        <f ca="1">IFERROR(__xludf.DUMMYFUNCTION("""COMPUTED_VALUE"""),44337)</f>
        <v>44337</v>
      </c>
      <c r="B4138" s="23" t="str">
        <f ca="1">IFERROR(__xludf.DUMMYFUNCTION("""COMPUTED_VALUE"""),"Odpływ liniowy + syfon + nóżki + mankiet uszczelniający")</f>
        <v>Odpływ liniowy + syfon + nóżki + mankiet uszczelniający</v>
      </c>
      <c r="C4138" s="23" t="str">
        <f ca="1">IFERROR(__xludf.DUMMYFUNCTION("""COMPUTED_VALUE"""),"Neo&amp;Pure 900 N Gold")</f>
        <v>Neo&amp;Pure 900 N Gold</v>
      </c>
      <c r="D4138" s="24">
        <f ca="1">IFERROR(__xludf.DUMMYFUNCTION("""COMPUTED_VALUE"""),399)</f>
        <v>399</v>
      </c>
      <c r="E4138" s="26" t="str">
        <f ca="1">IFERROR(__xludf.DUMMYFUNCTION("""COMPUTED_VALUE"""),"REA-G7003")</f>
        <v>REA-G7003</v>
      </c>
    </row>
    <row r="4139" spans="1:5" x14ac:dyDescent="0.2">
      <c r="A4139" s="22">
        <f ca="1">IFERROR(__xludf.DUMMYFUNCTION("""COMPUTED_VALUE"""),44337)</f>
        <v>44337</v>
      </c>
      <c r="B4139" s="23" t="str">
        <f ca="1">IFERROR(__xludf.DUMMYFUNCTION("""COMPUTED_VALUE"""),"Odpływ liniowy + syfon + nóżki + mankiet uszczelniający")</f>
        <v>Odpływ liniowy + syfon + nóżki + mankiet uszczelniający</v>
      </c>
      <c r="C4139" s="23" t="str">
        <f ca="1">IFERROR(__xludf.DUMMYFUNCTION("""COMPUTED_VALUE"""),"Neo&amp;Pure 600 N")</f>
        <v>Neo&amp;Pure 600 N</v>
      </c>
      <c r="D4139" s="24">
        <f ca="1">IFERROR(__xludf.DUMMYFUNCTION("""COMPUTED_VALUE"""),179)</f>
        <v>179</v>
      </c>
      <c r="E4139" s="26" t="str">
        <f ca="1">IFERROR(__xludf.DUMMYFUNCTION("""COMPUTED_VALUE"""),"REA-G0091")</f>
        <v>REA-G0091</v>
      </c>
    </row>
    <row r="4140" spans="1:5" x14ac:dyDescent="0.2">
      <c r="A4140" s="22">
        <f ca="1">IFERROR(__xludf.DUMMYFUNCTION("""COMPUTED_VALUE"""),44336)</f>
        <v>44336</v>
      </c>
      <c r="B4140" s="23" t="str">
        <f ca="1">IFERROR(__xludf.DUMMYFUNCTION("""COMPUTED_VALUE"""),"Odpływ liniowy + syfon + nóżki + mankiet uszczelniający")</f>
        <v>Odpływ liniowy + syfon + nóżki + mankiet uszczelniający</v>
      </c>
      <c r="C4140" s="23" t="str">
        <f ca="1">IFERROR(__xludf.DUMMYFUNCTION("""COMPUTED_VALUE"""),"Neo&amp;Pure 700 N")</f>
        <v>Neo&amp;Pure 700 N</v>
      </c>
      <c r="D4140" s="24">
        <f ca="1">IFERROR(__xludf.DUMMYFUNCTION("""COMPUTED_VALUE"""),189)</f>
        <v>189</v>
      </c>
      <c r="E4140" s="26" t="str">
        <f ca="1">IFERROR(__xludf.DUMMYFUNCTION("""COMPUTED_VALUE"""),"REA-G0092")</f>
        <v>REA-G0092</v>
      </c>
    </row>
    <row r="4141" spans="1:5" x14ac:dyDescent="0.2">
      <c r="A4141" s="22">
        <f ca="1">IFERROR(__xludf.DUMMYFUNCTION("""COMPUTED_VALUE"""),44336)</f>
        <v>44336</v>
      </c>
      <c r="B4141" s="23" t="str">
        <f ca="1">IFERROR(__xludf.DUMMYFUNCTION("""COMPUTED_VALUE"""),"Odpływ liniowy + syfon + nóżki + mankiet uszczelniający")</f>
        <v>Odpływ liniowy + syfon + nóżki + mankiet uszczelniający</v>
      </c>
      <c r="C4141" s="23" t="str">
        <f ca="1">IFERROR(__xludf.DUMMYFUNCTION("""COMPUTED_VALUE"""),"Neo&amp;Pure 800 N")</f>
        <v>Neo&amp;Pure 800 N</v>
      </c>
      <c r="D4141" s="24">
        <f ca="1">IFERROR(__xludf.DUMMYFUNCTION("""COMPUTED_VALUE"""),199)</f>
        <v>199</v>
      </c>
      <c r="E4141" s="26" t="str">
        <f ca="1">IFERROR(__xludf.DUMMYFUNCTION("""COMPUTED_VALUE"""),"REA-G0093")</f>
        <v>REA-G0093</v>
      </c>
    </row>
    <row r="4142" spans="1:5" x14ac:dyDescent="0.2">
      <c r="A4142" s="22">
        <f ca="1">IFERROR(__xludf.DUMMYFUNCTION("""COMPUTED_VALUE"""),44336)</f>
        <v>44336</v>
      </c>
      <c r="B4142" s="23" t="str">
        <f ca="1">IFERROR(__xludf.DUMMYFUNCTION("""COMPUTED_VALUE"""),"Odpływ liniowy Neo &amp; Pure")</f>
        <v>Odpływ liniowy Neo &amp; Pure</v>
      </c>
      <c r="C4142" s="23" t="str">
        <f ca="1">IFERROR(__xludf.DUMMYFUNCTION("""COMPUTED_VALUE"""),"60 N BLACK PRO")</f>
        <v>60 N BLACK PRO</v>
      </c>
      <c r="D4142" s="24">
        <f ca="1">IFERROR(__xludf.DUMMYFUNCTION("""COMPUTED_VALUE"""),359)</f>
        <v>359</v>
      </c>
      <c r="E4142" s="26" t="str">
        <f ca="1">IFERROR(__xludf.DUMMYFUNCTION("""COMPUTED_VALUE"""),"REA-G8905")</f>
        <v>REA-G8905</v>
      </c>
    </row>
    <row r="4143" spans="1:5" x14ac:dyDescent="0.2">
      <c r="A4143" s="22">
        <f ca="1">IFERROR(__xludf.DUMMYFUNCTION("""COMPUTED_VALUE"""),44336)</f>
        <v>44336</v>
      </c>
      <c r="B4143" s="23" t="str">
        <f ca="1">IFERROR(__xludf.DUMMYFUNCTION("""COMPUTED_VALUE"""),"Odpływ liniowy Neo &amp; Pure")</f>
        <v>Odpływ liniowy Neo &amp; Pure</v>
      </c>
      <c r="C4143" s="23" t="str">
        <f ca="1">IFERROR(__xludf.DUMMYFUNCTION("""COMPUTED_VALUE"""),"70 N BLACK PRO")</f>
        <v>70 N BLACK PRO</v>
      </c>
      <c r="D4143" s="24">
        <f ca="1">IFERROR(__xludf.DUMMYFUNCTION("""COMPUTED_VALUE"""),389)</f>
        <v>389</v>
      </c>
      <c r="E4143" s="26" t="str">
        <f ca="1">IFERROR(__xludf.DUMMYFUNCTION("""COMPUTED_VALUE"""),"REA-G8906")</f>
        <v>REA-G8906</v>
      </c>
    </row>
    <row r="4144" spans="1:5" x14ac:dyDescent="0.2">
      <c r="A4144" s="22">
        <f ca="1">IFERROR(__xludf.DUMMYFUNCTION("""COMPUTED_VALUE"""),44336)</f>
        <v>44336</v>
      </c>
      <c r="B4144" s="23" t="str">
        <f ca="1">IFERROR(__xludf.DUMMYFUNCTION("""COMPUTED_VALUE"""),"Odpływ liniowy Neo &amp; Pure")</f>
        <v>Odpływ liniowy Neo &amp; Pure</v>
      </c>
      <c r="C4144" s="23" t="str">
        <f ca="1">IFERROR(__xludf.DUMMYFUNCTION("""COMPUTED_VALUE"""),"80 N BLACK PRO")</f>
        <v>80 N BLACK PRO</v>
      </c>
      <c r="D4144" s="24">
        <f ca="1">IFERROR(__xludf.DUMMYFUNCTION("""COMPUTED_VALUE"""),429)</f>
        <v>429</v>
      </c>
      <c r="E4144" s="26" t="str">
        <f ca="1">IFERROR(__xludf.DUMMYFUNCTION("""COMPUTED_VALUE"""),"REA-G8907")</f>
        <v>REA-G8907</v>
      </c>
    </row>
    <row r="4145" spans="1:5" x14ac:dyDescent="0.2">
      <c r="A4145" s="22">
        <f ca="1">IFERROR(__xludf.DUMMYFUNCTION("""COMPUTED_VALUE"""),44336)</f>
        <v>44336</v>
      </c>
      <c r="B4145" s="23" t="str">
        <f ca="1">IFERROR(__xludf.DUMMYFUNCTION("""COMPUTED_VALUE"""),"Odpływ liniowy Neo &amp; Pure")</f>
        <v>Odpływ liniowy Neo &amp; Pure</v>
      </c>
      <c r="C4145" s="23" t="str">
        <f ca="1">IFERROR(__xludf.DUMMYFUNCTION("""COMPUTED_VALUE"""),"90 N BLACK PRO")</f>
        <v>90 N BLACK PRO</v>
      </c>
      <c r="D4145" s="24">
        <f ca="1">IFERROR(__xludf.DUMMYFUNCTION("""COMPUTED_VALUE"""),459)</f>
        <v>459</v>
      </c>
      <c r="E4145" s="26" t="str">
        <f ca="1">IFERROR(__xludf.DUMMYFUNCTION("""COMPUTED_VALUE"""),"REA-G8908")</f>
        <v>REA-G8908</v>
      </c>
    </row>
    <row r="4146" spans="1:5" x14ac:dyDescent="0.2">
      <c r="A4146" s="22">
        <f ca="1">IFERROR(__xludf.DUMMYFUNCTION("""COMPUTED_VALUE"""),44336)</f>
        <v>44336</v>
      </c>
      <c r="B4146" s="23" t="str">
        <f ca="1">IFERROR(__xludf.DUMMYFUNCTION("""COMPUTED_VALUE"""),"Odpływ liniowy Neo &amp; Pure")</f>
        <v>Odpływ liniowy Neo &amp; Pure</v>
      </c>
      <c r="C4146" s="23" t="str">
        <f ca="1">IFERROR(__xludf.DUMMYFUNCTION("""COMPUTED_VALUE"""),"100 N BLACK PRO")</f>
        <v>100 N BLACK PRO</v>
      </c>
      <c r="D4146" s="24">
        <f ca="1">IFERROR(__xludf.DUMMYFUNCTION("""COMPUTED_VALUE"""),479)</f>
        <v>479</v>
      </c>
      <c r="E4146" s="26" t="str">
        <f ca="1">IFERROR(__xludf.DUMMYFUNCTION("""COMPUTED_VALUE"""),"REA-G8909")</f>
        <v>REA-G8909</v>
      </c>
    </row>
    <row r="4147" spans="1:5" x14ac:dyDescent="0.2">
      <c r="A4147" s="22">
        <f ca="1">IFERROR(__xludf.DUMMYFUNCTION("""COMPUTED_VALUE"""),44336)</f>
        <v>44336</v>
      </c>
      <c r="B4147" s="23" t="str">
        <f ca="1">IFERROR(__xludf.DUMMYFUNCTION("""COMPUTED_VALUE"""),"Odpływ liniowy Neo Slim")</f>
        <v>Odpływ liniowy Neo Slim</v>
      </c>
      <c r="C4147" s="23" t="str">
        <f ca="1">IFERROR(__xludf.DUMMYFUNCTION("""COMPUTED_VALUE"""),"60 BLACK PRO")</f>
        <v>60 BLACK PRO</v>
      </c>
      <c r="D4147" s="24">
        <f ca="1">IFERROR(__xludf.DUMMYFUNCTION("""COMPUTED_VALUE"""),359)</f>
        <v>359</v>
      </c>
      <c r="E4147" s="26" t="str">
        <f ca="1">IFERROR(__xludf.DUMMYFUNCTION("""COMPUTED_VALUE"""),"REA-G8900")</f>
        <v>REA-G8900</v>
      </c>
    </row>
    <row r="4148" spans="1:5" x14ac:dyDescent="0.2">
      <c r="A4148" s="22">
        <f ca="1">IFERROR(__xludf.DUMMYFUNCTION("""COMPUTED_VALUE"""),44247)</f>
        <v>44247</v>
      </c>
      <c r="B4148" s="23" t="str">
        <f ca="1">IFERROR(__xludf.DUMMYFUNCTION("""COMPUTED_VALUE"""),"Odpływ liniowy Neo Slim")</f>
        <v>Odpływ liniowy Neo Slim</v>
      </c>
      <c r="C4148" s="23" t="str">
        <f ca="1">IFERROR(__xludf.DUMMYFUNCTION("""COMPUTED_VALUE"""),"70 BLACK PRO")</f>
        <v>70 BLACK PRO</v>
      </c>
      <c r="D4148" s="24">
        <f ca="1">IFERROR(__xludf.DUMMYFUNCTION("""COMPUTED_VALUE"""),389)</f>
        <v>389</v>
      </c>
      <c r="E4148" s="26" t="str">
        <f ca="1">IFERROR(__xludf.DUMMYFUNCTION("""COMPUTED_VALUE"""),"REA-G8901")</f>
        <v>REA-G8901</v>
      </c>
    </row>
    <row r="4149" spans="1:5" x14ac:dyDescent="0.2">
      <c r="A4149" s="22">
        <f ca="1">IFERROR(__xludf.DUMMYFUNCTION("""COMPUTED_VALUE"""),44336)</f>
        <v>44336</v>
      </c>
      <c r="B4149" s="23" t="str">
        <f ca="1">IFERROR(__xludf.DUMMYFUNCTION("""COMPUTED_VALUE"""),"Odpływ liniowy Neo Slim")</f>
        <v>Odpływ liniowy Neo Slim</v>
      </c>
      <c r="C4149" s="23" t="str">
        <f ca="1">IFERROR(__xludf.DUMMYFUNCTION("""COMPUTED_VALUE"""),"80 BLACK PRO")</f>
        <v>80 BLACK PRO</v>
      </c>
      <c r="D4149" s="24">
        <f ca="1">IFERROR(__xludf.DUMMYFUNCTION("""COMPUTED_VALUE"""),429)</f>
        <v>429</v>
      </c>
      <c r="E4149" s="26" t="str">
        <f ca="1">IFERROR(__xludf.DUMMYFUNCTION("""COMPUTED_VALUE"""),"REA-G8902")</f>
        <v>REA-G8902</v>
      </c>
    </row>
    <row r="4150" spans="1:5" x14ac:dyDescent="0.2">
      <c r="A4150" s="22">
        <f ca="1">IFERROR(__xludf.DUMMYFUNCTION("""COMPUTED_VALUE"""),44336)</f>
        <v>44336</v>
      </c>
      <c r="B4150" s="23" t="str">
        <f ca="1">IFERROR(__xludf.DUMMYFUNCTION("""COMPUTED_VALUE"""),"Odpływ liniowy Neo Slim")</f>
        <v>Odpływ liniowy Neo Slim</v>
      </c>
      <c r="C4150" s="23" t="str">
        <f ca="1">IFERROR(__xludf.DUMMYFUNCTION("""COMPUTED_VALUE"""),"90 BLACK PRO")</f>
        <v>90 BLACK PRO</v>
      </c>
      <c r="D4150" s="24">
        <f ca="1">IFERROR(__xludf.DUMMYFUNCTION("""COMPUTED_VALUE"""),459)</f>
        <v>459</v>
      </c>
      <c r="E4150" s="26" t="str">
        <f ca="1">IFERROR(__xludf.DUMMYFUNCTION("""COMPUTED_VALUE"""),"REA-G8903")</f>
        <v>REA-G8903</v>
      </c>
    </row>
    <row r="4151" spans="1:5" x14ac:dyDescent="0.2">
      <c r="A4151" s="22">
        <f ca="1">IFERROR(__xludf.DUMMYFUNCTION("""COMPUTED_VALUE"""),44336)</f>
        <v>44336</v>
      </c>
      <c r="B4151" s="23" t="str">
        <f ca="1">IFERROR(__xludf.DUMMYFUNCTION("""COMPUTED_VALUE"""),"Odpływ liniowy Neo Slim")</f>
        <v>Odpływ liniowy Neo Slim</v>
      </c>
      <c r="C4151" s="23" t="str">
        <f ca="1">IFERROR(__xludf.DUMMYFUNCTION("""COMPUTED_VALUE"""),"100 BLACK PRO")</f>
        <v>100 BLACK PRO</v>
      </c>
      <c r="D4151" s="24">
        <f ca="1">IFERROR(__xludf.DUMMYFUNCTION("""COMPUTED_VALUE"""),479)</f>
        <v>479</v>
      </c>
      <c r="E4151" s="26" t="str">
        <f ca="1">IFERROR(__xludf.DUMMYFUNCTION("""COMPUTED_VALUE"""),"REA-G8904")</f>
        <v>REA-G8904</v>
      </c>
    </row>
    <row r="4152" spans="1:5" x14ac:dyDescent="0.2">
      <c r="A4152" s="22">
        <f ca="1">IFERROR(__xludf.DUMMYFUNCTION("""COMPUTED_VALUE"""),44330)</f>
        <v>44330</v>
      </c>
      <c r="B4152" s="23" t="str">
        <f ca="1">IFERROR(__xludf.DUMMYFUNCTION("""COMPUTED_VALUE"""),"Odpływ liniowy + syfon + nóżki + mankiet uszczelniający")</f>
        <v>Odpływ liniowy + syfon + nóżki + mankiet uszczelniający</v>
      </c>
      <c r="C4152" s="23" t="str">
        <f ca="1">IFERROR(__xludf.DUMMYFUNCTION("""COMPUTED_VALUE"""),"Neo Slim 70 Gold")</f>
        <v>Neo Slim 70 Gold</v>
      </c>
      <c r="D4152" s="24">
        <f ca="1">IFERROR(__xludf.DUMMYFUNCTION("""COMPUTED_VALUE"""),389)</f>
        <v>389</v>
      </c>
      <c r="E4152" s="26" t="str">
        <f ca="1">IFERROR(__xludf.DUMMYFUNCTION("""COMPUTED_VALUE"""),"REA-G8014")</f>
        <v>REA-G8014</v>
      </c>
    </row>
    <row r="4153" spans="1:5" x14ac:dyDescent="0.2">
      <c r="A4153" s="22">
        <f ca="1">IFERROR(__xludf.DUMMYFUNCTION("""COMPUTED_VALUE"""),44330)</f>
        <v>44330</v>
      </c>
      <c r="B4153" s="23" t="str">
        <f ca="1">IFERROR(__xludf.DUMMYFUNCTION("""COMPUTED_VALUE"""),"Odpływ liniowy + syfon + nóżki + mankiet uszczelniający")</f>
        <v>Odpływ liniowy + syfon + nóżki + mankiet uszczelniający</v>
      </c>
      <c r="C4153" s="23" t="str">
        <f ca="1">IFERROR(__xludf.DUMMYFUNCTION("""COMPUTED_VALUE"""),"Neo Slim 80 Gold")</f>
        <v>Neo Slim 80 Gold</v>
      </c>
      <c r="D4153" s="24">
        <f ca="1">IFERROR(__xludf.DUMMYFUNCTION("""COMPUTED_VALUE"""),429)</f>
        <v>429</v>
      </c>
      <c r="E4153" s="26" t="str">
        <f ca="1">IFERROR(__xludf.DUMMYFUNCTION("""COMPUTED_VALUE"""),"REA-G8015")</f>
        <v>REA-G8015</v>
      </c>
    </row>
    <row r="4154" spans="1:5" x14ac:dyDescent="0.2">
      <c r="A4154" s="22">
        <f ca="1">IFERROR(__xludf.DUMMYFUNCTION("""COMPUTED_VALUE"""),44330)</f>
        <v>44330</v>
      </c>
      <c r="B4154" s="23" t="str">
        <f ca="1">IFERROR(__xludf.DUMMYFUNCTION("""COMPUTED_VALUE"""),"Odpływ liniowy + syfon + nóżki + mankiet uszczelniający")</f>
        <v>Odpływ liniowy + syfon + nóżki + mankiet uszczelniający</v>
      </c>
      <c r="C4154" s="23" t="str">
        <f ca="1">IFERROR(__xludf.DUMMYFUNCTION("""COMPUTED_VALUE"""),"Neo Slim 90 Gold")</f>
        <v>Neo Slim 90 Gold</v>
      </c>
      <c r="D4154" s="24">
        <f ca="1">IFERROR(__xludf.DUMMYFUNCTION("""COMPUTED_VALUE"""),449)</f>
        <v>449</v>
      </c>
      <c r="E4154" s="26" t="str">
        <f ca="1">IFERROR(__xludf.DUMMYFUNCTION("""COMPUTED_VALUE"""),"REA-G8016")</f>
        <v>REA-G8016</v>
      </c>
    </row>
    <row r="4155" spans="1:5" x14ac:dyDescent="0.2">
      <c r="A4155" s="22">
        <f ca="1">IFERROR(__xludf.DUMMYFUNCTION("""COMPUTED_VALUE"""),44330)</f>
        <v>44330</v>
      </c>
      <c r="B4155" s="23" t="str">
        <f ca="1">IFERROR(__xludf.DUMMYFUNCTION("""COMPUTED_VALUE"""),"Umywalka blatowa")</f>
        <v>Umywalka blatowa</v>
      </c>
      <c r="C4155" s="23" t="str">
        <f ca="1">IFERROR(__xludf.DUMMYFUNCTION("""COMPUTED_VALUE"""),"Claudia 9447 White")</f>
        <v>Claudia 9447 White</v>
      </c>
      <c r="D4155" s="24">
        <f ca="1">IFERROR(__xludf.DUMMYFUNCTION("""COMPUTED_VALUE"""),259)</f>
        <v>259</v>
      </c>
      <c r="E4155" s="26" t="str">
        <f ca="1">IFERROR(__xludf.DUMMYFUNCTION("""COMPUTED_VALUE"""),"REA-U6644")</f>
        <v>REA-U6644</v>
      </c>
    </row>
    <row r="4156" spans="1:5" x14ac:dyDescent="0.2">
      <c r="A4156" s="22">
        <f ca="1">IFERROR(__xludf.DUMMYFUNCTION("""COMPUTED_VALUE"""),44330)</f>
        <v>44330</v>
      </c>
      <c r="B4156" s="23" t="str">
        <f ca="1">IFERROR(__xludf.DUMMYFUNCTION("""COMPUTED_VALUE"""),"Umywalka stojąca")</f>
        <v>Umywalka stojąca</v>
      </c>
      <c r="C4156" s="23" t="str">
        <f ca="1">IFERROR(__xludf.DUMMYFUNCTION("""COMPUTED_VALUE"""),"Kamila")</f>
        <v>Kamila</v>
      </c>
      <c r="D4156" s="24">
        <f ca="1">IFERROR(__xludf.DUMMYFUNCTION("""COMPUTED_VALUE"""),729)</f>
        <v>729</v>
      </c>
      <c r="E4156" s="26" t="str">
        <f ca="1">IFERROR(__xludf.DUMMYFUNCTION("""COMPUTED_VALUE"""),"REA-U5633")</f>
        <v>REA-U5633</v>
      </c>
    </row>
    <row r="4157" spans="1:5" x14ac:dyDescent="0.2">
      <c r="A4157" s="22">
        <f ca="1">IFERROR(__xludf.DUMMYFUNCTION("""COMPUTED_VALUE"""),44330)</f>
        <v>44330</v>
      </c>
      <c r="B4157" s="23" t="str">
        <f ca="1">IFERROR(__xludf.DUMMYFUNCTION("""COMPUTED_VALUE"""),"Umywalka blatowa")</f>
        <v>Umywalka blatowa</v>
      </c>
      <c r="C4157" s="23" t="str">
        <f ca="1">IFERROR(__xludf.DUMMYFUNCTION("""COMPUTED_VALUE"""),"Linda")</f>
        <v>Linda</v>
      </c>
      <c r="D4157" s="24">
        <f ca="1">IFERROR(__xludf.DUMMYFUNCTION("""COMPUTED_VALUE"""),189)</f>
        <v>189</v>
      </c>
      <c r="E4157" s="26" t="str">
        <f ca="1">IFERROR(__xludf.DUMMYFUNCTION("""COMPUTED_VALUE"""),"REA-U0462")</f>
        <v>REA-U0462</v>
      </c>
    </row>
    <row r="4158" spans="1:5" x14ac:dyDescent="0.2">
      <c r="A4158" s="22">
        <f ca="1">IFERROR(__xludf.DUMMYFUNCTION("""COMPUTED_VALUE"""),44330)</f>
        <v>44330</v>
      </c>
      <c r="B4158" s="23" t="str">
        <f ca="1">IFERROR(__xludf.DUMMYFUNCTION("""COMPUTED_VALUE"""),"Umywalka podblatowa")</f>
        <v>Umywalka podblatowa</v>
      </c>
      <c r="C4158" s="23" t="str">
        <f ca="1">IFERROR(__xludf.DUMMYFUNCTION("""COMPUTED_VALUE"""),"Nel Gold")</f>
        <v>Nel Gold</v>
      </c>
      <c r="D4158" s="24">
        <f ca="1">IFERROR(__xludf.DUMMYFUNCTION("""COMPUTED_VALUE"""),299)</f>
        <v>299</v>
      </c>
      <c r="E4158" s="26" t="str">
        <f ca="1">IFERROR(__xludf.DUMMYFUNCTION("""COMPUTED_VALUE"""),"REA-U6331")</f>
        <v>REA-U6331</v>
      </c>
    </row>
    <row r="4159" spans="1:5" x14ac:dyDescent="0.2">
      <c r="A4159" s="22">
        <f ca="1">IFERROR(__xludf.DUMMYFUNCTION("""COMPUTED_VALUE"""),44330)</f>
        <v>44330</v>
      </c>
      <c r="B4159" s="23" t="str">
        <f ca="1">IFERROR(__xludf.DUMMYFUNCTION("""COMPUTED_VALUE"""),"Deska sedesowa")</f>
        <v>Deska sedesowa</v>
      </c>
      <c r="C4159" s="23" t="str">
        <f ca="1">IFERROR(__xludf.DUMMYFUNCTION("""COMPUTED_VALUE"""),"Deska Granit Shiny")</f>
        <v>Deska Granit Shiny</v>
      </c>
      <c r="D4159" s="24">
        <f ca="1">IFERROR(__xludf.DUMMYFUNCTION("""COMPUTED_VALUE"""),299)</f>
        <v>299</v>
      </c>
      <c r="E4159" s="26"/>
    </row>
    <row r="4160" spans="1:5" x14ac:dyDescent="0.2">
      <c r="A4160" s="22">
        <f ca="1">IFERROR(__xludf.DUMMYFUNCTION("""COMPUTED_VALUE"""),44328)</f>
        <v>44328</v>
      </c>
      <c r="B4160" s="23" t="str">
        <f ca="1">IFERROR(__xludf.DUMMYFUNCTION("""COMPUTED_VALUE"""),"Deska sedesowa")</f>
        <v>Deska sedesowa</v>
      </c>
      <c r="C4160" s="23" t="str">
        <f ca="1">IFERROR(__xludf.DUMMYFUNCTION("""COMPUTED_VALUE"""),"Deska Lava Matt")</f>
        <v>Deska Lava Matt</v>
      </c>
      <c r="D4160" s="24">
        <f ca="1">IFERROR(__xludf.DUMMYFUNCTION("""COMPUTED_VALUE"""),299)</f>
        <v>299</v>
      </c>
      <c r="E4160" s="26"/>
    </row>
    <row r="4161" spans="1:5" x14ac:dyDescent="0.2">
      <c r="A4161" s="22">
        <f ca="1">IFERROR(__xludf.DUMMYFUNCTION("""COMPUTED_VALUE"""),44328)</f>
        <v>44328</v>
      </c>
      <c r="B4161" s="23" t="str">
        <f ca="1">IFERROR(__xludf.DUMMYFUNCTION("""COMPUTED_VALUE"""),"Misa wisząca")</f>
        <v>Misa wisząca</v>
      </c>
      <c r="C4161" s="23" t="str">
        <f ca="1">IFERROR(__xludf.DUMMYFUNCTION("""COMPUTED_VALUE"""),"Carlo Mini Rimless ABS")</f>
        <v>Carlo Mini Rimless ABS</v>
      </c>
      <c r="D4161" s="28">
        <f ca="1">IFERROR(__xludf.DUMMYFUNCTION("""COMPUTED_VALUE"""),529)</f>
        <v>529</v>
      </c>
      <c r="E4161" s="26" t="str">
        <f ca="1">IFERROR(__xludf.DUMMYFUNCTION("""COMPUTED_VALUE"""),"REA-C1000")</f>
        <v>REA-C1000</v>
      </c>
    </row>
    <row r="4162" spans="1:5" x14ac:dyDescent="0.2">
      <c r="A4162" s="22">
        <f ca="1">IFERROR(__xludf.DUMMYFUNCTION("""COMPUTED_VALUE"""),44328)</f>
        <v>44328</v>
      </c>
      <c r="B4162" s="23" t="str">
        <f ca="1">IFERROR(__xludf.DUMMYFUNCTION("""COMPUTED_VALUE"""),"Umywalka blatowa")</f>
        <v>Umywalka blatowa</v>
      </c>
      <c r="C4162" s="23" t="str">
        <f ca="1">IFERROR(__xludf.DUMMYFUNCTION("""COMPUTED_VALUE"""),"Aura")</f>
        <v>Aura</v>
      </c>
      <c r="D4162" s="24">
        <f ca="1">IFERROR(__xludf.DUMMYFUNCTION("""COMPUTED_VALUE"""),259)</f>
        <v>259</v>
      </c>
      <c r="E4162" s="26" t="str">
        <f ca="1">IFERROR(__xludf.DUMMYFUNCTION("""COMPUTED_VALUE"""),"REA-U7900")</f>
        <v>REA-U7900</v>
      </c>
    </row>
    <row r="4163" spans="1:5" x14ac:dyDescent="0.2">
      <c r="A4163" s="22">
        <f ca="1">IFERROR(__xludf.DUMMYFUNCTION("""COMPUTED_VALUE"""),44328)</f>
        <v>44328</v>
      </c>
      <c r="B4163" s="23" t="str">
        <f ca="1">IFERROR(__xludf.DUMMYFUNCTION("""COMPUTED_VALUE"""),"Umywalka blatowa")</f>
        <v>Umywalka blatowa</v>
      </c>
      <c r="C4163" s="23" t="str">
        <f ca="1">IFERROR(__xludf.DUMMYFUNCTION("""COMPUTED_VALUE"""),"Cleo 81")</f>
        <v>Cleo 81</v>
      </c>
      <c r="D4163" s="24">
        <f ca="1">IFERROR(__xludf.DUMMYFUNCTION("""COMPUTED_VALUE"""),399)</f>
        <v>399</v>
      </c>
      <c r="E4163" s="26" t="str">
        <f ca="1">IFERROR(__xludf.DUMMYFUNCTION("""COMPUTED_VALUE"""),"REA-U0563")</f>
        <v>REA-U0563</v>
      </c>
    </row>
    <row r="4164" spans="1:5" x14ac:dyDescent="0.2">
      <c r="A4164" s="22">
        <f ca="1">IFERROR(__xludf.DUMMYFUNCTION("""COMPUTED_VALUE"""),44328)</f>
        <v>44328</v>
      </c>
      <c r="B4164" s="23" t="str">
        <f ca="1">IFERROR(__xludf.DUMMYFUNCTION("""COMPUTED_VALUE"""),"Umywalka blatowa")</f>
        <v>Umywalka blatowa</v>
      </c>
      <c r="C4164" s="23" t="str">
        <f ca="1">IFERROR(__xludf.DUMMYFUNCTION("""COMPUTED_VALUE"""),"Linda Mini")</f>
        <v>Linda Mini</v>
      </c>
      <c r="D4164" s="24">
        <f ca="1">IFERROR(__xludf.DUMMYFUNCTION("""COMPUTED_VALUE"""),159)</f>
        <v>159</v>
      </c>
      <c r="E4164" s="26" t="str">
        <f ca="1">IFERROR(__xludf.DUMMYFUNCTION("""COMPUTED_VALUE"""),"REA-U8856")</f>
        <v>REA-U8856</v>
      </c>
    </row>
    <row r="4165" spans="1:5" x14ac:dyDescent="0.2">
      <c r="A4165" s="22">
        <f ca="1">IFERROR(__xludf.DUMMYFUNCTION("""COMPUTED_VALUE"""),44328)</f>
        <v>44328</v>
      </c>
      <c r="B4165" s="23" t="str">
        <f ca="1">IFERROR(__xludf.DUMMYFUNCTION("""COMPUTED_VALUE"""),"Umywalka blatowa")</f>
        <v>Umywalka blatowa</v>
      </c>
      <c r="C4165" s="23" t="str">
        <f ca="1">IFERROR(__xludf.DUMMYFUNCTION("""COMPUTED_VALUE"""),"Denis Black Matt")</f>
        <v>Denis Black Matt</v>
      </c>
      <c r="D4165" s="24">
        <f ca="1">IFERROR(__xludf.DUMMYFUNCTION("""COMPUTED_VALUE"""),459)</f>
        <v>459</v>
      </c>
      <c r="E4165" s="26" t="str">
        <f ca="1">IFERROR(__xludf.DUMMYFUNCTION("""COMPUTED_VALUE"""),"REA-U3690")</f>
        <v>REA-U3690</v>
      </c>
    </row>
    <row r="4166" spans="1:5" x14ac:dyDescent="0.2">
      <c r="A4166" s="22">
        <f ca="1">IFERROR(__xludf.DUMMYFUNCTION("""COMPUTED_VALUE"""),44328)</f>
        <v>44328</v>
      </c>
      <c r="B4166" s="23" t="str">
        <f ca="1">IFERROR(__xludf.DUMMYFUNCTION("""COMPUTED_VALUE"""),"Umywalka blatowa")</f>
        <v>Umywalka blatowa</v>
      </c>
      <c r="C4166" s="23" t="str">
        <f ca="1">IFERROR(__xludf.DUMMYFUNCTION("""COMPUTED_VALUE"""),"Royal Black")</f>
        <v>Royal Black</v>
      </c>
      <c r="D4166" s="24">
        <f ca="1">IFERROR(__xludf.DUMMYFUNCTION("""COMPUTED_VALUE"""),359)</f>
        <v>359</v>
      </c>
      <c r="E4166" s="26" t="str">
        <f ca="1">IFERROR(__xludf.DUMMYFUNCTION("""COMPUTED_VALUE"""),"REA-U0445")</f>
        <v>REA-U0445</v>
      </c>
    </row>
    <row r="4167" spans="1:5" x14ac:dyDescent="0.2">
      <c r="A4167" s="22">
        <f ca="1">IFERROR(__xludf.DUMMYFUNCTION("""COMPUTED_VALUE"""),44328)</f>
        <v>44328</v>
      </c>
      <c r="B4167" s="23" t="str">
        <f ca="1">IFERROR(__xludf.DUMMYFUNCTION("""COMPUTED_VALUE"""),"Umywalka blatowa")</f>
        <v>Umywalka blatowa</v>
      </c>
      <c r="C4167" s="23" t="str">
        <f ca="1">IFERROR(__xludf.DUMMYFUNCTION("""COMPUTED_VALUE"""),"Belinda Black/White")</f>
        <v>Belinda Black/White</v>
      </c>
      <c r="D4167" s="24">
        <f ca="1">IFERROR(__xludf.DUMMYFUNCTION("""COMPUTED_VALUE"""),369)</f>
        <v>369</v>
      </c>
      <c r="E4167" s="26" t="str">
        <f ca="1">IFERROR(__xludf.DUMMYFUNCTION("""COMPUTED_VALUE"""),"REA-U6332")</f>
        <v>REA-U6332</v>
      </c>
    </row>
    <row r="4168" spans="1:5" x14ac:dyDescent="0.2">
      <c r="A4168" s="22">
        <f ca="1">IFERROR(__xludf.DUMMYFUNCTION("""COMPUTED_VALUE"""),44328)</f>
        <v>44328</v>
      </c>
      <c r="B4168" s="23" t="str">
        <f ca="1">IFERROR(__xludf.DUMMYFUNCTION("""COMPUTED_VALUE"""),"Umywalka Blatowa")</f>
        <v>Umywalka Blatowa</v>
      </c>
      <c r="C4168" s="23" t="str">
        <f ca="1">IFERROR(__xludf.DUMMYFUNCTION("""COMPUTED_VALUE"""),"Melania Black")</f>
        <v>Melania Black</v>
      </c>
      <c r="D4168" s="24">
        <f ca="1">IFERROR(__xludf.DUMMYFUNCTION("""COMPUTED_VALUE"""),299)</f>
        <v>299</v>
      </c>
      <c r="E4168" s="26" t="str">
        <f ca="1">IFERROR(__xludf.DUMMYFUNCTION("""COMPUTED_VALUE"""),"REA-U0470")</f>
        <v>REA-U0470</v>
      </c>
    </row>
    <row r="4169" spans="1:5" x14ac:dyDescent="0.2">
      <c r="A4169" s="22">
        <f ca="1">IFERROR(__xludf.DUMMYFUNCTION("""COMPUTED_VALUE"""),44328)</f>
        <v>44328</v>
      </c>
      <c r="B4169" s="23" t="str">
        <f ca="1">IFERROR(__xludf.DUMMYFUNCTION("""COMPUTED_VALUE"""),"Umywalka blatowa")</f>
        <v>Umywalka blatowa</v>
      </c>
      <c r="C4169" s="23" t="str">
        <f ca="1">IFERROR(__xludf.DUMMYFUNCTION("""COMPUTED_VALUE"""),"Pearl Black Shiny")</f>
        <v>Pearl Black Shiny</v>
      </c>
      <c r="D4169" s="24">
        <f ca="1">IFERROR(__xludf.DUMMYFUNCTION("""COMPUTED_VALUE"""),449)</f>
        <v>449</v>
      </c>
      <c r="E4169" s="26" t="str">
        <f ca="1">IFERROR(__xludf.DUMMYFUNCTION("""COMPUTED_VALUE"""),"REA-U0858")</f>
        <v>REA-U0858</v>
      </c>
    </row>
    <row r="4170" spans="1:5" x14ac:dyDescent="0.2">
      <c r="A4170" s="22">
        <f ca="1">IFERROR(__xludf.DUMMYFUNCTION("""COMPUTED_VALUE"""),44328)</f>
        <v>44328</v>
      </c>
      <c r="B4170" s="23" t="str">
        <f ca="1">IFERROR(__xludf.DUMMYFUNCTION("""COMPUTED_VALUE"""),"Umywalka blatowa")</f>
        <v>Umywalka blatowa</v>
      </c>
      <c r="C4170" s="23" t="str">
        <f ca="1">IFERROR(__xludf.DUMMYFUNCTION("""COMPUTED_VALUE"""),"Pearl Granit")</f>
        <v>Pearl Granit</v>
      </c>
      <c r="D4170" s="24">
        <f ca="1">IFERROR(__xludf.DUMMYFUNCTION("""COMPUTED_VALUE"""),399)</f>
        <v>399</v>
      </c>
      <c r="E4170" s="26" t="str">
        <f ca="1">IFERROR(__xludf.DUMMYFUNCTION("""COMPUTED_VALUE"""),"REA-U0857")</f>
        <v>REA-U0857</v>
      </c>
    </row>
    <row r="4171" spans="1:5" x14ac:dyDescent="0.2">
      <c r="A4171" s="22">
        <f ca="1">IFERROR(__xludf.DUMMYFUNCTION("""COMPUTED_VALUE"""),44321)</f>
        <v>44321</v>
      </c>
      <c r="B4171" s="23" t="str">
        <f ca="1">IFERROR(__xludf.DUMMYFUNCTION("""COMPUTED_VALUE"""),"Umywalka blatowa")</f>
        <v>Umywalka blatowa</v>
      </c>
      <c r="C4171" s="23" t="str">
        <f ca="1">IFERROR(__xludf.DUMMYFUNCTION("""COMPUTED_VALUE"""),"Arte Grey")</f>
        <v>Arte Grey</v>
      </c>
      <c r="D4171" s="24">
        <f ca="1">IFERROR(__xludf.DUMMYFUNCTION("""COMPUTED_VALUE"""),449)</f>
        <v>449</v>
      </c>
      <c r="E4171" s="26" t="str">
        <f ca="1">IFERROR(__xludf.DUMMYFUNCTION("""COMPUTED_VALUE"""),"REA-U0266")</f>
        <v>REA-U0266</v>
      </c>
    </row>
    <row r="4172" spans="1:5" x14ac:dyDescent="0.2">
      <c r="A4172" s="22">
        <f ca="1">IFERROR(__xludf.DUMMYFUNCTION("""COMPUTED_VALUE"""),44321)</f>
        <v>44321</v>
      </c>
      <c r="B4172" s="23" t="str">
        <f ca="1">IFERROR(__xludf.DUMMYFUNCTION("""COMPUTED_VALUE"""),"Umywalka blatowa")</f>
        <v>Umywalka blatowa</v>
      </c>
      <c r="C4172" s="23" t="str">
        <f ca="1">IFERROR(__xludf.DUMMYFUNCTION("""COMPUTED_VALUE"""),"Pearl Gold Edge")</f>
        <v>Pearl Gold Edge</v>
      </c>
      <c r="D4172" s="24">
        <f ca="1">IFERROR(__xludf.DUMMYFUNCTION("""COMPUTED_VALUE"""),399)</f>
        <v>399</v>
      </c>
      <c r="E4172" s="26" t="str">
        <f ca="1">IFERROR(__xludf.DUMMYFUNCTION("""COMPUTED_VALUE"""),"REA-U0696")</f>
        <v>REA-U0696</v>
      </c>
    </row>
    <row r="4173" spans="1:5" x14ac:dyDescent="0.2">
      <c r="A4173" s="22">
        <f ca="1">IFERROR(__xludf.DUMMYFUNCTION("""COMPUTED_VALUE"""),44321)</f>
        <v>44321</v>
      </c>
      <c r="B4173" s="23" t="str">
        <f ca="1">IFERROR(__xludf.DUMMYFUNCTION("""COMPUTED_VALUE"""),"Umywalka blatowa")</f>
        <v>Umywalka blatowa</v>
      </c>
      <c r="C4173" s="23" t="str">
        <f ca="1">IFERROR(__xludf.DUMMYFUNCTION("""COMPUTED_VALUE"""),"Pearl")</f>
        <v>Pearl</v>
      </c>
      <c r="D4173" s="24">
        <f ca="1">IFERROR(__xludf.DUMMYFUNCTION("""COMPUTED_VALUE"""),279)</f>
        <v>279</v>
      </c>
      <c r="E4173" s="26" t="str">
        <f ca="1">IFERROR(__xludf.DUMMYFUNCTION("""COMPUTED_VALUE"""),"REA-U0265")</f>
        <v>REA-U0265</v>
      </c>
    </row>
    <row r="4174" spans="1:5" x14ac:dyDescent="0.2">
      <c r="A4174" s="22">
        <f ca="1">IFERROR(__xludf.DUMMYFUNCTION("""COMPUTED_VALUE"""),44321)</f>
        <v>44321</v>
      </c>
      <c r="B4174" s="23" t="str">
        <f ca="1">IFERROR(__xludf.DUMMYFUNCTION("""COMPUTED_VALUE"""),"Misa wisząca")</f>
        <v>Misa wisząca</v>
      </c>
      <c r="C4174" s="23" t="str">
        <f ca="1">IFERROR(__xludf.DUMMYFUNCTION("""COMPUTED_VALUE"""),"Carlos Lava Matt")</f>
        <v>Carlos Lava Matt</v>
      </c>
      <c r="D4174" s="24">
        <f ca="1">IFERROR(__xludf.DUMMYFUNCTION("""COMPUTED_VALUE"""),1399)</f>
        <v>1399</v>
      </c>
      <c r="E4174" s="26" t="str">
        <f ca="1">IFERROR(__xludf.DUMMYFUNCTION("""COMPUTED_VALUE"""),"REA-C8004")</f>
        <v>REA-C8004</v>
      </c>
    </row>
    <row r="4175" spans="1:5" x14ac:dyDescent="0.2">
      <c r="A4175" s="22">
        <f ca="1">IFERROR(__xludf.DUMMYFUNCTION("""COMPUTED_VALUE"""),44321)</f>
        <v>44321</v>
      </c>
      <c r="B4175" s="23" t="str">
        <f ca="1">IFERROR(__xludf.DUMMYFUNCTION("""COMPUTED_VALUE"""),"Misa wisząca")</f>
        <v>Misa wisząca</v>
      </c>
      <c r="C4175" s="23" t="str">
        <f ca="1">IFERROR(__xludf.DUMMYFUNCTION("""COMPUTED_VALUE"""),"Carlos granit Matt")</f>
        <v>Carlos granit Matt</v>
      </c>
      <c r="D4175" s="24">
        <f ca="1">IFERROR(__xludf.DUMMYFUNCTION("""COMPUTED_VALUE"""),1399)</f>
        <v>1399</v>
      </c>
      <c r="E4175" s="26" t="str">
        <f ca="1">IFERROR(__xludf.DUMMYFUNCTION("""COMPUTED_VALUE"""),"REA-C8003")</f>
        <v>REA-C8003</v>
      </c>
    </row>
    <row r="4176" spans="1:5" x14ac:dyDescent="0.2">
      <c r="A4176" s="22">
        <f ca="1">IFERROR(__xludf.DUMMYFUNCTION("""COMPUTED_VALUE"""),44321)</f>
        <v>44321</v>
      </c>
      <c r="B4176" s="23" t="str">
        <f ca="1">IFERROR(__xludf.DUMMYFUNCTION("""COMPUTED_VALUE"""),"Misa wisząca")</f>
        <v>Misa wisząca</v>
      </c>
      <c r="C4176" s="23" t="str">
        <f ca="1">IFERROR(__xludf.DUMMYFUNCTION("""COMPUTED_VALUE"""),"Carlos Granit Shiny")</f>
        <v>Carlos Granit Shiny</v>
      </c>
      <c r="D4176" s="24">
        <f ca="1">IFERROR(__xludf.DUMMYFUNCTION("""COMPUTED_VALUE"""),1299)</f>
        <v>1299</v>
      </c>
      <c r="E4176" s="26" t="str">
        <f ca="1">IFERROR(__xludf.DUMMYFUNCTION("""COMPUTED_VALUE"""),"REA-C8002")</f>
        <v>REA-C8002</v>
      </c>
    </row>
    <row r="4177" spans="1:5" x14ac:dyDescent="0.2">
      <c r="A4177" s="22">
        <f ca="1">IFERROR(__xludf.DUMMYFUNCTION("""COMPUTED_VALUE"""),44321)</f>
        <v>44321</v>
      </c>
      <c r="B4177" s="23" t="str">
        <f ca="1">IFERROR(__xludf.DUMMYFUNCTION("""COMPUTED_VALUE"""),"Umywalka blatowa")</f>
        <v>Umywalka blatowa</v>
      </c>
      <c r="C4177" s="23" t="str">
        <f ca="1">IFERROR(__xludf.DUMMYFUNCTION("""COMPUTED_VALUE"""),"Sami marble")</f>
        <v>Sami marble</v>
      </c>
      <c r="D4177" s="24">
        <f ca="1">IFERROR(__xludf.DUMMYFUNCTION("""COMPUTED_VALUE"""),269)</f>
        <v>269</v>
      </c>
      <c r="E4177" s="26" t="str">
        <f ca="1">IFERROR(__xludf.DUMMYFUNCTION("""COMPUTED_VALUE"""),"REA-U5685")</f>
        <v>REA-U5685</v>
      </c>
    </row>
    <row r="4178" spans="1:5" x14ac:dyDescent="0.2">
      <c r="A4178" s="22">
        <f ca="1">IFERROR(__xludf.DUMMYFUNCTION("""COMPUTED_VALUE"""),44321)</f>
        <v>44321</v>
      </c>
      <c r="B4178" s="23" t="str">
        <f ca="1">IFERROR(__xludf.DUMMYFUNCTION("""COMPUTED_VALUE"""),"Misa wisząca")</f>
        <v>Misa wisząca</v>
      </c>
      <c r="C4178" s="23" t="str">
        <f ca="1">IFERROR(__xludf.DUMMYFUNCTION("""COMPUTED_VALUE"""),"Martin White")</f>
        <v>Martin White</v>
      </c>
      <c r="D4178" s="24">
        <f ca="1">IFERROR(__xludf.DUMMYFUNCTION("""COMPUTED_VALUE"""),579)</f>
        <v>579</v>
      </c>
      <c r="E4178" s="26" t="str">
        <f ca="1">IFERROR(__xludf.DUMMYFUNCTION("""COMPUTED_VALUE"""),"REA-C8006")</f>
        <v>REA-C8006</v>
      </c>
    </row>
    <row r="4179" spans="1:5" x14ac:dyDescent="0.2">
      <c r="A4179" s="22">
        <f ca="1">IFERROR(__xludf.DUMMYFUNCTION("""COMPUTED_VALUE"""),44321)</f>
        <v>44321</v>
      </c>
      <c r="B4179" s="23" t="str">
        <f ca="1">IFERROR(__xludf.DUMMYFUNCTION("""COMPUTED_VALUE"""),"Misa wisząca z deską slim")</f>
        <v>Misa wisząca z deską slim</v>
      </c>
      <c r="C4179" s="23" t="str">
        <f ca="1">IFERROR(__xludf.DUMMYFUNCTION("""COMPUTED_VALUE"""),"Carlos Terazzo")</f>
        <v>Carlos Terazzo</v>
      </c>
      <c r="D4179" s="24">
        <f ca="1">IFERROR(__xludf.DUMMYFUNCTION("""COMPUTED_VALUE"""),1299)</f>
        <v>1299</v>
      </c>
      <c r="E4179" s="26" t="str">
        <f ca="1">IFERROR(__xludf.DUMMYFUNCTION("""COMPUTED_VALUE"""),"REA-C8005")</f>
        <v>REA-C8005</v>
      </c>
    </row>
    <row r="4180" spans="1:5" x14ac:dyDescent="0.2">
      <c r="A4180" s="22">
        <f ca="1">IFERROR(__xludf.DUMMYFUNCTION("""COMPUTED_VALUE"""),44321)</f>
        <v>44321</v>
      </c>
      <c r="B4180" s="23" t="str">
        <f ca="1">IFERROR(__xludf.DUMMYFUNCTION("""COMPUTED_VALUE"""),"Umywalka blatowa")</f>
        <v>Umywalka blatowa</v>
      </c>
      <c r="C4180" s="23" t="str">
        <f ca="1">IFERROR(__xludf.DUMMYFUNCTION("""COMPUTED_VALUE"""),"Amelia Terazzo")</f>
        <v>Amelia Terazzo</v>
      </c>
      <c r="D4180" s="24">
        <f ca="1">IFERROR(__xludf.DUMMYFUNCTION("""COMPUTED_VALUE"""),299)</f>
        <v>299</v>
      </c>
      <c r="E4180" s="26" t="str">
        <f ca="1">IFERROR(__xludf.DUMMYFUNCTION("""COMPUTED_VALUE"""),"REA-U6593")</f>
        <v>REA-U6593</v>
      </c>
    </row>
    <row r="4181" spans="1:5" x14ac:dyDescent="0.2">
      <c r="A4181" s="22">
        <f ca="1">IFERROR(__xludf.DUMMYFUNCTION("""COMPUTED_VALUE"""),44321)</f>
        <v>44321</v>
      </c>
      <c r="B4181" s="23" t="str">
        <f ca="1">IFERROR(__xludf.DUMMYFUNCTION("""COMPUTED_VALUE"""),"Umywalka blatowa")</f>
        <v>Umywalka blatowa</v>
      </c>
      <c r="C4181" s="23" t="str">
        <f ca="1">IFERROR(__xludf.DUMMYFUNCTION("""COMPUTED_VALUE"""),"Olga Terazzo")</f>
        <v>Olga Terazzo</v>
      </c>
      <c r="D4181" s="24">
        <f ca="1">IFERROR(__xludf.DUMMYFUNCTION("""COMPUTED_VALUE"""),359)</f>
        <v>359</v>
      </c>
      <c r="E4181" s="26" t="str">
        <f ca="1">IFERROR(__xludf.DUMMYFUNCTION("""COMPUTED_VALUE"""),"REA-U5692")</f>
        <v>REA-U5692</v>
      </c>
    </row>
    <row r="4182" spans="1:5" x14ac:dyDescent="0.2">
      <c r="A4182" s="22">
        <f ca="1">IFERROR(__xludf.DUMMYFUNCTION("""COMPUTED_VALUE"""),44321)</f>
        <v>44321</v>
      </c>
      <c r="B4182" s="23" t="str">
        <f ca="1">IFERROR(__xludf.DUMMYFUNCTION("""COMPUTED_VALUE"""),"Bateria umywalkowa niska")</f>
        <v>Bateria umywalkowa niska</v>
      </c>
      <c r="C4182" s="23" t="str">
        <f ca="1">IFERROR(__xludf.DUMMYFUNCTION("""COMPUTED_VALUE"""),"Lungo Art L.Gold")</f>
        <v>Lungo Art L.Gold</v>
      </c>
      <c r="D4182" s="24">
        <f ca="1">IFERROR(__xludf.DUMMYFUNCTION("""COMPUTED_VALUE"""),249)</f>
        <v>249</v>
      </c>
      <c r="E4182" s="26" t="str">
        <f ca="1">IFERROR(__xludf.DUMMYFUNCTION("""COMPUTED_VALUE"""),"REA-B6322")</f>
        <v>REA-B6322</v>
      </c>
    </row>
    <row r="4183" spans="1:5" x14ac:dyDescent="0.2">
      <c r="A4183" s="22">
        <f ca="1">IFERROR(__xludf.DUMMYFUNCTION("""COMPUTED_VALUE"""),44326)</f>
        <v>44326</v>
      </c>
      <c r="B4183" s="23" t="str">
        <f ca="1">IFERROR(__xludf.DUMMYFUNCTION("""COMPUTED_VALUE"""),"Bateria umywalkowa wysoka")</f>
        <v>Bateria umywalkowa wysoka</v>
      </c>
      <c r="C4183" s="23" t="str">
        <f ca="1">IFERROR(__xludf.DUMMYFUNCTION("""COMPUTED_VALUE"""),"Lungo Art L.Gold")</f>
        <v>Lungo Art L.Gold</v>
      </c>
      <c r="D4183" s="24">
        <f ca="1">IFERROR(__xludf.DUMMYFUNCTION("""COMPUTED_VALUE"""),279)</f>
        <v>279</v>
      </c>
      <c r="E4183" s="26" t="str">
        <f ca="1">IFERROR(__xludf.DUMMYFUNCTION("""COMPUTED_VALUE"""),"REA-B8821")</f>
        <v>REA-B8821</v>
      </c>
    </row>
    <row r="4184" spans="1:5" x14ac:dyDescent="0.2">
      <c r="A4184" s="22">
        <f ca="1">IFERROR(__xludf.DUMMYFUNCTION("""COMPUTED_VALUE"""),44321)</f>
        <v>44321</v>
      </c>
      <c r="B4184" s="23" t="str">
        <f ca="1">IFERROR(__xludf.DUMMYFUNCTION("""COMPUTED_VALUE"""),"Uniwersalny syfon z korkiem klik-klak")</f>
        <v>Uniwersalny syfon z korkiem klik-klak</v>
      </c>
      <c r="C4184" s="23" t="str">
        <f ca="1">IFERROR(__xludf.DUMMYFUNCTION("""COMPUTED_VALUE"""),"l.gold matt(szczotkowany)")</f>
        <v>l.gold matt(szczotkowany)</v>
      </c>
      <c r="D4184" s="24">
        <f ca="1">IFERROR(__xludf.DUMMYFUNCTION("""COMPUTED_VALUE"""),189)</f>
        <v>189</v>
      </c>
      <c r="E4184" s="26" t="str">
        <f ca="1">IFERROR(__xludf.DUMMYFUNCTION("""COMPUTED_VALUE"""),"REA-A8586")</f>
        <v>REA-A8586</v>
      </c>
    </row>
    <row r="4185" spans="1:5" x14ac:dyDescent="0.2">
      <c r="A4185" s="22">
        <f ca="1">IFERROR(__xludf.DUMMYFUNCTION("""COMPUTED_VALUE"""),44321)</f>
        <v>44321</v>
      </c>
      <c r="B4185" s="23" t="str">
        <f ca="1">IFERROR(__xludf.DUMMYFUNCTION("""COMPUTED_VALUE"""),"Uniwersalny korek klik-klak")</f>
        <v>Uniwersalny korek klik-klak</v>
      </c>
      <c r="C4185" s="23" t="str">
        <f ca="1">IFERROR(__xludf.DUMMYFUNCTION("""COMPUTED_VALUE"""),"l.gold matt(szczotkowany)")</f>
        <v>l.gold matt(szczotkowany)</v>
      </c>
      <c r="D4185" s="24">
        <f ca="1">IFERROR(__xludf.DUMMYFUNCTION("""COMPUTED_VALUE"""),69)</f>
        <v>69</v>
      </c>
      <c r="E4185" s="26" t="str">
        <f ca="1">IFERROR(__xludf.DUMMYFUNCTION("""COMPUTED_VALUE"""),"REA-B0253")</f>
        <v>REA-B0253</v>
      </c>
    </row>
    <row r="4186" spans="1:5" x14ac:dyDescent="0.2">
      <c r="A4186" s="22">
        <f ca="1">IFERROR(__xludf.DUMMYFUNCTION("""COMPUTED_VALUE"""),44323)</f>
        <v>44323</v>
      </c>
      <c r="B4186" s="23" t="str">
        <f ca="1">IFERROR(__xludf.DUMMYFUNCTION("""COMPUTED_VALUE"""),"Bateria umywalkowa niska")</f>
        <v>Bateria umywalkowa niska</v>
      </c>
      <c r="C4186" s="23" t="str">
        <f ca="1">IFERROR(__xludf.DUMMYFUNCTION("""COMPUTED_VALUE"""),"Falcon Black")</f>
        <v>Falcon Black</v>
      </c>
      <c r="D4186" s="24">
        <f ca="1">IFERROR(__xludf.DUMMYFUNCTION("""COMPUTED_VALUE"""),229)</f>
        <v>229</v>
      </c>
      <c r="E4186" s="26" t="str">
        <f ca="1">IFERROR(__xludf.DUMMYFUNCTION("""COMPUTED_VALUE"""),"REA-B5687")</f>
        <v>REA-B5687</v>
      </c>
    </row>
    <row r="4187" spans="1:5" x14ac:dyDescent="0.2">
      <c r="A4187" s="22">
        <f ca="1">IFERROR(__xludf.DUMMYFUNCTION("""COMPUTED_VALUE"""),44323)</f>
        <v>44323</v>
      </c>
      <c r="B4187" s="23" t="str">
        <f ca="1">IFERROR(__xludf.DUMMYFUNCTION("""COMPUTED_VALUE"""),"Bateria bidetowa")</f>
        <v>Bateria bidetowa</v>
      </c>
      <c r="C4187" s="23" t="str">
        <f ca="1">IFERROR(__xludf.DUMMYFUNCTION("""COMPUTED_VALUE"""),"Fenix Black")</f>
        <v>Fenix Black</v>
      </c>
      <c r="D4187" s="24">
        <f ca="1">IFERROR(__xludf.DUMMYFUNCTION("""COMPUTED_VALUE"""),319)</f>
        <v>319</v>
      </c>
      <c r="E4187" s="26" t="str">
        <f ca="1">IFERROR(__xludf.DUMMYFUNCTION("""COMPUTED_VALUE"""),"REA-B6351")</f>
        <v>REA-B6351</v>
      </c>
    </row>
    <row r="4188" spans="1:5" x14ac:dyDescent="0.2">
      <c r="A4188" s="22">
        <f ca="1">IFERROR(__xludf.DUMMYFUNCTION("""COMPUTED_VALUE"""),44323)</f>
        <v>44323</v>
      </c>
      <c r="B4188" s="23" t="str">
        <f ca="1">IFERROR(__xludf.DUMMYFUNCTION("""COMPUTED_VALUE"""),"Bateria umywalkowa wysoka")</f>
        <v>Bateria umywalkowa wysoka</v>
      </c>
      <c r="C4188" s="23" t="str">
        <f ca="1">IFERROR(__xludf.DUMMYFUNCTION("""COMPUTED_VALUE"""),"Salto Black/Gold")</f>
        <v>Salto Black/Gold</v>
      </c>
      <c r="D4188" s="24">
        <f ca="1">IFERROR(__xludf.DUMMYFUNCTION("""COMPUTED_VALUE"""),299)</f>
        <v>299</v>
      </c>
      <c r="E4188" s="26"/>
    </row>
    <row r="4189" spans="1:5" x14ac:dyDescent="0.2">
      <c r="A4189" s="22">
        <f ca="1">IFERROR(__xludf.DUMMYFUNCTION("""COMPUTED_VALUE"""),44323)</f>
        <v>44323</v>
      </c>
      <c r="B4189" s="23" t="str">
        <f ca="1">IFERROR(__xludf.DUMMYFUNCTION("""COMPUTED_VALUE"""),"Bateria wannowa 3-otworowa")</f>
        <v>Bateria wannowa 3-otworowa</v>
      </c>
      <c r="C4189" s="23" t="str">
        <f ca="1">IFERROR(__xludf.DUMMYFUNCTION("""COMPUTED_VALUE"""),"Sonic Black")</f>
        <v>Sonic Black</v>
      </c>
      <c r="D4189" s="24">
        <f ca="1">IFERROR(__xludf.DUMMYFUNCTION("""COMPUTED_VALUE"""),579)</f>
        <v>579</v>
      </c>
      <c r="E4189" s="26" t="str">
        <f ca="1">IFERROR(__xludf.DUMMYFUNCTION("""COMPUTED_VALUE"""),"REA-B4415")</f>
        <v>REA-B4415</v>
      </c>
    </row>
    <row r="4190" spans="1:5" x14ac:dyDescent="0.2">
      <c r="A4190" s="22">
        <f ca="1">IFERROR(__xludf.DUMMYFUNCTION("""COMPUTED_VALUE"""),44323)</f>
        <v>44323</v>
      </c>
      <c r="B4190" s="23" t="str">
        <f ca="1">IFERROR(__xludf.DUMMYFUNCTION("""COMPUTED_VALUE"""),"Bateria umywalkowa wysoka")</f>
        <v>Bateria umywalkowa wysoka</v>
      </c>
      <c r="C4190" s="23" t="str">
        <f ca="1">IFERROR(__xludf.DUMMYFUNCTION("""COMPUTED_VALUE"""),"Duet Gold")</f>
        <v>Duet Gold</v>
      </c>
      <c r="D4190" s="24">
        <f ca="1">IFERROR(__xludf.DUMMYFUNCTION("""COMPUTED_VALUE"""),379)</f>
        <v>379</v>
      </c>
      <c r="E4190" s="26" t="str">
        <f ca="1">IFERROR(__xludf.DUMMYFUNCTION("""COMPUTED_VALUE"""),"REA-B4413")</f>
        <v>REA-B4413</v>
      </c>
    </row>
    <row r="4191" spans="1:5" x14ac:dyDescent="0.2">
      <c r="A4191" s="22">
        <f ca="1">IFERROR(__xludf.DUMMYFUNCTION("""COMPUTED_VALUE"""),44323)</f>
        <v>44323</v>
      </c>
      <c r="B4191" s="23" t="str">
        <f ca="1">IFERROR(__xludf.DUMMYFUNCTION("""COMPUTED_VALUE"""),"Bateria umywalkowa niska")</f>
        <v>Bateria umywalkowa niska</v>
      </c>
      <c r="C4191" s="23" t="str">
        <f ca="1">IFERROR(__xludf.DUMMYFUNCTION("""COMPUTED_VALUE"""),"Duet Gold")</f>
        <v>Duet Gold</v>
      </c>
      <c r="D4191" s="24">
        <f ca="1">IFERROR(__xludf.DUMMYFUNCTION("""COMPUTED_VALUE"""),269)</f>
        <v>269</v>
      </c>
      <c r="E4191" s="26" t="str">
        <f ca="1">IFERROR(__xludf.DUMMYFUNCTION("""COMPUTED_VALUE"""),"REA-B8865")</f>
        <v>REA-B8865</v>
      </c>
    </row>
    <row r="4192" spans="1:5" x14ac:dyDescent="0.2">
      <c r="A4192" s="22">
        <f ca="1">IFERROR(__xludf.DUMMYFUNCTION("""COMPUTED_VALUE"""),44323)</f>
        <v>44323</v>
      </c>
      <c r="B4192" s="23" t="str">
        <f ca="1">IFERROR(__xludf.DUMMYFUNCTION("""COMPUTED_VALUE"""),"Bateria umywalkowa niska")</f>
        <v>Bateria umywalkowa niska</v>
      </c>
      <c r="C4192" s="23" t="str">
        <f ca="1">IFERROR(__xludf.DUMMYFUNCTION("""COMPUTED_VALUE"""),"Tess l.gold")</f>
        <v>Tess l.gold</v>
      </c>
      <c r="D4192" s="24">
        <f ca="1">IFERROR(__xludf.DUMMYFUNCTION("""COMPUTED_VALUE"""),189)</f>
        <v>189</v>
      </c>
      <c r="E4192" s="26" t="str">
        <f ca="1">IFERROR(__xludf.DUMMYFUNCTION("""COMPUTED_VALUE"""),"REA-U1890")</f>
        <v>REA-U1890</v>
      </c>
    </row>
    <row r="4193" spans="1:5" x14ac:dyDescent="0.2">
      <c r="A4193" s="22">
        <f ca="1">IFERROR(__xludf.DUMMYFUNCTION("""COMPUTED_VALUE"""),44323)</f>
        <v>44323</v>
      </c>
      <c r="B4193" s="23" t="str">
        <f ca="1">IFERROR(__xludf.DUMMYFUNCTION("""COMPUTED_VALUE"""),"Umywalka blatowa")</f>
        <v>Umywalka blatowa</v>
      </c>
      <c r="C4193" s="23" t="str">
        <f ca="1">IFERROR(__xludf.DUMMYFUNCTION("""COMPUTED_VALUE"""),"Stella Black Mat")</f>
        <v>Stella Black Mat</v>
      </c>
      <c r="D4193" s="24">
        <f ca="1">IFERROR(__xludf.DUMMYFUNCTION("""COMPUTED_VALUE"""),369)</f>
        <v>369</v>
      </c>
      <c r="E4193" s="26" t="str">
        <f ca="1">IFERROR(__xludf.DUMMYFUNCTION("""COMPUTED_VALUE"""),"REA-U8198")</f>
        <v>REA-U8198</v>
      </c>
    </row>
    <row r="4194" spans="1:5" x14ac:dyDescent="0.2">
      <c r="A4194" s="22">
        <f ca="1">IFERROR(__xludf.DUMMYFUNCTION("""COMPUTED_VALUE"""),44323)</f>
        <v>44323</v>
      </c>
      <c r="B4194" s="23" t="str">
        <f ca="1">IFERROR(__xludf.DUMMYFUNCTION("""COMPUTED_VALUE"""),"Umywalka blatowa")</f>
        <v>Umywalka blatowa</v>
      </c>
      <c r="C4194" s="23" t="str">
        <f ca="1">IFERROR(__xludf.DUMMYFUNCTION("""COMPUTED_VALUE"""),"Carola SLIM")</f>
        <v>Carola SLIM</v>
      </c>
      <c r="D4194" s="24">
        <f ca="1">IFERROR(__xludf.DUMMYFUNCTION("""COMPUTED_VALUE"""),209)</f>
        <v>209</v>
      </c>
      <c r="E4194" s="26" t="str">
        <f ca="1">IFERROR(__xludf.DUMMYFUNCTION("""COMPUTED_VALUE"""),"REA-U0190")</f>
        <v>REA-U0190</v>
      </c>
    </row>
    <row r="4195" spans="1:5" x14ac:dyDescent="0.2">
      <c r="A4195" s="22">
        <f ca="1">IFERROR(__xludf.DUMMYFUNCTION("""COMPUTED_VALUE"""),44323)</f>
        <v>44323</v>
      </c>
      <c r="B4195" s="23" t="str">
        <f ca="1">IFERROR(__xludf.DUMMYFUNCTION("""COMPUTED_VALUE"""),"Umywalka ceramiczna wpuszczana")</f>
        <v>Umywalka ceramiczna wpuszczana</v>
      </c>
      <c r="C4195" s="23" t="str">
        <f ca="1">IFERROR(__xludf.DUMMYFUNCTION("""COMPUTED_VALUE"""),"Dafne ""70""")</f>
        <v>Dafne "70"</v>
      </c>
      <c r="D4195" s="24">
        <f ca="1">IFERROR(__xludf.DUMMYFUNCTION("""COMPUTED_VALUE"""),269)</f>
        <v>269</v>
      </c>
      <c r="E4195" s="26" t="str">
        <f ca="1">IFERROR(__xludf.DUMMYFUNCTION("""COMPUTED_VALUE"""),"REA-U0190")</f>
        <v>REA-U0190</v>
      </c>
    </row>
    <row r="4196" spans="1:5" x14ac:dyDescent="0.2">
      <c r="A4196" s="22">
        <f ca="1">IFERROR(__xludf.DUMMYFUNCTION("""COMPUTED_VALUE"""),44323)</f>
        <v>44323</v>
      </c>
      <c r="B4196" s="23" t="str">
        <f ca="1">IFERROR(__xludf.DUMMYFUNCTION("""COMPUTED_VALUE"""),"Umywalka blatowa")</f>
        <v>Umywalka blatowa</v>
      </c>
      <c r="C4196" s="23" t="str">
        <f ca="1">IFERROR(__xludf.DUMMYFUNCTION("""COMPUTED_VALUE"""),"Ida Rose Gold")</f>
        <v>Ida Rose Gold</v>
      </c>
      <c r="D4196" s="24">
        <f ca="1">IFERROR(__xludf.DUMMYFUNCTION("""COMPUTED_VALUE"""),359)</f>
        <v>359</v>
      </c>
      <c r="E4196" s="26" t="str">
        <f ca="1">IFERROR(__xludf.DUMMYFUNCTION("""COMPUTED_VALUE"""),"REA-U8197")</f>
        <v>REA-U8197</v>
      </c>
    </row>
    <row r="4197" spans="1:5" x14ac:dyDescent="0.2">
      <c r="A4197" s="22">
        <f ca="1">IFERROR(__xludf.DUMMYFUNCTION("""COMPUTED_VALUE"""),44323)</f>
        <v>44323</v>
      </c>
      <c r="B4197" s="23" t="str">
        <f ca="1">IFERROR(__xludf.DUMMYFUNCTION("""COMPUTED_VALUE"""),"Umywalka blatowa")</f>
        <v>Umywalka blatowa</v>
      </c>
      <c r="C4197" s="23" t="str">
        <f ca="1">IFERROR(__xludf.DUMMYFUNCTION("""COMPUTED_VALUE"""),"Laura SLIM")</f>
        <v>Laura SLIM</v>
      </c>
      <c r="D4197" s="24">
        <f ca="1">IFERROR(__xludf.DUMMYFUNCTION("""COMPUTED_VALUE"""),209)</f>
        <v>209</v>
      </c>
      <c r="E4197" s="26" t="str">
        <f ca="1">IFERROR(__xludf.DUMMYFUNCTION("""COMPUTED_VALUE"""),"REA-U1060")</f>
        <v>REA-U1060</v>
      </c>
    </row>
    <row r="4198" spans="1:5" x14ac:dyDescent="0.2">
      <c r="A4198" s="22">
        <f ca="1">IFERROR(__xludf.DUMMYFUNCTION("""COMPUTED_VALUE"""),44323)</f>
        <v>44323</v>
      </c>
      <c r="B4198" s="23" t="str">
        <f ca="1">IFERROR(__xludf.DUMMYFUNCTION("""COMPUTED_VALUE"""),"Umywalka blatowa")</f>
        <v>Umywalka blatowa</v>
      </c>
      <c r="C4198" s="23" t="str">
        <f ca="1">IFERROR(__xludf.DUMMYFUNCTION("""COMPUTED_VALUE"""),"Olga")</f>
        <v>Olga</v>
      </c>
      <c r="D4198" s="24">
        <f ca="1">IFERROR(__xludf.DUMMYFUNCTION("""COMPUTED_VALUE"""),199)</f>
        <v>199</v>
      </c>
      <c r="E4198" s="26" t="str">
        <f ca="1">IFERROR(__xludf.DUMMYFUNCTION("""COMPUTED_VALUE"""),"REA-U1801")</f>
        <v>REA-U1801</v>
      </c>
    </row>
    <row r="4199" spans="1:5" x14ac:dyDescent="0.2">
      <c r="A4199" s="22">
        <f ca="1">IFERROR(__xludf.DUMMYFUNCTION("""COMPUTED_VALUE"""),44323)</f>
        <v>44323</v>
      </c>
      <c r="B4199" s="23" t="str">
        <f ca="1">IFERROR(__xludf.DUMMYFUNCTION("""COMPUTED_VALUE"""),"Umywalka blatowa")</f>
        <v>Umywalka blatowa</v>
      </c>
      <c r="C4199" s="23" t="str">
        <f ca="1">IFERROR(__xludf.DUMMYFUNCTION("""COMPUTED_VALUE"""),"Sami Gold White")</f>
        <v>Sami Gold White</v>
      </c>
      <c r="D4199" s="24">
        <f ca="1">IFERROR(__xludf.DUMMYFUNCTION("""COMPUTED_VALUE"""),389)</f>
        <v>389</v>
      </c>
      <c r="E4199" s="26" t="str">
        <f ca="1">IFERROR(__xludf.DUMMYFUNCTION("""COMPUTED_VALUE"""),"REA-U1802")</f>
        <v>REA-U1802</v>
      </c>
    </row>
    <row r="4200" spans="1:5" x14ac:dyDescent="0.2">
      <c r="A4200" s="22">
        <f ca="1">IFERROR(__xludf.DUMMYFUNCTION("""COMPUTED_VALUE"""),44323)</f>
        <v>44323</v>
      </c>
      <c r="B4200" s="23" t="str">
        <f ca="1">IFERROR(__xludf.DUMMYFUNCTION("""COMPUTED_VALUE"""),"Umywalka blatowa")</f>
        <v>Umywalka blatowa</v>
      </c>
      <c r="C4200" s="23" t="str">
        <f ca="1">IFERROR(__xludf.DUMMYFUNCTION("""COMPUTED_VALUE"""),"Sami Rose Gold")</f>
        <v>Sami Rose Gold</v>
      </c>
      <c r="D4200" s="24">
        <f ca="1">IFERROR(__xludf.DUMMYFUNCTION("""COMPUTED_VALUE"""),389)</f>
        <v>389</v>
      </c>
      <c r="E4200" s="26" t="str">
        <f ca="1">IFERROR(__xludf.DUMMYFUNCTION("""COMPUTED_VALUE"""),"REA-U1878")</f>
        <v>REA-U1878</v>
      </c>
    </row>
    <row r="4201" spans="1:5" x14ac:dyDescent="0.2">
      <c r="A4201" s="22">
        <f ca="1">IFERROR(__xludf.DUMMYFUNCTION("""COMPUTED_VALUE"""),44323)</f>
        <v>44323</v>
      </c>
      <c r="B4201" s="23" t="str">
        <f ca="1">IFERROR(__xludf.DUMMYFUNCTION("""COMPUTED_VALUE"""),"Umywalka blatowa")</f>
        <v>Umywalka blatowa</v>
      </c>
      <c r="C4201" s="23" t="str">
        <f ca="1">IFERROR(__xludf.DUMMYFUNCTION("""COMPUTED_VALUE"""),"Stella")</f>
        <v>Stella</v>
      </c>
      <c r="D4201" s="24">
        <f ca="1">IFERROR(__xludf.DUMMYFUNCTION("""COMPUTED_VALUE"""),169)</f>
        <v>169</v>
      </c>
      <c r="E4201" s="26" t="str">
        <f ca="1">IFERROR(__xludf.DUMMYFUNCTION("""COMPUTED_VALUE"""),"REA-U5000")</f>
        <v>REA-U5000</v>
      </c>
    </row>
    <row r="4202" spans="1:5" x14ac:dyDescent="0.2">
      <c r="A4202" s="22">
        <f ca="1">IFERROR(__xludf.DUMMYFUNCTION("""COMPUTED_VALUE"""),44321)</f>
        <v>44321</v>
      </c>
      <c r="B4202" s="23" t="str">
        <f ca="1">IFERROR(__xludf.DUMMYFUNCTION("""COMPUTED_VALUE"""),"Umywalka ścienna/blatowa")</f>
        <v>Umywalka ścienna/blatowa</v>
      </c>
      <c r="C4202" s="23" t="str">
        <f ca="1">IFERROR(__xludf.DUMMYFUNCTION("""COMPUTED_VALUE"""),"Valeria ""N""")</f>
        <v>Valeria "N"</v>
      </c>
      <c r="D4202" s="24">
        <f ca="1">IFERROR(__xludf.DUMMYFUNCTION("""COMPUTED_VALUE"""),239)</f>
        <v>239</v>
      </c>
      <c r="E4202" s="26" t="str">
        <f ca="1">IFERROR(__xludf.DUMMYFUNCTION("""COMPUTED_VALUE"""),"REA-U5000")</f>
        <v>REA-U5000</v>
      </c>
    </row>
    <row r="4203" spans="1:5" x14ac:dyDescent="0.2">
      <c r="A4203" s="22">
        <f ca="1">IFERROR(__xludf.DUMMYFUNCTION("""COMPUTED_VALUE"""),44321)</f>
        <v>44321</v>
      </c>
      <c r="B4203" s="23" t="str">
        <f ca="1">IFERROR(__xludf.DUMMYFUNCTION("""COMPUTED_VALUE"""),"Umywalka blatowa")</f>
        <v>Umywalka blatowa</v>
      </c>
      <c r="C4203" s="23" t="str">
        <f ca="1">IFERROR(__xludf.DUMMYFUNCTION("""COMPUTED_VALUE"""),"BONITA")</f>
        <v>BONITA</v>
      </c>
      <c r="D4203" s="28">
        <f ca="1">IFERROR(__xludf.DUMMYFUNCTION("""COMPUTED_VALUE"""),239)</f>
        <v>239</v>
      </c>
      <c r="E4203" s="26" t="str">
        <f ca="1">IFERROR(__xludf.DUMMYFUNCTION("""COMPUTED_VALUE"""),"REA-U8701")</f>
        <v>REA-U8701</v>
      </c>
    </row>
    <row r="4204" spans="1:5" x14ac:dyDescent="0.2">
      <c r="A4204" s="22">
        <f ca="1">IFERROR(__xludf.DUMMYFUNCTION("""COMPUTED_VALUE"""),44321)</f>
        <v>44321</v>
      </c>
      <c r="B4204" s="23" t="str">
        <f ca="1">IFERROR(__xludf.DUMMYFUNCTION("""COMPUTED_VALUE"""),"MISKA WISZĄCA Z DESKĄ Z ABS BEZRANTOWA")</f>
        <v>MISKA WISZĄCA Z DESKĄ Z ABS BEZRANTOWA</v>
      </c>
      <c r="C4204" s="23" t="str">
        <f ca="1">IFERROR(__xludf.DUMMYFUNCTION("""COMPUTED_VALUE"""),"CARLO MINI RIMLESS BASIC")</f>
        <v>CARLO MINI RIMLESS BASIC</v>
      </c>
      <c r="D4204" s="28">
        <f ca="1">IFERROR(__xludf.DUMMYFUNCTION("""COMPUTED_VALUE"""),529)</f>
        <v>529</v>
      </c>
      <c r="E4204" s="26" t="str">
        <f ca="1">IFERROR(__xludf.DUMMYFUNCTION("""COMPUTED_VALUE"""),"REA-C6200")</f>
        <v>REA-C6200</v>
      </c>
    </row>
    <row r="4205" spans="1:5" x14ac:dyDescent="0.2">
      <c r="A4205" s="22">
        <f ca="1">IFERROR(__xludf.DUMMYFUNCTION("""COMPUTED_VALUE"""),44321)</f>
        <v>44321</v>
      </c>
      <c r="B4205" s="23" t="str">
        <f ca="1">IFERROR(__xludf.DUMMYFUNCTION("""COMPUTED_VALUE"""),"Umywalka wpuszczana")</f>
        <v>Umywalka wpuszczana</v>
      </c>
      <c r="C4205" s="23" t="str">
        <f ca="1">IFERROR(__xludf.DUMMYFUNCTION("""COMPUTED_VALUE"""),"Arleta")</f>
        <v>Arleta</v>
      </c>
      <c r="D4205" s="24">
        <f ca="1">IFERROR(__xludf.DUMMYFUNCTION("""COMPUTED_VALUE"""),219)</f>
        <v>219</v>
      </c>
      <c r="E4205" s="26" t="str">
        <f ca="1">IFERROR(__xludf.DUMMYFUNCTION("""COMPUTED_VALUE"""),"REA-U8700")</f>
        <v>REA-U8700</v>
      </c>
    </row>
    <row r="4206" spans="1:5" x14ac:dyDescent="0.2">
      <c r="A4206" s="22">
        <f ca="1">IFERROR(__xludf.DUMMYFUNCTION("""COMPUTED_VALUE"""),44321)</f>
        <v>44321</v>
      </c>
      <c r="B4206" s="23" t="str">
        <f ca="1">IFERROR(__xludf.DUMMYFUNCTION("""COMPUTED_VALUE"""),"Umywalka blatowa")</f>
        <v>Umywalka blatowa</v>
      </c>
      <c r="C4206" s="23" t="str">
        <f ca="1">IFERROR(__xludf.DUMMYFUNCTION("""COMPUTED_VALUE"""),"Sami Apogeo Mat")</f>
        <v>Sami Apogeo Mat</v>
      </c>
      <c r="D4206" s="24">
        <f ca="1">IFERROR(__xludf.DUMMYFUNCTION("""COMPUTED_VALUE"""),329)</f>
        <v>329</v>
      </c>
      <c r="E4206" s="26" t="str">
        <f ca="1">IFERROR(__xludf.DUMMYFUNCTION("""COMPUTED_VALUE"""),"REA-U5608")</f>
        <v>REA-U5608</v>
      </c>
    </row>
    <row r="4207" spans="1:5" x14ac:dyDescent="0.2">
      <c r="A4207" s="22">
        <f ca="1">IFERROR(__xludf.DUMMYFUNCTION("""COMPUTED_VALUE"""),44321)</f>
        <v>44321</v>
      </c>
      <c r="B4207" s="23" t="str">
        <f ca="1">IFERROR(__xludf.DUMMYFUNCTION("""COMPUTED_VALUE"""),"Umywalka blatowa")</f>
        <v>Umywalka blatowa</v>
      </c>
      <c r="C4207" s="23" t="str">
        <f ca="1">IFERROR(__xludf.DUMMYFUNCTION("""COMPUTED_VALUE"""),"Belinda Marble Mat")</f>
        <v>Belinda Marble Mat</v>
      </c>
      <c r="D4207" s="24">
        <f ca="1">IFERROR(__xludf.DUMMYFUNCTION("""COMPUTED_VALUE"""),269)</f>
        <v>269</v>
      </c>
      <c r="E4207" s="26" t="str">
        <f ca="1">IFERROR(__xludf.DUMMYFUNCTION("""COMPUTED_VALUE"""),"REA-U8702")</f>
        <v>REA-U8702</v>
      </c>
    </row>
    <row r="4208" spans="1:5" x14ac:dyDescent="0.2">
      <c r="A4208" s="22">
        <f ca="1">IFERROR(__xludf.DUMMYFUNCTION("""COMPUTED_VALUE"""),44321)</f>
        <v>44321</v>
      </c>
      <c r="B4208" s="23" t="str">
        <f ca="1">IFERROR(__xludf.DUMMYFUNCTION("""COMPUTED_VALUE"""),"Kabina prysznicowa")</f>
        <v>Kabina prysznicowa</v>
      </c>
      <c r="C4208" s="23" t="str">
        <f ca="1">IFERROR(__xludf.DUMMYFUNCTION("""COMPUTED_VALUE"""),"Madox U 90x90")</f>
        <v>Madox U 90x90</v>
      </c>
      <c r="D4208" s="24">
        <f ca="1">IFERROR(__xludf.DUMMYFUNCTION("""COMPUTED_VALUE"""),1169)</f>
        <v>1169</v>
      </c>
      <c r="E4208" s="26" t="str">
        <f ca="1">IFERROR(__xludf.DUMMYFUNCTION("""COMPUTED_VALUE"""),"REA-K4527")</f>
        <v>REA-K4527</v>
      </c>
    </row>
    <row r="4209" spans="1:5" x14ac:dyDescent="0.2">
      <c r="A4209" s="22">
        <f ca="1">IFERROR(__xludf.DUMMYFUNCTION("""COMPUTED_VALUE"""),44321)</f>
        <v>44321</v>
      </c>
      <c r="B4209" s="23" t="str">
        <f ca="1">IFERROR(__xludf.DUMMYFUNCTION("""COMPUTED_VALUE"""),"Kabina prysznicowa")</f>
        <v>Kabina prysznicowa</v>
      </c>
      <c r="C4209" s="23" t="str">
        <f ca="1">IFERROR(__xludf.DUMMYFUNCTION("""COMPUTED_VALUE"""),"Madox U 80x100")</f>
        <v>Madox U 80x100</v>
      </c>
      <c r="D4209" s="24">
        <f ca="1">IFERROR(__xludf.DUMMYFUNCTION("""COMPUTED_VALUE"""),975)</f>
        <v>975</v>
      </c>
      <c r="E4209" s="26" t="str">
        <f ca="1">IFERROR(__xludf.DUMMYFUNCTION("""COMPUTED_VALUE"""),"REA-K4512")</f>
        <v>REA-K4512</v>
      </c>
    </row>
    <row r="4210" spans="1:5" x14ac:dyDescent="0.2">
      <c r="A4210" s="22">
        <f ca="1">IFERROR(__xludf.DUMMYFUNCTION("""COMPUTED_VALUE"""),44321)</f>
        <v>44321</v>
      </c>
      <c r="B4210" s="23" t="str">
        <f ca="1">IFERROR(__xludf.DUMMYFUNCTION("""COMPUTED_VALUE"""),"Kabina prysznicowa")</f>
        <v>Kabina prysznicowa</v>
      </c>
      <c r="C4210" s="23" t="str">
        <f ca="1">IFERROR(__xludf.DUMMYFUNCTION("""COMPUTED_VALUE"""),"Madox U 90x120")</f>
        <v>Madox U 90x120</v>
      </c>
      <c r="D4210" s="24">
        <f ca="1">IFERROR(__xludf.DUMMYFUNCTION("""COMPUTED_VALUE"""),1029)</f>
        <v>1029</v>
      </c>
      <c r="E4210" s="26" t="str">
        <f ca="1">IFERROR(__xludf.DUMMYFUNCTION("""COMPUTED_VALUE"""),"REA-K5630")</f>
        <v>REA-K5630</v>
      </c>
    </row>
    <row r="4211" spans="1:5" x14ac:dyDescent="0.2">
      <c r="A4211" s="22">
        <f ca="1">IFERROR(__xludf.DUMMYFUNCTION("""COMPUTED_VALUE"""),44321)</f>
        <v>44321</v>
      </c>
      <c r="B4211" s="23" t="str">
        <f ca="1">IFERROR(__xludf.DUMMYFUNCTION("""COMPUTED_VALUE"""),"Kabina prysznicowa")</f>
        <v>Kabina prysznicowa</v>
      </c>
      <c r="C4211" s="23" t="str">
        <f ca="1">IFERROR(__xludf.DUMMYFUNCTION("""COMPUTED_VALUE"""),"Marten 80x100")</f>
        <v>Marten 80x100</v>
      </c>
      <c r="D4211" s="24">
        <f ca="1">IFERROR(__xludf.DUMMYFUNCTION("""COMPUTED_VALUE"""),1249)</f>
        <v>1249</v>
      </c>
      <c r="E4211" s="26" t="str">
        <f ca="1">IFERROR(__xludf.DUMMYFUNCTION("""COMPUTED_VALUE"""),"REA-K4000")</f>
        <v>REA-K4000</v>
      </c>
    </row>
    <row r="4212" spans="1:5" x14ac:dyDescent="0.2">
      <c r="A4212" s="22">
        <f ca="1">IFERROR(__xludf.DUMMYFUNCTION("""COMPUTED_VALUE"""),44321)</f>
        <v>44321</v>
      </c>
      <c r="B4212" s="23" t="str">
        <f ca="1">IFERROR(__xludf.DUMMYFUNCTION("""COMPUTED_VALUE"""),"Kabina prysznicowa")</f>
        <v>Kabina prysznicowa</v>
      </c>
      <c r="C4212" s="23" t="str">
        <f ca="1">IFERROR(__xludf.DUMMYFUNCTION("""COMPUTED_VALUE"""),"Maxim 80x80 Lewa")</f>
        <v>Maxim 80x80 Lewa</v>
      </c>
      <c r="D4212" s="24">
        <f ca="1">IFERROR(__xludf.DUMMYFUNCTION("""COMPUTED_VALUE"""),799)</f>
        <v>799</v>
      </c>
      <c r="E4212" s="26" t="str">
        <f ca="1">IFERROR(__xludf.DUMMYFUNCTION("""COMPUTED_VALUE"""),"REA-K0264")</f>
        <v>REA-K0264</v>
      </c>
    </row>
    <row r="4213" spans="1:5" x14ac:dyDescent="0.2">
      <c r="A4213" s="22">
        <f ca="1">IFERROR(__xludf.DUMMYFUNCTION("""COMPUTED_VALUE"""),44321)</f>
        <v>44321</v>
      </c>
      <c r="B4213" s="23" t="str">
        <f ca="1">IFERROR(__xludf.DUMMYFUNCTION("""COMPUTED_VALUE"""),"Kabina prysznicowa")</f>
        <v>Kabina prysznicowa</v>
      </c>
      <c r="C4213" s="23" t="str">
        <f ca="1">IFERROR(__xludf.DUMMYFUNCTION("""COMPUTED_VALUE"""),"Maxim 80x80 Prawa")</f>
        <v>Maxim 80x80 Prawa</v>
      </c>
      <c r="D4213" s="24">
        <f ca="1">IFERROR(__xludf.DUMMYFUNCTION("""COMPUTED_VALUE"""),799)</f>
        <v>799</v>
      </c>
      <c r="E4213" s="26" t="str">
        <f ca="1">IFERROR(__xludf.DUMMYFUNCTION("""COMPUTED_VALUE"""),"REA-K0268")</f>
        <v>REA-K0268</v>
      </c>
    </row>
    <row r="4214" spans="1:5" x14ac:dyDescent="0.2">
      <c r="A4214" s="22">
        <f ca="1">IFERROR(__xludf.DUMMYFUNCTION("""COMPUTED_VALUE"""),44321)</f>
        <v>44321</v>
      </c>
      <c r="B4214" s="23" t="str">
        <f ca="1">IFERROR(__xludf.DUMMYFUNCTION("""COMPUTED_VALUE"""),"Kabina prysznicowa")</f>
        <v>Kabina prysznicowa</v>
      </c>
      <c r="C4214" s="23" t="str">
        <f ca="1">IFERROR(__xludf.DUMMYFUNCTION("""COMPUTED_VALUE"""),"Maxim 90x90 Lewa")</f>
        <v>Maxim 90x90 Lewa</v>
      </c>
      <c r="D4214" s="24">
        <f ca="1">IFERROR(__xludf.DUMMYFUNCTION("""COMPUTED_VALUE"""),829)</f>
        <v>829</v>
      </c>
      <c r="E4214" s="26" t="str">
        <f ca="1">IFERROR(__xludf.DUMMYFUNCTION("""COMPUTED_VALUE"""),"REA-K0263")</f>
        <v>REA-K0263</v>
      </c>
    </row>
    <row r="4215" spans="1:5" x14ac:dyDescent="0.2">
      <c r="A4215" s="22">
        <f ca="1">IFERROR(__xludf.DUMMYFUNCTION("""COMPUTED_VALUE"""),44321)</f>
        <v>44321</v>
      </c>
      <c r="B4215" s="23" t="str">
        <f ca="1">IFERROR(__xludf.DUMMYFUNCTION("""COMPUTED_VALUE"""),"Kabina prysznicowa")</f>
        <v>Kabina prysznicowa</v>
      </c>
      <c r="C4215" s="23" t="str">
        <f ca="1">IFERROR(__xludf.DUMMYFUNCTION("""COMPUTED_VALUE"""),"Maxim 90x90 Prawa")</f>
        <v>Maxim 90x90 Prawa</v>
      </c>
      <c r="D4215" s="24">
        <f ca="1">IFERROR(__xludf.DUMMYFUNCTION("""COMPUTED_VALUE"""),829)</f>
        <v>829</v>
      </c>
      <c r="E4215" s="26" t="str">
        <f ca="1">IFERROR(__xludf.DUMMYFUNCTION("""COMPUTED_VALUE"""),"REA-K0267")</f>
        <v>REA-K0267</v>
      </c>
    </row>
    <row r="4216" spans="1:5" x14ac:dyDescent="0.2">
      <c r="A4216" s="22">
        <f ca="1">IFERROR(__xludf.DUMMYFUNCTION("""COMPUTED_VALUE"""),44321)</f>
        <v>44321</v>
      </c>
      <c r="B4216" s="23" t="str">
        <f ca="1">IFERROR(__xludf.DUMMYFUNCTION("""COMPUTED_VALUE"""),"Kabina prysznicowa")</f>
        <v>Kabina prysznicowa</v>
      </c>
      <c r="C4216" s="23" t="str">
        <f ca="1">IFERROR(__xludf.DUMMYFUNCTION("""COMPUTED_VALUE"""),"Morgan 90x90")</f>
        <v>Morgan 90x90</v>
      </c>
      <c r="D4216" s="24">
        <f ca="1">IFERROR(__xludf.DUMMYFUNCTION("""COMPUTED_VALUE"""),1279)</f>
        <v>1279</v>
      </c>
      <c r="E4216" s="26" t="str">
        <f ca="1">IFERROR(__xludf.DUMMYFUNCTION("""COMPUTED_VALUE"""),"REA-K7400")</f>
        <v>REA-K7400</v>
      </c>
    </row>
    <row r="4217" spans="1:5" x14ac:dyDescent="0.2">
      <c r="A4217" s="22">
        <f ca="1">IFERROR(__xludf.DUMMYFUNCTION("""COMPUTED_VALUE"""),44321)</f>
        <v>44321</v>
      </c>
      <c r="B4217" s="23" t="str">
        <f ca="1">IFERROR(__xludf.DUMMYFUNCTION("""COMPUTED_VALUE"""),"Kabina prysznicowa")</f>
        <v>Kabina prysznicowa</v>
      </c>
      <c r="C4217" s="23" t="str">
        <f ca="1">IFERROR(__xludf.DUMMYFUNCTION("""COMPUTED_VALUE"""),"Morgan 80x120")</f>
        <v>Morgan 80x120</v>
      </c>
      <c r="D4217" s="24">
        <f ca="1">IFERROR(__xludf.DUMMYFUNCTION("""COMPUTED_VALUE"""),1339)</f>
        <v>1339</v>
      </c>
      <c r="E4217" s="26" t="str">
        <f ca="1">IFERROR(__xludf.DUMMYFUNCTION("""COMPUTED_VALUE"""),"REA-K7402")</f>
        <v>REA-K7402</v>
      </c>
    </row>
    <row r="4218" spans="1:5" x14ac:dyDescent="0.2">
      <c r="A4218" s="22">
        <f ca="1">IFERROR(__xludf.DUMMYFUNCTION("""COMPUTED_VALUE"""),44321)</f>
        <v>44321</v>
      </c>
      <c r="B4218" s="23" t="str">
        <f ca="1">IFERROR(__xludf.DUMMYFUNCTION("""COMPUTED_VALUE"""),"Ścianka prysznicowa")</f>
        <v>Ścianka prysznicowa</v>
      </c>
      <c r="C4218" s="23" t="str">
        <f ca="1">IFERROR(__xludf.DUMMYFUNCTION("""COMPUTED_VALUE"""),"SLIDE PRO 80")</f>
        <v>SLIDE PRO 80</v>
      </c>
      <c r="D4218" s="24">
        <f ca="1">IFERROR(__xludf.DUMMYFUNCTION("""COMPUTED_VALUE"""),459)</f>
        <v>459</v>
      </c>
      <c r="E4218" s="26" t="str">
        <f ca="1">IFERROR(__xludf.DUMMYFUNCTION("""COMPUTED_VALUE"""),"REA-K8751")</f>
        <v>REA-K8751</v>
      </c>
    </row>
    <row r="4219" spans="1:5" x14ac:dyDescent="0.2">
      <c r="A4219" s="22">
        <f ca="1">IFERROR(__xludf.DUMMYFUNCTION("""COMPUTED_VALUE"""),44321)</f>
        <v>44321</v>
      </c>
      <c r="B4219" s="23" t="str">
        <f ca="1">IFERROR(__xludf.DUMMYFUNCTION("""COMPUTED_VALUE"""),"Ścianka prysznicowa")</f>
        <v>Ścianka prysznicowa</v>
      </c>
      <c r="C4219" s="23" t="str">
        <f ca="1">IFERROR(__xludf.DUMMYFUNCTION("""COMPUTED_VALUE"""),"SLIDE PRO 90")</f>
        <v>SLIDE PRO 90</v>
      </c>
      <c r="D4219" s="24">
        <f ca="1">IFERROR(__xludf.DUMMYFUNCTION("""COMPUTED_VALUE"""),469)</f>
        <v>469</v>
      </c>
      <c r="E4219" s="26" t="str">
        <f ca="1">IFERROR(__xludf.DUMMYFUNCTION("""COMPUTED_VALUE"""),"REA-K8752")</f>
        <v>REA-K8752</v>
      </c>
    </row>
    <row r="4220" spans="1:5" x14ac:dyDescent="0.2">
      <c r="A4220" s="22">
        <f ca="1">IFERROR(__xludf.DUMMYFUNCTION("""COMPUTED_VALUE"""),44321)</f>
        <v>44321</v>
      </c>
      <c r="B4220" s="23" t="str">
        <f ca="1">IFERROR(__xludf.DUMMYFUNCTION("""COMPUTED_VALUE"""),"Wanna wolnostojąca")</f>
        <v>Wanna wolnostojąca</v>
      </c>
      <c r="C4220" s="23" t="str">
        <f ca="1">IFERROR(__xludf.DUMMYFUNCTION("""COMPUTED_VALUE"""),"Silvano 1700")</f>
        <v>Silvano 1700</v>
      </c>
      <c r="D4220" s="24">
        <f ca="1">IFERROR(__xludf.DUMMYFUNCTION("""COMPUTED_VALUE"""),3599)</f>
        <v>3599</v>
      </c>
      <c r="E4220" s="26" t="str">
        <f ca="1">IFERROR(__xludf.DUMMYFUNCTION("""COMPUTED_VALUE"""),"REA-W0105")</f>
        <v>REA-W0105</v>
      </c>
    </row>
    <row r="4221" spans="1:5" x14ac:dyDescent="0.2">
      <c r="A4221" s="22">
        <f ca="1">IFERROR(__xludf.DUMMYFUNCTION("""COMPUTED_VALUE"""),44321)</f>
        <v>44321</v>
      </c>
      <c r="B4221" s="23" t="str">
        <f ca="1">IFERROR(__xludf.DUMMYFUNCTION("""COMPUTED_VALUE"""),"Wanna wolnostojąca")</f>
        <v>Wanna wolnostojąca</v>
      </c>
      <c r="C4221" s="23" t="str">
        <f ca="1">IFERROR(__xludf.DUMMYFUNCTION("""COMPUTED_VALUE"""),"Ferrano 1600")</f>
        <v>Ferrano 1600</v>
      </c>
      <c r="D4221" s="24">
        <f ca="1">IFERROR(__xludf.DUMMYFUNCTION("""COMPUTED_VALUE"""),3899)</f>
        <v>3899</v>
      </c>
      <c r="E4221" s="26"/>
    </row>
    <row r="4222" spans="1:5" x14ac:dyDescent="0.2">
      <c r="A4222" s="22">
        <f ca="1">IFERROR(__xludf.DUMMYFUNCTION("""COMPUTED_VALUE"""),44321)</f>
        <v>44321</v>
      </c>
      <c r="B4222" s="23" t="str">
        <f ca="1">IFERROR(__xludf.DUMMYFUNCTION("""COMPUTED_VALUE"""),"Wanna wolnostojąca")</f>
        <v>Wanna wolnostojąca</v>
      </c>
      <c r="C4222" s="23" t="str">
        <f ca="1">IFERROR(__xludf.DUMMYFUNCTION("""COMPUTED_VALUE"""),"Ferrano 1700")</f>
        <v>Ferrano 1700</v>
      </c>
      <c r="D4222" s="24">
        <f ca="1">IFERROR(__xludf.DUMMYFUNCTION("""COMPUTED_VALUE"""),3999)</f>
        <v>3999</v>
      </c>
      <c r="E4222" s="26"/>
    </row>
    <row r="4223" spans="1:5" x14ac:dyDescent="0.2">
      <c r="A4223" s="22">
        <f ca="1">IFERROR(__xludf.DUMMYFUNCTION("""COMPUTED_VALUE"""),44321)</f>
        <v>44321</v>
      </c>
      <c r="B4223" s="23" t="str">
        <f ca="1">IFERROR(__xludf.DUMMYFUNCTION("""COMPUTED_VALUE"""),"Umywalka blatowa")</f>
        <v>Umywalka blatowa</v>
      </c>
      <c r="C4223" s="23" t="str">
        <f ca="1">IFERROR(__xludf.DUMMYFUNCTION("""COMPUTED_VALUE"""),"Kelly")</f>
        <v>Kelly</v>
      </c>
      <c r="D4223" s="24">
        <f ca="1">IFERROR(__xludf.DUMMYFUNCTION("""COMPUTED_VALUE"""),155)</f>
        <v>155</v>
      </c>
      <c r="E4223" s="26" t="str">
        <f ca="1">IFERROR(__xludf.DUMMYFUNCTION("""COMPUTED_VALUE"""),"REA-U6524")</f>
        <v>REA-U6524</v>
      </c>
    </row>
    <row r="4224" spans="1:5" x14ac:dyDescent="0.2">
      <c r="A4224" s="22">
        <f ca="1">IFERROR(__xludf.DUMMYFUNCTION("""COMPUTED_VALUE"""),44321)</f>
        <v>44321</v>
      </c>
      <c r="B4224" s="23" t="str">
        <f ca="1">IFERROR(__xludf.DUMMYFUNCTION("""COMPUTED_VALUE"""),"Umywalka podblatowa")</f>
        <v>Umywalka podblatowa</v>
      </c>
      <c r="C4224" s="23" t="str">
        <f ca="1">IFERROR(__xludf.DUMMYFUNCTION("""COMPUTED_VALUE"""),"Adela")</f>
        <v>Adela</v>
      </c>
      <c r="D4224" s="24">
        <f ca="1">IFERROR(__xludf.DUMMYFUNCTION("""COMPUTED_VALUE"""),129)</f>
        <v>129</v>
      </c>
      <c r="E4224" s="26" t="str">
        <f ca="1">IFERROR(__xludf.DUMMYFUNCTION("""COMPUTED_VALUE"""),"REA-U6653")</f>
        <v>REA-U6653</v>
      </c>
    </row>
    <row r="4225" spans="1:5" x14ac:dyDescent="0.2">
      <c r="A4225" s="22">
        <f ca="1">IFERROR(__xludf.DUMMYFUNCTION("""COMPUTED_VALUE"""),44321)</f>
        <v>44321</v>
      </c>
      <c r="B4225" s="23" t="str">
        <f ca="1">IFERROR(__xludf.DUMMYFUNCTION("""COMPUTED_VALUE"""),"Umywalka blatowa")</f>
        <v>Umywalka blatowa</v>
      </c>
      <c r="C4225" s="23" t="str">
        <f ca="1">IFERROR(__xludf.DUMMYFUNCTION("""COMPUTED_VALUE"""),"Anita 48 ""N""")</f>
        <v>Anita 48 "N"</v>
      </c>
      <c r="D4225" s="24">
        <f ca="1">IFERROR(__xludf.DUMMYFUNCTION("""COMPUTED_VALUE"""),169)</f>
        <v>169</v>
      </c>
      <c r="E4225" s="26" t="str">
        <f ca="1">IFERROR(__xludf.DUMMYFUNCTION("""COMPUTED_VALUE"""),"REA-U0669")</f>
        <v>REA-U0669</v>
      </c>
    </row>
    <row r="4226" spans="1:5" x14ac:dyDescent="0.2">
      <c r="A4226" s="22">
        <f ca="1">IFERROR(__xludf.DUMMYFUNCTION("""COMPUTED_VALUE"""),44321)</f>
        <v>44321</v>
      </c>
      <c r="B4226" s="23" t="str">
        <f ca="1">IFERROR(__xludf.DUMMYFUNCTION("""COMPUTED_VALUE"""),"Umywalka blatowa")</f>
        <v>Umywalka blatowa</v>
      </c>
      <c r="C4226" s="23" t="str">
        <f ca="1">IFERROR(__xludf.DUMMYFUNCTION("""COMPUTED_VALUE"""),"Anita mini")</f>
        <v>Anita mini</v>
      </c>
      <c r="D4226" s="24">
        <f ca="1">IFERROR(__xludf.DUMMYFUNCTION("""COMPUTED_VALUE"""),149)</f>
        <v>149</v>
      </c>
      <c r="E4226" s="26" t="str">
        <f ca="1">IFERROR(__xludf.DUMMYFUNCTION("""COMPUTED_VALUE"""),"REA-U0952")</f>
        <v>REA-U0952</v>
      </c>
    </row>
    <row r="4227" spans="1:5" x14ac:dyDescent="0.2">
      <c r="A4227" s="22">
        <f ca="1">IFERROR(__xludf.DUMMYFUNCTION("""COMPUTED_VALUE"""),44321)</f>
        <v>44321</v>
      </c>
      <c r="B4227" s="23" t="str">
        <f ca="1">IFERROR(__xludf.DUMMYFUNCTION("""COMPUTED_VALUE"""),"Umywalka podblatowa")</f>
        <v>Umywalka podblatowa</v>
      </c>
      <c r="C4227" s="23" t="str">
        <f ca="1">IFERROR(__xludf.DUMMYFUNCTION("""COMPUTED_VALUE"""),"Diana")</f>
        <v>Diana</v>
      </c>
      <c r="D4227" s="24">
        <f ca="1">IFERROR(__xludf.DUMMYFUNCTION("""COMPUTED_VALUE"""),149)</f>
        <v>149</v>
      </c>
      <c r="E4227" s="26" t="str">
        <f ca="1">IFERROR(__xludf.DUMMYFUNCTION("""COMPUTED_VALUE"""),"REA-U6654")</f>
        <v>REA-U6654</v>
      </c>
    </row>
    <row r="4228" spans="1:5" x14ac:dyDescent="0.2">
      <c r="A4228" s="22">
        <f ca="1">IFERROR(__xludf.DUMMYFUNCTION("""COMPUTED_VALUE"""),44321)</f>
        <v>44321</v>
      </c>
      <c r="B4228" s="23" t="str">
        <f ca="1">IFERROR(__xludf.DUMMYFUNCTION("""COMPUTED_VALUE"""),"Umywalka blatowa")</f>
        <v>Umywalka blatowa</v>
      </c>
      <c r="C4228" s="23" t="str">
        <f ca="1">IFERROR(__xludf.DUMMYFUNCTION("""COMPUTED_VALUE"""),"Lara Beige")</f>
        <v>Lara Beige</v>
      </c>
      <c r="D4228" s="24">
        <f ca="1">IFERROR(__xludf.DUMMYFUNCTION("""COMPUTED_VALUE"""),269)</f>
        <v>269</v>
      </c>
      <c r="E4228" s="26" t="str">
        <f ca="1">IFERROR(__xludf.DUMMYFUNCTION("""COMPUTED_VALUE"""),"REA-U9887")</f>
        <v>REA-U9887</v>
      </c>
    </row>
    <row r="4229" spans="1:5" x14ac:dyDescent="0.2">
      <c r="A4229" s="22">
        <f ca="1">IFERROR(__xludf.DUMMYFUNCTION("""COMPUTED_VALUE"""),44321)</f>
        <v>44321</v>
      </c>
      <c r="B4229" s="23" t="str">
        <f ca="1">IFERROR(__xludf.DUMMYFUNCTION("""COMPUTED_VALUE"""),"Umywalka blatowa")</f>
        <v>Umywalka blatowa</v>
      </c>
      <c r="C4229" s="23" t="str">
        <f ca="1">IFERROR(__xludf.DUMMYFUNCTION("""COMPUTED_VALUE"""),"Lara Grey")</f>
        <v>Lara Grey</v>
      </c>
      <c r="D4229" s="24">
        <f ca="1">IFERROR(__xludf.DUMMYFUNCTION("""COMPUTED_VALUE"""),269)</f>
        <v>269</v>
      </c>
      <c r="E4229" s="26" t="str">
        <f ca="1">IFERROR(__xludf.DUMMYFUNCTION("""COMPUTED_VALUE"""),"REA-U9889")</f>
        <v>REA-U9889</v>
      </c>
    </row>
    <row r="4230" spans="1:5" x14ac:dyDescent="0.2">
      <c r="A4230" s="22">
        <f ca="1">IFERROR(__xludf.DUMMYFUNCTION("""COMPUTED_VALUE"""),44321)</f>
        <v>44321</v>
      </c>
      <c r="B4230" s="23" t="str">
        <f ca="1">IFERROR(__xludf.DUMMYFUNCTION("""COMPUTED_VALUE"""),"Umywalka blatowa")</f>
        <v>Umywalka blatowa</v>
      </c>
      <c r="C4230" s="23" t="str">
        <f ca="1">IFERROR(__xludf.DUMMYFUNCTION("""COMPUTED_VALUE"""),"Lara Stone")</f>
        <v>Lara Stone</v>
      </c>
      <c r="D4230" s="24">
        <f ca="1">IFERROR(__xludf.DUMMYFUNCTION("""COMPUTED_VALUE"""),269)</f>
        <v>269</v>
      </c>
      <c r="E4230" s="26" t="str">
        <f ca="1">IFERROR(__xludf.DUMMYFUNCTION("""COMPUTED_VALUE"""),"REA-U9888")</f>
        <v>REA-U9888</v>
      </c>
    </row>
    <row r="4231" spans="1:5" x14ac:dyDescent="0.2">
      <c r="A4231" s="22">
        <f ca="1">IFERROR(__xludf.DUMMYFUNCTION("""COMPUTED_VALUE"""),44321)</f>
        <v>44321</v>
      </c>
      <c r="B4231" s="23" t="str">
        <f ca="1">IFERROR(__xludf.DUMMYFUNCTION("""COMPUTED_VALUE"""),"Umywalka blatowa")</f>
        <v>Umywalka blatowa</v>
      </c>
      <c r="C4231" s="23" t="str">
        <f ca="1">IFERROR(__xludf.DUMMYFUNCTION("""COMPUTED_VALUE"""),"Livia Beige")</f>
        <v>Livia Beige</v>
      </c>
      <c r="D4231" s="24">
        <f ca="1">IFERROR(__xludf.DUMMYFUNCTION("""COMPUTED_VALUE"""),269)</f>
        <v>269</v>
      </c>
      <c r="E4231" s="26" t="str">
        <f ca="1">IFERROR(__xludf.DUMMYFUNCTION("""COMPUTED_VALUE"""),"REA-U3802")</f>
        <v>REA-U3802</v>
      </c>
    </row>
    <row r="4232" spans="1:5" x14ac:dyDescent="0.2">
      <c r="A4232" s="22">
        <f ca="1">IFERROR(__xludf.DUMMYFUNCTION("""COMPUTED_VALUE"""),44321)</f>
        <v>44321</v>
      </c>
      <c r="B4232" s="23" t="str">
        <f ca="1">IFERROR(__xludf.DUMMYFUNCTION("""COMPUTED_VALUE"""),"Umywalka blatowa")</f>
        <v>Umywalka blatowa</v>
      </c>
      <c r="C4232" s="23" t="str">
        <f ca="1">IFERROR(__xludf.DUMMYFUNCTION("""COMPUTED_VALUE"""),"Livia Grey")</f>
        <v>Livia Grey</v>
      </c>
      <c r="D4232" s="24">
        <f ca="1">IFERROR(__xludf.DUMMYFUNCTION("""COMPUTED_VALUE"""),269)</f>
        <v>269</v>
      </c>
      <c r="E4232" s="26" t="str">
        <f ca="1">IFERROR(__xludf.DUMMYFUNCTION("""COMPUTED_VALUE"""),"REA-U3801")</f>
        <v>REA-U3801</v>
      </c>
    </row>
    <row r="4233" spans="1:5" x14ac:dyDescent="0.2">
      <c r="A4233" s="22">
        <f ca="1">IFERROR(__xludf.DUMMYFUNCTION("""COMPUTED_VALUE"""),44313)</f>
        <v>44313</v>
      </c>
      <c r="B4233" s="23" t="str">
        <f ca="1">IFERROR(__xludf.DUMMYFUNCTION("""COMPUTED_VALUE"""),"Umywalka blatowa")</f>
        <v>Umywalka blatowa</v>
      </c>
      <c r="C4233" s="23" t="str">
        <f ca="1">IFERROR(__xludf.DUMMYFUNCTION("""COMPUTED_VALUE"""),"Livia Stone")</f>
        <v>Livia Stone</v>
      </c>
      <c r="D4233" s="24">
        <f ca="1">IFERROR(__xludf.DUMMYFUNCTION("""COMPUTED_VALUE"""),269)</f>
        <v>269</v>
      </c>
      <c r="E4233" s="26" t="str">
        <f ca="1">IFERROR(__xludf.DUMMYFUNCTION("""COMPUTED_VALUE"""),"REA-U3800")</f>
        <v>REA-U3800</v>
      </c>
    </row>
    <row r="4234" spans="1:5" x14ac:dyDescent="0.2">
      <c r="A4234" s="22">
        <f ca="1">IFERROR(__xludf.DUMMYFUNCTION("""COMPUTED_VALUE"""),44313)</f>
        <v>44313</v>
      </c>
      <c r="B4234" s="23" t="str">
        <f ca="1">IFERROR(__xludf.DUMMYFUNCTION("""COMPUTED_VALUE"""),"Umywalka blatowa")</f>
        <v>Umywalka blatowa</v>
      </c>
      <c r="C4234" s="23" t="str">
        <f ca="1">IFERROR(__xludf.DUMMYFUNCTION("""COMPUTED_VALUE"""),"Roxy A STONE D.GREY")</f>
        <v>Roxy A STONE D.GREY</v>
      </c>
      <c r="D4234" s="24">
        <f ca="1">IFERROR(__xludf.DUMMYFUNCTION("""COMPUTED_VALUE"""),269)</f>
        <v>269</v>
      </c>
      <c r="E4234" s="26" t="str">
        <f ca="1">IFERROR(__xludf.DUMMYFUNCTION("""COMPUTED_VALUE"""),"REA-U6649")</f>
        <v>REA-U6649</v>
      </c>
    </row>
    <row r="4235" spans="1:5" x14ac:dyDescent="0.2">
      <c r="A4235" s="22">
        <f ca="1">IFERROR(__xludf.DUMMYFUNCTION("""COMPUTED_VALUE"""),44313)</f>
        <v>44313</v>
      </c>
      <c r="B4235" s="23" t="str">
        <f ca="1">IFERROR(__xludf.DUMMYFUNCTION("""COMPUTED_VALUE"""),"Umywalka blatowa")</f>
        <v>Umywalka blatowa</v>
      </c>
      <c r="C4235" s="23" t="str">
        <f ca="1">IFERROR(__xludf.DUMMYFUNCTION("""COMPUTED_VALUE"""),"Roxy B STONE M.GREY")</f>
        <v>Roxy B STONE M.GREY</v>
      </c>
      <c r="D4235" s="24">
        <f ca="1">IFERROR(__xludf.DUMMYFUNCTION("""COMPUTED_VALUE"""),269)</f>
        <v>269</v>
      </c>
      <c r="E4235" s="26" t="str">
        <f ca="1">IFERROR(__xludf.DUMMYFUNCTION("""COMPUTED_VALUE"""),"REA-U6650")</f>
        <v>REA-U6650</v>
      </c>
    </row>
    <row r="4236" spans="1:5" x14ac:dyDescent="0.2">
      <c r="A4236" s="22">
        <f ca="1">IFERROR(__xludf.DUMMYFUNCTION("""COMPUTED_VALUE"""),44313)</f>
        <v>44313</v>
      </c>
      <c r="B4236" s="23" t="str">
        <f ca="1">IFERROR(__xludf.DUMMYFUNCTION("""COMPUTED_VALUE"""),"Umywalka blatowa")</f>
        <v>Umywalka blatowa</v>
      </c>
      <c r="C4236" s="23" t="str">
        <f ca="1">IFERROR(__xludf.DUMMYFUNCTION("""COMPUTED_VALUE"""),"Roxy C STONE L.GREY")</f>
        <v>Roxy C STONE L.GREY</v>
      </c>
      <c r="D4236" s="24">
        <f ca="1">IFERROR(__xludf.DUMMYFUNCTION("""COMPUTED_VALUE"""),269)</f>
        <v>269</v>
      </c>
      <c r="E4236" s="26" t="str">
        <f ca="1">IFERROR(__xludf.DUMMYFUNCTION("""COMPUTED_VALUE"""),"REA-U6651")</f>
        <v>REA-U6651</v>
      </c>
    </row>
    <row r="4237" spans="1:5" x14ac:dyDescent="0.2">
      <c r="A4237" s="22">
        <f ca="1">IFERROR(__xludf.DUMMYFUNCTION("""COMPUTED_VALUE"""),44313)</f>
        <v>44313</v>
      </c>
      <c r="B4237" s="23" t="str">
        <f ca="1">IFERROR(__xludf.DUMMYFUNCTION("""COMPUTED_VALUE"""),"Umywalka blatowa")</f>
        <v>Umywalka blatowa</v>
      </c>
      <c r="C4237" s="23" t="str">
        <f ca="1">IFERROR(__xludf.DUMMYFUNCTION("""COMPUTED_VALUE"""),"Sofia Black Marble Shiny")</f>
        <v>Sofia Black Marble Shiny</v>
      </c>
      <c r="D4237" s="24">
        <f ca="1">IFERROR(__xludf.DUMMYFUNCTION("""COMPUTED_VALUE"""),269)</f>
        <v>269</v>
      </c>
      <c r="E4237" s="26" t="str">
        <f ca="1">IFERROR(__xludf.DUMMYFUNCTION("""COMPUTED_VALUE"""),"REA-U5611")</f>
        <v>REA-U5611</v>
      </c>
    </row>
    <row r="4238" spans="1:5" x14ac:dyDescent="0.2">
      <c r="A4238" s="22">
        <f ca="1">IFERROR(__xludf.DUMMYFUNCTION("""COMPUTED_VALUE"""),44313)</f>
        <v>44313</v>
      </c>
      <c r="B4238" s="23" t="str">
        <f ca="1">IFERROR(__xludf.DUMMYFUNCTION("""COMPUTED_VALUE"""),"Umywalka blatowa")</f>
        <v>Umywalka blatowa</v>
      </c>
      <c r="C4238" s="23" t="str">
        <f ca="1">IFERROR(__xludf.DUMMYFUNCTION("""COMPUTED_VALUE"""),"Vegas Black Marble Mat")</f>
        <v>Vegas Black Marble Mat</v>
      </c>
      <c r="D4238" s="24">
        <f ca="1">IFERROR(__xludf.DUMMYFUNCTION("""COMPUTED_VALUE"""),329)</f>
        <v>329</v>
      </c>
      <c r="E4238" s="26" t="str">
        <f ca="1">IFERROR(__xludf.DUMMYFUNCTION("""COMPUTED_VALUE"""),"REA-U0994")</f>
        <v>REA-U0994</v>
      </c>
    </row>
    <row r="4239" spans="1:5" x14ac:dyDescent="0.2">
      <c r="A4239" s="22">
        <f ca="1">IFERROR(__xludf.DUMMYFUNCTION("""COMPUTED_VALUE"""),44313)</f>
        <v>44313</v>
      </c>
      <c r="B4239" s="23" t="str">
        <f ca="1">IFERROR(__xludf.DUMMYFUNCTION("""COMPUTED_VALUE"""),"Umywalka blatowa")</f>
        <v>Umywalka blatowa</v>
      </c>
      <c r="C4239" s="23" t="str">
        <f ca="1">IFERROR(__xludf.DUMMYFUNCTION("""COMPUTED_VALUE"""),"Vegas Black Marble Shiny")</f>
        <v>Vegas Black Marble Shiny</v>
      </c>
      <c r="D4239" s="24">
        <f ca="1">IFERROR(__xludf.DUMMYFUNCTION("""COMPUTED_VALUE"""),299)</f>
        <v>299</v>
      </c>
      <c r="E4239" s="26" t="str">
        <f ca="1">IFERROR(__xludf.DUMMYFUNCTION("""COMPUTED_VALUE"""),"REA-U5603")</f>
        <v>REA-U5603</v>
      </c>
    </row>
    <row r="4240" spans="1:5" x14ac:dyDescent="0.2">
      <c r="A4240" s="22">
        <f ca="1">IFERROR(__xludf.DUMMYFUNCTION("""COMPUTED_VALUE"""),44313)</f>
        <v>44313</v>
      </c>
      <c r="B4240" s="23" t="str">
        <f ca="1">IFERROR(__xludf.DUMMYFUNCTION("""COMPUTED_VALUE"""),"Umywalka blatowa")</f>
        <v>Umywalka blatowa</v>
      </c>
      <c r="C4240" s="23" t="str">
        <f ca="1">IFERROR(__xludf.DUMMYFUNCTION("""COMPUTED_VALUE"""),"Vegas Granit Shiny")</f>
        <v>Vegas Granit Shiny</v>
      </c>
      <c r="D4240" s="24">
        <f ca="1">IFERROR(__xludf.DUMMYFUNCTION("""COMPUTED_VALUE"""),329)</f>
        <v>329</v>
      </c>
      <c r="E4240" s="26" t="str">
        <f ca="1">IFERROR(__xludf.DUMMYFUNCTION("""COMPUTED_VALUE"""),"REA-U5602")</f>
        <v>REA-U5602</v>
      </c>
    </row>
    <row r="4241" spans="1:5" x14ac:dyDescent="0.2">
      <c r="A4241" s="22">
        <f ca="1">IFERROR(__xludf.DUMMYFUNCTION("""COMPUTED_VALUE"""),44313)</f>
        <v>44313</v>
      </c>
      <c r="B4241" s="23" t="str">
        <f ca="1">IFERROR(__xludf.DUMMYFUNCTION("""COMPUTED_VALUE"""),"Umywalka blatowa")</f>
        <v>Umywalka blatowa</v>
      </c>
      <c r="C4241" s="23" t="str">
        <f ca="1">IFERROR(__xludf.DUMMYFUNCTION("""COMPUTED_VALUE"""),"Roma")</f>
        <v>Roma</v>
      </c>
      <c r="D4241" s="24">
        <f ca="1">IFERROR(__xludf.DUMMYFUNCTION("""COMPUTED_VALUE"""),319)</f>
        <v>319</v>
      </c>
      <c r="E4241" s="26" t="str">
        <f ca="1">IFERROR(__xludf.DUMMYFUNCTION("""COMPUTED_VALUE"""),"REA-U5600")</f>
        <v>REA-U5600</v>
      </c>
    </row>
    <row r="4242" spans="1:5" x14ac:dyDescent="0.2">
      <c r="A4242" s="22">
        <f ca="1">IFERROR(__xludf.DUMMYFUNCTION("""COMPUTED_VALUE"""),44313)</f>
        <v>44313</v>
      </c>
      <c r="B4242" s="23" t="str">
        <f ca="1">IFERROR(__xludf.DUMMYFUNCTION("""COMPUTED_VALUE"""),"Umywalka blatowa")</f>
        <v>Umywalka blatowa</v>
      </c>
      <c r="C4242" s="23" t="str">
        <f ca="1">IFERROR(__xludf.DUMMYFUNCTION("""COMPUTED_VALUE"""),"Roma Marble Black Mat")</f>
        <v>Roma Marble Black Mat</v>
      </c>
      <c r="D4242" s="24">
        <f ca="1">IFERROR(__xludf.DUMMYFUNCTION("""COMPUTED_VALUE"""),399)</f>
        <v>399</v>
      </c>
      <c r="E4242" s="26" t="str">
        <f ca="1">IFERROR(__xludf.DUMMYFUNCTION("""COMPUTED_VALUE"""),"REA-U5609")</f>
        <v>REA-U5609</v>
      </c>
    </row>
    <row r="4243" spans="1:5" x14ac:dyDescent="0.2">
      <c r="A4243" s="22">
        <f ca="1">IFERROR(__xludf.DUMMYFUNCTION("""COMPUTED_VALUE"""),44313)</f>
        <v>44313</v>
      </c>
      <c r="B4243" s="23" t="str">
        <f ca="1">IFERROR(__xludf.DUMMYFUNCTION("""COMPUTED_VALUE"""),"Umywalka blatowa")</f>
        <v>Umywalka blatowa</v>
      </c>
      <c r="C4243" s="23" t="str">
        <f ca="1">IFERROR(__xludf.DUMMYFUNCTION("""COMPUTED_VALUE"""),"Tango")</f>
        <v>Tango</v>
      </c>
      <c r="D4243" s="24">
        <f ca="1">IFERROR(__xludf.DUMMYFUNCTION("""COMPUTED_VALUE"""),239)</f>
        <v>239</v>
      </c>
      <c r="E4243" s="26" t="str">
        <f ca="1">IFERROR(__xludf.DUMMYFUNCTION("""COMPUTED_VALUE"""),"REA-U5610")</f>
        <v>REA-U5610</v>
      </c>
    </row>
    <row r="4244" spans="1:5" x14ac:dyDescent="0.2">
      <c r="A4244" s="22">
        <f ca="1">IFERROR(__xludf.DUMMYFUNCTION("""COMPUTED_VALUE"""),44308)</f>
        <v>44308</v>
      </c>
      <c r="B4244" s="23" t="str">
        <f ca="1">IFERROR(__xludf.DUMMYFUNCTION("""COMPUTED_VALUE"""),"Umywalka blatowa")</f>
        <v>Umywalka blatowa</v>
      </c>
      <c r="C4244" s="23" t="str">
        <f ca="1">IFERROR(__xludf.DUMMYFUNCTION("""COMPUTED_VALUE"""),"Royal Black Edge")</f>
        <v>Royal Black Edge</v>
      </c>
      <c r="D4244" s="24">
        <f ca="1">IFERROR(__xludf.DUMMYFUNCTION("""COMPUTED_VALUE"""),399)</f>
        <v>399</v>
      </c>
      <c r="E4244" s="26" t="str">
        <f ca="1">IFERROR(__xludf.DUMMYFUNCTION("""COMPUTED_VALUE"""),"REA-U8569")</f>
        <v>REA-U8569</v>
      </c>
    </row>
    <row r="4245" spans="1:5" x14ac:dyDescent="0.2">
      <c r="A4245" s="22">
        <f ca="1">IFERROR(__xludf.DUMMYFUNCTION("""COMPUTED_VALUE"""),44308)</f>
        <v>44308</v>
      </c>
      <c r="B4245" s="23" t="str">
        <f ca="1">IFERROR(__xludf.DUMMYFUNCTION("""COMPUTED_VALUE"""),"Umywalka blatowa")</f>
        <v>Umywalka blatowa</v>
      </c>
      <c r="C4245" s="23" t="str">
        <f ca="1">IFERROR(__xludf.DUMMYFUNCTION("""COMPUTED_VALUE"""),"Royal Gold Edge")</f>
        <v>Royal Gold Edge</v>
      </c>
      <c r="D4245" s="24">
        <f ca="1">IFERROR(__xludf.DUMMYFUNCTION("""COMPUTED_VALUE"""),399)</f>
        <v>399</v>
      </c>
      <c r="E4245" s="26" t="str">
        <f ca="1">IFERROR(__xludf.DUMMYFUNCTION("""COMPUTED_VALUE"""),"REA-U8570")</f>
        <v>REA-U8570</v>
      </c>
    </row>
    <row r="4246" spans="1:5" x14ac:dyDescent="0.2">
      <c r="A4246" s="22">
        <f ca="1">IFERROR(__xludf.DUMMYFUNCTION("""COMPUTED_VALUE"""),44308)</f>
        <v>44308</v>
      </c>
      <c r="B4246" s="23" t="str">
        <f ca="1">IFERROR(__xludf.DUMMYFUNCTION("""COMPUTED_VALUE"""),"Umywalka blatowa")</f>
        <v>Umywalka blatowa</v>
      </c>
      <c r="C4246" s="23" t="str">
        <f ca="1">IFERROR(__xludf.DUMMYFUNCTION("""COMPUTED_VALUE"""),"Cleo")</f>
        <v>Cleo</v>
      </c>
      <c r="D4246" s="24">
        <f ca="1">IFERROR(__xludf.DUMMYFUNCTION("""COMPUTED_VALUE"""),299)</f>
        <v>299</v>
      </c>
      <c r="E4246" s="26" t="str">
        <f ca="1">IFERROR(__xludf.DUMMYFUNCTION("""COMPUTED_VALUE"""),"REA-U0024")</f>
        <v>REA-U0024</v>
      </c>
    </row>
    <row r="4247" spans="1:5" x14ac:dyDescent="0.2">
      <c r="A4247" s="22">
        <f ca="1">IFERROR(__xludf.DUMMYFUNCTION("""COMPUTED_VALUE"""),44308)</f>
        <v>44308</v>
      </c>
      <c r="B4247" s="23" t="str">
        <f ca="1">IFERROR(__xludf.DUMMYFUNCTION("""COMPUTED_VALUE"""),"Umywalka blatowa")</f>
        <v>Umywalka blatowa</v>
      </c>
      <c r="C4247" s="23" t="str">
        <f ca="1">IFERROR(__xludf.DUMMYFUNCTION("""COMPUTED_VALUE"""),"Kelly Mini")</f>
        <v>Kelly Mini</v>
      </c>
      <c r="D4247" s="24">
        <f ca="1">IFERROR(__xludf.DUMMYFUNCTION("""COMPUTED_VALUE"""),139)</f>
        <v>139</v>
      </c>
      <c r="E4247" s="26" t="str">
        <f ca="1">IFERROR(__xludf.DUMMYFUNCTION("""COMPUTED_VALUE"""),"REA-U8196")</f>
        <v>REA-U8196</v>
      </c>
    </row>
    <row r="4248" spans="1:5" x14ac:dyDescent="0.2">
      <c r="A4248" s="22">
        <f ca="1">IFERROR(__xludf.DUMMYFUNCTION("""COMPUTED_VALUE"""),44308)</f>
        <v>44308</v>
      </c>
      <c r="B4248" s="23" t="str">
        <f ca="1">IFERROR(__xludf.DUMMYFUNCTION("""COMPUTED_VALUE"""),"Umywalka nablatowa")</f>
        <v>Umywalka nablatowa</v>
      </c>
      <c r="C4248" s="23" t="str">
        <f ca="1">IFERROR(__xludf.DUMMYFUNCTION("""COMPUTED_VALUE"""),"Royal Black Mat")</f>
        <v>Royal Black Mat</v>
      </c>
      <c r="D4248" s="24">
        <f ca="1">IFERROR(__xludf.DUMMYFUNCTION("""COMPUTED_VALUE"""),499)</f>
        <v>499</v>
      </c>
      <c r="E4248" s="26" t="str">
        <f ca="1">IFERROR(__xludf.DUMMYFUNCTION("""COMPUTED_VALUE"""),"REA-U0442")</f>
        <v>REA-U0442</v>
      </c>
    </row>
    <row r="4249" spans="1:5" x14ac:dyDescent="0.2">
      <c r="A4249" s="22">
        <f ca="1">IFERROR(__xludf.DUMMYFUNCTION("""COMPUTED_VALUE"""),44308)</f>
        <v>44308</v>
      </c>
      <c r="B4249" s="23" t="str">
        <f ca="1">IFERROR(__xludf.DUMMYFUNCTION("""COMPUTED_VALUE"""),"Umywalka blatowa")</f>
        <v>Umywalka blatowa</v>
      </c>
      <c r="C4249" s="23" t="str">
        <f ca="1">IFERROR(__xludf.DUMMYFUNCTION("""COMPUTED_VALUE"""),"Royal Gold White")</f>
        <v>Royal Gold White</v>
      </c>
      <c r="D4249" s="24">
        <f ca="1">IFERROR(__xludf.DUMMYFUNCTION("""COMPUTED_VALUE"""),399)</f>
        <v>399</v>
      </c>
      <c r="E4249" s="26"/>
    </row>
    <row r="4250" spans="1:5" x14ac:dyDescent="0.2">
      <c r="A4250" s="22">
        <f ca="1">IFERROR(__xludf.DUMMYFUNCTION("""COMPUTED_VALUE"""),44308)</f>
        <v>44308</v>
      </c>
      <c r="B4250" s="23" t="str">
        <f ca="1">IFERROR(__xludf.DUMMYFUNCTION("""COMPUTED_VALUE"""),"Umywalka blatowa")</f>
        <v>Umywalka blatowa</v>
      </c>
      <c r="C4250" s="23" t="str">
        <f ca="1">IFERROR(__xludf.DUMMYFUNCTION("""COMPUTED_VALUE"""),"Belinda Gold Edge")</f>
        <v>Belinda Gold Edge</v>
      </c>
      <c r="D4250" s="24">
        <f ca="1">IFERROR(__xludf.DUMMYFUNCTION("""COMPUTED_VALUE"""),299)</f>
        <v>299</v>
      </c>
      <c r="E4250" s="26"/>
    </row>
    <row r="4251" spans="1:5" x14ac:dyDescent="0.2">
      <c r="A4251" s="22">
        <f ca="1">IFERROR(__xludf.DUMMYFUNCTION("""COMPUTED_VALUE"""),44308)</f>
        <v>44308</v>
      </c>
      <c r="B4251" s="23" t="str">
        <f ca="1">IFERROR(__xludf.DUMMYFUNCTION("""COMPUTED_VALUE"""),"Umywalka ceramiczna blatowa")</f>
        <v>Umywalka ceramiczna blatowa</v>
      </c>
      <c r="C4251" s="23" t="str">
        <f ca="1">IFERROR(__xludf.DUMMYFUNCTION("""COMPUTED_VALUE"""),"Belinda Shiny Aiax")</f>
        <v>Belinda Shiny Aiax</v>
      </c>
      <c r="D4251" s="24">
        <f ca="1">IFERROR(__xludf.DUMMYFUNCTION("""COMPUTED_VALUE"""),299)</f>
        <v>299</v>
      </c>
      <c r="E4251" s="26"/>
    </row>
    <row r="4252" spans="1:5" x14ac:dyDescent="0.2">
      <c r="A4252" s="22">
        <f ca="1">IFERROR(__xludf.DUMMYFUNCTION("""COMPUTED_VALUE"""),44308)</f>
        <v>44308</v>
      </c>
      <c r="B4252" s="23" t="str">
        <f ca="1">IFERROR(__xludf.DUMMYFUNCTION("""COMPUTED_VALUE"""),"Umywalka blatowa")</f>
        <v>Umywalka blatowa</v>
      </c>
      <c r="C4252" s="23" t="str">
        <f ca="1">IFERROR(__xludf.DUMMYFUNCTION("""COMPUTED_VALUE"""),"Floria")</f>
        <v>Floria</v>
      </c>
      <c r="D4252" s="24">
        <f ca="1">IFERROR(__xludf.DUMMYFUNCTION("""COMPUTED_VALUE"""),399)</f>
        <v>399</v>
      </c>
      <c r="E4252" s="26"/>
    </row>
    <row r="4253" spans="1:5" x14ac:dyDescent="0.2">
      <c r="A4253" s="22">
        <f ca="1">IFERROR(__xludf.DUMMYFUNCTION("""COMPUTED_VALUE"""),44308)</f>
        <v>44308</v>
      </c>
      <c r="B4253" s="23" t="str">
        <f ca="1">IFERROR(__xludf.DUMMYFUNCTION("""COMPUTED_VALUE"""),"Umywalka blatowa")</f>
        <v>Umywalka blatowa</v>
      </c>
      <c r="C4253" s="23" t="str">
        <f ca="1">IFERROR(__xludf.DUMMYFUNCTION("""COMPUTED_VALUE"""),"Pamela Gold/White")</f>
        <v>Pamela Gold/White</v>
      </c>
      <c r="D4253" s="24">
        <f ca="1">IFERROR(__xludf.DUMMYFUNCTION("""COMPUTED_VALUE"""),299)</f>
        <v>299</v>
      </c>
      <c r="E4253" s="26"/>
    </row>
    <row r="4254" spans="1:5" x14ac:dyDescent="0.2">
      <c r="A4254" s="22">
        <f ca="1">IFERROR(__xludf.DUMMYFUNCTION("""COMPUTED_VALUE"""),44308)</f>
        <v>44308</v>
      </c>
      <c r="B4254" s="23" t="str">
        <f ca="1">IFERROR(__xludf.DUMMYFUNCTION("""COMPUTED_VALUE"""),"Umywalka blatowa")</f>
        <v>Umywalka blatowa</v>
      </c>
      <c r="C4254" s="23" t="str">
        <f ca="1">IFERROR(__xludf.DUMMYFUNCTION("""COMPUTED_VALUE"""),"Stella Black Mat")</f>
        <v>Stella Black Mat</v>
      </c>
      <c r="D4254" s="24">
        <f ca="1">IFERROR(__xludf.DUMMYFUNCTION("""COMPUTED_VALUE"""),329)</f>
        <v>329</v>
      </c>
      <c r="E4254" s="26"/>
    </row>
    <row r="4255" spans="1:5" x14ac:dyDescent="0.2">
      <c r="A4255" s="22">
        <f ca="1">IFERROR(__xludf.DUMMYFUNCTION("""COMPUTED_VALUE"""),44308)</f>
        <v>44308</v>
      </c>
      <c r="B4255" s="23" t="str">
        <f ca="1">IFERROR(__xludf.DUMMYFUNCTION("""COMPUTED_VALUE"""),"ŚCIANKA PRYSZNICOWA AERO 70 ""N""")</f>
        <v>ŚCIANKA PRYSZNICOWA AERO 70 "N"</v>
      </c>
      <c r="C4255" s="23" t="str">
        <f ca="1">IFERROR(__xludf.DUMMYFUNCTION("""COMPUTED_VALUE"""),"Aero ""N""")</f>
        <v>Aero "N"</v>
      </c>
      <c r="D4255" s="24">
        <f ca="1">IFERROR(__xludf.DUMMYFUNCTION("""COMPUTED_VALUE"""),599)</f>
        <v>599</v>
      </c>
      <c r="E4255" s="26"/>
    </row>
    <row r="4256" spans="1:5" x14ac:dyDescent="0.2">
      <c r="A4256" s="22">
        <f ca="1">IFERROR(__xludf.DUMMYFUNCTION("""COMPUTED_VALUE"""),44308)</f>
        <v>44308</v>
      </c>
      <c r="B4256" s="23" t="str">
        <f ca="1">IFERROR(__xludf.DUMMYFUNCTION("""COMPUTED_VALUE"""),"ŚCIANKA PRYSZNICOWA AERO 120 BLACK")</f>
        <v>ŚCIANKA PRYSZNICOWA AERO 120 BLACK</v>
      </c>
      <c r="C4256" s="23" t="str">
        <f ca="1">IFERROR(__xludf.DUMMYFUNCTION("""COMPUTED_VALUE"""),"AERO BLACK")</f>
        <v>AERO BLACK</v>
      </c>
      <c r="D4256" s="24">
        <f ca="1">IFERROR(__xludf.DUMMYFUNCTION("""COMPUTED_VALUE"""),829)</f>
        <v>829</v>
      </c>
      <c r="E4256" s="26"/>
    </row>
    <row r="4257" spans="1:5" x14ac:dyDescent="0.2">
      <c r="A4257" s="22">
        <f ca="1">IFERROR(__xludf.DUMMYFUNCTION("""COMPUTED_VALUE"""),44308)</f>
        <v>44308</v>
      </c>
      <c r="B4257" s="23" t="str">
        <f ca="1">IFERROR(__xludf.DUMMYFUNCTION("""COMPUTED_VALUE"""),"MISA WISZĄCA")</f>
        <v>MISA WISZĄCA</v>
      </c>
      <c r="C4257" s="23" t="str">
        <f ca="1">IFERROR(__xludf.DUMMYFUNCTION("""COMPUTED_VALUE"""),"Carlo Mini Rimless FLAT")</f>
        <v>Carlo Mini Rimless FLAT</v>
      </c>
      <c r="D4257" s="28">
        <f ca="1">IFERROR(__xludf.DUMMYFUNCTION("""COMPUTED_VALUE"""),579)</f>
        <v>579</v>
      </c>
      <c r="E4257" s="26"/>
    </row>
    <row r="4258" spans="1:5" x14ac:dyDescent="0.2">
      <c r="A4258" s="22">
        <f ca="1">IFERROR(__xludf.DUMMYFUNCTION("""COMPUTED_VALUE"""),44308)</f>
        <v>44308</v>
      </c>
      <c r="B4258" s="23" t="str">
        <f ca="1">IFERROR(__xludf.DUMMYFUNCTION("""COMPUTED_VALUE"""),"Kabina prysznicowa")</f>
        <v>Kabina prysznicowa</v>
      </c>
      <c r="C4258" s="23" t="str">
        <f ca="1">IFERROR(__xludf.DUMMYFUNCTION("""COMPUTED_VALUE"""),"Fargo Black 90x90 U")</f>
        <v>Fargo Black 90x90 U</v>
      </c>
      <c r="D4258" s="24">
        <f ca="1">IFERROR(__xludf.DUMMYFUNCTION("""COMPUTED_VALUE"""),1489)</f>
        <v>1489</v>
      </c>
      <c r="E4258" s="26"/>
    </row>
    <row r="4259" spans="1:5" x14ac:dyDescent="0.2">
      <c r="A4259" s="22">
        <f ca="1">IFERROR(__xludf.DUMMYFUNCTION("""COMPUTED_VALUE"""),44308)</f>
        <v>44308</v>
      </c>
      <c r="B4259" s="23" t="str">
        <f ca="1">IFERROR(__xludf.DUMMYFUNCTION("""COMPUTED_VALUE"""),"Drzwi prysznicowe")</f>
        <v>Drzwi prysznicowe</v>
      </c>
      <c r="C4259" s="23" t="str">
        <f ca="1">IFERROR(__xludf.DUMMYFUNCTION("""COMPUTED_VALUE"""),"Solar Gold 100")</f>
        <v>Solar Gold 100</v>
      </c>
      <c r="D4259" s="24">
        <f ca="1">IFERROR(__xludf.DUMMYFUNCTION("""COMPUTED_VALUE"""),899)</f>
        <v>899</v>
      </c>
      <c r="E4259" s="26"/>
    </row>
    <row r="4260" spans="1:5" x14ac:dyDescent="0.2">
      <c r="A4260" s="22">
        <f ca="1">IFERROR(__xludf.DUMMYFUNCTION("""COMPUTED_VALUE"""),44301)</f>
        <v>44301</v>
      </c>
      <c r="B4260" s="23" t="str">
        <f ca="1">IFERROR(__xludf.DUMMYFUNCTION("""COMPUTED_VALUE"""),"Drzwi prysznicowe")</f>
        <v>Drzwi prysznicowe</v>
      </c>
      <c r="C4260" s="23" t="str">
        <f ca="1">IFERROR(__xludf.DUMMYFUNCTION("""COMPUTED_VALUE"""),"Solar Gold 120")</f>
        <v>Solar Gold 120</v>
      </c>
      <c r="D4260" s="24">
        <f ca="1">IFERROR(__xludf.DUMMYFUNCTION("""COMPUTED_VALUE"""),999)</f>
        <v>999</v>
      </c>
      <c r="E4260" s="26"/>
    </row>
    <row r="4261" spans="1:5" x14ac:dyDescent="0.2">
      <c r="A4261" s="22">
        <f ca="1">IFERROR(__xludf.DUMMYFUNCTION("""COMPUTED_VALUE"""),44301)</f>
        <v>44301</v>
      </c>
      <c r="B4261" s="23" t="str">
        <f ca="1">IFERROR(__xludf.DUMMYFUNCTION("""COMPUTED_VALUE"""),"ZESTAW PODTYNKOWY F BLACK")</f>
        <v>ZESTAW PODTYNKOWY F BLACK</v>
      </c>
      <c r="C4261" s="23" t="str">
        <f ca="1">IFERROR(__xludf.DUMMYFUNCTION("""COMPUTED_VALUE"""),"Przycisk E,F,H
 black")</f>
        <v>Przycisk E,F,H
 black</v>
      </c>
      <c r="D4261" s="28">
        <f ca="1">IFERROR(__xludf.DUMMYFUNCTION("""COMPUTED_VALUE"""),699)</f>
        <v>699</v>
      </c>
      <c r="E4261" s="26"/>
    </row>
    <row r="4262" spans="1:5" x14ac:dyDescent="0.2">
      <c r="A4262" s="22">
        <f ca="1">IFERROR(__xludf.DUMMYFUNCTION("""COMPUTED_VALUE"""),44301)</f>
        <v>44301</v>
      </c>
      <c r="B4262" s="23" t="str">
        <f ca="1">IFERROR(__xludf.DUMMYFUNCTION("""COMPUTED_VALUE"""),"ZESTAW PODTYNKOWY F GOLD")</f>
        <v>ZESTAW PODTYNKOWY F GOLD</v>
      </c>
      <c r="C4262" s="23" t="str">
        <f ca="1">IFERROR(__xludf.DUMMYFUNCTION("""COMPUTED_VALUE"""),"Przycisk F
 Gold")</f>
        <v>Przycisk F
 Gold</v>
      </c>
      <c r="D4262" s="28">
        <f ca="1">IFERROR(__xludf.DUMMYFUNCTION("""COMPUTED_VALUE"""),799)</f>
        <v>799</v>
      </c>
      <c r="E4262" s="26"/>
    </row>
    <row r="4263" spans="1:5" x14ac:dyDescent="0.2">
      <c r="A4263" s="22">
        <f ca="1">IFERROR(__xludf.DUMMYFUNCTION("""COMPUTED_VALUE"""),44301)</f>
        <v>44301</v>
      </c>
      <c r="B4263" s="23" t="str">
        <f ca="1">IFERROR(__xludf.DUMMYFUNCTION("""COMPUTED_VALUE"""),"ZESTAW PODTYNKOWY H BLACK")</f>
        <v>ZESTAW PODTYNKOWY H BLACK</v>
      </c>
      <c r="C4263" s="23" t="str">
        <f ca="1">IFERROR(__xludf.DUMMYFUNCTION("""COMPUTED_VALUE"""),"Przycisk E,F,H
 black")</f>
        <v>Przycisk E,F,H
 black</v>
      </c>
      <c r="D4263" s="28">
        <f ca="1">IFERROR(__xludf.DUMMYFUNCTION("""COMPUTED_VALUE"""),699)</f>
        <v>699</v>
      </c>
      <c r="E4263" s="26"/>
    </row>
    <row r="4264" spans="1:5" x14ac:dyDescent="0.2">
      <c r="A4264" s="22">
        <f ca="1">IFERROR(__xludf.DUMMYFUNCTION("""COMPUTED_VALUE"""),44301)</f>
        <v>44301</v>
      </c>
      <c r="B4264" s="23" t="str">
        <f ca="1">IFERROR(__xludf.DUMMYFUNCTION("""COMPUTED_VALUE"""),"ZESTAW PODTYNKOWY H GOLD")</f>
        <v>ZESTAW PODTYNKOWY H GOLD</v>
      </c>
      <c r="C4264" s="23" t="str">
        <f ca="1">IFERROR(__xludf.DUMMYFUNCTION("""COMPUTED_VALUE"""),"Przycisk H
 GOLD")</f>
        <v>Przycisk H
 GOLD</v>
      </c>
      <c r="D4264" s="28">
        <f ca="1">IFERROR(__xludf.DUMMYFUNCTION("""COMPUTED_VALUE"""),799)</f>
        <v>799</v>
      </c>
      <c r="E4264" s="26"/>
    </row>
    <row r="4265" spans="1:5" x14ac:dyDescent="0.2">
      <c r="A4265" s="22">
        <f ca="1">IFERROR(__xludf.DUMMYFUNCTION("""COMPUTED_VALUE"""),44301)</f>
        <v>44301</v>
      </c>
      <c r="B4265" s="23" t="str">
        <f ca="1">IFERROR(__xludf.DUMMYFUNCTION("""COMPUTED_VALUE"""),"Misa wisząca")</f>
        <v>Misa wisząca</v>
      </c>
      <c r="C4265" s="23" t="str">
        <f ca="1">IFERROR(__xludf.DUMMYFUNCTION("""COMPUTED_VALUE"""),"Carlo Mini Rimless ABS")</f>
        <v>Carlo Mini Rimless ABS</v>
      </c>
      <c r="D4265" s="24">
        <f ca="1">IFERROR(__xludf.DUMMYFUNCTION("""COMPUTED_VALUE"""),519)</f>
        <v>519</v>
      </c>
      <c r="E4265" s="26"/>
    </row>
    <row r="4266" spans="1:5" x14ac:dyDescent="0.2">
      <c r="A4266" s="22">
        <f ca="1">IFERROR(__xludf.DUMMYFUNCTION("""COMPUTED_VALUE"""),44301)</f>
        <v>44301</v>
      </c>
      <c r="B4266" s="23" t="str">
        <f ca="1">IFERROR(__xludf.DUMMYFUNCTION("""COMPUTED_VALUE"""),"Umywalka blatowa")</f>
        <v>Umywalka blatowa</v>
      </c>
      <c r="C4266" s="23" t="str">
        <f ca="1">IFERROR(__xludf.DUMMYFUNCTION("""COMPUTED_VALUE"""),"Pamela")</f>
        <v>Pamela</v>
      </c>
      <c r="D4266" s="24">
        <f ca="1">IFERROR(__xludf.DUMMYFUNCTION("""COMPUTED_VALUE"""),239)</f>
        <v>239</v>
      </c>
      <c r="E4266" s="26"/>
    </row>
    <row r="4267" spans="1:5" x14ac:dyDescent="0.2">
      <c r="A4267" s="22">
        <f ca="1">IFERROR(__xludf.DUMMYFUNCTION("""COMPUTED_VALUE"""),44301)</f>
        <v>44301</v>
      </c>
      <c r="B4267" s="23" t="str">
        <f ca="1">IFERROR(__xludf.DUMMYFUNCTION("""COMPUTED_VALUE"""),"Umywalka blatowa")</f>
        <v>Umywalka blatowa</v>
      </c>
      <c r="C4267" s="23" t="str">
        <f ca="1">IFERROR(__xludf.DUMMYFUNCTION("""COMPUTED_VALUE"""),"Royal Shiny Aiax Marmur")</f>
        <v>Royal Shiny Aiax Marmur</v>
      </c>
      <c r="D4267" s="24">
        <f ca="1">IFERROR(__xludf.DUMMYFUNCTION("""COMPUTED_VALUE"""),379)</f>
        <v>379</v>
      </c>
      <c r="E4267" s="26"/>
    </row>
    <row r="4268" spans="1:5" x14ac:dyDescent="0.2">
      <c r="A4268" s="22">
        <f ca="1">IFERROR(__xludf.DUMMYFUNCTION("""COMPUTED_VALUE"""),44301)</f>
        <v>44301</v>
      </c>
      <c r="B4268" s="23" t="str">
        <f ca="1">IFERROR(__xludf.DUMMYFUNCTION("""COMPUTED_VALUE"""),"Umywalka blatowa")</f>
        <v>Umywalka blatowa</v>
      </c>
      <c r="C4268" s="23" t="str">
        <f ca="1">IFERROR(__xludf.DUMMYFUNCTION("""COMPUTED_VALUE"""),"Belinda Terazzo")</f>
        <v>Belinda Terazzo</v>
      </c>
      <c r="D4268" s="24">
        <f ca="1">IFERROR(__xludf.DUMMYFUNCTION("""COMPUTED_VALUE"""),399)</f>
        <v>399</v>
      </c>
      <c r="E4268" s="26"/>
    </row>
    <row r="4269" spans="1:5" x14ac:dyDescent="0.2">
      <c r="A4269" s="22">
        <f ca="1">IFERROR(__xludf.DUMMYFUNCTION("""COMPUTED_VALUE"""),44301)</f>
        <v>44301</v>
      </c>
      <c r="B4269" s="23" t="str">
        <f ca="1">IFERROR(__xludf.DUMMYFUNCTION("""COMPUTED_VALUE"""),"MISA WISZĄCA")</f>
        <v>MISA WISZĄCA</v>
      </c>
      <c r="C4269" s="23" t="str">
        <f ca="1">IFERROR(__xludf.DUMMYFUNCTION("""COMPUTED_VALUE"""),"Carlo Mini Black")</f>
        <v>Carlo Mini Black</v>
      </c>
      <c r="D4269" s="28">
        <f ca="1">IFERROR(__xludf.DUMMYFUNCTION("""COMPUTED_VALUE"""),899)</f>
        <v>899</v>
      </c>
      <c r="E4269" s="26"/>
    </row>
    <row r="4270" spans="1:5" x14ac:dyDescent="0.2">
      <c r="A4270" s="22">
        <f ca="1">IFERROR(__xludf.DUMMYFUNCTION("""COMPUTED_VALUE"""),44301)</f>
        <v>44301</v>
      </c>
      <c r="B4270" s="23" t="str">
        <f ca="1">IFERROR(__xludf.DUMMYFUNCTION("""COMPUTED_VALUE"""),"MISA WISZĄCA")</f>
        <v>MISA WISZĄCA</v>
      </c>
      <c r="C4270" s="23" t="str">
        <f ca="1">IFERROR(__xludf.DUMMYFUNCTION("""COMPUTED_VALUE"""),"Carlo Mini Black Mat Flat")</f>
        <v>Carlo Mini Black Mat Flat</v>
      </c>
      <c r="D4270" s="28">
        <f ca="1">IFERROR(__xludf.DUMMYFUNCTION("""COMPUTED_VALUE"""),919)</f>
        <v>919</v>
      </c>
      <c r="E4270" s="26"/>
    </row>
    <row r="4271" spans="1:5" x14ac:dyDescent="0.2">
      <c r="A4271" s="22">
        <f ca="1">IFERROR(__xludf.DUMMYFUNCTION("""COMPUTED_VALUE"""),44301)</f>
        <v>44301</v>
      </c>
      <c r="B4271" s="23" t="str">
        <f ca="1">IFERROR(__xludf.DUMMYFUNCTION("""COMPUTED_VALUE"""),"Kabina prysznicowa")</f>
        <v>Kabina prysznicowa</v>
      </c>
      <c r="C4271" s="23" t="str">
        <f ca="1">IFERROR(__xludf.DUMMYFUNCTION("""COMPUTED_VALUE"""),"Diamond 100x100")</f>
        <v>Diamond 100x100</v>
      </c>
      <c r="D4271" s="24">
        <f ca="1">IFERROR(__xludf.DUMMYFUNCTION("""COMPUTED_VALUE"""),1499)</f>
        <v>1499</v>
      </c>
      <c r="E4271" s="26"/>
    </row>
    <row r="4272" spans="1:5" x14ac:dyDescent="0.2">
      <c r="A4272" s="22">
        <f ca="1">IFERROR(__xludf.DUMMYFUNCTION("""COMPUTED_VALUE"""),44301)</f>
        <v>44301</v>
      </c>
      <c r="B4272" s="23" t="str">
        <f ca="1">IFERROR(__xludf.DUMMYFUNCTION("""COMPUTED_VALUE"""),"Kabina prysznicowa")</f>
        <v>Kabina prysznicowa</v>
      </c>
      <c r="C4272" s="23" t="str">
        <f ca="1">IFERROR(__xludf.DUMMYFUNCTION("""COMPUTED_VALUE"""),"Diamond 80x80")</f>
        <v>Diamond 80x80</v>
      </c>
      <c r="D4272" s="24">
        <f ca="1">IFERROR(__xludf.DUMMYFUNCTION("""COMPUTED_VALUE"""),1299)</f>
        <v>1299</v>
      </c>
      <c r="E4272" s="26"/>
    </row>
    <row r="4273" spans="1:5" x14ac:dyDescent="0.2">
      <c r="A4273" s="22">
        <f ca="1">IFERROR(__xludf.DUMMYFUNCTION("""COMPUTED_VALUE"""),44301)</f>
        <v>44301</v>
      </c>
      <c r="B4273" s="23" t="str">
        <f ca="1">IFERROR(__xludf.DUMMYFUNCTION("""COMPUTED_VALUE"""),"Kabina prysznicowa")</f>
        <v>Kabina prysznicowa</v>
      </c>
      <c r="C4273" s="23" t="str">
        <f ca="1">IFERROR(__xludf.DUMMYFUNCTION("""COMPUTED_VALUE"""),"Diamond 90x90")</f>
        <v>Diamond 90x90</v>
      </c>
      <c r="D4273" s="24">
        <f ca="1">IFERROR(__xludf.DUMMYFUNCTION("""COMPUTED_VALUE"""),1399)</f>
        <v>1399</v>
      </c>
      <c r="E4273" s="26"/>
    </row>
    <row r="4274" spans="1:5" x14ac:dyDescent="0.2">
      <c r="A4274" s="22">
        <f ca="1">IFERROR(__xludf.DUMMYFUNCTION("""COMPUTED_VALUE"""),44301)</f>
        <v>44301</v>
      </c>
      <c r="B4274" s="23" t="str">
        <f ca="1">IFERROR(__xludf.DUMMYFUNCTION("""COMPUTED_VALUE"""),"KABINA ROUND SPACE N2 90X90 TR")</f>
        <v>KABINA ROUND SPACE N2 90X90 TR</v>
      </c>
      <c r="C4274" s="23" t="str">
        <f ca="1">IFERROR(__xludf.DUMMYFUNCTION("""COMPUTED_VALUE"""),"Round Space")</f>
        <v>Round Space</v>
      </c>
      <c r="D4274" s="24">
        <f ca="1">IFERROR(__xludf.DUMMYFUNCTION("""COMPUTED_VALUE"""),1139)</f>
        <v>1139</v>
      </c>
      <c r="E4274" s="26"/>
    </row>
    <row r="4275" spans="1:5" x14ac:dyDescent="0.2">
      <c r="A4275" s="22">
        <f ca="1">IFERROR(__xludf.DUMMYFUNCTION("""COMPUTED_VALUE"""),44301)</f>
        <v>44301</v>
      </c>
      <c r="B4275" s="23" t="str">
        <f ca="1">IFERROR(__xludf.DUMMYFUNCTION("""COMPUTED_VALUE"""),"Kabina prysznicowa")</f>
        <v>Kabina prysznicowa</v>
      </c>
      <c r="C4275" s="23" t="str">
        <f ca="1">IFERROR(__xludf.DUMMYFUNCTION("""COMPUTED_VALUE"""),"Fargo Black 90x120")</f>
        <v>Fargo Black 90x120</v>
      </c>
      <c r="D4275" s="24">
        <f ca="1">IFERROR(__xludf.DUMMYFUNCTION("""COMPUTED_VALUE"""),1599)</f>
        <v>1599</v>
      </c>
      <c r="E4275" s="26"/>
    </row>
    <row r="4276" spans="1:5" x14ac:dyDescent="0.2">
      <c r="A4276" s="22">
        <f ca="1">IFERROR(__xludf.DUMMYFUNCTION("""COMPUTED_VALUE"""),44301)</f>
        <v>44301</v>
      </c>
      <c r="B4276" s="23" t="str">
        <f ca="1">IFERROR(__xludf.DUMMYFUNCTION("""COMPUTED_VALUE"""),"Skrzydło modułowe")</f>
        <v>Skrzydło modułowe</v>
      </c>
      <c r="C4276" s="23" t="str">
        <f ca="1">IFERROR(__xludf.DUMMYFUNCTION("""COMPUTED_VALUE"""),"Fold MODUŁ 70")</f>
        <v>Fold MODUŁ 70</v>
      </c>
      <c r="D4276" s="24">
        <f ca="1">IFERROR(__xludf.DUMMYFUNCTION("""COMPUTED_VALUE"""),680)</f>
        <v>680</v>
      </c>
      <c r="E4276" s="26"/>
    </row>
    <row r="4277" spans="1:5" x14ac:dyDescent="0.2">
      <c r="A4277" s="22">
        <f ca="1">IFERROR(__xludf.DUMMYFUNCTION("""COMPUTED_VALUE"""),44301)</f>
        <v>44301</v>
      </c>
      <c r="B4277" s="23" t="str">
        <f ca="1">IFERROR(__xludf.DUMMYFUNCTION("""COMPUTED_VALUE"""),"Skrzydło modułowe")</f>
        <v>Skrzydło modułowe</v>
      </c>
      <c r="C4277" s="23" t="str">
        <f ca="1">IFERROR(__xludf.DUMMYFUNCTION("""COMPUTED_VALUE"""),"Fold MODUŁ 80")</f>
        <v>Fold MODUŁ 80</v>
      </c>
      <c r="D4277" s="24">
        <f ca="1">IFERROR(__xludf.DUMMYFUNCTION("""COMPUTED_VALUE"""),712)</f>
        <v>712</v>
      </c>
      <c r="E4277" s="26"/>
    </row>
    <row r="4278" spans="1:5" x14ac:dyDescent="0.2">
      <c r="A4278" s="22">
        <f ca="1">IFERROR(__xludf.DUMMYFUNCTION("""COMPUTED_VALUE"""),44301)</f>
        <v>44301</v>
      </c>
      <c r="B4278" s="23" t="str">
        <f ca="1">IFERROR(__xludf.DUMMYFUNCTION("""COMPUTED_VALUE"""),"Skrzydło modułowe")</f>
        <v>Skrzydło modułowe</v>
      </c>
      <c r="C4278" s="23" t="str">
        <f ca="1">IFERROR(__xludf.DUMMYFUNCTION("""COMPUTED_VALUE"""),"Fold MODUŁ 90")</f>
        <v>Fold MODUŁ 90</v>
      </c>
      <c r="D4278" s="24">
        <f ca="1">IFERROR(__xludf.DUMMYFUNCTION("""COMPUTED_VALUE"""),766)</f>
        <v>766</v>
      </c>
      <c r="E4278" s="26"/>
    </row>
    <row r="4279" spans="1:5" x14ac:dyDescent="0.2">
      <c r="A4279" s="22">
        <f ca="1">IFERROR(__xludf.DUMMYFUNCTION("""COMPUTED_VALUE"""),44301)</f>
        <v>44301</v>
      </c>
      <c r="B4279" s="23" t="str">
        <f ca="1">IFERROR(__xludf.DUMMYFUNCTION("""COMPUTED_VALUE"""),"Skrzydło modułowe")</f>
        <v>Skrzydło modułowe</v>
      </c>
      <c r="C4279" s="23" t="str">
        <f ca="1">IFERROR(__xludf.DUMMYFUNCTION("""COMPUTED_VALUE"""),"Fold MODUŁ 100")</f>
        <v>Fold MODUŁ 100</v>
      </c>
      <c r="D4279" s="24">
        <f ca="1">IFERROR(__xludf.DUMMYFUNCTION("""COMPUTED_VALUE"""),785)</f>
        <v>785</v>
      </c>
      <c r="E4279" s="26"/>
    </row>
    <row r="4280" spans="1:5" x14ac:dyDescent="0.2">
      <c r="A4280" s="22">
        <f ca="1">IFERROR(__xludf.DUMMYFUNCTION("""COMPUTED_VALUE"""),44301)</f>
        <v>44301</v>
      </c>
      <c r="B4280" s="23" t="str">
        <f ca="1">IFERROR(__xludf.DUMMYFUNCTION("""COMPUTED_VALUE"""),"Skrzydło modułowe")</f>
        <v>Skrzydło modułowe</v>
      </c>
      <c r="C4280" s="23" t="str">
        <f ca="1">IFERROR(__xludf.DUMMYFUNCTION("""COMPUTED_VALUE"""),"Fold MODUŁ 110")</f>
        <v>Fold MODUŁ 110</v>
      </c>
      <c r="D4280" s="24">
        <f ca="1">IFERROR(__xludf.DUMMYFUNCTION("""COMPUTED_VALUE"""),812)</f>
        <v>812</v>
      </c>
      <c r="E4280" s="26"/>
    </row>
    <row r="4281" spans="1:5" x14ac:dyDescent="0.2">
      <c r="A4281" s="22">
        <f ca="1">IFERROR(__xludf.DUMMYFUNCTION("""COMPUTED_VALUE"""),44301)</f>
        <v>44301</v>
      </c>
      <c r="B4281" s="23" t="str">
        <f ca="1">IFERROR(__xludf.DUMMYFUNCTION("""COMPUTED_VALUE"""),"Skrzydło modułowe")</f>
        <v>Skrzydło modułowe</v>
      </c>
      <c r="C4281" s="23" t="str">
        <f ca="1">IFERROR(__xludf.DUMMYFUNCTION("""COMPUTED_VALUE"""),"Fold MODUŁ 120")</f>
        <v>Fold MODUŁ 120</v>
      </c>
      <c r="D4281" s="24">
        <f ca="1">IFERROR(__xludf.DUMMYFUNCTION("""COMPUTED_VALUE"""),845)</f>
        <v>845</v>
      </c>
      <c r="E4281" s="26"/>
    </row>
    <row r="4282" spans="1:5" x14ac:dyDescent="0.2">
      <c r="A4282" s="22">
        <f ca="1">IFERROR(__xludf.DUMMYFUNCTION("""COMPUTED_VALUE"""),44301)</f>
        <v>44301</v>
      </c>
      <c r="B4282" s="23" t="str">
        <f ca="1">IFERROR(__xludf.DUMMYFUNCTION("""COMPUTED_VALUE"""),"Umywalka blatowa")</f>
        <v>Umywalka blatowa</v>
      </c>
      <c r="C4282" s="23" t="str">
        <f ca="1">IFERROR(__xludf.DUMMYFUNCTION("""COMPUTED_VALUE"""),"Wendy")</f>
        <v>Wendy</v>
      </c>
      <c r="D4282" s="24">
        <f ca="1">IFERROR(__xludf.DUMMYFUNCTION("""COMPUTED_VALUE"""),209)</f>
        <v>209</v>
      </c>
      <c r="E4282" s="26"/>
    </row>
    <row r="4283" spans="1:5" x14ac:dyDescent="0.2">
      <c r="A4283" s="22">
        <f ca="1">IFERROR(__xludf.DUMMYFUNCTION("""COMPUTED_VALUE"""),44301)</f>
        <v>44301</v>
      </c>
      <c r="B4283" s="23" t="str">
        <f ca="1">IFERROR(__xludf.DUMMYFUNCTION("""COMPUTED_VALUE"""),"Umywalka blatowa")</f>
        <v>Umywalka blatowa</v>
      </c>
      <c r="C4283" s="23" t="str">
        <f ca="1">IFERROR(__xludf.DUMMYFUNCTION("""COMPUTED_VALUE"""),"Vega S")</f>
        <v>Vega S</v>
      </c>
      <c r="D4283" s="24">
        <f ca="1">IFERROR(__xludf.DUMMYFUNCTION("""COMPUTED_VALUE"""),229)</f>
        <v>229</v>
      </c>
      <c r="E4283" s="26"/>
    </row>
    <row r="4284" spans="1:5" x14ac:dyDescent="0.2">
      <c r="A4284" s="22">
        <f ca="1">IFERROR(__xludf.DUMMYFUNCTION("""COMPUTED_VALUE"""),44301)</f>
        <v>44301</v>
      </c>
      <c r="B4284" s="23" t="str">
        <f ca="1">IFERROR(__xludf.DUMMYFUNCTION("""COMPUTED_VALUE"""),"Umywalka stojąca")</f>
        <v>Umywalka stojąca</v>
      </c>
      <c r="C4284" s="23" t="str">
        <f ca="1">IFERROR(__xludf.DUMMYFUNCTION("""COMPUTED_VALUE"""),"Kamila")</f>
        <v>Kamila</v>
      </c>
      <c r="D4284" s="24">
        <f ca="1">IFERROR(__xludf.DUMMYFUNCTION("""COMPUTED_VALUE"""),659)</f>
        <v>659</v>
      </c>
      <c r="E4284" s="26"/>
    </row>
    <row r="4285" spans="1:5" x14ac:dyDescent="0.2">
      <c r="A4285" s="22">
        <f ca="1">IFERROR(__xludf.DUMMYFUNCTION("""COMPUTED_VALUE"""),44301)</f>
        <v>44301</v>
      </c>
      <c r="B4285" s="23" t="str">
        <f ca="1">IFERROR(__xludf.DUMMYFUNCTION("""COMPUTED_VALUE"""),"Umywalka stojąca")</f>
        <v>Umywalka stojąca</v>
      </c>
      <c r="C4285" s="23" t="str">
        <f ca="1">IFERROR(__xludf.DUMMYFUNCTION("""COMPUTED_VALUE"""),"Blanka Black")</f>
        <v>Blanka Black</v>
      </c>
      <c r="D4285" s="24">
        <f ca="1">IFERROR(__xludf.DUMMYFUNCTION("""COMPUTED_VALUE"""),1099)</f>
        <v>1099</v>
      </c>
      <c r="E4285" s="26"/>
    </row>
    <row r="4286" spans="1:5" x14ac:dyDescent="0.2">
      <c r="A4286" s="22">
        <f ca="1">IFERROR(__xludf.DUMMYFUNCTION("""COMPUTED_VALUE"""),44301)</f>
        <v>44301</v>
      </c>
      <c r="B4286" s="23" t="str">
        <f ca="1">IFERROR(__xludf.DUMMYFUNCTION("""COMPUTED_VALUE"""),"Umywalka wolnostojąca")</f>
        <v>Umywalka wolnostojąca</v>
      </c>
      <c r="C4286" s="23" t="str">
        <f ca="1">IFERROR(__xludf.DUMMYFUNCTION("""COMPUTED_VALUE"""),"Kamila Black")</f>
        <v>Kamila Black</v>
      </c>
      <c r="D4286" s="24">
        <f ca="1">IFERROR(__xludf.DUMMYFUNCTION("""COMPUTED_VALUE"""),869)</f>
        <v>869</v>
      </c>
      <c r="E4286" s="26"/>
    </row>
    <row r="4287" spans="1:5" x14ac:dyDescent="0.2">
      <c r="A4287" s="22">
        <f ca="1">IFERROR(__xludf.DUMMYFUNCTION("""COMPUTED_VALUE"""),44301)</f>
        <v>44301</v>
      </c>
      <c r="B4287" s="23" t="str">
        <f ca="1">IFERROR(__xludf.DUMMYFUNCTION("""COMPUTED_VALUE"""),"Umywalka blatowa")</f>
        <v>Umywalka blatowa</v>
      </c>
      <c r="C4287" s="23" t="str">
        <f ca="1">IFERROR(__xludf.DUMMYFUNCTION("""COMPUTED_VALUE"""),"Royal Sash")</f>
        <v>Royal Sash</v>
      </c>
      <c r="D4287" s="24">
        <f ca="1">IFERROR(__xludf.DUMMYFUNCTION("""COMPUTED_VALUE"""),399)</f>
        <v>399</v>
      </c>
      <c r="E4287" s="26"/>
    </row>
    <row r="4288" spans="1:5" x14ac:dyDescent="0.2">
      <c r="A4288" s="22">
        <f ca="1">IFERROR(__xludf.DUMMYFUNCTION("""COMPUTED_VALUE"""),44301)</f>
        <v>44301</v>
      </c>
      <c r="B4288" s="23" t="str">
        <f ca="1">IFERROR(__xludf.DUMMYFUNCTION("""COMPUTED_VALUE"""),"Umywalka blatowa")</f>
        <v>Umywalka blatowa</v>
      </c>
      <c r="C4288" s="23" t="str">
        <f ca="1">IFERROR(__xludf.DUMMYFUNCTION("""COMPUTED_VALUE"""),"Vegas White Gold Edge")</f>
        <v>Vegas White Gold Edge</v>
      </c>
      <c r="D4288" s="24">
        <f ca="1">IFERROR(__xludf.DUMMYFUNCTION("""COMPUTED_VALUE"""),369)</f>
        <v>369</v>
      </c>
      <c r="E4288" s="26"/>
    </row>
    <row r="4289" spans="1:5" x14ac:dyDescent="0.2">
      <c r="A4289" s="22">
        <f ca="1">IFERROR(__xludf.DUMMYFUNCTION("""COMPUTED_VALUE"""),44301)</f>
        <v>44301</v>
      </c>
      <c r="B4289" s="23" t="str">
        <f ca="1">IFERROR(__xludf.DUMMYFUNCTION("""COMPUTED_VALUE"""),"Kabina Prysznicowa Fold 70 x 80")</f>
        <v>Kabina Prysznicowa Fold 70 x 80</v>
      </c>
      <c r="C4289" s="23" t="str">
        <f ca="1">IFERROR(__xludf.DUMMYFUNCTION("""COMPUTED_VALUE"""),"Fold MODUŁ")</f>
        <v>Fold MODUŁ</v>
      </c>
      <c r="D4289" s="24" t="str">
        <f ca="1">IFERROR(__xludf.DUMMYFUNCTION("""COMPUTED_VALUE"""),"1 348,00 zł")</f>
        <v>1 348,00 zł</v>
      </c>
      <c r="E4289" s="26"/>
    </row>
    <row r="4290" spans="1:5" x14ac:dyDescent="0.2">
      <c r="A4290" s="22">
        <f ca="1">IFERROR(__xludf.DUMMYFUNCTION("""COMPUTED_VALUE"""),44301)</f>
        <v>44301</v>
      </c>
      <c r="B4290" s="23" t="str">
        <f ca="1">IFERROR(__xludf.DUMMYFUNCTION("""COMPUTED_VALUE"""),"Kabina Prysznicowa Fold 70 x 90")</f>
        <v>Kabina Prysznicowa Fold 70 x 90</v>
      </c>
      <c r="C4290" s="23" t="str">
        <f ca="1">IFERROR(__xludf.DUMMYFUNCTION("""COMPUTED_VALUE"""),"Fold MODUŁ")</f>
        <v>Fold MODUŁ</v>
      </c>
      <c r="D4290" s="24" t="str">
        <f ca="1">IFERROR(__xludf.DUMMYFUNCTION("""COMPUTED_VALUE"""),"1 368,00 zł")</f>
        <v>1 368,00 zł</v>
      </c>
      <c r="E4290" s="26"/>
    </row>
    <row r="4291" spans="1:5" x14ac:dyDescent="0.2">
      <c r="A4291" s="22">
        <f ca="1">IFERROR(__xludf.DUMMYFUNCTION("""COMPUTED_VALUE"""),44284)</f>
        <v>44284</v>
      </c>
      <c r="B4291" s="23" t="str">
        <f ca="1">IFERROR(__xludf.DUMMYFUNCTION("""COMPUTED_VALUE"""),"Kabina Prysznicowa Fold 70 x 100")</f>
        <v>Kabina Prysznicowa Fold 70 x 100</v>
      </c>
      <c r="C4291" s="23" t="str">
        <f ca="1">IFERROR(__xludf.DUMMYFUNCTION("""COMPUTED_VALUE"""),"Fold MODUŁ")</f>
        <v>Fold MODUŁ</v>
      </c>
      <c r="D4291" s="24" t="str">
        <f ca="1">IFERROR(__xludf.DUMMYFUNCTION("""COMPUTED_VALUE"""),"1 398,00 zł")</f>
        <v>1 398,00 zł</v>
      </c>
      <c r="E4291" s="26"/>
    </row>
    <row r="4292" spans="1:5" x14ac:dyDescent="0.2">
      <c r="A4292" s="22">
        <f ca="1">IFERROR(__xludf.DUMMYFUNCTION("""COMPUTED_VALUE"""),44284)</f>
        <v>44284</v>
      </c>
      <c r="B4292" s="23" t="str">
        <f ca="1">IFERROR(__xludf.DUMMYFUNCTION("""COMPUTED_VALUE"""),"Kabina Prysznicowa Fold 70 x 110")</f>
        <v>Kabina Prysznicowa Fold 70 x 110</v>
      </c>
      <c r="C4292" s="23" t="str">
        <f ca="1">IFERROR(__xludf.DUMMYFUNCTION("""COMPUTED_VALUE"""),"Fold MODUŁ")</f>
        <v>Fold MODUŁ</v>
      </c>
      <c r="D4292" s="24" t="str">
        <f ca="1">IFERROR(__xludf.DUMMYFUNCTION("""COMPUTED_VALUE"""),"1 418,00 zł")</f>
        <v>1 418,00 zł</v>
      </c>
      <c r="E4292" s="26"/>
    </row>
    <row r="4293" spans="1:5" x14ac:dyDescent="0.2">
      <c r="A4293" s="22">
        <f ca="1">IFERROR(__xludf.DUMMYFUNCTION("""COMPUTED_VALUE"""),44284)</f>
        <v>44284</v>
      </c>
      <c r="B4293" s="23" t="str">
        <f ca="1">IFERROR(__xludf.DUMMYFUNCTION("""COMPUTED_VALUE"""),"Kabina Prysznicowa Fold 70 x 120")</f>
        <v>Kabina Prysznicowa Fold 70 x 120</v>
      </c>
      <c r="C4293" s="23" t="str">
        <f ca="1">IFERROR(__xludf.DUMMYFUNCTION("""COMPUTED_VALUE"""),"Fold MODUŁ")</f>
        <v>Fold MODUŁ</v>
      </c>
      <c r="D4293" s="24" t="str">
        <f ca="1">IFERROR(__xludf.DUMMYFUNCTION("""COMPUTED_VALUE"""),"1 438,00 zł")</f>
        <v>1 438,00 zł</v>
      </c>
      <c r="E4293" s="26"/>
    </row>
    <row r="4294" spans="1:5" x14ac:dyDescent="0.2">
      <c r="A4294" s="22">
        <f ca="1">IFERROR(__xludf.DUMMYFUNCTION("""COMPUTED_VALUE"""),44284)</f>
        <v>44284</v>
      </c>
      <c r="B4294" s="23" t="str">
        <f ca="1">IFERROR(__xludf.DUMMYFUNCTION("""COMPUTED_VALUE"""),"Kabina Prysznicowa Fold 80 x 90")</f>
        <v>Kabina Prysznicowa Fold 80 x 90</v>
      </c>
      <c r="C4294" s="23" t="str">
        <f ca="1">IFERROR(__xludf.DUMMYFUNCTION("""COMPUTED_VALUE"""),"Fold MODUŁ")</f>
        <v>Fold MODUŁ</v>
      </c>
      <c r="D4294" s="24" t="str">
        <f ca="1">IFERROR(__xludf.DUMMYFUNCTION("""COMPUTED_VALUE"""),"1 398,00 zł")</f>
        <v>1 398,00 zł</v>
      </c>
      <c r="E4294" s="26"/>
    </row>
    <row r="4295" spans="1:5" x14ac:dyDescent="0.2">
      <c r="A4295" s="22">
        <f ca="1">IFERROR(__xludf.DUMMYFUNCTION("""COMPUTED_VALUE"""),44284)</f>
        <v>44284</v>
      </c>
      <c r="B4295" s="23" t="str">
        <f ca="1">IFERROR(__xludf.DUMMYFUNCTION("""COMPUTED_VALUE"""),"Kabina Prysznicowa Fold 80 x 100")</f>
        <v>Kabina Prysznicowa Fold 80 x 100</v>
      </c>
      <c r="C4295" s="23" t="str">
        <f ca="1">IFERROR(__xludf.DUMMYFUNCTION("""COMPUTED_VALUE"""),"Fold MODUŁ")</f>
        <v>Fold MODUŁ</v>
      </c>
      <c r="D4295" s="24" t="str">
        <f ca="1">IFERROR(__xludf.DUMMYFUNCTION("""COMPUTED_VALUE"""),"1 428,00 zł")</f>
        <v>1 428,00 zł</v>
      </c>
      <c r="E4295" s="26"/>
    </row>
    <row r="4296" spans="1:5" x14ac:dyDescent="0.2">
      <c r="A4296" s="22">
        <f ca="1">IFERROR(__xludf.DUMMYFUNCTION("""COMPUTED_VALUE"""),44284)</f>
        <v>44284</v>
      </c>
      <c r="B4296" s="23" t="str">
        <f ca="1">IFERROR(__xludf.DUMMYFUNCTION("""COMPUTED_VALUE"""),"Kabina Prysznicowa Fold 80 x 110")</f>
        <v>Kabina Prysznicowa Fold 80 x 110</v>
      </c>
      <c r="C4296" s="23" t="str">
        <f ca="1">IFERROR(__xludf.DUMMYFUNCTION("""COMPUTED_VALUE"""),"Fold MODUŁ")</f>
        <v>Fold MODUŁ</v>
      </c>
      <c r="D4296" s="24" t="str">
        <f ca="1">IFERROR(__xludf.DUMMYFUNCTION("""COMPUTED_VALUE"""),"1 448,00 zł")</f>
        <v>1 448,00 zł</v>
      </c>
      <c r="E4296" s="26"/>
    </row>
    <row r="4297" spans="1:5" x14ac:dyDescent="0.2">
      <c r="A4297" s="22">
        <f ca="1">IFERROR(__xludf.DUMMYFUNCTION("""COMPUTED_VALUE"""),44281)</f>
        <v>44281</v>
      </c>
      <c r="B4297" s="23" t="str">
        <f ca="1">IFERROR(__xludf.DUMMYFUNCTION("""COMPUTED_VALUE"""),"Kabina Prysznicowa Fold 80 x 120")</f>
        <v>Kabina Prysznicowa Fold 80 x 120</v>
      </c>
      <c r="C4297" s="23" t="str">
        <f ca="1">IFERROR(__xludf.DUMMYFUNCTION("""COMPUTED_VALUE"""),"Fold MODUŁ")</f>
        <v>Fold MODUŁ</v>
      </c>
      <c r="D4297" s="24" t="str">
        <f ca="1">IFERROR(__xludf.DUMMYFUNCTION("""COMPUTED_VALUE"""),"1 468,00 zł")</f>
        <v>1 468,00 zł</v>
      </c>
      <c r="E4297" s="26"/>
    </row>
    <row r="4298" spans="1:5" x14ac:dyDescent="0.2">
      <c r="A4298" s="22">
        <f ca="1">IFERROR(__xludf.DUMMYFUNCTION("""COMPUTED_VALUE"""),44281)</f>
        <v>44281</v>
      </c>
      <c r="B4298" s="23" t="str">
        <f ca="1">IFERROR(__xludf.DUMMYFUNCTION("""COMPUTED_VALUE"""),"Kabina Prysznicowa Fold 90 x 100")</f>
        <v>Kabina Prysznicowa Fold 90 x 100</v>
      </c>
      <c r="C4298" s="23" t="str">
        <f ca="1">IFERROR(__xludf.DUMMYFUNCTION("""COMPUTED_VALUE"""),"Fold MODUŁ")</f>
        <v>Fold MODUŁ</v>
      </c>
      <c r="D4298" s="24" t="str">
        <f ca="1">IFERROR(__xludf.DUMMYFUNCTION("""COMPUTED_VALUE"""),"1 448,00 zł")</f>
        <v>1 448,00 zł</v>
      </c>
      <c r="E4298" s="26"/>
    </row>
    <row r="4299" spans="1:5" x14ac:dyDescent="0.2">
      <c r="A4299" s="22">
        <f ca="1">IFERROR(__xludf.DUMMYFUNCTION("""COMPUTED_VALUE"""),44281)</f>
        <v>44281</v>
      </c>
      <c r="B4299" s="23" t="str">
        <f ca="1">IFERROR(__xludf.DUMMYFUNCTION("""COMPUTED_VALUE"""),"Kabina Prysznicowa Fold 90 x 110")</f>
        <v>Kabina Prysznicowa Fold 90 x 110</v>
      </c>
      <c r="C4299" s="23" t="str">
        <f ca="1">IFERROR(__xludf.DUMMYFUNCTION("""COMPUTED_VALUE"""),"Fold MODUŁ")</f>
        <v>Fold MODUŁ</v>
      </c>
      <c r="D4299" s="24" t="str">
        <f ca="1">IFERROR(__xludf.DUMMYFUNCTION("""COMPUTED_VALUE"""),"1 468,00 zł")</f>
        <v>1 468,00 zł</v>
      </c>
      <c r="E4299" s="26"/>
    </row>
    <row r="4300" spans="1:5" x14ac:dyDescent="0.2">
      <c r="A4300" s="22">
        <f ca="1">IFERROR(__xludf.DUMMYFUNCTION("""COMPUTED_VALUE"""),44281)</f>
        <v>44281</v>
      </c>
      <c r="B4300" s="23" t="str">
        <f ca="1">IFERROR(__xludf.DUMMYFUNCTION("""COMPUTED_VALUE"""),"Kabina Prysznicowa Fold 90 x 120")</f>
        <v>Kabina Prysznicowa Fold 90 x 120</v>
      </c>
      <c r="C4300" s="23" t="str">
        <f ca="1">IFERROR(__xludf.DUMMYFUNCTION("""COMPUTED_VALUE"""),"Fold MODUŁ")</f>
        <v>Fold MODUŁ</v>
      </c>
      <c r="D4300" s="24" t="str">
        <f ca="1">IFERROR(__xludf.DUMMYFUNCTION("""COMPUTED_VALUE"""),"1 488,00 zł")</f>
        <v>1 488,00 zł</v>
      </c>
      <c r="E4300" s="26"/>
    </row>
    <row r="4301" spans="1:5" x14ac:dyDescent="0.2">
      <c r="A4301" s="22">
        <f ca="1">IFERROR(__xludf.DUMMYFUNCTION("""COMPUTED_VALUE"""),44281)</f>
        <v>44281</v>
      </c>
      <c r="B4301" s="23" t="str">
        <f ca="1">IFERROR(__xludf.DUMMYFUNCTION("""COMPUTED_VALUE"""),"Kabina Prysznicowa Fold 100 x 100")</f>
        <v>Kabina Prysznicowa Fold 100 x 100</v>
      </c>
      <c r="C4301" s="23" t="str">
        <f ca="1">IFERROR(__xludf.DUMMYFUNCTION("""COMPUTED_VALUE"""),"Fold MODUŁ")</f>
        <v>Fold MODUŁ</v>
      </c>
      <c r="D4301" s="24" t="str">
        <f ca="1">IFERROR(__xludf.DUMMYFUNCTION("""COMPUTED_VALUE"""),"1 478,00 zł")</f>
        <v>1 478,00 zł</v>
      </c>
      <c r="E4301" s="26"/>
    </row>
    <row r="4302" spans="1:5" x14ac:dyDescent="0.2">
      <c r="A4302" s="22">
        <f ca="1">IFERROR(__xludf.DUMMYFUNCTION("""COMPUTED_VALUE"""),44281)</f>
        <v>44281</v>
      </c>
      <c r="B4302" s="23" t="str">
        <f ca="1">IFERROR(__xludf.DUMMYFUNCTION("""COMPUTED_VALUE"""),"Kabina Prysznicowa Fold 100 x 110")</f>
        <v>Kabina Prysznicowa Fold 100 x 110</v>
      </c>
      <c r="C4302" s="23" t="str">
        <f ca="1">IFERROR(__xludf.DUMMYFUNCTION("""COMPUTED_VALUE"""),"Fold MODUŁ")</f>
        <v>Fold MODUŁ</v>
      </c>
      <c r="D4302" s="24" t="str">
        <f ca="1">IFERROR(__xludf.DUMMYFUNCTION("""COMPUTED_VALUE"""),"1 498,00 zł")</f>
        <v>1 498,00 zł</v>
      </c>
      <c r="E4302" s="26"/>
    </row>
    <row r="4303" spans="1:5" x14ac:dyDescent="0.2">
      <c r="A4303" s="22">
        <f ca="1">IFERROR(__xludf.DUMMYFUNCTION("""COMPUTED_VALUE"""),44281)</f>
        <v>44281</v>
      </c>
      <c r="B4303" s="23" t="str">
        <f ca="1">IFERROR(__xludf.DUMMYFUNCTION("""COMPUTED_VALUE"""),"Kabina Prysznicowa Fold 100 x 120")</f>
        <v>Kabina Prysznicowa Fold 100 x 120</v>
      </c>
      <c r="C4303" s="23" t="str">
        <f ca="1">IFERROR(__xludf.DUMMYFUNCTION("""COMPUTED_VALUE"""),"Fold MODUŁ")</f>
        <v>Fold MODUŁ</v>
      </c>
      <c r="D4303" s="24" t="str">
        <f ca="1">IFERROR(__xludf.DUMMYFUNCTION("""COMPUTED_VALUE"""),"1 518,00 zł")</f>
        <v>1 518,00 zł</v>
      </c>
      <c r="E4303" s="26"/>
    </row>
    <row r="4304" spans="1:5" x14ac:dyDescent="0.2">
      <c r="A4304" s="22">
        <f ca="1">IFERROR(__xludf.DUMMYFUNCTION("""COMPUTED_VALUE"""),44281)</f>
        <v>44281</v>
      </c>
      <c r="B4304" s="23" t="str">
        <f ca="1">IFERROR(__xludf.DUMMYFUNCTION("""COMPUTED_VALUE"""),"Kabina Prysznicowa Fold 120 x 120")</f>
        <v>Kabina Prysznicowa Fold 120 x 120</v>
      </c>
      <c r="C4304" s="23" t="str">
        <f ca="1">IFERROR(__xludf.DUMMYFUNCTION("""COMPUTED_VALUE"""),"Fold MODUŁ")</f>
        <v>Fold MODUŁ</v>
      </c>
      <c r="D4304" s="24" t="str">
        <f ca="1">IFERROR(__xludf.DUMMYFUNCTION("""COMPUTED_VALUE"""),"1 558,00 zł")</f>
        <v>1 558,00 zł</v>
      </c>
      <c r="E4304" s="26"/>
    </row>
    <row r="4305" spans="1:5" x14ac:dyDescent="0.2">
      <c r="A4305" s="22">
        <f ca="1">IFERROR(__xludf.DUMMYFUNCTION("""COMPUTED_VALUE"""),44281)</f>
        <v>44281</v>
      </c>
      <c r="B4305" s="23" t="str">
        <f ca="1">IFERROR(__xludf.DUMMYFUNCTION("""COMPUTED_VALUE"""),"Kabina Prysznicowa Fold 110 x 120")</f>
        <v>Kabina Prysznicowa Fold 110 x 120</v>
      </c>
      <c r="C4305" s="23" t="str">
        <f ca="1">IFERROR(__xludf.DUMMYFUNCTION("""COMPUTED_VALUE"""),"Fold MODUŁ")</f>
        <v>Fold MODUŁ</v>
      </c>
      <c r="D4305" s="24" t="str">
        <f ca="1">IFERROR(__xludf.DUMMYFUNCTION("""COMPUTED_VALUE"""),"1 538,00 zł")</f>
        <v>1 538,00 zł</v>
      </c>
      <c r="E4305" s="26"/>
    </row>
    <row r="4306" spans="1:5" x14ac:dyDescent="0.2">
      <c r="A4306" s="22">
        <f ca="1">IFERROR(__xludf.DUMMYFUNCTION("""COMPUTED_VALUE"""),44281)</f>
        <v>44281</v>
      </c>
      <c r="B4306" s="23" t="str">
        <f ca="1">IFERROR(__xludf.DUMMYFUNCTION("""COMPUTED_VALUE"""),"Kabina Prysznicowa Fold 110 x 110")</f>
        <v>Kabina Prysznicowa Fold 110 x 110</v>
      </c>
      <c r="C4306" s="23" t="str">
        <f ca="1">IFERROR(__xludf.DUMMYFUNCTION("""COMPUTED_VALUE"""),"Fold MODUŁ")</f>
        <v>Fold MODUŁ</v>
      </c>
      <c r="D4306" s="24" t="str">
        <f ca="1">IFERROR(__xludf.DUMMYFUNCTION("""COMPUTED_VALUE"""),"1 518,00 zł")</f>
        <v>1 518,00 zł</v>
      </c>
      <c r="E4306" s="26"/>
    </row>
    <row r="4307" spans="1:5" x14ac:dyDescent="0.2">
      <c r="A4307" s="22">
        <f ca="1">IFERROR(__xludf.DUMMYFUNCTION("""COMPUTED_VALUE"""),44280)</f>
        <v>44280</v>
      </c>
      <c r="B4307" s="23" t="str">
        <f ca="1">IFERROR(__xludf.DUMMYFUNCTION("""COMPUTED_VALUE"""),"Parawan wannowy")</f>
        <v>Parawan wannowy</v>
      </c>
      <c r="C4307" s="23" t="str">
        <f ca="1">IFERROR(__xludf.DUMMYFUNCTION("""COMPUTED_VALUE"""),"Topaz 70")</f>
        <v>Topaz 70</v>
      </c>
      <c r="D4307" s="28">
        <f ca="1">IFERROR(__xludf.DUMMYFUNCTION("""COMPUTED_VALUE"""),369)</f>
        <v>369</v>
      </c>
      <c r="E4307" s="26"/>
    </row>
    <row r="4308" spans="1:5" x14ac:dyDescent="0.2">
      <c r="A4308" s="22">
        <f ca="1">IFERROR(__xludf.DUMMYFUNCTION("""COMPUTED_VALUE"""),44280)</f>
        <v>44280</v>
      </c>
      <c r="B4308" s="23" t="str">
        <f ca="1">IFERROR(__xludf.DUMMYFUNCTION("""COMPUTED_VALUE"""),"Parawan wannowy")</f>
        <v>Parawan wannowy</v>
      </c>
      <c r="C4308" s="23" t="str">
        <f ca="1">IFERROR(__xludf.DUMMYFUNCTION("""COMPUTED_VALUE"""),"Agat-2 100")</f>
        <v>Agat-2 100</v>
      </c>
      <c r="D4308" s="28">
        <f ca="1">IFERROR(__xludf.DUMMYFUNCTION("""COMPUTED_VALUE"""),489)</f>
        <v>489</v>
      </c>
      <c r="E4308" s="26"/>
    </row>
    <row r="4309" spans="1:5" x14ac:dyDescent="0.2">
      <c r="A4309" s="22">
        <f ca="1">IFERROR(__xludf.DUMMYFUNCTION("""COMPUTED_VALUE"""),44280)</f>
        <v>44280</v>
      </c>
      <c r="B4309" s="23" t="str">
        <f ca="1">IFERROR(__xludf.DUMMYFUNCTION("""COMPUTED_VALUE"""),"Parawan wannowy")</f>
        <v>Parawan wannowy</v>
      </c>
      <c r="C4309" s="23" t="str">
        <f ca="1">IFERROR(__xludf.DUMMYFUNCTION("""COMPUTED_VALUE"""),"Agat-2 80")</f>
        <v>Agat-2 80</v>
      </c>
      <c r="D4309" s="28">
        <f ca="1">IFERROR(__xludf.DUMMYFUNCTION("""COMPUTED_VALUE"""),439)</f>
        <v>439</v>
      </c>
      <c r="E4309" s="26"/>
    </row>
    <row r="4310" spans="1:5" x14ac:dyDescent="0.2">
      <c r="A4310" s="22">
        <f ca="1">IFERROR(__xludf.DUMMYFUNCTION("""COMPUTED_VALUE"""),44280)</f>
        <v>44280</v>
      </c>
      <c r="B4310" s="23" t="str">
        <f ca="1">IFERROR(__xludf.DUMMYFUNCTION("""COMPUTED_VALUE"""),"Parawan wannowy")</f>
        <v>Parawan wannowy</v>
      </c>
      <c r="C4310" s="23" t="str">
        <f ca="1">IFERROR(__xludf.DUMMYFUNCTION("""COMPUTED_VALUE"""),"Agat-3 120")</f>
        <v>Agat-3 120</v>
      </c>
      <c r="D4310" s="28">
        <f ca="1">IFERROR(__xludf.DUMMYFUNCTION("""COMPUTED_VALUE"""),529)</f>
        <v>529</v>
      </c>
      <c r="E4310" s="26"/>
    </row>
    <row r="4311" spans="1:5" x14ac:dyDescent="0.2">
      <c r="A4311" s="22">
        <f ca="1">IFERROR(__xludf.DUMMYFUNCTION("""COMPUTED_VALUE"""),44280)</f>
        <v>44280</v>
      </c>
      <c r="B4311" s="23" t="str">
        <f ca="1">IFERROR(__xludf.DUMMYFUNCTION("""COMPUTED_VALUE"""),"Ścianka prysznicowa CORTIS")</f>
        <v>Ścianka prysznicowa CORTIS</v>
      </c>
      <c r="C4311" s="23">
        <f ca="1">IFERROR(__xludf.DUMMYFUNCTION("""COMPUTED_VALUE"""),100)</f>
        <v>100</v>
      </c>
      <c r="D4311" s="24">
        <f ca="1">IFERROR(__xludf.DUMMYFUNCTION("""COMPUTED_VALUE"""),889)</f>
        <v>889</v>
      </c>
      <c r="E4311" s="26"/>
    </row>
    <row r="4312" spans="1:5" x14ac:dyDescent="0.2">
      <c r="A4312" s="22">
        <f ca="1">IFERROR(__xludf.DUMMYFUNCTION("""COMPUTED_VALUE"""),44280)</f>
        <v>44280</v>
      </c>
      <c r="B4312" s="23" t="str">
        <f ca="1">IFERROR(__xludf.DUMMYFUNCTION("""COMPUTED_VALUE"""),"Kabina prysznicowa 900x900x1900 Fold N2 SET")</f>
        <v>Kabina prysznicowa 900x900x1900 Fold N2 SET</v>
      </c>
      <c r="C4312" s="23" t="str">
        <f ca="1">IFERROR(__xludf.DUMMYFUNCTION("""COMPUTED_VALUE"""),"Fold N2 SET")</f>
        <v>Fold N2 SET</v>
      </c>
      <c r="D4312" s="24">
        <f ca="1">IFERROR(__xludf.DUMMYFUNCTION("""COMPUTED_VALUE"""),1429)</f>
        <v>1429</v>
      </c>
      <c r="E4312" s="26"/>
    </row>
    <row r="4313" spans="1:5" x14ac:dyDescent="0.2">
      <c r="A4313" s="22">
        <f ca="1">IFERROR(__xludf.DUMMYFUNCTION("""COMPUTED_VALUE"""),44280)</f>
        <v>44280</v>
      </c>
      <c r="B4313" s="23" t="str">
        <f ca="1">IFERROR(__xludf.DUMMYFUNCTION("""COMPUTED_VALUE"""),"Bateria wannowa")</f>
        <v>Bateria wannowa</v>
      </c>
      <c r="C4313" s="23" t="str">
        <f ca="1">IFERROR(__xludf.DUMMYFUNCTION("""COMPUTED_VALUE"""),"Fenix L. Gold")</f>
        <v>Fenix L. Gold</v>
      </c>
      <c r="D4313" s="24">
        <f ca="1">IFERROR(__xludf.DUMMYFUNCTION("""COMPUTED_VALUE"""),499)</f>
        <v>499</v>
      </c>
      <c r="E4313" s="26"/>
    </row>
    <row r="4314" spans="1:5" x14ac:dyDescent="0.2">
      <c r="A4314" s="22">
        <f ca="1">IFERROR(__xludf.DUMMYFUNCTION("""COMPUTED_VALUE"""),44280)</f>
        <v>44280</v>
      </c>
      <c r="B4314" s="23" t="str">
        <f ca="1">IFERROR(__xludf.DUMMYFUNCTION("""COMPUTED_VALUE"""),"Bateria kuchenna")</f>
        <v>Bateria kuchenna</v>
      </c>
      <c r="C4314" s="23" t="str">
        <f ca="1">IFERROR(__xludf.DUMMYFUNCTION("""COMPUTED_VALUE"""),"Icon")</f>
        <v>Icon</v>
      </c>
      <c r="D4314" s="24">
        <f ca="1">IFERROR(__xludf.DUMMYFUNCTION("""COMPUTED_VALUE"""),189)</f>
        <v>189</v>
      </c>
      <c r="E4314" s="26"/>
    </row>
    <row r="4315" spans="1:5" x14ac:dyDescent="0.2">
      <c r="A4315" s="22">
        <f ca="1">IFERROR(__xludf.DUMMYFUNCTION("""COMPUTED_VALUE"""),44280)</f>
        <v>44280</v>
      </c>
      <c r="B4315" s="23" t="str">
        <f ca="1">IFERROR(__xludf.DUMMYFUNCTION("""COMPUTED_VALUE"""),"Zestaw prysznicowy podtynkowy + BOX")</f>
        <v>Zestaw prysznicowy podtynkowy + BOX</v>
      </c>
      <c r="C4315" s="23" t="str">
        <f ca="1">IFERROR(__xludf.DUMMYFUNCTION("""COMPUTED_VALUE"""),"Fenix L. Gold")</f>
        <v>Fenix L. Gold</v>
      </c>
      <c r="D4315" s="24">
        <f ca="1">IFERROR(__xludf.DUMMYFUNCTION("""COMPUTED_VALUE"""),799)</f>
        <v>799</v>
      </c>
      <c r="E4315" s="26"/>
    </row>
    <row r="4316" spans="1:5" x14ac:dyDescent="0.2">
      <c r="A4316" s="22">
        <f ca="1">IFERROR(__xludf.DUMMYFUNCTION("""COMPUTED_VALUE"""),44280)</f>
        <v>44280</v>
      </c>
      <c r="B4316" s="23" t="str">
        <f ca="1">IFERROR(__xludf.DUMMYFUNCTION("""COMPUTED_VALUE"""),"Bateria umywalkowa")</f>
        <v>Bateria umywalkowa</v>
      </c>
      <c r="C4316" s="23" t="str">
        <f ca="1">IFERROR(__xludf.DUMMYFUNCTION("""COMPUTED_VALUE"""),"Tess L.Gold Szczotkowana Wysoka")</f>
        <v>Tess L.Gold Szczotkowana Wysoka</v>
      </c>
      <c r="D4316" s="24">
        <f ca="1">IFERROR(__xludf.DUMMYFUNCTION("""COMPUTED_VALUE"""),259)</f>
        <v>259</v>
      </c>
      <c r="E4316" s="26"/>
    </row>
    <row r="4317" spans="1:5" x14ac:dyDescent="0.2">
      <c r="A4317" s="22">
        <f ca="1">IFERROR(__xludf.DUMMYFUNCTION("""COMPUTED_VALUE"""),44280)</f>
        <v>44280</v>
      </c>
      <c r="B4317" s="23" t="str">
        <f ca="1">IFERROR(__xludf.DUMMYFUNCTION("""COMPUTED_VALUE"""),"Bateria umywalkowa")</f>
        <v>Bateria umywalkowa</v>
      </c>
      <c r="C4317" s="23" t="str">
        <f ca="1">IFERROR(__xludf.DUMMYFUNCTION("""COMPUTED_VALUE"""),"Tess L.Gold Szczotkowana Niska")</f>
        <v>Tess L.Gold Szczotkowana Niska</v>
      </c>
      <c r="D4317" s="24">
        <f ca="1">IFERROR(__xludf.DUMMYFUNCTION("""COMPUTED_VALUE"""),189)</f>
        <v>189</v>
      </c>
      <c r="E4317" s="26"/>
    </row>
    <row r="4318" spans="1:5" x14ac:dyDescent="0.2">
      <c r="A4318" s="22">
        <f ca="1">IFERROR(__xludf.DUMMYFUNCTION("""COMPUTED_VALUE"""),44280)</f>
        <v>44280</v>
      </c>
      <c r="B4318" s="23" t="str">
        <f ca="1">IFERROR(__xludf.DUMMYFUNCTION("""COMPUTED_VALUE"""),"Zestaw natryskowy")</f>
        <v>Zestaw natryskowy</v>
      </c>
      <c r="C4318" s="23" t="str">
        <f ca="1">IFERROR(__xludf.DUMMYFUNCTION("""COMPUTED_VALUE"""),"Fort Black Matt")</f>
        <v>Fort Black Matt</v>
      </c>
      <c r="D4318" s="24">
        <f ca="1">IFERROR(__xludf.DUMMYFUNCTION("""COMPUTED_VALUE"""),729)</f>
        <v>729</v>
      </c>
      <c r="E4318" s="26"/>
    </row>
    <row r="4319" spans="1:5" x14ac:dyDescent="0.2">
      <c r="A4319" s="22">
        <f ca="1">IFERROR(__xludf.DUMMYFUNCTION("""COMPUTED_VALUE"""),44280)</f>
        <v>44280</v>
      </c>
      <c r="B4319" s="23" t="str">
        <f ca="1">IFERROR(__xludf.DUMMYFUNCTION("""COMPUTED_VALUE"""),"Zestaw prysznicowy podtynkowy + BOX")</f>
        <v>Zestaw prysznicowy podtynkowy + BOX</v>
      </c>
      <c r="C4319" s="23" t="str">
        <f ca="1">IFERROR(__xludf.DUMMYFUNCTION("""COMPUTED_VALUE"""),"Fenix L. Gold")</f>
        <v>Fenix L. Gold</v>
      </c>
      <c r="D4319" s="24">
        <f ca="1">IFERROR(__xludf.DUMMYFUNCTION("""COMPUTED_VALUE"""),719)</f>
        <v>719</v>
      </c>
      <c r="E4319" s="26"/>
    </row>
    <row r="4320" spans="1:5" x14ac:dyDescent="0.2">
      <c r="A4320" s="22">
        <f ca="1">IFERROR(__xludf.DUMMYFUNCTION("""COMPUTED_VALUE"""),44280)</f>
        <v>44280</v>
      </c>
      <c r="B4320" s="23" t="str">
        <f ca="1">IFERROR(__xludf.DUMMYFUNCTION("""COMPUTED_VALUE"""),"Bateria wannowa")</f>
        <v>Bateria wannowa</v>
      </c>
      <c r="C4320" s="23" t="str">
        <f ca="1">IFERROR(__xludf.DUMMYFUNCTION("""COMPUTED_VALUE"""),"Mayson L. Gold")</f>
        <v>Mayson L. Gold</v>
      </c>
      <c r="D4320" s="24">
        <f ca="1">IFERROR(__xludf.DUMMYFUNCTION("""COMPUTED_VALUE"""),329)</f>
        <v>329</v>
      </c>
      <c r="E4320" s="26"/>
    </row>
    <row r="4321" spans="1:5" x14ac:dyDescent="0.2">
      <c r="A4321" s="22">
        <f ca="1">IFERROR(__xludf.DUMMYFUNCTION("""COMPUTED_VALUE"""),44280)</f>
        <v>44280</v>
      </c>
      <c r="B4321" s="23" t="str">
        <f ca="1">IFERROR(__xludf.DUMMYFUNCTION("""COMPUTED_VALUE"""),"Bateria wannowa")</f>
        <v>Bateria wannowa</v>
      </c>
      <c r="C4321" s="23" t="str">
        <f ca="1">IFERROR(__xludf.DUMMYFUNCTION("""COMPUTED_VALUE"""),"Fenix L. Gold")</f>
        <v>Fenix L. Gold</v>
      </c>
      <c r="D4321" s="24">
        <f ca="1">IFERROR(__xludf.DUMMYFUNCTION("""COMPUTED_VALUE"""),489)</f>
        <v>489</v>
      </c>
      <c r="E4321" s="26"/>
    </row>
    <row r="4322" spans="1:5" x14ac:dyDescent="0.2">
      <c r="A4322" s="22">
        <f ca="1">IFERROR(__xludf.DUMMYFUNCTION("""COMPUTED_VALUE"""),44280)</f>
        <v>44280</v>
      </c>
      <c r="B4322" s="23" t="str">
        <f ca="1">IFERROR(__xludf.DUMMYFUNCTION("""COMPUTED_VALUE"""),"Bateria umywalkowa")</f>
        <v>Bateria umywalkowa</v>
      </c>
      <c r="C4322" s="23" t="str">
        <f ca="1">IFERROR(__xludf.DUMMYFUNCTION("""COMPUTED_VALUE"""),"Luppo Black Niska")</f>
        <v>Luppo Black Niska</v>
      </c>
      <c r="D4322" s="24">
        <f ca="1">IFERROR(__xludf.DUMMYFUNCTION("""COMPUTED_VALUE"""),159)</f>
        <v>159</v>
      </c>
      <c r="E4322" s="26"/>
    </row>
    <row r="4323" spans="1:5" x14ac:dyDescent="0.2">
      <c r="A4323" s="22">
        <f ca="1">IFERROR(__xludf.DUMMYFUNCTION("""COMPUTED_VALUE"""),44273)</f>
        <v>44273</v>
      </c>
      <c r="B4323" s="23" t="str">
        <f ca="1">IFERROR(__xludf.DUMMYFUNCTION("""COMPUTED_VALUE"""),"Bateria umywalkowa")</f>
        <v>Bateria umywalkowa</v>
      </c>
      <c r="C4323" s="23" t="str">
        <f ca="1">IFERROR(__xludf.DUMMYFUNCTION("""COMPUTED_VALUE"""),"Ikon Black Niska")</f>
        <v>Ikon Black Niska</v>
      </c>
      <c r="D4323" s="24">
        <f ca="1">IFERROR(__xludf.DUMMYFUNCTION("""COMPUTED_VALUE"""),199)</f>
        <v>199</v>
      </c>
      <c r="E4323" s="26"/>
    </row>
    <row r="4324" spans="1:5" x14ac:dyDescent="0.2">
      <c r="A4324" s="22">
        <f ca="1">IFERROR(__xludf.DUMMYFUNCTION("""COMPUTED_VALUE"""),44273)</f>
        <v>44273</v>
      </c>
      <c r="B4324" s="23" t="str">
        <f ca="1">IFERROR(__xludf.DUMMYFUNCTION("""COMPUTED_VALUE"""),"Bateria umywalkowa")</f>
        <v>Bateria umywalkowa</v>
      </c>
      <c r="C4324" s="23" t="str">
        <f ca="1">IFERROR(__xludf.DUMMYFUNCTION("""COMPUTED_VALUE"""),"Ikon Black Wysoka")</f>
        <v>Ikon Black Wysoka</v>
      </c>
      <c r="D4324" s="24">
        <f ca="1">IFERROR(__xludf.DUMMYFUNCTION("""COMPUTED_VALUE"""),259)</f>
        <v>259</v>
      </c>
      <c r="E4324" s="26"/>
    </row>
    <row r="4325" spans="1:5" x14ac:dyDescent="0.2">
      <c r="A4325" s="22">
        <f ca="1">IFERROR(__xludf.DUMMYFUNCTION("""COMPUTED_VALUE"""),44273)</f>
        <v>44273</v>
      </c>
      <c r="B4325" s="23" t="str">
        <f ca="1">IFERROR(__xludf.DUMMYFUNCTION("""COMPUTED_VALUE"""),"Bateria kuchenna")</f>
        <v>Bateria kuchenna</v>
      </c>
      <c r="C4325" s="23" t="str">
        <f ca="1">IFERROR(__xludf.DUMMYFUNCTION("""COMPUTED_VALUE"""),"Ikon wysoka")</f>
        <v>Ikon wysoka</v>
      </c>
      <c r="D4325" s="24">
        <f ca="1">IFERROR(__xludf.DUMMYFUNCTION("""COMPUTED_VALUE"""),179)</f>
        <v>179</v>
      </c>
      <c r="E4325" s="26"/>
    </row>
    <row r="4326" spans="1:5" x14ac:dyDescent="0.2">
      <c r="A4326" s="22">
        <f ca="1">IFERROR(__xludf.DUMMYFUNCTION("""COMPUTED_VALUE"""),44273)</f>
        <v>44273</v>
      </c>
      <c r="B4326" s="23" t="str">
        <f ca="1">IFERROR(__xludf.DUMMYFUNCTION("""COMPUTED_VALUE"""),"Bateria umywalkowa wysoka")</f>
        <v>Bateria umywalkowa wysoka</v>
      </c>
      <c r="C4326" s="23" t="str">
        <f ca="1">IFERROR(__xludf.DUMMYFUNCTION("""COMPUTED_VALUE"""),"Modo L. Gold")</f>
        <v>Modo L. Gold</v>
      </c>
      <c r="D4326" s="24">
        <f ca="1">IFERROR(__xludf.DUMMYFUNCTION("""COMPUTED_VALUE"""),349)</f>
        <v>349</v>
      </c>
      <c r="E4326" s="26"/>
    </row>
    <row r="4327" spans="1:5" x14ac:dyDescent="0.2">
      <c r="A4327" s="22">
        <f ca="1">IFERROR(__xludf.DUMMYFUNCTION("""COMPUTED_VALUE"""),44273)</f>
        <v>44273</v>
      </c>
      <c r="B4327" s="23" t="str">
        <f ca="1">IFERROR(__xludf.DUMMYFUNCTION("""COMPUTED_VALUE"""),"Bateria umywalkowa wysoka")</f>
        <v>Bateria umywalkowa wysoka</v>
      </c>
      <c r="C4327" s="23" t="str">
        <f ca="1">IFERROR(__xludf.DUMMYFUNCTION("""COMPUTED_VALUE"""),"Modo Black")</f>
        <v>Modo Black</v>
      </c>
      <c r="D4327" s="24">
        <f ca="1">IFERROR(__xludf.DUMMYFUNCTION("""COMPUTED_VALUE"""),329)</f>
        <v>329</v>
      </c>
      <c r="E4327" s="26"/>
    </row>
    <row r="4328" spans="1:5" x14ac:dyDescent="0.2">
      <c r="A4328" s="22">
        <f ca="1">IFERROR(__xludf.DUMMYFUNCTION("""COMPUTED_VALUE"""),44273)</f>
        <v>44273</v>
      </c>
      <c r="B4328" s="23" t="str">
        <f ca="1">IFERROR(__xludf.DUMMYFUNCTION("""COMPUTED_VALUE"""),"Uniwersalny korek klik-klak")</f>
        <v>Uniwersalny korek klik-klak</v>
      </c>
      <c r="C4328" s="23" t="str">
        <f ca="1">IFERROR(__xludf.DUMMYFUNCTION("""COMPUTED_VALUE"""),"White")</f>
        <v>White</v>
      </c>
      <c r="D4328" s="24">
        <f ca="1">IFERROR(__xludf.DUMMYFUNCTION("""COMPUTED_VALUE"""),59)</f>
        <v>59</v>
      </c>
      <c r="E4328" s="26"/>
    </row>
    <row r="4329" spans="1:5" x14ac:dyDescent="0.2">
      <c r="A4329" s="22">
        <f ca="1">IFERROR(__xludf.DUMMYFUNCTION("""COMPUTED_VALUE"""),44273)</f>
        <v>44273</v>
      </c>
      <c r="B4329" s="23" t="str">
        <f ca="1">IFERROR(__xludf.DUMMYFUNCTION("""COMPUTED_VALUE"""),"Brodzik akrylowy")</f>
        <v>Brodzik akrylowy</v>
      </c>
      <c r="C4329" s="23" t="str">
        <f ca="1">IFERROR(__xludf.DUMMYFUNCTION("""COMPUTED_VALUE"""),"Grand Black 80x100")</f>
        <v>Grand Black 80x100</v>
      </c>
      <c r="D4329" s="24">
        <f ca="1">IFERROR(__xludf.DUMMYFUNCTION("""COMPUTED_VALUE"""),669)</f>
        <v>669</v>
      </c>
      <c r="E4329" s="26"/>
    </row>
    <row r="4330" spans="1:5" x14ac:dyDescent="0.2">
      <c r="A4330" s="22">
        <f ca="1">IFERROR(__xludf.DUMMYFUNCTION("""COMPUTED_VALUE"""),44273)</f>
        <v>44273</v>
      </c>
      <c r="B4330" s="23" t="str">
        <f ca="1">IFERROR(__xludf.DUMMYFUNCTION("""COMPUTED_VALUE"""),"Brodzik akrylowy")</f>
        <v>Brodzik akrylowy</v>
      </c>
      <c r="C4330" s="23" t="str">
        <f ca="1">IFERROR(__xludf.DUMMYFUNCTION("""COMPUTED_VALUE"""),"Grand Black 90x120")</f>
        <v>Grand Black 90x120</v>
      </c>
      <c r="D4330" s="24">
        <f ca="1">IFERROR(__xludf.DUMMYFUNCTION("""COMPUTED_VALUE"""),899)</f>
        <v>899</v>
      </c>
      <c r="E4330" s="26"/>
    </row>
    <row r="4331" spans="1:5" x14ac:dyDescent="0.2">
      <c r="A4331" s="22">
        <f ca="1">IFERROR(__xludf.DUMMYFUNCTION("""COMPUTED_VALUE"""),44273)</f>
        <v>44273</v>
      </c>
      <c r="B4331" s="23" t="str">
        <f ca="1">IFERROR(__xludf.DUMMYFUNCTION("""COMPUTED_VALUE"""),"Brodzik akrylowy")</f>
        <v>Brodzik akrylowy</v>
      </c>
      <c r="C4331" s="23" t="str">
        <f ca="1">IFERROR(__xludf.DUMMYFUNCTION("""COMPUTED_VALUE"""),"Grand Black 90x90")</f>
        <v>Grand Black 90x90</v>
      </c>
      <c r="D4331" s="24">
        <f ca="1">IFERROR(__xludf.DUMMYFUNCTION("""COMPUTED_VALUE"""),699)</f>
        <v>699</v>
      </c>
      <c r="E4331" s="26"/>
    </row>
    <row r="4332" spans="1:5" x14ac:dyDescent="0.2">
      <c r="A4332" s="22">
        <f ca="1">IFERROR(__xludf.DUMMYFUNCTION("""COMPUTED_VALUE"""),44273)</f>
        <v>44273</v>
      </c>
      <c r="B4332" s="23" t="str">
        <f ca="1">IFERROR(__xludf.DUMMYFUNCTION("""COMPUTED_VALUE"""),"Brodzik akrylowy")</f>
        <v>Brodzik akrylowy</v>
      </c>
      <c r="C4332" s="23" t="str">
        <f ca="1">IFERROR(__xludf.DUMMYFUNCTION("""COMPUTED_VALUE"""),"Grand White 80x100")</f>
        <v>Grand White 80x100</v>
      </c>
      <c r="D4332" s="24">
        <f ca="1">IFERROR(__xludf.DUMMYFUNCTION("""COMPUTED_VALUE"""),669)</f>
        <v>669</v>
      </c>
      <c r="E4332" s="26"/>
    </row>
    <row r="4333" spans="1:5" x14ac:dyDescent="0.2">
      <c r="A4333" s="22">
        <f ca="1">IFERROR(__xludf.DUMMYFUNCTION("""COMPUTED_VALUE"""),44273)</f>
        <v>44273</v>
      </c>
      <c r="B4333" s="23" t="str">
        <f ca="1">IFERROR(__xludf.DUMMYFUNCTION("""COMPUTED_VALUE"""),"Brodzik akrylowy")</f>
        <v>Brodzik akrylowy</v>
      </c>
      <c r="C4333" s="23" t="str">
        <f ca="1">IFERROR(__xludf.DUMMYFUNCTION("""COMPUTED_VALUE"""),"Grand White 90x120")</f>
        <v>Grand White 90x120</v>
      </c>
      <c r="D4333" s="24">
        <f ca="1">IFERROR(__xludf.DUMMYFUNCTION("""COMPUTED_VALUE"""),899)</f>
        <v>899</v>
      </c>
      <c r="E4333" s="26"/>
    </row>
    <row r="4334" spans="1:5" x14ac:dyDescent="0.2">
      <c r="A4334" s="22">
        <f ca="1">IFERROR(__xludf.DUMMYFUNCTION("""COMPUTED_VALUE"""),44273)</f>
        <v>44273</v>
      </c>
      <c r="B4334" s="23" t="str">
        <f ca="1">IFERROR(__xludf.DUMMYFUNCTION("""COMPUTED_VALUE"""),"Brodzik akrylowy")</f>
        <v>Brodzik akrylowy</v>
      </c>
      <c r="C4334" s="23" t="str">
        <f ca="1">IFERROR(__xludf.DUMMYFUNCTION("""COMPUTED_VALUE"""),"Grand White 90x90")</f>
        <v>Grand White 90x90</v>
      </c>
      <c r="D4334" s="24">
        <f ca="1">IFERROR(__xludf.DUMMYFUNCTION("""COMPUTED_VALUE"""),699)</f>
        <v>699</v>
      </c>
      <c r="E4334" s="26"/>
    </row>
    <row r="4335" spans="1:5" x14ac:dyDescent="0.2">
      <c r="A4335" s="22">
        <f ca="1">IFERROR(__xludf.DUMMYFUNCTION("""COMPUTED_VALUE"""),44273)</f>
        <v>44273</v>
      </c>
      <c r="B4335" s="23" t="str">
        <f ca="1">IFERROR(__xludf.DUMMYFUNCTION("""COMPUTED_VALUE"""),"Brodzik akrylowy")</f>
        <v>Brodzik akrylowy</v>
      </c>
      <c r="C4335" s="23" t="str">
        <f ca="1">IFERROR(__xludf.DUMMYFUNCTION("""COMPUTED_VALUE"""),"Black Rock 90x90")</f>
        <v>Black Rock 90x90</v>
      </c>
      <c r="D4335" s="24">
        <f ca="1">IFERROR(__xludf.DUMMYFUNCTION("""COMPUTED_VALUE"""),669)</f>
        <v>669</v>
      </c>
      <c r="E4335" s="26"/>
    </row>
    <row r="4336" spans="1:5" x14ac:dyDescent="0.2">
      <c r="A4336" s="22">
        <f ca="1">IFERROR(__xludf.DUMMYFUNCTION("""COMPUTED_VALUE"""),44273)</f>
        <v>44273</v>
      </c>
      <c r="B4336" s="23" t="str">
        <f ca="1">IFERROR(__xludf.DUMMYFUNCTION("""COMPUTED_VALUE"""),"Brodzik akrylowy")</f>
        <v>Brodzik akrylowy</v>
      </c>
      <c r="C4336" s="23" t="str">
        <f ca="1">IFERROR(__xludf.DUMMYFUNCTION("""COMPUTED_VALUE"""),"Black Rock 80x120")</f>
        <v>Black Rock 80x120</v>
      </c>
      <c r="D4336" s="24">
        <f ca="1">IFERROR(__xludf.DUMMYFUNCTION("""COMPUTED_VALUE"""),719)</f>
        <v>719</v>
      </c>
      <c r="E4336" s="26"/>
    </row>
    <row r="4337" spans="1:5" x14ac:dyDescent="0.2">
      <c r="A4337" s="22">
        <f ca="1">IFERROR(__xludf.DUMMYFUNCTION("""COMPUTED_VALUE"""),44273)</f>
        <v>44273</v>
      </c>
      <c r="B4337" s="23" t="str">
        <f ca="1">IFERROR(__xludf.DUMMYFUNCTION("""COMPUTED_VALUE"""),"Brodzik akrylowy")</f>
        <v>Brodzik akrylowy</v>
      </c>
      <c r="C4337" s="23" t="str">
        <f ca="1">IFERROR(__xludf.DUMMYFUNCTION("""COMPUTED_VALUE"""),"Black Rock 90x120")</f>
        <v>Black Rock 90x120</v>
      </c>
      <c r="D4337" s="24">
        <f ca="1">IFERROR(__xludf.DUMMYFUNCTION("""COMPUTED_VALUE"""),869)</f>
        <v>869</v>
      </c>
      <c r="E4337" s="26"/>
    </row>
    <row r="4338" spans="1:5" x14ac:dyDescent="0.2">
      <c r="A4338" s="22">
        <f ca="1">IFERROR(__xludf.DUMMYFUNCTION("""COMPUTED_VALUE"""),44273)</f>
        <v>44273</v>
      </c>
      <c r="B4338" s="23" t="str">
        <f ca="1">IFERROR(__xludf.DUMMYFUNCTION("""COMPUTED_VALUE"""),"Brodzik akrylowy")</f>
        <v>Brodzik akrylowy</v>
      </c>
      <c r="C4338" s="23" t="str">
        <f ca="1">IFERROR(__xludf.DUMMYFUNCTION("""COMPUTED_VALUE"""),"Grey Rock 80x100")</f>
        <v>Grey Rock 80x100</v>
      </c>
      <c r="D4338" s="24">
        <f ca="1">IFERROR(__xludf.DUMMYFUNCTION("""COMPUTED_VALUE"""),669)</f>
        <v>669</v>
      </c>
      <c r="E4338" s="26"/>
    </row>
    <row r="4339" spans="1:5" x14ac:dyDescent="0.2">
      <c r="A4339" s="22">
        <f ca="1">IFERROR(__xludf.DUMMYFUNCTION("""COMPUTED_VALUE"""),44273)</f>
        <v>44273</v>
      </c>
      <c r="B4339" s="23" t="str">
        <f ca="1">IFERROR(__xludf.DUMMYFUNCTION("""COMPUTED_VALUE"""),"Brodzik akrylowy")</f>
        <v>Brodzik akrylowy</v>
      </c>
      <c r="C4339" s="23" t="str">
        <f ca="1">IFERROR(__xludf.DUMMYFUNCTION("""COMPUTED_VALUE"""),"Grey Rock 80x120")</f>
        <v>Grey Rock 80x120</v>
      </c>
      <c r="D4339" s="24">
        <f ca="1">IFERROR(__xludf.DUMMYFUNCTION("""COMPUTED_VALUE"""),719)</f>
        <v>719</v>
      </c>
      <c r="E4339" s="26"/>
    </row>
    <row r="4340" spans="1:5" x14ac:dyDescent="0.2">
      <c r="A4340" s="22">
        <f ca="1">IFERROR(__xludf.DUMMYFUNCTION("""COMPUTED_VALUE"""),44273)</f>
        <v>44273</v>
      </c>
      <c r="B4340" s="23" t="str">
        <f ca="1">IFERROR(__xludf.DUMMYFUNCTION("""COMPUTED_VALUE"""),"Brodzik akrylowy")</f>
        <v>Brodzik akrylowy</v>
      </c>
      <c r="C4340" s="23" t="str">
        <f ca="1">IFERROR(__xludf.DUMMYFUNCTION("""COMPUTED_VALUE"""),"Grey Rock 90x120")</f>
        <v>Grey Rock 90x120</v>
      </c>
      <c r="D4340" s="24">
        <f ca="1">IFERROR(__xludf.DUMMYFUNCTION("""COMPUTED_VALUE"""),869)</f>
        <v>869</v>
      </c>
      <c r="E4340" s="26"/>
    </row>
    <row r="4341" spans="1:5" x14ac:dyDescent="0.2">
      <c r="A4341" s="22">
        <f ca="1">IFERROR(__xludf.DUMMYFUNCTION("""COMPUTED_VALUE"""),44273)</f>
        <v>44273</v>
      </c>
      <c r="B4341" s="23" t="str">
        <f ca="1">IFERROR(__xludf.DUMMYFUNCTION("""COMPUTED_VALUE"""),"Brodzik kamienny")</f>
        <v>Brodzik kamienny</v>
      </c>
      <c r="C4341" s="23" t="str">
        <f ca="1">IFERROR(__xludf.DUMMYFUNCTION("""COMPUTED_VALUE"""),"Stone Black 80x100")</f>
        <v>Stone Black 80x100</v>
      </c>
      <c r="D4341" s="24">
        <f ca="1">IFERROR(__xludf.DUMMYFUNCTION("""COMPUTED_VALUE"""),899)</f>
        <v>899</v>
      </c>
      <c r="E4341" s="26"/>
    </row>
    <row r="4342" spans="1:5" x14ac:dyDescent="0.2">
      <c r="A4342" s="22">
        <f ca="1">IFERROR(__xludf.DUMMYFUNCTION("""COMPUTED_VALUE"""),44278)</f>
        <v>44278</v>
      </c>
      <c r="B4342" s="23" t="str">
        <f ca="1">IFERROR(__xludf.DUMMYFUNCTION("""COMPUTED_VALUE"""),"Brodzik kamienny")</f>
        <v>Brodzik kamienny</v>
      </c>
      <c r="C4342" s="23" t="str">
        <f ca="1">IFERROR(__xludf.DUMMYFUNCTION("""COMPUTED_VALUE"""),"Stone Black 80x120")</f>
        <v>Stone Black 80x120</v>
      </c>
      <c r="D4342" s="24">
        <f ca="1">IFERROR(__xludf.DUMMYFUNCTION("""COMPUTED_VALUE"""),1049)</f>
        <v>1049</v>
      </c>
      <c r="E4342" s="26"/>
    </row>
    <row r="4343" spans="1:5" x14ac:dyDescent="0.2">
      <c r="A4343" s="22"/>
      <c r="B4343" s="23" t="str">
        <f ca="1">IFERROR(__xludf.DUMMYFUNCTION("""COMPUTED_VALUE"""),"Brodzik kamienny")</f>
        <v>Brodzik kamienny</v>
      </c>
      <c r="C4343" s="23" t="str">
        <f ca="1">IFERROR(__xludf.DUMMYFUNCTION("""COMPUTED_VALUE"""),"Stone Black 90x120")</f>
        <v>Stone Black 90x120</v>
      </c>
      <c r="D4343" s="24">
        <f ca="1">IFERROR(__xludf.DUMMYFUNCTION("""COMPUTED_VALUE"""),1199)</f>
        <v>1199</v>
      </c>
      <c r="E4343" s="26"/>
    </row>
    <row r="4344" spans="1:5" x14ac:dyDescent="0.2">
      <c r="A4344" s="22"/>
      <c r="B4344" s="23" t="str">
        <f ca="1">IFERROR(__xludf.DUMMYFUNCTION("""COMPUTED_VALUE"""),"Brodzik kamienny")</f>
        <v>Brodzik kamienny</v>
      </c>
      <c r="C4344" s="23" t="str">
        <f ca="1">IFERROR(__xludf.DUMMYFUNCTION("""COMPUTED_VALUE"""),"Stone Black 90x90")</f>
        <v>Stone Black 90x90</v>
      </c>
      <c r="D4344" s="24">
        <f ca="1">IFERROR(__xludf.DUMMYFUNCTION("""COMPUTED_VALUE"""),879)</f>
        <v>879</v>
      </c>
      <c r="E4344" s="26"/>
    </row>
    <row r="4345" spans="1:5" x14ac:dyDescent="0.2">
      <c r="A4345" s="22"/>
      <c r="B4345" s="23" t="str">
        <f ca="1">IFERROR(__xludf.DUMMYFUNCTION("""COMPUTED_VALUE"""),"Kabina prysznicowa")</f>
        <v>Kabina prysznicowa</v>
      </c>
      <c r="C4345" s="23" t="str">
        <f ca="1">IFERROR(__xludf.DUMMYFUNCTION("""COMPUTED_VALUE"""),"Rubik 80x80")</f>
        <v>Rubik 80x80</v>
      </c>
      <c r="D4345" s="24">
        <f ca="1">IFERROR(__xludf.DUMMYFUNCTION("""COMPUTED_VALUE"""),1239)</f>
        <v>1239</v>
      </c>
      <c r="E4345" s="26"/>
    </row>
    <row r="4346" spans="1:5" x14ac:dyDescent="0.2">
      <c r="A4346" s="22"/>
      <c r="B4346" s="23" t="str">
        <f ca="1">IFERROR(__xludf.DUMMYFUNCTION("""COMPUTED_VALUE"""),"Kabina prysznicowa")</f>
        <v>Kabina prysznicowa</v>
      </c>
      <c r="C4346" s="23" t="str">
        <f ca="1">IFERROR(__xludf.DUMMYFUNCTION("""COMPUTED_VALUE"""),"Rubik 90x90")</f>
        <v>Rubik 90x90</v>
      </c>
      <c r="D4346" s="24" t="str">
        <f ca="1">IFERROR(__xludf.DUMMYFUNCTION("""COMPUTED_VALUE"""),"1 259,00 zł")</f>
        <v>1 259,00 zł</v>
      </c>
      <c r="E4346" s="26"/>
    </row>
    <row r="4347" spans="1:5" x14ac:dyDescent="0.2">
      <c r="A4347" s="22"/>
      <c r="B4347" s="23" t="str">
        <f ca="1">IFERROR(__xludf.DUMMYFUNCTION("""COMPUTED_VALUE"""),"Kabina prysznicowa")</f>
        <v>Kabina prysznicowa</v>
      </c>
      <c r="C4347" s="23" t="str">
        <f ca="1">IFERROR(__xludf.DUMMYFUNCTION("""COMPUTED_VALUE"""),"Rubik 80x100")</f>
        <v>Rubik 80x100</v>
      </c>
      <c r="D4347" s="24" t="str">
        <f ca="1">IFERROR(__xludf.DUMMYFUNCTION("""COMPUTED_VALUE"""),"1 299,00 zł")</f>
        <v>1 299,00 zł</v>
      </c>
      <c r="E4347" s="26"/>
    </row>
    <row r="4348" spans="1:5" x14ac:dyDescent="0.2">
      <c r="A4348" s="22"/>
      <c r="B4348" s="23" t="str">
        <f ca="1">IFERROR(__xludf.DUMMYFUNCTION("""COMPUTED_VALUE"""),"Bateria umywalkowa")</f>
        <v>Bateria umywalkowa</v>
      </c>
      <c r="C4348" s="23" t="str">
        <f ca="1">IFERROR(__xludf.DUMMYFUNCTION("""COMPUTED_VALUE"""),"Caro 9211")</f>
        <v>Caro 9211</v>
      </c>
      <c r="D4348" s="24">
        <f ca="1">IFERROR(__xludf.DUMMYFUNCTION("""COMPUTED_VALUE"""),129)</f>
        <v>129</v>
      </c>
      <c r="E4348" s="26"/>
    </row>
    <row r="4349" spans="1:5" x14ac:dyDescent="0.2">
      <c r="A4349" s="22"/>
      <c r="B4349" s="23" t="str">
        <f ca="1">IFERROR(__xludf.DUMMYFUNCTION("""COMPUTED_VALUE"""),"Bateria umywalkowa")</f>
        <v>Bateria umywalkowa</v>
      </c>
      <c r="C4349" s="23" t="str">
        <f ca="1">IFERROR(__xludf.DUMMYFUNCTION("""COMPUTED_VALUE"""),"Lungo czarny mat niska")</f>
        <v>Lungo czarny mat niska</v>
      </c>
      <c r="D4349" s="24">
        <f ca="1">IFERROR(__xludf.DUMMYFUNCTION("""COMPUTED_VALUE"""),149)</f>
        <v>149</v>
      </c>
      <c r="E4349" s="26"/>
    </row>
    <row r="4350" spans="1:5" x14ac:dyDescent="0.2">
      <c r="A4350" s="22"/>
      <c r="B4350" s="23" t="str">
        <f ca="1">IFERROR(__xludf.DUMMYFUNCTION("""COMPUTED_VALUE"""),"Bateria umywalkowa wysoka")</f>
        <v>Bateria umywalkowa wysoka</v>
      </c>
      <c r="C4350" s="23" t="str">
        <f ca="1">IFERROR(__xludf.DUMMYFUNCTION("""COMPUTED_VALUE"""),"Duet Black")</f>
        <v>Duet Black</v>
      </c>
      <c r="D4350" s="24">
        <f ca="1">IFERROR(__xludf.DUMMYFUNCTION("""COMPUTED_VALUE"""),359)</f>
        <v>359</v>
      </c>
      <c r="E4350" s="26"/>
    </row>
    <row r="4351" spans="1:5" x14ac:dyDescent="0.2">
      <c r="A4351" s="22"/>
      <c r="B4351" s="23" t="str">
        <f ca="1">IFERROR(__xludf.DUMMYFUNCTION("""COMPUTED_VALUE"""),"Bateria umywalkowa wysoka")</f>
        <v>Bateria umywalkowa wysoka</v>
      </c>
      <c r="C4351" s="23" t="str">
        <f ca="1">IFERROR(__xludf.DUMMYFUNCTION("""COMPUTED_VALUE"""),"Buzz Black Mat")</f>
        <v>Buzz Black Mat</v>
      </c>
      <c r="D4351" s="24">
        <f ca="1">IFERROR(__xludf.DUMMYFUNCTION("""COMPUTED_VALUE"""),249)</f>
        <v>249</v>
      </c>
      <c r="E4351" s="26"/>
    </row>
    <row r="4352" spans="1:5" x14ac:dyDescent="0.2">
      <c r="A4352" s="22"/>
      <c r="B4352" s="23" t="str">
        <f ca="1">IFERROR(__xludf.DUMMYFUNCTION("""COMPUTED_VALUE"""),"Bateria umywalkowa")</f>
        <v>Bateria umywalkowa</v>
      </c>
      <c r="C4352" s="23" t="str">
        <f ca="1">IFERROR(__xludf.DUMMYFUNCTION("""COMPUTED_VALUE"""),"Lungo L.Gold Szczotkowana Wysoka")</f>
        <v>Lungo L.Gold Szczotkowana Wysoka</v>
      </c>
      <c r="D4352" s="24">
        <f ca="1">IFERROR(__xludf.DUMMYFUNCTION("""COMPUTED_VALUE"""),249)</f>
        <v>249</v>
      </c>
      <c r="E4352" s="26"/>
    </row>
    <row r="4353" spans="1:5" x14ac:dyDescent="0.2">
      <c r="A4353" s="22"/>
      <c r="B4353" s="23" t="str">
        <f ca="1">IFERROR(__xludf.DUMMYFUNCTION("""COMPUTED_VALUE"""),"Bateria umywalkowa")</f>
        <v>Bateria umywalkowa</v>
      </c>
      <c r="C4353" s="23" t="str">
        <f ca="1">IFERROR(__xludf.DUMMYFUNCTION("""COMPUTED_VALUE"""),"Lungo L.Gold Szczotkowana Niska")</f>
        <v>Lungo L.Gold Szczotkowana Niska</v>
      </c>
      <c r="D4353" s="24">
        <f ca="1">IFERROR(__xludf.DUMMYFUNCTION("""COMPUTED_VALUE"""),199)</f>
        <v>199</v>
      </c>
      <c r="E4353" s="26"/>
    </row>
    <row r="4354" spans="1:5" x14ac:dyDescent="0.2">
      <c r="A4354" s="22"/>
      <c r="B4354" s="23" t="str">
        <f ca="1">IFERROR(__xludf.DUMMYFUNCTION("""COMPUTED_VALUE"""),"Bateria umywalkowa")</f>
        <v>Bateria umywalkowa</v>
      </c>
      <c r="C4354" s="23" t="str">
        <f ca="1">IFERROR(__xludf.DUMMYFUNCTION("""COMPUTED_VALUE"""),"Fenix Gold Wysoka")</f>
        <v>Fenix Gold Wysoka</v>
      </c>
      <c r="D4354" s="24">
        <f ca="1">IFERROR(__xludf.DUMMYFUNCTION("""COMPUTED_VALUE"""),399)</f>
        <v>399</v>
      </c>
      <c r="E4354" s="26"/>
    </row>
    <row r="4355" spans="1:5" x14ac:dyDescent="0.2">
      <c r="A4355" s="22"/>
      <c r="B4355" s="23" t="str">
        <f ca="1">IFERROR(__xludf.DUMMYFUNCTION("""COMPUTED_VALUE"""),"Bateria umywalkowa")</f>
        <v>Bateria umywalkowa</v>
      </c>
      <c r="C4355" s="23" t="str">
        <f ca="1">IFERROR(__xludf.DUMMYFUNCTION("""COMPUTED_VALUE"""),"Fenix Gold Niska")</f>
        <v>Fenix Gold Niska</v>
      </c>
      <c r="D4355" s="24">
        <f ca="1">IFERROR(__xludf.DUMMYFUNCTION("""COMPUTED_VALUE"""),299)</f>
        <v>299</v>
      </c>
      <c r="E4355" s="26"/>
    </row>
    <row r="4356" spans="1:5" x14ac:dyDescent="0.2">
      <c r="A4356" s="22"/>
      <c r="B4356" s="23" t="str">
        <f ca="1">IFERROR(__xludf.DUMMYFUNCTION("""COMPUTED_VALUE"""),"Zestaw natryskowy z baterią z wylewką")</f>
        <v>Zestaw natryskowy z baterią z wylewką</v>
      </c>
      <c r="C4356" s="23" t="str">
        <f ca="1">IFERROR(__xludf.DUMMYFUNCTION("""COMPUTED_VALUE"""),"Jet Black Matt")</f>
        <v>Jet Black Matt</v>
      </c>
      <c r="D4356" s="24">
        <f ca="1">IFERROR(__xludf.DUMMYFUNCTION("""COMPUTED_VALUE"""),799)</f>
        <v>799</v>
      </c>
      <c r="E4356" s="26"/>
    </row>
    <row r="4357" spans="1:5" x14ac:dyDescent="0.2">
      <c r="A4357" s="22"/>
      <c r="B4357" s="23" t="str">
        <f ca="1">IFERROR(__xludf.DUMMYFUNCTION("""COMPUTED_VALUE"""),"Umywalka nablatowa")</f>
        <v>Umywalka nablatowa</v>
      </c>
      <c r="C4357" s="23" t="str">
        <f ca="1">IFERROR(__xludf.DUMMYFUNCTION("""COMPUTED_VALUE"""),"Royal")</f>
        <v>Royal</v>
      </c>
      <c r="D4357" s="24">
        <f ca="1">IFERROR(__xludf.DUMMYFUNCTION("""COMPUTED_VALUE"""),269)</f>
        <v>269</v>
      </c>
      <c r="E4357" s="26"/>
    </row>
    <row r="4358" spans="1:5" x14ac:dyDescent="0.2">
      <c r="A4358" s="22"/>
      <c r="B4358" s="23" t="str">
        <f ca="1">IFERROR(__xludf.DUMMYFUNCTION("""COMPUTED_VALUE"""),"Umywalka nablatowa")</f>
        <v>Umywalka nablatowa</v>
      </c>
      <c r="C4358" s="23" t="str">
        <f ca="1">IFERROR(__xludf.DUMMYFUNCTION("""COMPUTED_VALUE"""),"Royal Black Mat")</f>
        <v>Royal Black Mat</v>
      </c>
      <c r="D4358" s="24">
        <f ca="1">IFERROR(__xludf.DUMMYFUNCTION("""COMPUTED_VALUE"""),459)</f>
        <v>459</v>
      </c>
      <c r="E4358" s="26"/>
    </row>
    <row r="4359" spans="1:5" x14ac:dyDescent="0.2">
      <c r="A4359" s="22"/>
      <c r="B4359" s="23" t="str">
        <f ca="1">IFERROR(__xludf.DUMMYFUNCTION("""COMPUTED_VALUE"""),"Umywalka blatowa")</f>
        <v>Umywalka blatowa</v>
      </c>
      <c r="C4359" s="23" t="str">
        <f ca="1">IFERROR(__xludf.DUMMYFUNCTION("""COMPUTED_VALUE"""),"Sofia mini white")</f>
        <v>Sofia mini white</v>
      </c>
      <c r="D4359" s="24">
        <f ca="1">IFERROR(__xludf.DUMMYFUNCTION("""COMPUTED_VALUE"""),119)</f>
        <v>119</v>
      </c>
      <c r="E4359" s="26"/>
    </row>
    <row r="4360" spans="1:5" x14ac:dyDescent="0.2">
      <c r="A4360" s="22"/>
      <c r="B4360" s="23" t="str">
        <f ca="1">IFERROR(__xludf.DUMMYFUNCTION("""COMPUTED_VALUE"""),"Umywalka ceramiczna blatowa")</f>
        <v>Umywalka ceramiczna blatowa</v>
      </c>
      <c r="C4360" s="23" t="str">
        <f ca="1">IFERROR(__xludf.DUMMYFUNCTION("""COMPUTED_VALUE"""),"Sofia Shiny Aiax")</f>
        <v>Sofia Shiny Aiax</v>
      </c>
      <c r="D4360" s="24">
        <f ca="1">IFERROR(__xludf.DUMMYFUNCTION("""COMPUTED_VALUE"""),299)</f>
        <v>299</v>
      </c>
      <c r="E4360" s="26"/>
    </row>
    <row r="4361" spans="1:5" x14ac:dyDescent="0.2">
      <c r="A4361" s="22"/>
      <c r="B4361" s="23" t="str">
        <f ca="1">IFERROR(__xludf.DUMMYFUNCTION("""COMPUTED_VALUE"""),"Umywalka blatowa")</f>
        <v>Umywalka blatowa</v>
      </c>
      <c r="C4361" s="23" t="str">
        <f ca="1">IFERROR(__xludf.DUMMYFUNCTION("""COMPUTED_VALUE"""),"Demi SLIM")</f>
        <v>Demi SLIM</v>
      </c>
      <c r="D4361" s="24">
        <f ca="1">IFERROR(__xludf.DUMMYFUNCTION("""COMPUTED_VALUE"""),229)</f>
        <v>229</v>
      </c>
      <c r="E4361" s="26"/>
    </row>
    <row r="4362" spans="1:5" x14ac:dyDescent="0.2">
      <c r="A4362" s="22"/>
      <c r="B4362" s="23" t="str">
        <f ca="1">IFERROR(__xludf.DUMMYFUNCTION("""COMPUTED_VALUE"""),"Umywalka blatowa")</f>
        <v>Umywalka blatowa</v>
      </c>
      <c r="C4362" s="23" t="str">
        <f ca="1">IFERROR(__xludf.DUMMYFUNCTION("""COMPUTED_VALUE"""),"Pamela")</f>
        <v>Pamela</v>
      </c>
      <c r="D4362" s="24">
        <f ca="1">IFERROR(__xludf.DUMMYFUNCTION("""COMPUTED_VALUE"""),209)</f>
        <v>209</v>
      </c>
      <c r="E4362" s="26"/>
    </row>
    <row r="4363" spans="1:5" x14ac:dyDescent="0.2">
      <c r="A4363" s="22"/>
      <c r="B4363" s="23" t="str">
        <f ca="1">IFERROR(__xludf.DUMMYFUNCTION("""COMPUTED_VALUE"""),"Umywalka blatowa")</f>
        <v>Umywalka blatowa</v>
      </c>
      <c r="C4363" s="23" t="str">
        <f ca="1">IFERROR(__xludf.DUMMYFUNCTION("""COMPUTED_VALUE"""),"Jasper")</f>
        <v>Jasper</v>
      </c>
      <c r="D4363" s="24">
        <f ca="1">IFERROR(__xludf.DUMMYFUNCTION("""COMPUTED_VALUE"""),199)</f>
        <v>199</v>
      </c>
      <c r="E4363" s="26"/>
    </row>
    <row r="4364" spans="1:5" x14ac:dyDescent="0.2">
      <c r="A4364" s="22"/>
      <c r="B4364" s="23" t="str">
        <f ca="1">IFERROR(__xludf.DUMMYFUNCTION("""COMPUTED_VALUE"""),"Bateria umywalkowa wysoka")</f>
        <v>Bateria umywalkowa wysoka</v>
      </c>
      <c r="C4364" s="23" t="str">
        <f ca="1">IFERROR(__xludf.DUMMYFUNCTION("""COMPUTED_VALUE"""),"Lungo L.Gold")</f>
        <v>Lungo L.Gold</v>
      </c>
      <c r="D4364" s="24">
        <f ca="1">IFERROR(__xludf.DUMMYFUNCTION("""COMPUTED_VALUE"""),229)</f>
        <v>229</v>
      </c>
      <c r="E4364" s="26"/>
    </row>
    <row r="4365" spans="1:5" x14ac:dyDescent="0.2">
      <c r="A4365" s="22"/>
      <c r="B4365" s="23"/>
      <c r="C4365" s="23"/>
      <c r="D4365" s="23"/>
      <c r="E4365" s="26"/>
    </row>
    <row r="4366" spans="1:5" x14ac:dyDescent="0.2">
      <c r="A4366" s="22"/>
      <c r="B4366" s="23"/>
      <c r="C4366" s="23"/>
      <c r="D4366" s="23"/>
      <c r="E4366" s="26"/>
    </row>
    <row r="4367" spans="1:5" x14ac:dyDescent="0.2">
      <c r="A4367" s="22"/>
      <c r="B4367" s="23"/>
      <c r="C4367" s="23"/>
      <c r="D4367" s="23"/>
      <c r="E4367" s="26"/>
    </row>
    <row r="4368" spans="1:5" x14ac:dyDescent="0.2">
      <c r="A4368" s="22"/>
      <c r="B4368" s="23"/>
      <c r="C4368" s="23"/>
      <c r="D4368" s="23"/>
      <c r="E4368" s="26"/>
    </row>
    <row r="4369" spans="1:5" x14ac:dyDescent="0.2">
      <c r="A4369" s="22"/>
      <c r="B4369" s="23"/>
      <c r="C4369" s="23"/>
      <c r="D4369" s="23"/>
      <c r="E4369" s="26"/>
    </row>
    <row r="4370" spans="1:5" x14ac:dyDescent="0.2">
      <c r="A4370" s="22"/>
      <c r="B4370" s="23"/>
      <c r="C4370" s="23"/>
      <c r="D4370" s="23"/>
      <c r="E4370" s="26"/>
    </row>
    <row r="4371" spans="1:5" x14ac:dyDescent="0.2">
      <c r="A4371" s="22"/>
      <c r="B4371" s="23"/>
      <c r="C4371" s="23"/>
      <c r="D4371" s="23"/>
      <c r="E4371" s="26"/>
    </row>
    <row r="4372" spans="1:5" x14ac:dyDescent="0.2">
      <c r="A4372" s="22"/>
      <c r="B4372" s="23"/>
      <c r="C4372" s="23"/>
      <c r="D4372" s="23"/>
      <c r="E4372" s="26"/>
    </row>
    <row r="4373" spans="1:5" x14ac:dyDescent="0.2">
      <c r="A4373" s="22"/>
      <c r="B4373" s="23"/>
      <c r="C4373" s="23"/>
      <c r="D4373" s="23"/>
      <c r="E4373" s="26"/>
    </row>
    <row r="4374" spans="1:5" x14ac:dyDescent="0.2">
      <c r="A4374" s="22"/>
      <c r="B4374" s="23"/>
      <c r="C4374" s="23"/>
      <c r="D4374" s="23"/>
      <c r="E4374" s="26"/>
    </row>
    <row r="4375" spans="1:5" x14ac:dyDescent="0.2">
      <c r="A4375" s="22"/>
      <c r="B4375" s="23"/>
      <c r="C4375" s="23"/>
      <c r="D4375" s="23"/>
      <c r="E4375" s="26"/>
    </row>
    <row r="4376" spans="1:5" x14ac:dyDescent="0.2">
      <c r="A4376" s="22"/>
      <c r="B4376" s="23"/>
      <c r="C4376" s="23"/>
      <c r="D4376" s="23"/>
      <c r="E4376" s="26"/>
    </row>
    <row r="4377" spans="1:5" x14ac:dyDescent="0.2">
      <c r="A4377" s="22"/>
      <c r="B4377" s="23"/>
      <c r="C4377" s="23"/>
      <c r="D4377" s="23"/>
      <c r="E4377" s="26"/>
    </row>
    <row r="4378" spans="1:5" x14ac:dyDescent="0.2">
      <c r="A4378" s="22"/>
      <c r="B4378" s="23"/>
      <c r="C4378" s="23"/>
      <c r="D4378" s="23"/>
      <c r="E4378" s="26"/>
    </row>
    <row r="4379" spans="1:5" x14ac:dyDescent="0.2">
      <c r="A4379" s="22"/>
      <c r="B4379" s="23"/>
      <c r="C4379" s="23"/>
      <c r="D4379" s="23"/>
      <c r="E4379" s="26"/>
    </row>
    <row r="4380" spans="1:5" x14ac:dyDescent="0.2">
      <c r="A4380" s="22"/>
      <c r="B4380" s="23"/>
      <c r="C4380" s="23"/>
      <c r="D4380" s="23"/>
      <c r="E4380" s="26"/>
    </row>
    <row r="4381" spans="1:5" x14ac:dyDescent="0.2">
      <c r="A4381" s="22"/>
      <c r="B4381" s="23"/>
      <c r="C4381" s="23"/>
      <c r="D4381" s="23"/>
      <c r="E4381" s="26"/>
    </row>
    <row r="4382" spans="1:5" x14ac:dyDescent="0.2">
      <c r="A4382" s="22"/>
      <c r="B4382" s="23"/>
      <c r="C4382" s="23"/>
      <c r="D4382" s="23"/>
      <c r="E4382" s="26"/>
    </row>
    <row r="4383" spans="1:5" x14ac:dyDescent="0.2">
      <c r="A4383" s="22"/>
      <c r="B4383" s="23"/>
      <c r="C4383" s="23"/>
      <c r="D4383" s="23"/>
      <c r="E4383" s="26"/>
    </row>
    <row r="4384" spans="1:5" x14ac:dyDescent="0.2">
      <c r="A4384" s="22"/>
      <c r="B4384" s="23"/>
      <c r="C4384" s="23"/>
      <c r="D4384" s="23"/>
      <c r="E4384" s="26"/>
    </row>
    <row r="4385" spans="1:5" x14ac:dyDescent="0.2">
      <c r="A4385" s="22"/>
      <c r="B4385" s="23"/>
      <c r="C4385" s="23"/>
      <c r="D4385" s="23"/>
      <c r="E4385" s="26"/>
    </row>
    <row r="4386" spans="1:5" x14ac:dyDescent="0.2">
      <c r="A4386" s="22"/>
      <c r="B4386" s="23"/>
      <c r="C4386" s="23"/>
      <c r="D4386" s="23"/>
      <c r="E4386" s="26"/>
    </row>
    <row r="4387" spans="1:5" x14ac:dyDescent="0.2">
      <c r="A4387" s="22"/>
      <c r="B4387" s="23"/>
      <c r="C4387" s="23"/>
      <c r="D4387" s="23"/>
      <c r="E4387" s="26"/>
    </row>
    <row r="4388" spans="1:5" x14ac:dyDescent="0.2">
      <c r="A4388" s="22"/>
      <c r="B4388" s="23"/>
      <c r="C4388" s="23"/>
      <c r="D4388" s="23"/>
      <c r="E4388" s="26"/>
    </row>
    <row r="4389" spans="1:5" x14ac:dyDescent="0.2">
      <c r="A4389" s="22"/>
      <c r="B4389" s="23"/>
      <c r="C4389" s="23"/>
      <c r="D4389" s="23"/>
      <c r="E4389" s="26"/>
    </row>
    <row r="4390" spans="1:5" x14ac:dyDescent="0.2">
      <c r="A4390" s="22"/>
      <c r="B4390" s="23"/>
      <c r="C4390" s="23"/>
      <c r="D4390" s="23"/>
      <c r="E4390" s="26"/>
    </row>
    <row r="4391" spans="1:5" x14ac:dyDescent="0.2">
      <c r="A4391" s="22"/>
      <c r="B4391" s="23"/>
      <c r="C4391" s="23"/>
      <c r="D4391" s="23"/>
      <c r="E4391" s="26"/>
    </row>
    <row r="4392" spans="1:5" x14ac:dyDescent="0.2">
      <c r="A4392" s="22"/>
      <c r="B4392" s="23"/>
      <c r="C4392" s="23"/>
      <c r="D4392" s="23"/>
      <c r="E4392" s="26"/>
    </row>
    <row r="4393" spans="1:5" x14ac:dyDescent="0.2">
      <c r="A4393" s="22"/>
      <c r="B4393" s="23"/>
      <c r="C4393" s="23"/>
      <c r="D4393" s="23"/>
      <c r="E4393" s="26"/>
    </row>
    <row r="4394" spans="1:5" x14ac:dyDescent="0.2">
      <c r="A4394" s="22"/>
      <c r="B4394" s="23"/>
      <c r="C4394" s="23"/>
      <c r="D4394" s="23"/>
      <c r="E4394" s="26"/>
    </row>
    <row r="4395" spans="1:5" x14ac:dyDescent="0.2">
      <c r="A4395" s="22"/>
      <c r="B4395" s="23"/>
      <c r="C4395" s="23"/>
      <c r="D4395" s="23"/>
      <c r="E4395" s="26"/>
    </row>
    <row r="4396" spans="1:5" x14ac:dyDescent="0.2">
      <c r="A4396" s="22"/>
      <c r="B4396" s="23"/>
      <c r="C4396" s="23"/>
      <c r="D4396" s="23"/>
      <c r="E4396" s="26"/>
    </row>
    <row r="4397" spans="1:5" x14ac:dyDescent="0.2">
      <c r="A4397" s="22"/>
      <c r="B4397" s="23"/>
      <c r="C4397" s="23"/>
      <c r="D4397" s="23"/>
      <c r="E4397" s="26"/>
    </row>
    <row r="4398" spans="1:5" x14ac:dyDescent="0.2">
      <c r="A4398" s="22"/>
      <c r="B4398" s="23"/>
      <c r="C4398" s="23"/>
      <c r="D4398" s="23"/>
      <c r="E4398" s="26"/>
    </row>
    <row r="4399" spans="1:5" x14ac:dyDescent="0.2">
      <c r="A4399" s="22"/>
      <c r="B4399" s="23"/>
      <c r="C4399" s="23"/>
      <c r="D4399" s="23"/>
      <c r="E4399" s="26"/>
    </row>
    <row r="4400" spans="1:5" x14ac:dyDescent="0.2">
      <c r="A4400" s="22"/>
      <c r="B4400" s="23"/>
      <c r="C4400" s="23"/>
      <c r="D4400" s="23"/>
      <c r="E4400" s="26"/>
    </row>
    <row r="4401" spans="1:5" x14ac:dyDescent="0.2">
      <c r="A4401" s="22"/>
      <c r="B4401" s="23"/>
      <c r="C4401" s="23"/>
      <c r="D4401" s="23"/>
      <c r="E4401" s="26"/>
    </row>
    <row r="4402" spans="1:5" x14ac:dyDescent="0.2">
      <c r="A4402" s="22"/>
      <c r="B4402" s="23"/>
      <c r="C4402" s="23"/>
      <c r="D4402" s="23"/>
      <c r="E4402" s="26"/>
    </row>
    <row r="4403" spans="1:5" x14ac:dyDescent="0.2">
      <c r="A4403" s="22"/>
      <c r="B4403" s="23"/>
      <c r="C4403" s="23"/>
      <c r="D4403" s="23"/>
      <c r="E4403" s="26"/>
    </row>
    <row r="4404" spans="1:5" x14ac:dyDescent="0.2">
      <c r="A4404" s="22"/>
      <c r="B4404" s="23"/>
      <c r="C4404" s="23"/>
      <c r="D4404" s="23"/>
      <c r="E4404" s="26"/>
    </row>
    <row r="4405" spans="1:5" x14ac:dyDescent="0.2">
      <c r="A4405" s="22"/>
      <c r="B4405" s="23"/>
      <c r="C4405" s="23"/>
      <c r="D4405" s="23"/>
      <c r="E4405" s="26"/>
    </row>
    <row r="4406" spans="1:5" x14ac:dyDescent="0.2">
      <c r="A4406" s="22"/>
      <c r="B4406" s="23"/>
      <c r="C4406" s="23"/>
      <c r="D4406" s="23"/>
      <c r="E4406" s="26"/>
    </row>
    <row r="4407" spans="1:5" x14ac:dyDescent="0.2">
      <c r="A4407" s="22"/>
      <c r="B4407" s="23"/>
      <c r="C4407" s="23"/>
      <c r="D4407" s="23"/>
      <c r="E4407" s="26"/>
    </row>
    <row r="4408" spans="1:5" x14ac:dyDescent="0.2">
      <c r="A4408" s="22"/>
      <c r="B4408" s="23"/>
      <c r="C4408" s="23"/>
      <c r="D4408" s="23"/>
      <c r="E4408" s="26"/>
    </row>
    <row r="4409" spans="1:5" x14ac:dyDescent="0.2">
      <c r="A4409" s="22"/>
      <c r="B4409" s="23"/>
      <c r="C4409" s="23"/>
      <c r="D4409" s="23"/>
      <c r="E4409" s="26"/>
    </row>
    <row r="4410" spans="1:5" x14ac:dyDescent="0.2">
      <c r="A4410" s="22"/>
      <c r="B4410" s="23"/>
      <c r="C4410" s="23"/>
      <c r="D4410" s="23"/>
      <c r="E4410" s="26"/>
    </row>
    <row r="4411" spans="1:5" x14ac:dyDescent="0.2">
      <c r="A4411" s="22"/>
      <c r="B4411" s="23"/>
      <c r="C4411" s="23"/>
      <c r="D4411" s="23"/>
      <c r="E4411" s="26"/>
    </row>
    <row r="4412" spans="1:5" x14ac:dyDescent="0.2">
      <c r="A4412" s="22"/>
      <c r="B4412" s="23"/>
      <c r="C4412" s="23"/>
      <c r="D4412" s="23"/>
      <c r="E4412" s="26"/>
    </row>
    <row r="4413" spans="1:5" x14ac:dyDescent="0.2">
      <c r="A4413" s="22"/>
      <c r="B4413" s="23"/>
      <c r="C4413" s="23"/>
      <c r="D4413" s="23"/>
      <c r="E4413" s="26"/>
    </row>
    <row r="4414" spans="1:5" x14ac:dyDescent="0.2">
      <c r="A4414" s="22"/>
      <c r="B4414" s="23"/>
      <c r="C4414" s="23"/>
      <c r="D4414" s="23"/>
      <c r="E4414" s="26"/>
    </row>
    <row r="4415" spans="1:5" x14ac:dyDescent="0.2">
      <c r="A4415" s="22"/>
      <c r="B4415" s="23"/>
      <c r="C4415" s="23"/>
      <c r="D4415" s="23"/>
      <c r="E4415" s="26"/>
    </row>
    <row r="4416" spans="1:5" x14ac:dyDescent="0.2">
      <c r="A4416" s="22"/>
      <c r="B4416" s="23"/>
      <c r="C4416" s="23"/>
      <c r="D4416" s="23"/>
      <c r="E4416" s="26"/>
    </row>
    <row r="4417" spans="1:5" x14ac:dyDescent="0.2">
      <c r="A4417" s="22"/>
      <c r="B4417" s="23"/>
      <c r="C4417" s="23"/>
      <c r="D4417" s="23"/>
      <c r="E4417" s="26"/>
    </row>
    <row r="4418" spans="1:5" x14ac:dyDescent="0.2">
      <c r="A4418" s="22"/>
      <c r="B4418" s="23"/>
      <c r="C4418" s="23"/>
      <c r="D4418" s="23"/>
      <c r="E4418" s="26"/>
    </row>
    <row r="4419" spans="1:5" x14ac:dyDescent="0.2">
      <c r="A4419" s="22"/>
      <c r="B4419" s="23"/>
      <c r="C4419" s="23"/>
      <c r="D4419" s="23"/>
      <c r="E4419" s="26"/>
    </row>
    <row r="4420" spans="1:5" x14ac:dyDescent="0.2">
      <c r="A4420" s="22"/>
      <c r="B4420" s="23"/>
      <c r="C4420" s="23"/>
      <c r="D4420" s="23"/>
      <c r="E4420" s="26"/>
    </row>
    <row r="4421" spans="1:5" x14ac:dyDescent="0.2">
      <c r="A4421" s="22"/>
      <c r="B4421" s="23"/>
      <c r="C4421" s="23"/>
      <c r="D4421" s="23"/>
      <c r="E4421" s="26"/>
    </row>
    <row r="4422" spans="1:5" x14ac:dyDescent="0.2">
      <c r="A4422" s="22"/>
      <c r="B4422" s="23"/>
      <c r="C4422" s="23"/>
      <c r="D4422" s="23"/>
      <c r="E4422" s="26"/>
    </row>
    <row r="4423" spans="1:5" x14ac:dyDescent="0.2">
      <c r="A4423" s="22"/>
      <c r="B4423" s="23"/>
      <c r="C4423" s="23"/>
      <c r="D4423" s="23"/>
      <c r="E4423" s="26"/>
    </row>
    <row r="4424" spans="1:5" x14ac:dyDescent="0.2">
      <c r="A4424" s="22"/>
      <c r="B4424" s="23"/>
      <c r="C4424" s="23"/>
      <c r="D4424" s="23"/>
      <c r="E4424" s="26"/>
    </row>
    <row r="4425" spans="1:5" x14ac:dyDescent="0.2">
      <c r="A4425" s="22"/>
      <c r="B4425" s="23"/>
      <c r="C4425" s="23"/>
      <c r="D4425" s="23"/>
      <c r="E4425" s="26"/>
    </row>
    <row r="4426" spans="1:5" x14ac:dyDescent="0.2">
      <c r="A4426" s="22"/>
      <c r="B4426" s="23"/>
      <c r="C4426" s="23"/>
      <c r="D4426" s="23"/>
      <c r="E4426" s="26"/>
    </row>
    <row r="4427" spans="1:5" x14ac:dyDescent="0.2">
      <c r="A4427" s="22"/>
      <c r="B4427" s="23"/>
      <c r="C4427" s="23"/>
      <c r="D4427" s="23"/>
      <c r="E4427" s="26"/>
    </row>
    <row r="4428" spans="1:5" x14ac:dyDescent="0.2">
      <c r="A4428" s="22"/>
      <c r="B4428" s="23"/>
      <c r="C4428" s="23"/>
      <c r="D4428" s="23"/>
      <c r="E4428" s="26"/>
    </row>
    <row r="4429" spans="1:5" x14ac:dyDescent="0.2">
      <c r="A4429" s="22"/>
      <c r="B4429" s="23"/>
      <c r="C4429" s="23"/>
      <c r="D4429" s="23"/>
      <c r="E4429" s="26"/>
    </row>
    <row r="4430" spans="1:5" x14ac:dyDescent="0.2">
      <c r="A4430" s="22"/>
      <c r="B4430" s="23"/>
      <c r="C4430" s="23"/>
      <c r="D4430" s="23"/>
      <c r="E4430" s="26"/>
    </row>
    <row r="4431" spans="1:5" x14ac:dyDescent="0.2">
      <c r="A4431" s="22"/>
      <c r="B4431" s="23"/>
      <c r="C4431" s="23"/>
      <c r="D4431" s="23"/>
      <c r="E4431" s="26"/>
    </row>
    <row r="4432" spans="1:5" x14ac:dyDescent="0.2">
      <c r="A4432" s="22"/>
      <c r="B4432" s="23"/>
      <c r="C4432" s="23"/>
      <c r="D4432" s="23"/>
      <c r="E4432" s="26"/>
    </row>
    <row r="4433" spans="1:5" x14ac:dyDescent="0.2">
      <c r="A4433" s="22"/>
      <c r="B4433" s="23"/>
      <c r="C4433" s="23"/>
      <c r="D4433" s="23"/>
      <c r="E4433" s="26"/>
    </row>
    <row r="4434" spans="1:5" x14ac:dyDescent="0.2">
      <c r="A4434" s="22"/>
      <c r="B4434" s="23"/>
      <c r="C4434" s="23"/>
      <c r="D4434" s="23"/>
      <c r="E4434" s="26"/>
    </row>
    <row r="4435" spans="1:5" x14ac:dyDescent="0.2">
      <c r="A4435" s="22"/>
      <c r="B4435" s="23"/>
      <c r="C4435" s="23"/>
      <c r="D4435" s="23"/>
      <c r="E4435" s="26"/>
    </row>
    <row r="4436" spans="1:5" x14ac:dyDescent="0.2">
      <c r="A4436" s="22"/>
      <c r="B4436" s="23"/>
      <c r="C4436" s="23"/>
      <c r="D4436" s="23"/>
      <c r="E4436" s="26"/>
    </row>
    <row r="4437" spans="1:5" x14ac:dyDescent="0.2">
      <c r="A4437" s="22"/>
      <c r="B4437" s="23"/>
      <c r="C4437" s="23"/>
      <c r="D4437" s="23"/>
      <c r="E4437" s="26"/>
    </row>
    <row r="4438" spans="1:5" x14ac:dyDescent="0.2">
      <c r="A4438" s="22"/>
      <c r="B4438" s="23"/>
      <c r="C4438" s="23"/>
      <c r="D4438" s="23"/>
      <c r="E4438" s="26"/>
    </row>
    <row r="4439" spans="1:5" x14ac:dyDescent="0.2">
      <c r="A4439" s="22"/>
      <c r="B4439" s="23"/>
      <c r="C4439" s="23"/>
      <c r="D4439" s="23"/>
      <c r="E4439" s="26"/>
    </row>
    <row r="4440" spans="1:5" x14ac:dyDescent="0.2">
      <c r="A4440" s="22"/>
      <c r="B4440" s="23"/>
      <c r="C4440" s="23"/>
      <c r="D4440" s="23"/>
      <c r="E4440" s="26"/>
    </row>
    <row r="4441" spans="1:5" x14ac:dyDescent="0.2">
      <c r="A4441" s="22"/>
      <c r="B4441" s="23"/>
      <c r="C4441" s="23"/>
      <c r="D4441" s="23"/>
      <c r="E4441" s="26"/>
    </row>
    <row r="4442" spans="1:5" x14ac:dyDescent="0.2">
      <c r="A4442" s="22"/>
      <c r="B4442" s="23"/>
      <c r="C4442" s="23"/>
      <c r="D4442" s="23"/>
      <c r="E4442" s="26"/>
    </row>
    <row r="4443" spans="1:5" x14ac:dyDescent="0.2">
      <c r="A4443" s="22"/>
      <c r="B4443" s="23"/>
      <c r="C4443" s="23"/>
      <c r="D4443" s="23"/>
      <c r="E4443" s="26"/>
    </row>
    <row r="4444" spans="1:5" x14ac:dyDescent="0.2">
      <c r="A4444" s="22"/>
      <c r="B4444" s="23"/>
      <c r="C4444" s="23"/>
      <c r="D4444" s="23"/>
      <c r="E4444" s="26"/>
    </row>
    <row r="4445" spans="1:5" x14ac:dyDescent="0.2">
      <c r="A4445" s="22"/>
      <c r="B4445" s="23"/>
      <c r="C4445" s="23"/>
      <c r="D4445" s="23"/>
      <c r="E4445" s="26"/>
    </row>
    <row r="4446" spans="1:5" x14ac:dyDescent="0.2">
      <c r="A4446" s="22"/>
      <c r="B4446" s="23"/>
      <c r="C4446" s="23"/>
      <c r="D4446" s="23"/>
      <c r="E4446" s="26"/>
    </row>
    <row r="4447" spans="1:5" x14ac:dyDescent="0.2">
      <c r="A4447" s="22"/>
      <c r="B4447" s="23"/>
      <c r="C4447" s="23"/>
      <c r="D4447" s="23"/>
      <c r="E4447" s="26"/>
    </row>
    <row r="4448" spans="1:5" x14ac:dyDescent="0.2">
      <c r="A4448" s="22"/>
      <c r="B4448" s="23"/>
      <c r="C4448" s="23"/>
      <c r="D4448" s="23"/>
      <c r="E4448" s="26"/>
    </row>
    <row r="4449" spans="1:5" x14ac:dyDescent="0.2">
      <c r="A4449" s="22"/>
      <c r="B4449" s="23"/>
      <c r="C4449" s="23"/>
      <c r="D4449" s="23"/>
      <c r="E4449" s="26"/>
    </row>
    <row r="4450" spans="1:5" x14ac:dyDescent="0.2">
      <c r="A4450" s="22"/>
      <c r="B4450" s="23"/>
      <c r="C4450" s="23"/>
      <c r="D4450" s="23"/>
      <c r="E4450" s="26"/>
    </row>
    <row r="4451" spans="1:5" x14ac:dyDescent="0.2">
      <c r="A4451" s="22"/>
      <c r="B4451" s="23"/>
      <c r="C4451" s="23"/>
      <c r="D4451" s="23"/>
      <c r="E4451" s="26"/>
    </row>
    <row r="4452" spans="1:5" x14ac:dyDescent="0.2">
      <c r="A4452" s="22"/>
      <c r="B4452" s="23"/>
      <c r="C4452" s="23"/>
      <c r="D4452" s="23"/>
      <c r="E4452" s="26"/>
    </row>
    <row r="4453" spans="1:5" x14ac:dyDescent="0.2">
      <c r="A4453" s="22"/>
      <c r="B4453" s="23"/>
      <c r="C4453" s="23"/>
      <c r="D4453" s="23"/>
      <c r="E4453" s="26"/>
    </row>
    <row r="4454" spans="1:5" x14ac:dyDescent="0.2">
      <c r="A4454" s="22"/>
      <c r="B4454" s="23"/>
      <c r="C4454" s="23"/>
      <c r="D4454" s="23"/>
      <c r="E4454" s="26"/>
    </row>
    <row r="4455" spans="1:5" x14ac:dyDescent="0.2">
      <c r="A4455" s="22"/>
      <c r="B4455" s="23"/>
      <c r="C4455" s="23"/>
      <c r="D4455" s="23"/>
      <c r="E4455" s="26"/>
    </row>
    <row r="4456" spans="1:5" x14ac:dyDescent="0.2">
      <c r="A4456" s="22"/>
      <c r="B4456" s="23"/>
      <c r="C4456" s="23"/>
      <c r="D4456" s="23"/>
      <c r="E4456" s="26"/>
    </row>
    <row r="4457" spans="1:5" x14ac:dyDescent="0.2">
      <c r="A4457" s="22"/>
      <c r="B4457" s="23"/>
      <c r="C4457" s="23"/>
      <c r="D4457" s="23"/>
      <c r="E4457" s="26"/>
    </row>
    <row r="4458" spans="1:5" x14ac:dyDescent="0.2">
      <c r="A4458" s="22"/>
      <c r="B4458" s="23"/>
      <c r="C4458" s="23"/>
      <c r="D4458" s="23"/>
      <c r="E4458" s="26"/>
    </row>
    <row r="4459" spans="1:5" x14ac:dyDescent="0.2">
      <c r="A4459" s="22"/>
      <c r="B4459" s="23"/>
      <c r="C4459" s="23"/>
      <c r="D4459" s="23"/>
      <c r="E4459" s="26"/>
    </row>
    <row r="4460" spans="1:5" x14ac:dyDescent="0.2">
      <c r="A4460" s="22"/>
      <c r="B4460" s="23"/>
      <c r="C4460" s="23"/>
      <c r="D4460" s="23"/>
      <c r="E4460" s="26"/>
    </row>
    <row r="4461" spans="1:5" x14ac:dyDescent="0.2">
      <c r="A4461" s="22"/>
      <c r="B4461" s="23"/>
      <c r="C4461" s="23"/>
      <c r="D4461" s="23"/>
      <c r="E4461" s="26"/>
    </row>
    <row r="4462" spans="1:5" x14ac:dyDescent="0.2">
      <c r="A4462" s="22"/>
      <c r="B4462" s="23"/>
      <c r="C4462" s="23"/>
      <c r="D4462" s="23"/>
      <c r="E4462" s="26"/>
    </row>
    <row r="4463" spans="1:5" x14ac:dyDescent="0.2">
      <c r="A4463" s="22"/>
      <c r="B4463" s="23"/>
      <c r="C4463" s="23"/>
      <c r="D4463" s="23"/>
      <c r="E4463" s="26"/>
    </row>
    <row r="4464" spans="1:5" x14ac:dyDescent="0.2">
      <c r="A4464" s="22"/>
      <c r="B4464" s="23"/>
      <c r="C4464" s="23"/>
      <c r="D4464" s="23"/>
      <c r="E4464" s="26"/>
    </row>
    <row r="4465" spans="1:5" x14ac:dyDescent="0.2">
      <c r="A4465" s="22"/>
      <c r="B4465" s="23"/>
      <c r="C4465" s="23"/>
      <c r="D4465" s="23"/>
      <c r="E4465" s="26"/>
    </row>
    <row r="4466" spans="1:5" x14ac:dyDescent="0.2">
      <c r="A4466" s="22"/>
      <c r="B4466" s="23"/>
      <c r="C4466" s="23"/>
      <c r="D4466" s="23"/>
      <c r="E4466" s="26"/>
    </row>
    <row r="4467" spans="1:5" x14ac:dyDescent="0.2">
      <c r="A4467" s="22"/>
      <c r="B4467" s="23"/>
      <c r="C4467" s="23"/>
      <c r="D4467" s="23"/>
      <c r="E4467" s="26"/>
    </row>
    <row r="4468" spans="1:5" x14ac:dyDescent="0.2">
      <c r="A4468" s="22"/>
      <c r="B4468" s="23"/>
      <c r="C4468" s="23"/>
      <c r="D4468" s="23"/>
      <c r="E4468" s="26"/>
    </row>
    <row r="4469" spans="1:5" x14ac:dyDescent="0.2">
      <c r="A4469" s="22"/>
      <c r="B4469" s="23"/>
      <c r="C4469" s="23"/>
      <c r="D4469" s="23"/>
      <c r="E4469" s="26"/>
    </row>
    <row r="4470" spans="1:5" x14ac:dyDescent="0.2">
      <c r="A4470" s="22"/>
      <c r="B4470" s="23"/>
      <c r="C4470" s="23"/>
      <c r="D4470" s="23"/>
      <c r="E4470" s="26"/>
    </row>
    <row r="4471" spans="1:5" x14ac:dyDescent="0.2">
      <c r="A4471" s="22"/>
      <c r="B4471" s="23"/>
      <c r="C4471" s="23"/>
      <c r="D4471" s="23"/>
      <c r="E4471" s="26"/>
    </row>
    <row r="4472" spans="1:5" x14ac:dyDescent="0.2">
      <c r="A4472" s="22"/>
      <c r="B4472" s="23"/>
      <c r="C4472" s="23"/>
      <c r="D4472" s="23"/>
      <c r="E4472" s="26"/>
    </row>
    <row r="4473" spans="1:5" x14ac:dyDescent="0.2">
      <c r="A4473" s="22"/>
      <c r="B4473" s="23"/>
      <c r="C4473" s="23"/>
      <c r="D4473" s="23"/>
      <c r="E4473" s="26"/>
    </row>
    <row r="4474" spans="1:5" x14ac:dyDescent="0.2">
      <c r="A4474" s="22"/>
      <c r="B4474" s="23"/>
      <c r="C4474" s="23"/>
      <c r="D4474" s="23"/>
      <c r="E4474" s="26"/>
    </row>
    <row r="4475" spans="1:5" x14ac:dyDescent="0.2">
      <c r="A4475" s="22"/>
      <c r="B4475" s="23"/>
      <c r="C4475" s="23"/>
      <c r="D4475" s="23"/>
      <c r="E4475" s="26"/>
    </row>
    <row r="4476" spans="1:5" x14ac:dyDescent="0.2">
      <c r="A4476" s="22"/>
      <c r="B4476" s="23"/>
      <c r="C4476" s="23"/>
      <c r="D4476" s="23"/>
      <c r="E4476" s="26"/>
    </row>
    <row r="4477" spans="1:5" x14ac:dyDescent="0.2">
      <c r="A4477" s="22"/>
      <c r="B4477" s="23"/>
      <c r="C4477" s="23"/>
      <c r="D4477" s="23"/>
      <c r="E4477" s="26"/>
    </row>
    <row r="4478" spans="1:5" x14ac:dyDescent="0.2">
      <c r="A4478" s="22"/>
      <c r="B4478" s="23"/>
      <c r="C4478" s="23"/>
      <c r="D4478" s="23"/>
      <c r="E4478" s="26"/>
    </row>
    <row r="4479" spans="1:5" x14ac:dyDescent="0.2">
      <c r="A4479" s="22"/>
      <c r="B4479" s="23"/>
      <c r="C4479" s="23"/>
      <c r="D4479" s="23"/>
      <c r="E4479" s="26"/>
    </row>
    <row r="4480" spans="1:5" x14ac:dyDescent="0.2">
      <c r="A4480" s="22"/>
      <c r="B4480" s="23"/>
      <c r="C4480" s="23"/>
      <c r="D4480" s="23"/>
      <c r="E4480" s="26"/>
    </row>
    <row r="4481" spans="1:5" x14ac:dyDescent="0.2">
      <c r="A4481" s="22"/>
      <c r="B4481" s="23"/>
      <c r="C4481" s="23"/>
      <c r="D4481" s="23"/>
      <c r="E4481" s="26"/>
    </row>
    <row r="4482" spans="1:5" x14ac:dyDescent="0.2">
      <c r="A4482" s="22"/>
      <c r="B4482" s="23"/>
      <c r="C4482" s="23"/>
      <c r="D4482" s="23"/>
      <c r="E4482" s="26"/>
    </row>
    <row r="4483" spans="1:5" x14ac:dyDescent="0.2">
      <c r="A4483" s="22"/>
      <c r="B4483" s="23"/>
      <c r="C4483" s="23"/>
      <c r="D4483" s="23"/>
      <c r="E4483" s="26"/>
    </row>
    <row r="4484" spans="1:5" x14ac:dyDescent="0.2">
      <c r="A4484" s="22"/>
      <c r="B4484" s="23"/>
      <c r="C4484" s="23"/>
      <c r="D4484" s="23"/>
      <c r="E4484" s="26"/>
    </row>
    <row r="4485" spans="1:5" x14ac:dyDescent="0.2">
      <c r="A4485" s="22"/>
      <c r="B4485" s="23"/>
      <c r="C4485" s="23"/>
      <c r="D4485" s="23"/>
      <c r="E4485" s="26"/>
    </row>
    <row r="4486" spans="1:5" x14ac:dyDescent="0.2">
      <c r="A4486" s="22"/>
      <c r="B4486" s="23"/>
      <c r="C4486" s="23"/>
      <c r="D4486" s="23"/>
      <c r="E4486" s="26"/>
    </row>
    <row r="4487" spans="1:5" x14ac:dyDescent="0.2">
      <c r="A4487" s="22"/>
      <c r="B4487" s="23"/>
      <c r="C4487" s="23"/>
      <c r="D4487" s="23"/>
      <c r="E4487" s="26"/>
    </row>
    <row r="4488" spans="1:5" x14ac:dyDescent="0.2">
      <c r="A4488" s="22"/>
      <c r="B4488" s="23"/>
      <c r="C4488" s="23"/>
      <c r="D4488" s="23"/>
      <c r="E4488" s="26"/>
    </row>
    <row r="4489" spans="1:5" x14ac:dyDescent="0.2">
      <c r="A4489" s="22"/>
      <c r="B4489" s="23"/>
      <c r="C4489" s="23"/>
      <c r="D4489" s="23"/>
      <c r="E4489" s="26"/>
    </row>
    <row r="4490" spans="1:5" x14ac:dyDescent="0.2">
      <c r="A4490" s="22"/>
      <c r="B4490" s="23"/>
      <c r="C4490" s="23"/>
      <c r="D4490" s="23"/>
      <c r="E4490" s="26"/>
    </row>
    <row r="4491" spans="1:5" x14ac:dyDescent="0.2">
      <c r="A4491" s="22"/>
      <c r="B4491" s="23"/>
      <c r="C4491" s="23"/>
      <c r="D4491" s="23"/>
      <c r="E4491" s="26"/>
    </row>
    <row r="4492" spans="1:5" x14ac:dyDescent="0.2">
      <c r="A4492" s="22"/>
      <c r="B4492" s="23"/>
      <c r="C4492" s="23"/>
      <c r="D4492" s="23"/>
      <c r="E4492" s="26"/>
    </row>
    <row r="4493" spans="1:5" x14ac:dyDescent="0.2">
      <c r="A4493" s="22"/>
      <c r="B4493" s="23"/>
      <c r="C4493" s="23"/>
      <c r="D4493" s="23"/>
      <c r="E4493" s="26"/>
    </row>
    <row r="4494" spans="1:5" x14ac:dyDescent="0.2">
      <c r="A4494" s="22"/>
      <c r="B4494" s="23"/>
      <c r="C4494" s="23"/>
      <c r="D4494" s="23"/>
      <c r="E4494" s="26"/>
    </row>
    <row r="4495" spans="1:5" x14ac:dyDescent="0.2">
      <c r="A4495" s="22"/>
      <c r="B4495" s="23"/>
      <c r="C4495" s="23"/>
      <c r="D4495" s="23"/>
      <c r="E4495" s="26"/>
    </row>
    <row r="4496" spans="1:5" x14ac:dyDescent="0.2">
      <c r="A4496" s="22"/>
      <c r="B4496" s="23"/>
      <c r="C4496" s="23"/>
      <c r="D4496" s="23"/>
      <c r="E4496" s="26"/>
    </row>
    <row r="4497" spans="1:5" x14ac:dyDescent="0.2">
      <c r="A4497" s="22"/>
      <c r="B4497" s="23"/>
      <c r="C4497" s="23"/>
      <c r="D4497" s="23"/>
      <c r="E4497" s="26"/>
    </row>
    <row r="4498" spans="1:5" x14ac:dyDescent="0.2">
      <c r="A4498" s="22"/>
      <c r="B4498" s="23"/>
      <c r="C4498" s="23"/>
      <c r="D4498" s="23"/>
      <c r="E4498" s="26"/>
    </row>
    <row r="4499" spans="1:5" x14ac:dyDescent="0.2">
      <c r="A4499" s="22"/>
      <c r="B4499" s="23"/>
      <c r="C4499" s="23"/>
      <c r="D4499" s="23"/>
      <c r="E4499" s="26"/>
    </row>
    <row r="4500" spans="1:5" x14ac:dyDescent="0.2">
      <c r="A4500" s="22"/>
      <c r="B4500" s="23"/>
      <c r="C4500" s="23"/>
      <c r="D4500" s="23"/>
      <c r="E4500" s="26"/>
    </row>
    <row r="4501" spans="1:5" x14ac:dyDescent="0.2">
      <c r="A4501" s="22"/>
      <c r="B4501" s="23"/>
      <c r="C4501" s="23"/>
      <c r="D4501" s="23"/>
      <c r="E4501" s="26"/>
    </row>
    <row r="4502" spans="1:5" x14ac:dyDescent="0.2">
      <c r="A4502" s="22"/>
      <c r="B4502" s="23"/>
      <c r="C4502" s="23"/>
      <c r="D4502" s="23"/>
      <c r="E4502" s="26"/>
    </row>
    <row r="4503" spans="1:5" x14ac:dyDescent="0.2">
      <c r="A4503" s="22"/>
      <c r="B4503" s="23"/>
      <c r="C4503" s="23"/>
      <c r="D4503" s="23"/>
      <c r="E4503" s="26"/>
    </row>
    <row r="4504" spans="1:5" x14ac:dyDescent="0.2">
      <c r="A4504" s="22"/>
      <c r="B4504" s="23"/>
      <c r="C4504" s="23"/>
      <c r="D4504" s="23"/>
      <c r="E4504" s="26"/>
    </row>
    <row r="4505" spans="1:5" x14ac:dyDescent="0.2">
      <c r="A4505" s="22"/>
      <c r="B4505" s="23"/>
      <c r="C4505" s="23"/>
      <c r="D4505" s="23"/>
      <c r="E4505" s="26"/>
    </row>
    <row r="4506" spans="1:5" x14ac:dyDescent="0.2">
      <c r="A4506" s="22"/>
      <c r="B4506" s="23"/>
      <c r="C4506" s="23"/>
      <c r="D4506" s="23"/>
      <c r="E4506" s="26"/>
    </row>
    <row r="4507" spans="1:5" x14ac:dyDescent="0.2">
      <c r="A4507" s="22"/>
      <c r="B4507" s="23"/>
      <c r="C4507" s="23"/>
      <c r="D4507" s="23"/>
      <c r="E4507" s="26"/>
    </row>
    <row r="4508" spans="1:5" x14ac:dyDescent="0.2">
      <c r="A4508" s="22"/>
      <c r="B4508" s="23"/>
      <c r="C4508" s="23"/>
      <c r="D4508" s="23"/>
      <c r="E4508" s="26"/>
    </row>
    <row r="4509" spans="1:5" x14ac:dyDescent="0.2">
      <c r="A4509" s="22"/>
      <c r="B4509" s="23"/>
      <c r="C4509" s="23"/>
      <c r="D4509" s="23"/>
      <c r="E4509" s="26"/>
    </row>
    <row r="4510" spans="1:5" x14ac:dyDescent="0.2">
      <c r="A4510" s="22"/>
      <c r="B4510" s="23"/>
      <c r="C4510" s="23"/>
      <c r="D4510" s="23"/>
      <c r="E4510" s="26"/>
    </row>
    <row r="4511" spans="1:5" x14ac:dyDescent="0.2">
      <c r="A4511" s="22"/>
      <c r="B4511" s="23"/>
      <c r="C4511" s="23"/>
      <c r="D4511" s="23"/>
      <c r="E4511" s="26"/>
    </row>
    <row r="4512" spans="1:5" x14ac:dyDescent="0.2">
      <c r="A4512" s="22"/>
      <c r="B4512" s="23"/>
      <c r="C4512" s="23"/>
      <c r="D4512" s="23"/>
      <c r="E4512" s="26"/>
    </row>
    <row r="4513" spans="1:5" x14ac:dyDescent="0.2">
      <c r="A4513" s="22"/>
      <c r="B4513" s="23"/>
      <c r="C4513" s="23"/>
      <c r="D4513" s="23"/>
      <c r="E4513" s="26"/>
    </row>
    <row r="4514" spans="1:5" x14ac:dyDescent="0.2">
      <c r="A4514" s="22"/>
      <c r="B4514" s="23"/>
      <c r="C4514" s="23"/>
      <c r="D4514" s="23"/>
      <c r="E4514" s="26"/>
    </row>
    <row r="4515" spans="1:5" x14ac:dyDescent="0.2">
      <c r="A4515" s="22"/>
      <c r="B4515" s="23"/>
      <c r="C4515" s="23"/>
      <c r="D4515" s="23"/>
      <c r="E4515" s="26"/>
    </row>
    <row r="4516" spans="1:5" x14ac:dyDescent="0.2">
      <c r="A4516" s="22"/>
      <c r="B4516" s="23"/>
      <c r="C4516" s="23"/>
      <c r="D4516" s="23"/>
      <c r="E4516" s="26"/>
    </row>
    <row r="4517" spans="1:5" x14ac:dyDescent="0.2">
      <c r="A4517" s="22"/>
      <c r="B4517" s="23"/>
      <c r="C4517" s="23"/>
      <c r="D4517" s="23"/>
      <c r="E4517" s="26"/>
    </row>
    <row r="4518" spans="1:5" x14ac:dyDescent="0.2">
      <c r="A4518" s="22"/>
      <c r="B4518" s="23"/>
      <c r="C4518" s="23"/>
      <c r="D4518" s="23"/>
      <c r="E4518" s="26"/>
    </row>
    <row r="4519" spans="1:5" x14ac:dyDescent="0.2">
      <c r="A4519" s="22"/>
      <c r="B4519" s="23"/>
      <c r="C4519" s="23"/>
      <c r="D4519" s="23"/>
      <c r="E4519" s="26"/>
    </row>
    <row r="4520" spans="1:5" x14ac:dyDescent="0.2">
      <c r="A4520" s="22"/>
      <c r="B4520" s="23"/>
      <c r="C4520" s="23"/>
      <c r="D4520" s="23"/>
      <c r="E4520" s="26"/>
    </row>
    <row r="4521" spans="1:5" x14ac:dyDescent="0.2">
      <c r="A4521" s="22"/>
      <c r="B4521" s="23"/>
      <c r="C4521" s="23"/>
      <c r="D4521" s="23"/>
      <c r="E4521" s="26"/>
    </row>
    <row r="4522" spans="1:5" x14ac:dyDescent="0.2">
      <c r="A4522" s="22"/>
      <c r="B4522" s="23"/>
      <c r="C4522" s="23"/>
      <c r="D4522" s="23"/>
      <c r="E4522" s="26"/>
    </row>
    <row r="4523" spans="1:5" x14ac:dyDescent="0.2">
      <c r="A4523" s="22"/>
      <c r="B4523" s="23"/>
      <c r="C4523" s="23"/>
      <c r="D4523" s="23"/>
      <c r="E4523" s="26"/>
    </row>
    <row r="4524" spans="1:5" x14ac:dyDescent="0.2">
      <c r="A4524" s="22"/>
      <c r="B4524" s="23"/>
      <c r="C4524" s="23"/>
      <c r="D4524" s="23"/>
      <c r="E4524" s="26"/>
    </row>
    <row r="4525" spans="1:5" x14ac:dyDescent="0.2">
      <c r="A4525" s="22"/>
      <c r="B4525" s="23"/>
      <c r="C4525" s="23"/>
      <c r="D4525" s="23"/>
      <c r="E4525" s="26"/>
    </row>
    <row r="4526" spans="1:5" x14ac:dyDescent="0.2">
      <c r="A4526" s="22"/>
      <c r="B4526" s="23"/>
      <c r="C4526" s="23"/>
      <c r="D4526" s="23"/>
      <c r="E4526" s="26"/>
    </row>
    <row r="4527" spans="1:5" x14ac:dyDescent="0.2">
      <c r="A4527" s="22"/>
      <c r="B4527" s="23"/>
      <c r="C4527" s="23"/>
      <c r="D4527" s="23"/>
      <c r="E4527" s="26"/>
    </row>
    <row r="4528" spans="1:5" x14ac:dyDescent="0.2">
      <c r="A4528" s="22"/>
      <c r="B4528" s="23"/>
      <c r="C4528" s="23"/>
      <c r="D4528" s="23"/>
      <c r="E4528" s="26"/>
    </row>
    <row r="4529" spans="1:5" x14ac:dyDescent="0.2">
      <c r="A4529" s="22"/>
      <c r="B4529" s="23"/>
      <c r="C4529" s="23"/>
      <c r="D4529" s="23"/>
      <c r="E4529" s="26"/>
    </row>
    <row r="4530" spans="1:5" x14ac:dyDescent="0.2">
      <c r="A4530" s="22"/>
      <c r="B4530" s="23"/>
      <c r="C4530" s="23"/>
      <c r="D4530" s="23"/>
      <c r="E4530" s="26"/>
    </row>
    <row r="4531" spans="1:5" x14ac:dyDescent="0.2">
      <c r="A4531" s="22"/>
      <c r="B4531" s="23"/>
      <c r="C4531" s="23"/>
      <c r="D4531" s="23"/>
      <c r="E4531" s="26"/>
    </row>
    <row r="4532" spans="1:5" x14ac:dyDescent="0.2">
      <c r="A4532" s="22"/>
      <c r="B4532" s="23"/>
      <c r="C4532" s="23"/>
      <c r="D4532" s="23"/>
      <c r="E4532" s="26"/>
    </row>
    <row r="4533" spans="1:5" x14ac:dyDescent="0.2">
      <c r="A4533" s="22"/>
      <c r="B4533" s="23"/>
      <c r="C4533" s="23"/>
      <c r="D4533" s="23"/>
      <c r="E4533" s="26"/>
    </row>
    <row r="4534" spans="1:5" x14ac:dyDescent="0.2">
      <c r="A4534" s="22"/>
      <c r="B4534" s="23"/>
      <c r="C4534" s="23"/>
      <c r="D4534" s="23"/>
      <c r="E4534" s="26"/>
    </row>
    <row r="4535" spans="1:5" x14ac:dyDescent="0.2">
      <c r="A4535" s="22"/>
      <c r="B4535" s="23"/>
      <c r="C4535" s="23"/>
      <c r="D4535" s="23"/>
      <c r="E4535" s="26"/>
    </row>
    <row r="4536" spans="1:5" x14ac:dyDescent="0.2">
      <c r="A4536" s="22"/>
      <c r="B4536" s="23"/>
      <c r="C4536" s="23"/>
      <c r="D4536" s="23"/>
      <c r="E4536" s="26"/>
    </row>
    <row r="4537" spans="1:5" x14ac:dyDescent="0.2">
      <c r="A4537" s="22"/>
      <c r="B4537" s="23"/>
      <c r="C4537" s="23"/>
      <c r="D4537" s="23"/>
      <c r="E4537" s="26"/>
    </row>
    <row r="4538" spans="1:5" x14ac:dyDescent="0.2">
      <c r="A4538" s="22"/>
      <c r="B4538" s="23"/>
      <c r="C4538" s="23"/>
      <c r="D4538" s="23"/>
      <c r="E4538" s="26"/>
    </row>
    <row r="4539" spans="1:5" x14ac:dyDescent="0.2">
      <c r="A4539" s="22"/>
      <c r="B4539" s="23"/>
      <c r="C4539" s="23"/>
      <c r="D4539" s="23"/>
      <c r="E4539" s="26"/>
    </row>
    <row r="4540" spans="1:5" x14ac:dyDescent="0.2">
      <c r="A4540" s="22"/>
      <c r="B4540" s="23"/>
      <c r="C4540" s="23"/>
      <c r="D4540" s="23"/>
      <c r="E4540" s="26"/>
    </row>
    <row r="4541" spans="1:5" x14ac:dyDescent="0.2">
      <c r="A4541" s="22"/>
      <c r="B4541" s="23"/>
      <c r="C4541" s="23"/>
      <c r="D4541" s="23"/>
      <c r="E4541" s="26"/>
    </row>
    <row r="4542" spans="1:5" x14ac:dyDescent="0.2">
      <c r="A4542" s="22"/>
      <c r="B4542" s="23"/>
      <c r="C4542" s="23"/>
      <c r="D4542" s="23"/>
      <c r="E4542" s="26"/>
    </row>
    <row r="4543" spans="1:5" x14ac:dyDescent="0.2">
      <c r="A4543" s="22"/>
      <c r="B4543" s="23"/>
      <c r="C4543" s="23"/>
      <c r="D4543" s="23"/>
      <c r="E4543" s="26"/>
    </row>
    <row r="4544" spans="1:5" x14ac:dyDescent="0.2">
      <c r="A4544" s="22"/>
      <c r="B4544" s="23"/>
      <c r="C4544" s="23"/>
      <c r="D4544" s="23"/>
      <c r="E4544" s="26"/>
    </row>
    <row r="4545" spans="1:5" x14ac:dyDescent="0.2">
      <c r="A4545" s="22"/>
      <c r="B4545" s="23"/>
      <c r="C4545" s="23"/>
      <c r="D4545" s="23"/>
      <c r="E4545" s="26"/>
    </row>
    <row r="4546" spans="1:5" x14ac:dyDescent="0.2">
      <c r="A4546" s="22"/>
      <c r="B4546" s="23"/>
      <c r="C4546" s="23"/>
      <c r="D4546" s="23"/>
      <c r="E4546" s="26"/>
    </row>
    <row r="4547" spans="1:5" x14ac:dyDescent="0.2">
      <c r="A4547" s="22"/>
      <c r="B4547" s="23"/>
      <c r="C4547" s="23"/>
      <c r="D4547" s="23"/>
      <c r="E4547" s="26"/>
    </row>
    <row r="4548" spans="1:5" x14ac:dyDescent="0.2">
      <c r="A4548" s="22"/>
      <c r="B4548" s="23"/>
      <c r="C4548" s="23"/>
      <c r="D4548" s="23"/>
      <c r="E4548" s="26"/>
    </row>
    <row r="4549" spans="1:5" x14ac:dyDescent="0.2">
      <c r="A4549" s="22"/>
      <c r="B4549" s="23"/>
      <c r="C4549" s="23"/>
      <c r="D4549" s="23"/>
      <c r="E4549" s="26"/>
    </row>
    <row r="4550" spans="1:5" x14ac:dyDescent="0.2">
      <c r="A4550" s="22"/>
      <c r="B4550" s="23"/>
      <c r="C4550" s="23"/>
      <c r="D4550" s="23"/>
      <c r="E4550" s="26"/>
    </row>
    <row r="4551" spans="1:5" x14ac:dyDescent="0.2">
      <c r="A4551" s="22"/>
      <c r="B4551" s="23"/>
      <c r="C4551" s="23"/>
      <c r="D4551" s="23"/>
      <c r="E4551" s="26"/>
    </row>
    <row r="4552" spans="1:5" x14ac:dyDescent="0.2">
      <c r="A4552" s="22"/>
      <c r="B4552" s="23"/>
      <c r="C4552" s="23"/>
      <c r="D4552" s="23"/>
      <c r="E4552" s="26"/>
    </row>
    <row r="4553" spans="1:5" x14ac:dyDescent="0.2">
      <c r="A4553" s="22"/>
      <c r="B4553" s="23"/>
      <c r="C4553" s="23"/>
      <c r="D4553" s="23"/>
      <c r="E4553" s="26"/>
    </row>
    <row r="4554" spans="1:5" x14ac:dyDescent="0.2">
      <c r="A4554" s="22"/>
      <c r="B4554" s="23"/>
      <c r="C4554" s="23"/>
      <c r="D4554" s="23"/>
      <c r="E4554" s="26"/>
    </row>
    <row r="4555" spans="1:5" x14ac:dyDescent="0.2">
      <c r="A4555" s="22"/>
      <c r="B4555" s="23"/>
      <c r="C4555" s="23"/>
      <c r="D4555" s="23"/>
      <c r="E4555" s="26"/>
    </row>
    <row r="4556" spans="1:5" x14ac:dyDescent="0.2">
      <c r="A4556" s="22"/>
      <c r="B4556" s="23"/>
      <c r="C4556" s="23"/>
      <c r="D4556" s="23"/>
      <c r="E4556" s="26"/>
    </row>
    <row r="4557" spans="1:5" x14ac:dyDescent="0.2">
      <c r="A4557" s="22"/>
      <c r="B4557" s="23"/>
      <c r="C4557" s="23"/>
      <c r="D4557" s="23"/>
      <c r="E4557" s="26"/>
    </row>
    <row r="4558" spans="1:5" x14ac:dyDescent="0.2">
      <c r="A4558" s="22"/>
      <c r="B4558" s="23"/>
      <c r="C4558" s="23"/>
      <c r="D4558" s="23"/>
      <c r="E4558" s="26"/>
    </row>
    <row r="4559" spans="1:5" x14ac:dyDescent="0.2">
      <c r="A4559" s="22"/>
      <c r="B4559" s="23"/>
      <c r="C4559" s="23"/>
      <c r="D4559" s="23"/>
      <c r="E4559" s="26"/>
    </row>
    <row r="4560" spans="1:5" x14ac:dyDescent="0.2">
      <c r="A4560" s="22"/>
      <c r="B4560" s="23"/>
      <c r="C4560" s="23"/>
      <c r="D4560" s="23"/>
      <c r="E4560" s="26"/>
    </row>
    <row r="4561" spans="1:5" x14ac:dyDescent="0.2">
      <c r="A4561" s="22"/>
      <c r="B4561" s="23"/>
      <c r="C4561" s="23"/>
      <c r="D4561" s="23"/>
      <c r="E4561" s="26"/>
    </row>
    <row r="4562" spans="1:5" x14ac:dyDescent="0.2">
      <c r="A4562" s="22"/>
      <c r="B4562" s="23"/>
      <c r="C4562" s="23"/>
      <c r="D4562" s="23"/>
      <c r="E4562" s="26"/>
    </row>
    <row r="4563" spans="1:5" x14ac:dyDescent="0.2">
      <c r="A4563" s="22"/>
      <c r="B4563" s="23"/>
      <c r="C4563" s="23"/>
      <c r="D4563" s="23"/>
      <c r="E4563" s="26"/>
    </row>
    <row r="4564" spans="1:5" x14ac:dyDescent="0.2">
      <c r="A4564" s="22"/>
      <c r="B4564" s="23"/>
      <c r="C4564" s="23"/>
      <c r="D4564" s="23"/>
      <c r="E4564" s="26"/>
    </row>
    <row r="4565" spans="1:5" x14ac:dyDescent="0.2">
      <c r="A4565" s="22"/>
      <c r="B4565" s="23"/>
      <c r="C4565" s="23"/>
      <c r="D4565" s="23"/>
      <c r="E4565" s="26"/>
    </row>
    <row r="4566" spans="1:5" x14ac:dyDescent="0.2">
      <c r="A4566" s="22"/>
      <c r="B4566" s="23"/>
      <c r="C4566" s="23"/>
      <c r="D4566" s="23"/>
      <c r="E4566" s="26"/>
    </row>
    <row r="4567" spans="1:5" x14ac:dyDescent="0.2">
      <c r="A4567" s="22"/>
      <c r="B4567" s="23"/>
      <c r="C4567" s="23"/>
      <c r="D4567" s="23"/>
      <c r="E4567" s="26"/>
    </row>
    <row r="4568" spans="1:5" x14ac:dyDescent="0.2">
      <c r="A4568" s="22"/>
      <c r="B4568" s="23"/>
      <c r="C4568" s="23"/>
      <c r="D4568" s="23"/>
      <c r="E4568" s="26"/>
    </row>
    <row r="4569" spans="1:5" x14ac:dyDescent="0.2">
      <c r="A4569" s="22"/>
      <c r="B4569" s="23"/>
      <c r="C4569" s="23"/>
      <c r="D4569" s="23"/>
      <c r="E4569" s="26"/>
    </row>
    <row r="4570" spans="1:5" x14ac:dyDescent="0.2">
      <c r="A4570" s="22"/>
      <c r="B4570" s="23"/>
      <c r="C4570" s="23"/>
      <c r="D4570" s="23"/>
      <c r="E4570" s="26"/>
    </row>
    <row r="4571" spans="1:5" x14ac:dyDescent="0.2">
      <c r="A4571" s="22"/>
      <c r="B4571" s="23"/>
      <c r="C4571" s="23"/>
      <c r="D4571" s="23"/>
      <c r="E4571" s="26"/>
    </row>
    <row r="4572" spans="1:5" x14ac:dyDescent="0.2">
      <c r="A4572" s="22"/>
      <c r="B4572" s="23"/>
      <c r="C4572" s="23"/>
      <c r="D4572" s="23"/>
      <c r="E4572" s="26"/>
    </row>
    <row r="4573" spans="1:5" x14ac:dyDescent="0.2">
      <c r="A4573" s="22"/>
      <c r="B4573" s="23"/>
      <c r="C4573" s="23"/>
      <c r="D4573" s="23"/>
      <c r="E4573" s="26"/>
    </row>
    <row r="4574" spans="1:5" x14ac:dyDescent="0.2">
      <c r="A4574" s="22"/>
      <c r="B4574" s="23"/>
      <c r="C4574" s="23"/>
      <c r="D4574" s="23"/>
      <c r="E4574" s="26"/>
    </row>
    <row r="4575" spans="1:5" x14ac:dyDescent="0.2">
      <c r="A4575" s="22"/>
      <c r="B4575" s="23"/>
      <c r="C4575" s="23"/>
      <c r="D4575" s="23"/>
      <c r="E4575" s="26"/>
    </row>
    <row r="4576" spans="1:5" x14ac:dyDescent="0.2">
      <c r="A4576" s="22"/>
      <c r="B4576" s="23"/>
      <c r="C4576" s="23"/>
      <c r="D4576" s="23"/>
      <c r="E4576" s="26"/>
    </row>
    <row r="4577" spans="1:5" x14ac:dyDescent="0.2">
      <c r="A4577" s="22"/>
      <c r="B4577" s="23"/>
      <c r="C4577" s="23"/>
      <c r="D4577" s="23"/>
      <c r="E4577" s="26"/>
    </row>
    <row r="4578" spans="1:5" x14ac:dyDescent="0.2">
      <c r="A4578" s="22"/>
      <c r="B4578" s="23"/>
      <c r="C4578" s="23"/>
      <c r="D4578" s="23"/>
      <c r="E4578" s="26"/>
    </row>
    <row r="4579" spans="1:5" x14ac:dyDescent="0.2">
      <c r="A4579" s="22"/>
      <c r="B4579" s="23"/>
      <c r="C4579" s="23"/>
      <c r="D4579" s="23"/>
      <c r="E4579" s="26"/>
    </row>
    <row r="4580" spans="1:5" x14ac:dyDescent="0.2">
      <c r="A4580" s="22"/>
      <c r="B4580" s="23"/>
      <c r="C4580" s="23"/>
      <c r="D4580" s="23"/>
      <c r="E4580" s="26"/>
    </row>
    <row r="4581" spans="1:5" x14ac:dyDescent="0.2">
      <c r="A4581" s="22"/>
      <c r="B4581" s="23"/>
      <c r="C4581" s="23"/>
      <c r="D4581" s="23"/>
      <c r="E4581" s="26"/>
    </row>
    <row r="4582" spans="1:5" x14ac:dyDescent="0.2">
      <c r="A4582" s="22"/>
      <c r="B4582" s="23"/>
      <c r="C4582" s="23"/>
      <c r="D4582" s="23"/>
      <c r="E4582" s="26"/>
    </row>
    <row r="4583" spans="1:5" x14ac:dyDescent="0.2">
      <c r="A4583" s="22"/>
      <c r="B4583" s="23"/>
      <c r="C4583" s="23"/>
      <c r="D4583" s="23"/>
      <c r="E4583" s="26"/>
    </row>
    <row r="4584" spans="1:5" x14ac:dyDescent="0.2">
      <c r="A4584" s="22"/>
      <c r="B4584" s="23"/>
      <c r="C4584" s="23"/>
      <c r="D4584" s="23"/>
      <c r="E4584" s="26"/>
    </row>
    <row r="4585" spans="1:5" x14ac:dyDescent="0.2">
      <c r="A4585" s="22"/>
      <c r="B4585" s="23"/>
      <c r="C4585" s="23"/>
      <c r="D4585" s="23"/>
      <c r="E4585" s="26"/>
    </row>
    <row r="4586" spans="1:5" x14ac:dyDescent="0.2">
      <c r="A4586" s="22"/>
      <c r="B4586" s="23"/>
      <c r="C4586" s="23"/>
      <c r="D4586" s="23"/>
      <c r="E4586" s="26"/>
    </row>
    <row r="4587" spans="1:5" x14ac:dyDescent="0.2">
      <c r="A4587" s="22"/>
      <c r="B4587" s="23"/>
      <c r="C4587" s="23"/>
      <c r="D4587" s="23"/>
      <c r="E4587" s="26"/>
    </row>
    <row r="4588" spans="1:5" x14ac:dyDescent="0.2">
      <c r="A4588" s="22"/>
      <c r="B4588" s="23"/>
      <c r="C4588" s="23"/>
      <c r="D4588" s="23"/>
      <c r="E4588" s="26"/>
    </row>
    <row r="4589" spans="1:5" x14ac:dyDescent="0.2">
      <c r="A4589" s="22"/>
      <c r="B4589" s="23"/>
      <c r="C4589" s="23"/>
      <c r="D4589" s="23"/>
      <c r="E4589" s="26"/>
    </row>
    <row r="4590" spans="1:5" x14ac:dyDescent="0.2">
      <c r="A4590" s="22"/>
      <c r="B4590" s="23"/>
      <c r="C4590" s="23"/>
      <c r="D4590" s="23"/>
      <c r="E4590" s="26"/>
    </row>
    <row r="4591" spans="1:5" x14ac:dyDescent="0.2">
      <c r="A4591" s="22"/>
      <c r="B4591" s="23"/>
      <c r="C4591" s="23"/>
      <c r="D4591" s="23"/>
      <c r="E4591" s="26"/>
    </row>
    <row r="4592" spans="1:5" x14ac:dyDescent="0.2">
      <c r="A4592" s="22"/>
      <c r="B4592" s="23"/>
      <c r="C4592" s="23"/>
      <c r="D4592" s="23"/>
      <c r="E4592" s="26"/>
    </row>
    <row r="4593" spans="1:5" x14ac:dyDescent="0.2">
      <c r="A4593" s="22"/>
      <c r="B4593" s="23"/>
      <c r="C4593" s="23"/>
      <c r="D4593" s="23"/>
      <c r="E4593" s="26"/>
    </row>
    <row r="4594" spans="1:5" x14ac:dyDescent="0.2">
      <c r="A4594" s="22"/>
      <c r="B4594" s="23"/>
      <c r="C4594" s="23"/>
      <c r="D4594" s="23"/>
      <c r="E4594" s="26"/>
    </row>
    <row r="4595" spans="1:5" x14ac:dyDescent="0.2">
      <c r="A4595" s="22"/>
      <c r="B4595" s="23"/>
      <c r="C4595" s="23"/>
      <c r="D4595" s="23"/>
      <c r="E4595" s="26"/>
    </row>
    <row r="4596" spans="1:5" x14ac:dyDescent="0.2">
      <c r="A4596" s="22"/>
      <c r="B4596" s="23"/>
      <c r="C4596" s="23"/>
      <c r="D4596" s="23"/>
      <c r="E4596" s="26"/>
    </row>
    <row r="4597" spans="1:5" x14ac:dyDescent="0.2">
      <c r="A4597" s="22"/>
      <c r="B4597" s="23"/>
      <c r="C4597" s="23"/>
      <c r="D4597" s="23"/>
      <c r="E4597" s="26"/>
    </row>
    <row r="4598" spans="1:5" x14ac:dyDescent="0.2">
      <c r="A4598" s="22"/>
      <c r="B4598" s="23"/>
      <c r="C4598" s="23"/>
      <c r="D4598" s="23"/>
      <c r="E4598" s="26"/>
    </row>
    <row r="4599" spans="1:5" x14ac:dyDescent="0.2">
      <c r="A4599" s="22"/>
      <c r="B4599" s="23"/>
      <c r="C4599" s="23"/>
      <c r="D4599" s="23"/>
      <c r="E4599" s="26"/>
    </row>
    <row r="4600" spans="1:5" x14ac:dyDescent="0.2">
      <c r="A4600" s="22"/>
      <c r="B4600" s="23"/>
      <c r="C4600" s="23"/>
      <c r="D4600" s="23"/>
      <c r="E4600" s="26"/>
    </row>
    <row r="4601" spans="1:5" x14ac:dyDescent="0.2">
      <c r="A4601" s="22"/>
      <c r="B4601" s="23"/>
      <c r="C4601" s="23"/>
      <c r="D4601" s="23"/>
      <c r="E4601" s="26"/>
    </row>
    <row r="4602" spans="1:5" x14ac:dyDescent="0.2">
      <c r="A4602" s="22"/>
      <c r="B4602" s="23"/>
      <c r="C4602" s="23"/>
      <c r="D4602" s="23"/>
      <c r="E4602" s="26"/>
    </row>
    <row r="4603" spans="1:5" x14ac:dyDescent="0.2">
      <c r="A4603" s="22"/>
      <c r="B4603" s="23"/>
      <c r="C4603" s="23"/>
      <c r="D4603" s="23"/>
      <c r="E4603" s="26"/>
    </row>
    <row r="4604" spans="1:5" x14ac:dyDescent="0.2">
      <c r="A4604" s="22"/>
      <c r="B4604" s="23"/>
      <c r="C4604" s="23"/>
      <c r="D4604" s="23"/>
      <c r="E4604" s="26"/>
    </row>
    <row r="4605" spans="1:5" x14ac:dyDescent="0.2">
      <c r="A4605" s="22"/>
      <c r="B4605" s="23"/>
      <c r="C4605" s="23"/>
      <c r="D4605" s="23"/>
      <c r="E4605" s="26"/>
    </row>
    <row r="4606" spans="1:5" x14ac:dyDescent="0.2">
      <c r="A4606" s="22"/>
      <c r="B4606" s="23"/>
      <c r="C4606" s="23"/>
      <c r="D4606" s="23"/>
      <c r="E4606" s="26"/>
    </row>
    <row r="4607" spans="1:5" x14ac:dyDescent="0.2">
      <c r="A4607" s="22"/>
      <c r="B4607" s="23"/>
      <c r="C4607" s="23"/>
      <c r="D4607" s="23"/>
      <c r="E4607" s="26"/>
    </row>
    <row r="4608" spans="1:5" x14ac:dyDescent="0.2">
      <c r="A4608" s="22"/>
      <c r="B4608" s="23"/>
      <c r="C4608" s="23"/>
      <c r="D4608" s="23"/>
      <c r="E4608" s="26"/>
    </row>
    <row r="4609" spans="1:5" x14ac:dyDescent="0.2">
      <c r="A4609" s="22"/>
      <c r="B4609" s="23"/>
      <c r="C4609" s="23"/>
      <c r="D4609" s="23"/>
      <c r="E4609" s="26"/>
    </row>
    <row r="4610" spans="1:5" x14ac:dyDescent="0.2">
      <c r="A4610" s="22"/>
      <c r="B4610" s="23"/>
      <c r="C4610" s="23"/>
      <c r="D4610" s="23"/>
      <c r="E4610" s="26"/>
    </row>
    <row r="4611" spans="1:5" x14ac:dyDescent="0.2">
      <c r="A4611" s="22"/>
      <c r="B4611" s="23"/>
      <c r="C4611" s="23"/>
      <c r="D4611" s="23"/>
      <c r="E4611" s="26"/>
    </row>
    <row r="4612" spans="1:5" x14ac:dyDescent="0.2">
      <c r="A4612" s="22"/>
      <c r="B4612" s="23"/>
      <c r="C4612" s="23"/>
      <c r="D4612" s="23"/>
      <c r="E4612" s="26"/>
    </row>
    <row r="4613" spans="1:5" x14ac:dyDescent="0.2">
      <c r="A4613" s="22"/>
      <c r="B4613" s="23"/>
      <c r="C4613" s="23"/>
      <c r="D4613" s="23"/>
      <c r="E4613" s="26"/>
    </row>
    <row r="4614" spans="1:5" x14ac:dyDescent="0.2">
      <c r="A4614" s="22"/>
      <c r="B4614" s="23"/>
      <c r="C4614" s="23"/>
      <c r="D4614" s="23"/>
      <c r="E4614" s="26"/>
    </row>
    <row r="4615" spans="1:5" x14ac:dyDescent="0.2">
      <c r="A4615" s="22"/>
      <c r="B4615" s="23"/>
      <c r="C4615" s="23"/>
      <c r="D4615" s="23"/>
      <c r="E4615" s="26"/>
    </row>
    <row r="4616" spans="1:5" x14ac:dyDescent="0.2">
      <c r="A4616" s="22"/>
      <c r="B4616" s="23"/>
      <c r="C4616" s="23"/>
      <c r="D4616" s="23"/>
      <c r="E4616" s="26"/>
    </row>
    <row r="4617" spans="1:5" x14ac:dyDescent="0.2">
      <c r="A4617" s="22"/>
      <c r="E4617" s="26"/>
    </row>
    <row r="4618" spans="1:5" x14ac:dyDescent="0.2">
      <c r="A4618" s="22"/>
      <c r="E4618" s="26"/>
    </row>
    <row r="4619" spans="1:5" x14ac:dyDescent="0.2">
      <c r="A4619" s="22"/>
      <c r="E4619" s="26"/>
    </row>
    <row r="4620" spans="1:5" x14ac:dyDescent="0.2">
      <c r="A4620" s="22"/>
      <c r="E4620" s="26"/>
    </row>
    <row r="4621" spans="1:5" x14ac:dyDescent="0.2">
      <c r="A4621" s="22"/>
      <c r="E4621" s="26"/>
    </row>
    <row r="4622" spans="1:5" x14ac:dyDescent="0.2">
      <c r="A4622" s="22"/>
      <c r="E4622" s="26"/>
    </row>
    <row r="4623" spans="1:5" x14ac:dyDescent="0.2">
      <c r="A4623" s="22"/>
      <c r="E4623" s="26"/>
    </row>
    <row r="4624" spans="1:5" x14ac:dyDescent="0.2">
      <c r="A4624" s="22"/>
      <c r="E4624" s="26"/>
    </row>
    <row r="4625" spans="1:5" x14ac:dyDescent="0.2">
      <c r="A4625" s="22"/>
      <c r="E4625" s="26"/>
    </row>
    <row r="4626" spans="1:5" x14ac:dyDescent="0.2">
      <c r="A4626" s="22"/>
      <c r="E4626" s="26"/>
    </row>
    <row r="4627" spans="1:5" x14ac:dyDescent="0.2">
      <c r="A4627" s="22"/>
      <c r="E4627" s="26"/>
    </row>
    <row r="4628" spans="1:5" x14ac:dyDescent="0.2">
      <c r="A4628" s="22"/>
      <c r="E4628" s="26"/>
    </row>
    <row r="4629" spans="1:5" x14ac:dyDescent="0.2">
      <c r="A4629" s="22"/>
      <c r="E4629" s="26"/>
    </row>
    <row r="4630" spans="1:5" x14ac:dyDescent="0.2">
      <c r="A4630" s="22"/>
      <c r="E4630" s="26"/>
    </row>
    <row r="4631" spans="1:5" x14ac:dyDescent="0.2">
      <c r="A4631" s="22"/>
      <c r="E4631" s="26"/>
    </row>
    <row r="4632" spans="1:5" x14ac:dyDescent="0.2">
      <c r="A4632" s="22"/>
      <c r="E4632" s="26"/>
    </row>
    <row r="4633" spans="1:5" x14ac:dyDescent="0.2">
      <c r="A4633" s="22"/>
      <c r="E4633" s="26"/>
    </row>
    <row r="4634" spans="1:5" x14ac:dyDescent="0.2">
      <c r="A4634" s="22"/>
      <c r="E4634" s="26"/>
    </row>
    <row r="4635" spans="1:5" x14ac:dyDescent="0.2">
      <c r="A4635" s="22"/>
      <c r="E4635" s="26"/>
    </row>
    <row r="4636" spans="1:5" x14ac:dyDescent="0.2">
      <c r="A4636" s="22"/>
      <c r="E4636" s="26"/>
    </row>
    <row r="4637" spans="1:5" x14ac:dyDescent="0.2">
      <c r="A4637" s="22"/>
      <c r="E4637" s="26"/>
    </row>
    <row r="4638" spans="1:5" x14ac:dyDescent="0.2">
      <c r="A4638" s="22"/>
      <c r="E4638" s="26"/>
    </row>
    <row r="4639" spans="1:5" x14ac:dyDescent="0.2">
      <c r="A4639" s="22"/>
      <c r="E4639" s="26"/>
    </row>
    <row r="4640" spans="1:5" x14ac:dyDescent="0.2">
      <c r="A4640" s="22"/>
      <c r="E4640" s="26"/>
    </row>
    <row r="4641" spans="1:5" x14ac:dyDescent="0.2">
      <c r="A4641" s="22"/>
      <c r="E4641" s="26"/>
    </row>
    <row r="4642" spans="1:5" x14ac:dyDescent="0.2">
      <c r="A4642" s="22"/>
      <c r="E4642" s="26"/>
    </row>
    <row r="4643" spans="1:5" x14ac:dyDescent="0.2">
      <c r="A4643" s="22"/>
      <c r="E4643" s="26"/>
    </row>
    <row r="4644" spans="1:5" x14ac:dyDescent="0.2">
      <c r="A4644" s="22"/>
      <c r="E4644" s="26"/>
    </row>
    <row r="4645" spans="1:5" x14ac:dyDescent="0.2">
      <c r="A4645" s="22"/>
      <c r="E4645" s="26"/>
    </row>
    <row r="4646" spans="1:5" x14ac:dyDescent="0.2">
      <c r="A4646" s="22"/>
      <c r="E4646" s="26"/>
    </row>
    <row r="4647" spans="1:5" x14ac:dyDescent="0.2">
      <c r="A4647" s="22"/>
      <c r="E4647" s="26"/>
    </row>
    <row r="4648" spans="1:5" x14ac:dyDescent="0.2">
      <c r="A4648" s="22"/>
      <c r="E4648" s="26"/>
    </row>
    <row r="4649" spans="1:5" x14ac:dyDescent="0.2">
      <c r="A4649" s="22"/>
      <c r="E4649" s="26"/>
    </row>
    <row r="4650" spans="1:5" x14ac:dyDescent="0.2">
      <c r="A4650" s="22"/>
      <c r="E4650" s="26"/>
    </row>
    <row r="4651" spans="1:5" x14ac:dyDescent="0.2">
      <c r="A4651" s="22"/>
      <c r="E4651" s="26"/>
    </row>
    <row r="4652" spans="1:5" x14ac:dyDescent="0.2">
      <c r="A4652" s="22"/>
      <c r="E4652" s="26"/>
    </row>
    <row r="4653" spans="1:5" x14ac:dyDescent="0.2">
      <c r="A4653" s="22"/>
      <c r="E4653" s="26"/>
    </row>
    <row r="4654" spans="1:5" x14ac:dyDescent="0.2">
      <c r="A4654" s="22"/>
      <c r="E4654" s="26"/>
    </row>
    <row r="4655" spans="1:5" x14ac:dyDescent="0.2">
      <c r="A4655" s="22"/>
      <c r="E4655" s="26"/>
    </row>
    <row r="4656" spans="1:5" x14ac:dyDescent="0.2">
      <c r="A4656" s="22"/>
      <c r="E4656" s="26"/>
    </row>
    <row r="4657" spans="1:5" x14ac:dyDescent="0.2">
      <c r="A4657" s="22"/>
      <c r="E4657" s="26"/>
    </row>
    <row r="4658" spans="1:5" x14ac:dyDescent="0.2">
      <c r="A4658" s="22"/>
      <c r="E4658" s="26"/>
    </row>
    <row r="4659" spans="1:5" x14ac:dyDescent="0.2">
      <c r="A4659" s="22"/>
      <c r="E4659" s="26"/>
    </row>
    <row r="4660" spans="1:5" x14ac:dyDescent="0.2">
      <c r="A4660" s="22"/>
      <c r="E4660" s="26"/>
    </row>
    <row r="4661" spans="1:5" x14ac:dyDescent="0.2">
      <c r="A4661" s="22"/>
      <c r="E4661" s="26"/>
    </row>
    <row r="4662" spans="1:5" x14ac:dyDescent="0.2">
      <c r="A4662" s="22"/>
      <c r="E4662" s="26"/>
    </row>
    <row r="4663" spans="1:5" x14ac:dyDescent="0.2">
      <c r="A4663" s="22"/>
      <c r="E4663" s="26"/>
    </row>
    <row r="4664" spans="1:5" x14ac:dyDescent="0.2">
      <c r="A4664" s="22"/>
      <c r="E4664" s="26"/>
    </row>
    <row r="4665" spans="1:5" x14ac:dyDescent="0.2">
      <c r="A4665" s="22"/>
      <c r="E4665" s="26"/>
    </row>
    <row r="4666" spans="1:5" x14ac:dyDescent="0.2">
      <c r="A4666" s="22"/>
      <c r="E4666" s="26"/>
    </row>
    <row r="4667" spans="1:5" x14ac:dyDescent="0.2">
      <c r="A4667" s="22"/>
      <c r="E4667" s="26"/>
    </row>
    <row r="4668" spans="1:5" x14ac:dyDescent="0.2">
      <c r="A4668" s="22"/>
      <c r="E4668" s="26"/>
    </row>
    <row r="4669" spans="1:5" x14ac:dyDescent="0.2">
      <c r="A4669" s="22"/>
      <c r="E4669" s="26"/>
    </row>
    <row r="4670" spans="1:5" x14ac:dyDescent="0.2">
      <c r="A4670" s="22"/>
      <c r="E4670" s="26"/>
    </row>
    <row r="4671" spans="1:5" x14ac:dyDescent="0.2">
      <c r="A4671" s="22"/>
      <c r="E4671" s="26"/>
    </row>
    <row r="4672" spans="1:5" x14ac:dyDescent="0.2">
      <c r="A4672" s="22"/>
      <c r="E4672" s="26"/>
    </row>
    <row r="4673" spans="1:5" x14ac:dyDescent="0.2">
      <c r="A4673" s="22"/>
      <c r="E4673" s="26"/>
    </row>
    <row r="4674" spans="1:5" x14ac:dyDescent="0.2">
      <c r="A4674" s="22"/>
      <c r="E4674" s="26"/>
    </row>
    <row r="4675" spans="1:5" x14ac:dyDescent="0.2">
      <c r="A4675" s="22"/>
      <c r="E4675" s="26"/>
    </row>
    <row r="4676" spans="1:5" x14ac:dyDescent="0.2">
      <c r="A4676" s="22"/>
      <c r="E4676" s="26"/>
    </row>
    <row r="4677" spans="1:5" x14ac:dyDescent="0.2">
      <c r="A4677" s="22"/>
      <c r="E4677" s="26"/>
    </row>
    <row r="4678" spans="1:5" x14ac:dyDescent="0.2">
      <c r="A4678" s="22"/>
      <c r="E4678" s="26"/>
    </row>
    <row r="4679" spans="1:5" x14ac:dyDescent="0.2">
      <c r="A4679" s="22"/>
      <c r="E4679" s="26"/>
    </row>
    <row r="4680" spans="1:5" x14ac:dyDescent="0.2">
      <c r="A4680" s="22"/>
      <c r="E4680" s="26"/>
    </row>
    <row r="4681" spans="1:5" x14ac:dyDescent="0.2">
      <c r="A4681" s="22"/>
      <c r="E4681" s="26"/>
    </row>
    <row r="4682" spans="1:5" x14ac:dyDescent="0.2">
      <c r="A4682" s="22"/>
      <c r="E4682" s="26"/>
    </row>
    <row r="4683" spans="1:5" x14ac:dyDescent="0.2">
      <c r="A4683" s="22"/>
      <c r="E4683" s="26"/>
    </row>
    <row r="4684" spans="1:5" x14ac:dyDescent="0.2">
      <c r="A4684" s="22"/>
      <c r="E4684" s="26"/>
    </row>
    <row r="4685" spans="1:5" x14ac:dyDescent="0.2">
      <c r="A4685" s="22"/>
      <c r="E4685" s="26"/>
    </row>
    <row r="4686" spans="1:5" x14ac:dyDescent="0.2">
      <c r="A4686" s="22"/>
      <c r="E4686" s="26"/>
    </row>
    <row r="4687" spans="1:5" x14ac:dyDescent="0.2">
      <c r="A4687" s="22"/>
      <c r="E4687" s="26"/>
    </row>
    <row r="4688" spans="1:5" x14ac:dyDescent="0.2">
      <c r="A4688" s="22"/>
      <c r="E4688" s="26"/>
    </row>
    <row r="4689" spans="1:5" x14ac:dyDescent="0.2">
      <c r="A4689" s="22"/>
      <c r="E4689" s="26"/>
    </row>
    <row r="4690" spans="1:5" x14ac:dyDescent="0.2">
      <c r="A4690" s="22"/>
      <c r="E4690" s="26"/>
    </row>
    <row r="4691" spans="1:5" x14ac:dyDescent="0.2">
      <c r="A4691" s="22"/>
      <c r="E4691" s="26"/>
    </row>
    <row r="4692" spans="1:5" x14ac:dyDescent="0.2">
      <c r="A4692" s="22"/>
      <c r="E4692" s="26"/>
    </row>
    <row r="4693" spans="1:5" x14ac:dyDescent="0.2">
      <c r="A4693" s="22"/>
      <c r="E4693" s="26"/>
    </row>
    <row r="4694" spans="1:5" x14ac:dyDescent="0.2">
      <c r="A4694" s="22"/>
      <c r="E4694" s="26"/>
    </row>
    <row r="4695" spans="1:5" x14ac:dyDescent="0.2">
      <c r="A4695" s="22"/>
      <c r="E4695" s="26"/>
    </row>
    <row r="4696" spans="1:5" x14ac:dyDescent="0.2">
      <c r="A4696" s="22"/>
      <c r="E4696" s="26"/>
    </row>
    <row r="4697" spans="1:5" x14ac:dyDescent="0.2">
      <c r="A4697" s="22"/>
      <c r="E4697" s="26"/>
    </row>
    <row r="4698" spans="1:5" x14ac:dyDescent="0.2">
      <c r="A4698" s="22"/>
      <c r="E4698" s="26"/>
    </row>
    <row r="4699" spans="1:5" x14ac:dyDescent="0.2">
      <c r="A4699" s="22"/>
      <c r="E4699" s="26"/>
    </row>
    <row r="4700" spans="1:5" x14ac:dyDescent="0.2">
      <c r="A4700" s="22"/>
      <c r="E4700" s="26"/>
    </row>
    <row r="4701" spans="1:5" x14ac:dyDescent="0.2">
      <c r="A4701" s="22"/>
      <c r="E4701" s="26"/>
    </row>
    <row r="4702" spans="1:5" x14ac:dyDescent="0.2">
      <c r="A4702" s="22"/>
      <c r="E4702" s="26"/>
    </row>
    <row r="4703" spans="1:5" x14ac:dyDescent="0.2">
      <c r="A4703" s="22"/>
      <c r="E4703" s="26"/>
    </row>
    <row r="4704" spans="1:5" x14ac:dyDescent="0.2">
      <c r="A4704" s="22"/>
      <c r="E4704" s="26"/>
    </row>
    <row r="4705" spans="1:5" x14ac:dyDescent="0.2">
      <c r="A4705" s="22"/>
      <c r="E4705" s="26"/>
    </row>
    <row r="4706" spans="1:5" x14ac:dyDescent="0.2">
      <c r="A4706" s="22"/>
      <c r="E4706" s="26"/>
    </row>
    <row r="4707" spans="1:5" x14ac:dyDescent="0.2">
      <c r="A4707" s="22"/>
      <c r="E4707" s="26"/>
    </row>
    <row r="4708" spans="1:5" x14ac:dyDescent="0.2">
      <c r="A4708" s="22"/>
      <c r="E4708" s="26"/>
    </row>
    <row r="4709" spans="1:5" x14ac:dyDescent="0.2">
      <c r="A4709" s="22"/>
      <c r="E4709" s="26"/>
    </row>
    <row r="4710" spans="1:5" x14ac:dyDescent="0.2">
      <c r="A4710" s="22"/>
      <c r="E4710" s="26"/>
    </row>
    <row r="4711" spans="1:5" x14ac:dyDescent="0.2">
      <c r="A4711" s="22"/>
      <c r="E4711" s="26"/>
    </row>
    <row r="4712" spans="1:5" x14ac:dyDescent="0.2">
      <c r="A4712" s="22"/>
      <c r="E4712" s="26"/>
    </row>
    <row r="4713" spans="1:5" x14ac:dyDescent="0.2">
      <c r="A4713" s="22"/>
      <c r="E4713" s="26"/>
    </row>
    <row r="4714" spans="1:5" x14ac:dyDescent="0.2">
      <c r="A4714" s="22"/>
      <c r="E4714" s="26"/>
    </row>
    <row r="4715" spans="1:5" x14ac:dyDescent="0.2">
      <c r="A4715" s="22"/>
      <c r="E4715" s="26"/>
    </row>
    <row r="4716" spans="1:5" x14ac:dyDescent="0.2">
      <c r="A4716" s="22"/>
      <c r="E4716" s="26"/>
    </row>
    <row r="4717" spans="1:5" x14ac:dyDescent="0.2">
      <c r="A4717" s="22"/>
      <c r="E4717" s="26"/>
    </row>
    <row r="4718" spans="1:5" x14ac:dyDescent="0.2">
      <c r="A4718" s="22"/>
      <c r="E4718" s="26"/>
    </row>
    <row r="4719" spans="1:5" x14ac:dyDescent="0.2">
      <c r="A4719" s="22"/>
      <c r="E4719" s="26"/>
    </row>
    <row r="4720" spans="1:5" x14ac:dyDescent="0.2">
      <c r="A4720" s="22"/>
      <c r="E4720" s="26"/>
    </row>
    <row r="4721" spans="1:5" x14ac:dyDescent="0.2">
      <c r="A4721" s="22"/>
      <c r="E4721" s="26"/>
    </row>
    <row r="4722" spans="1:5" x14ac:dyDescent="0.2">
      <c r="A4722" s="22"/>
      <c r="E4722" s="26"/>
    </row>
    <row r="4723" spans="1:5" x14ac:dyDescent="0.2">
      <c r="A4723" s="22"/>
      <c r="E4723" s="26"/>
    </row>
    <row r="4724" spans="1:5" x14ac:dyDescent="0.2">
      <c r="A4724" s="22"/>
      <c r="E4724" s="26"/>
    </row>
    <row r="4725" spans="1:5" x14ac:dyDescent="0.2">
      <c r="A4725" s="22"/>
      <c r="E4725" s="26"/>
    </row>
    <row r="4726" spans="1:5" x14ac:dyDescent="0.2">
      <c r="A4726" s="22"/>
      <c r="E4726" s="26"/>
    </row>
    <row r="4727" spans="1:5" x14ac:dyDescent="0.2">
      <c r="A4727" s="22"/>
      <c r="E4727" s="26"/>
    </row>
    <row r="4728" spans="1:5" x14ac:dyDescent="0.2">
      <c r="A4728" s="22"/>
      <c r="E4728" s="26"/>
    </row>
    <row r="4729" spans="1:5" x14ac:dyDescent="0.2">
      <c r="A4729" s="22"/>
      <c r="E4729" s="26"/>
    </row>
    <row r="4730" spans="1:5" x14ac:dyDescent="0.2">
      <c r="A4730" s="22"/>
      <c r="E4730" s="26"/>
    </row>
    <row r="4731" spans="1:5" x14ac:dyDescent="0.2">
      <c r="A4731" s="22"/>
      <c r="E4731" s="26"/>
    </row>
    <row r="4732" spans="1:5" x14ac:dyDescent="0.2">
      <c r="A4732" s="22"/>
      <c r="E4732" s="26"/>
    </row>
    <row r="4733" spans="1:5" x14ac:dyDescent="0.2">
      <c r="A4733" s="22"/>
      <c r="E4733" s="26"/>
    </row>
    <row r="4734" spans="1:5" x14ac:dyDescent="0.2">
      <c r="A4734" s="22"/>
      <c r="E4734" s="26"/>
    </row>
    <row r="4735" spans="1:5" x14ac:dyDescent="0.2">
      <c r="A4735" s="22"/>
      <c r="E4735" s="26"/>
    </row>
    <row r="4736" spans="1:5" x14ac:dyDescent="0.2">
      <c r="A4736" s="22"/>
      <c r="E4736" s="26"/>
    </row>
    <row r="4737" spans="1:5" x14ac:dyDescent="0.2">
      <c r="A4737" s="22"/>
      <c r="E4737" s="26"/>
    </row>
    <row r="4738" spans="1:5" x14ac:dyDescent="0.2">
      <c r="A4738" s="22"/>
      <c r="E4738" s="26"/>
    </row>
    <row r="4739" spans="1:5" x14ac:dyDescent="0.2">
      <c r="A4739" s="22"/>
      <c r="E4739" s="26"/>
    </row>
    <row r="4740" spans="1:5" x14ac:dyDescent="0.2">
      <c r="A4740" s="22"/>
      <c r="E4740" s="26"/>
    </row>
    <row r="4741" spans="1:5" x14ac:dyDescent="0.2">
      <c r="A4741" s="22"/>
      <c r="E4741" s="26"/>
    </row>
    <row r="4742" spans="1:5" x14ac:dyDescent="0.2">
      <c r="A4742" s="22"/>
      <c r="E4742" s="26"/>
    </row>
    <row r="4743" spans="1:5" x14ac:dyDescent="0.2">
      <c r="A4743" s="22"/>
      <c r="E4743" s="26"/>
    </row>
    <row r="4744" spans="1:5" x14ac:dyDescent="0.2">
      <c r="A4744" s="22"/>
      <c r="E4744" s="26"/>
    </row>
    <row r="4745" spans="1:5" x14ac:dyDescent="0.2">
      <c r="A4745" s="22"/>
      <c r="E4745" s="26"/>
    </row>
    <row r="4746" spans="1:5" x14ac:dyDescent="0.2">
      <c r="A4746" s="22"/>
      <c r="E4746" s="26"/>
    </row>
    <row r="4747" spans="1:5" x14ac:dyDescent="0.2">
      <c r="A4747" s="22"/>
      <c r="E4747" s="26"/>
    </row>
    <row r="4748" spans="1:5" x14ac:dyDescent="0.2">
      <c r="A4748" s="22"/>
      <c r="E4748" s="26"/>
    </row>
    <row r="4749" spans="1:5" x14ac:dyDescent="0.2">
      <c r="A4749" s="22"/>
      <c r="E4749" s="26"/>
    </row>
    <row r="4750" spans="1:5" x14ac:dyDescent="0.2">
      <c r="A4750" s="22"/>
      <c r="E4750" s="26"/>
    </row>
    <row r="4751" spans="1:5" x14ac:dyDescent="0.2">
      <c r="A4751" s="22"/>
      <c r="E4751" s="26"/>
    </row>
    <row r="4752" spans="1:5" x14ac:dyDescent="0.2">
      <c r="A4752" s="22"/>
      <c r="E4752" s="26"/>
    </row>
    <row r="4753" spans="1:5" x14ac:dyDescent="0.2">
      <c r="A4753" s="22"/>
      <c r="E4753" s="26"/>
    </row>
    <row r="4754" spans="1:5" x14ac:dyDescent="0.2">
      <c r="A4754" s="22"/>
      <c r="E4754" s="26"/>
    </row>
    <row r="4755" spans="1:5" x14ac:dyDescent="0.2">
      <c r="A4755" s="22"/>
      <c r="E4755" s="26"/>
    </row>
    <row r="4756" spans="1:5" x14ac:dyDescent="0.2">
      <c r="A4756" s="22"/>
      <c r="E4756" s="26"/>
    </row>
    <row r="4757" spans="1:5" x14ac:dyDescent="0.2">
      <c r="A4757" s="22"/>
      <c r="E4757" s="26"/>
    </row>
    <row r="4758" spans="1:5" x14ac:dyDescent="0.2">
      <c r="A4758" s="22"/>
      <c r="E4758" s="26"/>
    </row>
    <row r="4759" spans="1:5" x14ac:dyDescent="0.2">
      <c r="A4759" s="22"/>
      <c r="E4759" s="26"/>
    </row>
    <row r="4760" spans="1:5" x14ac:dyDescent="0.2">
      <c r="A4760" s="22"/>
      <c r="E4760" s="26"/>
    </row>
    <row r="4761" spans="1:5" x14ac:dyDescent="0.2">
      <c r="A4761" s="22"/>
      <c r="E4761" s="26"/>
    </row>
    <row r="4762" spans="1:5" x14ac:dyDescent="0.2">
      <c r="A4762" s="22"/>
      <c r="E4762" s="26"/>
    </row>
    <row r="4763" spans="1:5" x14ac:dyDescent="0.2">
      <c r="A4763" s="22"/>
      <c r="E4763" s="26"/>
    </row>
    <row r="4764" spans="1:5" x14ac:dyDescent="0.2">
      <c r="A4764" s="22"/>
      <c r="E4764" s="26"/>
    </row>
    <row r="4765" spans="1:5" x14ac:dyDescent="0.2">
      <c r="A4765" s="22"/>
      <c r="E4765" s="26"/>
    </row>
    <row r="4766" spans="1:5" x14ac:dyDescent="0.2">
      <c r="A4766" s="22"/>
      <c r="E4766" s="26"/>
    </row>
    <row r="4767" spans="1:5" x14ac:dyDescent="0.2">
      <c r="A4767" s="22"/>
      <c r="E4767" s="26"/>
    </row>
    <row r="4768" spans="1:5" x14ac:dyDescent="0.2">
      <c r="A4768" s="22"/>
      <c r="E4768" s="26"/>
    </row>
    <row r="4769" spans="1:5" x14ac:dyDescent="0.2">
      <c r="A4769" s="22"/>
      <c r="E4769" s="26"/>
    </row>
    <row r="4770" spans="1:5" x14ac:dyDescent="0.2">
      <c r="A4770" s="22"/>
      <c r="E4770" s="26"/>
    </row>
    <row r="4771" spans="1:5" x14ac:dyDescent="0.2">
      <c r="A4771" s="22"/>
      <c r="E4771" s="26"/>
    </row>
    <row r="4772" spans="1:5" x14ac:dyDescent="0.2">
      <c r="A4772" s="22"/>
      <c r="E4772" s="26"/>
    </row>
    <row r="4773" spans="1:5" x14ac:dyDescent="0.2">
      <c r="A4773" s="22"/>
      <c r="E4773" s="26"/>
    </row>
    <row r="4774" spans="1:5" x14ac:dyDescent="0.2">
      <c r="A4774" s="22"/>
      <c r="E4774" s="26"/>
    </row>
    <row r="4775" spans="1:5" x14ac:dyDescent="0.2">
      <c r="A4775" s="22"/>
      <c r="E4775" s="26"/>
    </row>
    <row r="4776" spans="1:5" x14ac:dyDescent="0.2">
      <c r="A4776" s="22"/>
      <c r="E4776" s="26"/>
    </row>
    <row r="4777" spans="1:5" x14ac:dyDescent="0.2">
      <c r="A4777" s="22"/>
      <c r="E4777" s="26"/>
    </row>
    <row r="4778" spans="1:5" x14ac:dyDescent="0.2">
      <c r="A4778" s="22"/>
      <c r="E4778" s="26"/>
    </row>
    <row r="4779" spans="1:5" x14ac:dyDescent="0.2">
      <c r="A4779" s="22"/>
      <c r="E4779" s="26"/>
    </row>
    <row r="4780" spans="1:5" x14ac:dyDescent="0.2">
      <c r="A4780" s="22"/>
      <c r="E4780" s="26"/>
    </row>
    <row r="4781" spans="1:5" x14ac:dyDescent="0.2">
      <c r="A4781" s="22"/>
      <c r="E4781" s="26"/>
    </row>
    <row r="4782" spans="1:5" x14ac:dyDescent="0.2">
      <c r="A4782" s="22"/>
      <c r="E4782" s="26"/>
    </row>
    <row r="4783" spans="1:5" x14ac:dyDescent="0.2">
      <c r="A4783" s="22"/>
      <c r="E4783" s="26"/>
    </row>
    <row r="4784" spans="1:5" x14ac:dyDescent="0.2">
      <c r="A4784" s="22"/>
      <c r="E4784" s="26"/>
    </row>
    <row r="4785" spans="1:5" x14ac:dyDescent="0.2">
      <c r="A4785" s="22"/>
      <c r="E4785" s="26"/>
    </row>
    <row r="4786" spans="1:5" x14ac:dyDescent="0.2">
      <c r="A4786" s="22"/>
      <c r="E4786" s="26"/>
    </row>
    <row r="4787" spans="1:5" x14ac:dyDescent="0.2">
      <c r="A4787" s="22"/>
      <c r="E4787" s="26"/>
    </row>
    <row r="4788" spans="1:5" x14ac:dyDescent="0.2">
      <c r="A4788" s="22"/>
      <c r="E4788" s="26"/>
    </row>
    <row r="4789" spans="1:5" x14ac:dyDescent="0.2">
      <c r="A4789" s="22"/>
      <c r="E4789" s="26"/>
    </row>
    <row r="4790" spans="1:5" x14ac:dyDescent="0.2">
      <c r="A4790" s="22"/>
      <c r="E4790" s="26"/>
    </row>
    <row r="4791" spans="1:5" x14ac:dyDescent="0.2">
      <c r="A4791" s="22"/>
      <c r="E4791" s="26"/>
    </row>
    <row r="4792" spans="1:5" x14ac:dyDescent="0.2">
      <c r="A4792" s="22"/>
      <c r="E4792" s="26"/>
    </row>
    <row r="4793" spans="1:5" x14ac:dyDescent="0.2">
      <c r="A4793" s="22"/>
      <c r="E4793" s="26"/>
    </row>
    <row r="4794" spans="1:5" x14ac:dyDescent="0.2">
      <c r="A4794" s="22"/>
      <c r="E4794" s="26"/>
    </row>
    <row r="4795" spans="1:5" x14ac:dyDescent="0.2">
      <c r="A4795" s="22"/>
      <c r="E4795" s="26"/>
    </row>
    <row r="4796" spans="1:5" x14ac:dyDescent="0.2">
      <c r="A4796" s="22"/>
      <c r="E4796" s="26"/>
    </row>
    <row r="4797" spans="1:5" x14ac:dyDescent="0.2">
      <c r="A4797" s="22"/>
      <c r="E4797" s="26"/>
    </row>
    <row r="4798" spans="1:5" x14ac:dyDescent="0.2">
      <c r="A4798" s="22"/>
      <c r="E4798" s="26"/>
    </row>
    <row r="4799" spans="1:5" x14ac:dyDescent="0.2">
      <c r="A4799" s="22"/>
      <c r="E4799" s="26"/>
    </row>
    <row r="4800" spans="1:5" x14ac:dyDescent="0.2">
      <c r="A4800" s="22"/>
      <c r="E4800" s="26"/>
    </row>
    <row r="4801" spans="1:5" x14ac:dyDescent="0.2">
      <c r="A4801" s="22"/>
      <c r="E4801" s="26"/>
    </row>
    <row r="4802" spans="1:5" x14ac:dyDescent="0.2">
      <c r="A4802" s="22"/>
      <c r="E4802" s="26"/>
    </row>
    <row r="4803" spans="1:5" x14ac:dyDescent="0.2">
      <c r="A4803" s="22"/>
      <c r="E4803" s="26"/>
    </row>
    <row r="4804" spans="1:5" x14ac:dyDescent="0.2">
      <c r="A4804" s="22"/>
      <c r="E4804" s="26"/>
    </row>
    <row r="4805" spans="1:5" x14ac:dyDescent="0.2">
      <c r="A4805" s="22"/>
      <c r="E4805" s="26"/>
    </row>
    <row r="4806" spans="1:5" x14ac:dyDescent="0.2">
      <c r="A4806" s="22"/>
      <c r="E4806" s="26"/>
    </row>
    <row r="4807" spans="1:5" x14ac:dyDescent="0.2">
      <c r="A4807" s="22"/>
      <c r="E4807" s="26"/>
    </row>
    <row r="4808" spans="1:5" x14ac:dyDescent="0.2">
      <c r="A4808" s="22"/>
      <c r="E4808" s="26"/>
    </row>
    <row r="4809" spans="1:5" x14ac:dyDescent="0.2">
      <c r="A4809" s="22"/>
      <c r="E4809" s="26"/>
    </row>
    <row r="4810" spans="1:5" x14ac:dyDescent="0.2">
      <c r="A4810" s="22"/>
      <c r="E4810" s="26"/>
    </row>
    <row r="4811" spans="1:5" x14ac:dyDescent="0.2">
      <c r="A4811" s="22"/>
      <c r="E4811" s="26"/>
    </row>
    <row r="4812" spans="1:5" x14ac:dyDescent="0.2">
      <c r="A4812" s="22"/>
      <c r="E4812" s="26"/>
    </row>
    <row r="4813" spans="1:5" x14ac:dyDescent="0.2">
      <c r="A4813" s="22"/>
      <c r="E4813" s="26"/>
    </row>
    <row r="4814" spans="1:5" x14ac:dyDescent="0.2">
      <c r="A4814" s="22"/>
      <c r="E4814" s="26"/>
    </row>
    <row r="4815" spans="1:5" x14ac:dyDescent="0.2">
      <c r="A4815" s="22"/>
      <c r="E4815" s="26"/>
    </row>
    <row r="4816" spans="1:5" x14ac:dyDescent="0.2">
      <c r="A4816" s="22"/>
      <c r="E4816" s="26"/>
    </row>
    <row r="4817" spans="1:5" x14ac:dyDescent="0.2">
      <c r="A4817" s="22"/>
      <c r="E4817" s="26"/>
    </row>
    <row r="4818" spans="1:5" x14ac:dyDescent="0.2">
      <c r="A4818" s="22"/>
      <c r="E4818" s="26"/>
    </row>
    <row r="4819" spans="1:5" x14ac:dyDescent="0.2">
      <c r="A4819" s="22"/>
      <c r="E4819" s="26"/>
    </row>
    <row r="4820" spans="1:5" x14ac:dyDescent="0.2">
      <c r="A4820" s="22"/>
      <c r="E4820" s="26"/>
    </row>
    <row r="4821" spans="1:5" x14ac:dyDescent="0.2">
      <c r="A4821" s="22"/>
      <c r="E4821" s="26"/>
    </row>
    <row r="4822" spans="1:5" x14ac:dyDescent="0.2">
      <c r="A4822" s="22"/>
      <c r="E4822" s="26"/>
    </row>
    <row r="4823" spans="1:5" x14ac:dyDescent="0.2">
      <c r="A4823" s="22"/>
      <c r="E4823" s="26"/>
    </row>
    <row r="4824" spans="1:5" x14ac:dyDescent="0.2">
      <c r="A4824" s="22"/>
      <c r="E4824" s="26"/>
    </row>
    <row r="4825" spans="1:5" x14ac:dyDescent="0.2">
      <c r="A4825" s="22"/>
      <c r="E4825" s="26"/>
    </row>
    <row r="4826" spans="1:5" x14ac:dyDescent="0.2">
      <c r="A4826" s="22"/>
      <c r="E4826" s="26"/>
    </row>
    <row r="4827" spans="1:5" x14ac:dyDescent="0.2">
      <c r="A4827" s="22"/>
      <c r="E4827" s="26"/>
    </row>
    <row r="4828" spans="1:5" x14ac:dyDescent="0.2">
      <c r="A4828" s="22"/>
      <c r="E4828" s="26"/>
    </row>
    <row r="4829" spans="1:5" x14ac:dyDescent="0.2">
      <c r="A4829" s="22"/>
      <c r="E4829" s="26"/>
    </row>
    <row r="4830" spans="1:5" x14ac:dyDescent="0.2">
      <c r="A4830" s="22"/>
      <c r="E4830" s="26"/>
    </row>
    <row r="4831" spans="1:5" x14ac:dyDescent="0.2">
      <c r="A4831" s="22"/>
      <c r="E4831" s="26"/>
    </row>
    <row r="4832" spans="1:5" x14ac:dyDescent="0.2">
      <c r="A4832" s="22"/>
      <c r="E4832" s="26"/>
    </row>
    <row r="4833" spans="1:5" x14ac:dyDescent="0.2">
      <c r="A4833" s="22"/>
      <c r="E4833" s="26"/>
    </row>
    <row r="4834" spans="1:5" x14ac:dyDescent="0.2">
      <c r="A4834" s="22"/>
      <c r="E4834" s="26"/>
    </row>
    <row r="4835" spans="1:5" x14ac:dyDescent="0.2">
      <c r="A4835" s="22"/>
      <c r="E4835" s="26"/>
    </row>
    <row r="4836" spans="1:5" x14ac:dyDescent="0.2">
      <c r="A4836" s="22"/>
      <c r="E4836" s="26"/>
    </row>
    <row r="4837" spans="1:5" x14ac:dyDescent="0.2">
      <c r="A4837" s="22"/>
      <c r="E4837" s="26"/>
    </row>
    <row r="4838" spans="1:5" x14ac:dyDescent="0.2">
      <c r="A4838" s="22"/>
      <c r="E4838" s="26"/>
    </row>
    <row r="4839" spans="1:5" x14ac:dyDescent="0.2">
      <c r="A4839" s="22"/>
      <c r="E4839" s="26"/>
    </row>
    <row r="4840" spans="1:5" x14ac:dyDescent="0.2">
      <c r="A4840" s="22"/>
      <c r="E4840" s="26"/>
    </row>
    <row r="4841" spans="1:5" x14ac:dyDescent="0.2">
      <c r="A4841" s="22"/>
      <c r="E4841" s="26"/>
    </row>
    <row r="4842" spans="1:5" x14ac:dyDescent="0.2">
      <c r="A4842" s="22"/>
      <c r="E4842" s="26"/>
    </row>
    <row r="4843" spans="1:5" x14ac:dyDescent="0.2">
      <c r="A4843" s="22"/>
      <c r="E4843" s="26"/>
    </row>
    <row r="4844" spans="1:5" x14ac:dyDescent="0.2">
      <c r="A4844" s="22"/>
      <c r="E4844" s="26"/>
    </row>
    <row r="4845" spans="1:5" x14ac:dyDescent="0.2">
      <c r="A4845" s="22"/>
      <c r="E4845" s="26"/>
    </row>
    <row r="4846" spans="1:5" x14ac:dyDescent="0.2">
      <c r="A4846" s="22"/>
      <c r="E4846" s="26"/>
    </row>
    <row r="4847" spans="1:5" x14ac:dyDescent="0.2">
      <c r="A4847" s="22"/>
      <c r="E4847" s="26"/>
    </row>
    <row r="4848" spans="1:5" x14ac:dyDescent="0.2">
      <c r="A4848" s="22"/>
      <c r="E4848" s="26"/>
    </row>
    <row r="4849" spans="1:5" x14ac:dyDescent="0.2">
      <c r="A4849" s="22"/>
      <c r="E4849" s="26"/>
    </row>
    <row r="4850" spans="1:5" x14ac:dyDescent="0.2">
      <c r="A4850" s="22"/>
      <c r="E4850" s="26"/>
    </row>
    <row r="4851" spans="1:5" x14ac:dyDescent="0.2">
      <c r="A4851" s="22"/>
      <c r="E4851" s="26"/>
    </row>
    <row r="4852" spans="1:5" x14ac:dyDescent="0.2">
      <c r="A4852" s="22"/>
      <c r="E4852" s="26"/>
    </row>
    <row r="4853" spans="1:5" x14ac:dyDescent="0.2">
      <c r="A4853" s="22"/>
      <c r="E4853" s="26"/>
    </row>
    <row r="4854" spans="1:5" x14ac:dyDescent="0.2">
      <c r="A4854" s="22"/>
      <c r="E4854" s="26"/>
    </row>
    <row r="4855" spans="1:5" x14ac:dyDescent="0.2">
      <c r="A4855" s="22"/>
      <c r="E4855" s="26"/>
    </row>
    <row r="4856" spans="1:5" x14ac:dyDescent="0.2">
      <c r="A4856" s="22"/>
      <c r="E4856" s="26"/>
    </row>
    <row r="4857" spans="1:5" x14ac:dyDescent="0.2">
      <c r="A4857" s="22"/>
      <c r="E4857" s="26"/>
    </row>
    <row r="4858" spans="1:5" x14ac:dyDescent="0.2">
      <c r="A4858" s="22"/>
      <c r="E4858" s="26"/>
    </row>
    <row r="4859" spans="1:5" x14ac:dyDescent="0.2">
      <c r="A4859" s="22"/>
      <c r="E4859" s="26"/>
    </row>
    <row r="4860" spans="1:5" x14ac:dyDescent="0.2">
      <c r="A4860" s="22"/>
      <c r="E4860" s="26"/>
    </row>
    <row r="4861" spans="1:5" x14ac:dyDescent="0.2">
      <c r="A4861" s="22"/>
      <c r="E4861" s="26"/>
    </row>
    <row r="4862" spans="1:5" x14ac:dyDescent="0.2">
      <c r="A4862" s="22"/>
      <c r="E4862" s="26"/>
    </row>
    <row r="4863" spans="1:5" x14ac:dyDescent="0.2">
      <c r="A4863" s="22"/>
      <c r="E4863" s="26"/>
    </row>
    <row r="4864" spans="1:5" x14ac:dyDescent="0.2">
      <c r="A4864" s="22"/>
      <c r="E4864" s="26"/>
    </row>
    <row r="4865" spans="1:5" x14ac:dyDescent="0.2">
      <c r="A4865" s="22"/>
      <c r="E4865" s="26"/>
    </row>
    <row r="4866" spans="1:5" x14ac:dyDescent="0.2">
      <c r="A4866" s="22"/>
      <c r="E4866" s="26"/>
    </row>
    <row r="4867" spans="1:5" x14ac:dyDescent="0.2">
      <c r="A4867" s="22"/>
      <c r="E4867" s="26"/>
    </row>
    <row r="4868" spans="1:5" x14ac:dyDescent="0.2">
      <c r="A4868" s="22"/>
      <c r="E4868" s="26"/>
    </row>
    <row r="4869" spans="1:5" x14ac:dyDescent="0.2">
      <c r="A4869" s="22"/>
      <c r="E4869" s="26"/>
    </row>
    <row r="4870" spans="1:5" x14ac:dyDescent="0.2">
      <c r="A4870" s="22"/>
      <c r="E4870" s="26"/>
    </row>
    <row r="4871" spans="1:5" x14ac:dyDescent="0.2">
      <c r="A4871" s="22"/>
      <c r="E4871" s="26"/>
    </row>
    <row r="4872" spans="1:5" x14ac:dyDescent="0.2">
      <c r="A4872" s="22"/>
      <c r="E4872" s="26"/>
    </row>
    <row r="4873" spans="1:5" x14ac:dyDescent="0.2">
      <c r="A4873" s="22"/>
      <c r="E4873" s="26"/>
    </row>
    <row r="4874" spans="1:5" x14ac:dyDescent="0.2">
      <c r="A4874" s="22"/>
      <c r="E4874" s="26"/>
    </row>
    <row r="4875" spans="1:5" x14ac:dyDescent="0.2">
      <c r="A4875" s="22"/>
      <c r="E4875" s="26"/>
    </row>
    <row r="4876" spans="1:5" x14ac:dyDescent="0.2">
      <c r="A4876" s="22"/>
      <c r="E4876" s="26"/>
    </row>
    <row r="4877" spans="1:5" x14ac:dyDescent="0.2">
      <c r="A4877" s="22"/>
      <c r="E4877" s="26"/>
    </row>
    <row r="4878" spans="1:5" x14ac:dyDescent="0.2">
      <c r="A4878" s="22"/>
      <c r="E4878" s="26"/>
    </row>
    <row r="4879" spans="1:5" x14ac:dyDescent="0.2">
      <c r="A4879" s="22"/>
      <c r="E4879" s="26"/>
    </row>
    <row r="4880" spans="1:5" x14ac:dyDescent="0.2">
      <c r="A4880" s="22"/>
      <c r="E4880" s="26"/>
    </row>
    <row r="4881" spans="1:5" x14ac:dyDescent="0.2">
      <c r="A4881" s="22"/>
      <c r="E4881" s="26"/>
    </row>
    <row r="4882" spans="1:5" x14ac:dyDescent="0.2">
      <c r="A4882" s="22"/>
      <c r="E4882" s="26"/>
    </row>
    <row r="4883" spans="1:5" x14ac:dyDescent="0.2">
      <c r="A4883" s="22"/>
      <c r="E4883" s="26"/>
    </row>
    <row r="4884" spans="1:5" x14ac:dyDescent="0.2">
      <c r="A4884" s="22"/>
      <c r="E4884" s="26"/>
    </row>
    <row r="4885" spans="1:5" x14ac:dyDescent="0.2">
      <c r="A4885" s="22"/>
      <c r="E4885" s="26"/>
    </row>
    <row r="4886" spans="1:5" x14ac:dyDescent="0.2">
      <c r="A4886" s="22"/>
      <c r="E4886" s="26"/>
    </row>
    <row r="4887" spans="1:5" x14ac:dyDescent="0.2">
      <c r="A4887" s="22"/>
      <c r="E4887" s="26"/>
    </row>
    <row r="4888" spans="1:5" x14ac:dyDescent="0.2">
      <c r="A4888" s="22"/>
      <c r="E4888" s="26"/>
    </row>
    <row r="4889" spans="1:5" x14ac:dyDescent="0.2">
      <c r="A4889" s="22"/>
      <c r="E4889" s="26"/>
    </row>
    <row r="4890" spans="1:5" x14ac:dyDescent="0.2">
      <c r="A4890" s="22"/>
      <c r="E4890" s="26"/>
    </row>
    <row r="4891" spans="1:5" x14ac:dyDescent="0.2">
      <c r="A4891" s="22"/>
      <c r="E4891" s="26"/>
    </row>
    <row r="4892" spans="1:5" x14ac:dyDescent="0.2">
      <c r="A4892" s="22"/>
      <c r="E4892" s="26"/>
    </row>
    <row r="4893" spans="1:5" x14ac:dyDescent="0.2">
      <c r="A4893" s="22"/>
      <c r="E4893" s="26"/>
    </row>
    <row r="4894" spans="1:5" x14ac:dyDescent="0.2">
      <c r="A4894" s="22"/>
      <c r="E4894" s="26"/>
    </row>
    <row r="4895" spans="1:5" x14ac:dyDescent="0.2">
      <c r="A4895" s="22"/>
      <c r="E4895" s="26"/>
    </row>
    <row r="4896" spans="1:5" x14ac:dyDescent="0.2">
      <c r="A4896" s="22"/>
      <c r="E4896" s="26"/>
    </row>
    <row r="4897" spans="1:5" x14ac:dyDescent="0.2">
      <c r="A4897" s="22"/>
      <c r="E4897" s="26"/>
    </row>
    <row r="4898" spans="1:5" x14ac:dyDescent="0.2">
      <c r="A4898" s="22"/>
      <c r="E4898" s="26"/>
    </row>
    <row r="4899" spans="1:5" x14ac:dyDescent="0.2">
      <c r="A4899" s="22"/>
      <c r="E4899" s="26"/>
    </row>
    <row r="4900" spans="1:5" x14ac:dyDescent="0.2">
      <c r="A4900" s="22"/>
      <c r="E4900" s="26"/>
    </row>
    <row r="4901" spans="1:5" x14ac:dyDescent="0.2">
      <c r="A4901" s="22"/>
      <c r="E4901" s="26"/>
    </row>
    <row r="4902" spans="1:5" x14ac:dyDescent="0.2">
      <c r="A4902" s="22"/>
      <c r="E4902" s="26"/>
    </row>
    <row r="4903" spans="1:5" x14ac:dyDescent="0.2">
      <c r="A4903" s="22"/>
      <c r="E4903" s="26"/>
    </row>
    <row r="4904" spans="1:5" x14ac:dyDescent="0.2">
      <c r="A4904" s="22"/>
      <c r="E4904" s="26"/>
    </row>
    <row r="4905" spans="1:5" x14ac:dyDescent="0.2">
      <c r="A4905" s="22"/>
      <c r="E4905" s="26"/>
    </row>
    <row r="4906" spans="1:5" x14ac:dyDescent="0.2">
      <c r="A4906" s="22"/>
      <c r="E4906" s="26"/>
    </row>
    <row r="4907" spans="1:5" x14ac:dyDescent="0.2">
      <c r="A4907" s="22"/>
      <c r="E4907" s="26"/>
    </row>
    <row r="4908" spans="1:5" x14ac:dyDescent="0.2">
      <c r="A4908" s="22"/>
      <c r="E4908" s="26"/>
    </row>
    <row r="4909" spans="1:5" x14ac:dyDescent="0.2">
      <c r="A4909" s="22"/>
      <c r="E4909" s="26"/>
    </row>
    <row r="4910" spans="1:5" x14ac:dyDescent="0.2">
      <c r="A4910" s="22"/>
      <c r="E4910" s="26"/>
    </row>
    <row r="4911" spans="1:5" x14ac:dyDescent="0.2">
      <c r="A4911" s="22"/>
      <c r="E4911" s="26"/>
    </row>
    <row r="4912" spans="1:5" x14ac:dyDescent="0.2">
      <c r="A4912" s="22"/>
      <c r="E4912" s="26"/>
    </row>
    <row r="4913" spans="1:5" x14ac:dyDescent="0.2">
      <c r="A4913" s="22"/>
      <c r="E4913" s="26"/>
    </row>
    <row r="4914" spans="1:5" x14ac:dyDescent="0.2">
      <c r="A4914" s="22"/>
      <c r="E4914" s="26"/>
    </row>
    <row r="4915" spans="1:5" x14ac:dyDescent="0.2">
      <c r="A4915" s="22"/>
      <c r="E4915" s="26"/>
    </row>
    <row r="4916" spans="1:5" x14ac:dyDescent="0.2">
      <c r="A4916" s="22"/>
      <c r="E4916" s="26"/>
    </row>
    <row r="4917" spans="1:5" x14ac:dyDescent="0.2">
      <c r="A4917" s="22"/>
      <c r="E4917" s="26"/>
    </row>
    <row r="4918" spans="1:5" x14ac:dyDescent="0.2">
      <c r="A4918" s="22"/>
      <c r="E4918" s="26"/>
    </row>
    <row r="4919" spans="1:5" x14ac:dyDescent="0.2">
      <c r="A4919" s="22"/>
      <c r="E4919" s="26"/>
    </row>
    <row r="4920" spans="1:5" x14ac:dyDescent="0.2">
      <c r="A4920" s="22"/>
      <c r="E4920" s="26"/>
    </row>
    <row r="4921" spans="1:5" x14ac:dyDescent="0.2">
      <c r="A4921" s="22"/>
      <c r="E4921" s="26"/>
    </row>
    <row r="4922" spans="1:5" x14ac:dyDescent="0.2">
      <c r="A4922" s="22"/>
      <c r="E4922" s="26"/>
    </row>
    <row r="4923" spans="1:5" x14ac:dyDescent="0.2">
      <c r="A4923" s="22"/>
      <c r="E4923" s="26"/>
    </row>
    <row r="4924" spans="1:5" x14ac:dyDescent="0.2">
      <c r="A4924" s="22"/>
      <c r="E4924" s="26"/>
    </row>
    <row r="4925" spans="1:5" x14ac:dyDescent="0.2">
      <c r="A4925" s="22"/>
      <c r="E4925" s="26"/>
    </row>
    <row r="4926" spans="1:5" x14ac:dyDescent="0.2">
      <c r="A4926" s="22"/>
      <c r="E4926" s="26"/>
    </row>
    <row r="4927" spans="1:5" x14ac:dyDescent="0.2">
      <c r="A4927" s="22"/>
      <c r="E4927" s="26"/>
    </row>
    <row r="4928" spans="1:5" x14ac:dyDescent="0.2">
      <c r="A4928" s="22"/>
      <c r="E4928" s="26"/>
    </row>
    <row r="4929" spans="1:5" x14ac:dyDescent="0.2">
      <c r="A4929" s="22"/>
      <c r="E4929" s="26"/>
    </row>
    <row r="4930" spans="1:5" x14ac:dyDescent="0.2">
      <c r="A4930" s="22"/>
      <c r="E4930" s="26"/>
    </row>
    <row r="4931" spans="1:5" x14ac:dyDescent="0.2">
      <c r="A4931" s="22"/>
      <c r="E4931" s="26"/>
    </row>
    <row r="4932" spans="1:5" x14ac:dyDescent="0.2">
      <c r="A4932" s="22"/>
      <c r="E4932" s="26"/>
    </row>
    <row r="4933" spans="1:5" x14ac:dyDescent="0.2">
      <c r="A4933" s="22"/>
      <c r="E4933" s="26"/>
    </row>
    <row r="4934" spans="1:5" x14ac:dyDescent="0.2">
      <c r="A4934" s="22"/>
      <c r="E4934" s="26"/>
    </row>
    <row r="4935" spans="1:5" x14ac:dyDescent="0.2">
      <c r="A4935" s="22"/>
      <c r="E4935" s="26"/>
    </row>
    <row r="4936" spans="1:5" x14ac:dyDescent="0.2">
      <c r="A4936" s="22"/>
      <c r="E4936" s="26"/>
    </row>
    <row r="4937" spans="1:5" x14ac:dyDescent="0.2">
      <c r="A4937" s="22"/>
      <c r="E4937" s="26"/>
    </row>
    <row r="4938" spans="1:5" x14ac:dyDescent="0.2">
      <c r="A4938" s="22"/>
      <c r="E4938" s="26"/>
    </row>
    <row r="4939" spans="1:5" x14ac:dyDescent="0.2">
      <c r="A4939" s="22"/>
      <c r="E4939" s="26"/>
    </row>
    <row r="4940" spans="1:5" x14ac:dyDescent="0.2">
      <c r="A4940" s="22"/>
      <c r="E4940" s="26"/>
    </row>
    <row r="4941" spans="1:5" x14ac:dyDescent="0.2">
      <c r="A4941" s="22"/>
      <c r="E4941" s="26"/>
    </row>
    <row r="4942" spans="1:5" x14ac:dyDescent="0.2">
      <c r="A4942" s="22"/>
      <c r="E4942" s="26"/>
    </row>
    <row r="4943" spans="1:5" x14ac:dyDescent="0.2">
      <c r="A4943" s="22"/>
      <c r="E4943" s="26"/>
    </row>
    <row r="4944" spans="1:5" x14ac:dyDescent="0.2">
      <c r="A4944" s="22"/>
      <c r="E4944" s="26"/>
    </row>
    <row r="4945" spans="1:5" x14ac:dyDescent="0.2">
      <c r="A4945" s="22"/>
      <c r="E4945" s="26"/>
    </row>
    <row r="4946" spans="1:5" x14ac:dyDescent="0.2">
      <c r="A4946" s="22"/>
      <c r="E4946" s="26"/>
    </row>
    <row r="4947" spans="1:5" x14ac:dyDescent="0.2">
      <c r="A4947" s="22"/>
      <c r="E4947" s="26"/>
    </row>
    <row r="4948" spans="1:5" x14ac:dyDescent="0.2">
      <c r="A4948" s="22"/>
      <c r="E4948" s="26"/>
    </row>
    <row r="4949" spans="1:5" x14ac:dyDescent="0.2">
      <c r="A4949" s="22"/>
      <c r="E4949" s="26"/>
    </row>
    <row r="4950" spans="1:5" x14ac:dyDescent="0.2">
      <c r="A4950" s="22"/>
      <c r="E4950" s="26"/>
    </row>
    <row r="4951" spans="1:5" x14ac:dyDescent="0.2">
      <c r="A4951" s="22"/>
      <c r="E4951" s="26"/>
    </row>
    <row r="4952" spans="1:5" x14ac:dyDescent="0.2">
      <c r="A4952" s="22"/>
      <c r="E4952" s="26"/>
    </row>
    <row r="4953" spans="1:5" x14ac:dyDescent="0.2">
      <c r="A4953" s="22"/>
      <c r="E4953" s="26"/>
    </row>
    <row r="4954" spans="1:5" x14ac:dyDescent="0.2">
      <c r="A4954" s="22"/>
      <c r="E4954" s="26"/>
    </row>
    <row r="4955" spans="1:5" x14ac:dyDescent="0.2">
      <c r="A4955" s="22"/>
      <c r="E4955" s="26"/>
    </row>
    <row r="4956" spans="1:5" x14ac:dyDescent="0.2">
      <c r="A4956" s="22"/>
      <c r="E4956" s="26"/>
    </row>
    <row r="4957" spans="1:5" x14ac:dyDescent="0.2">
      <c r="A4957" s="22"/>
      <c r="E4957" s="26"/>
    </row>
    <row r="4958" spans="1:5" x14ac:dyDescent="0.2">
      <c r="A4958" s="22"/>
      <c r="E4958" s="26"/>
    </row>
    <row r="4959" spans="1:5" x14ac:dyDescent="0.2">
      <c r="A4959" s="22"/>
      <c r="E4959" s="26"/>
    </row>
    <row r="4960" spans="1:5" x14ac:dyDescent="0.2">
      <c r="A4960" s="22"/>
      <c r="E4960" s="26"/>
    </row>
    <row r="4961" spans="1:5" x14ac:dyDescent="0.2">
      <c r="A4961" s="22"/>
      <c r="E4961" s="26"/>
    </row>
    <row r="4962" spans="1:5" x14ac:dyDescent="0.2">
      <c r="A4962" s="22"/>
      <c r="E4962" s="26"/>
    </row>
    <row r="4963" spans="1:5" x14ac:dyDescent="0.2">
      <c r="A4963" s="22"/>
      <c r="E4963" s="26"/>
    </row>
    <row r="4964" spans="1:5" x14ac:dyDescent="0.2">
      <c r="A4964" s="22"/>
      <c r="E4964" s="26"/>
    </row>
    <row r="4965" spans="1:5" x14ac:dyDescent="0.2">
      <c r="A4965" s="22"/>
      <c r="E4965" s="26"/>
    </row>
    <row r="4966" spans="1:5" x14ac:dyDescent="0.2">
      <c r="A4966" s="22"/>
      <c r="E4966" s="26"/>
    </row>
    <row r="4967" spans="1:5" x14ac:dyDescent="0.2">
      <c r="A4967" s="22"/>
      <c r="E4967" s="26"/>
    </row>
    <row r="4968" spans="1:5" x14ac:dyDescent="0.2">
      <c r="A4968" s="22"/>
      <c r="E4968" s="26"/>
    </row>
    <row r="4969" spans="1:5" x14ac:dyDescent="0.2">
      <c r="A4969" s="22"/>
      <c r="E4969" s="26"/>
    </row>
    <row r="4970" spans="1:5" x14ac:dyDescent="0.2">
      <c r="A4970" s="22"/>
      <c r="E4970" s="26"/>
    </row>
    <row r="4971" spans="1:5" x14ac:dyDescent="0.2">
      <c r="A4971" s="22"/>
      <c r="E4971" s="26"/>
    </row>
    <row r="4972" spans="1:5" x14ac:dyDescent="0.2">
      <c r="A4972" s="22"/>
      <c r="E4972" s="26"/>
    </row>
    <row r="4973" spans="1:5" x14ac:dyDescent="0.2">
      <c r="A4973" s="22"/>
      <c r="E4973" s="26"/>
    </row>
    <row r="4974" spans="1:5" x14ac:dyDescent="0.2">
      <c r="A4974" s="22"/>
      <c r="E4974" s="26"/>
    </row>
    <row r="4975" spans="1:5" x14ac:dyDescent="0.2">
      <c r="A4975" s="22"/>
      <c r="E4975" s="26"/>
    </row>
    <row r="4976" spans="1:5" x14ac:dyDescent="0.2">
      <c r="A4976" s="22"/>
      <c r="E4976" s="26"/>
    </row>
    <row r="4977" spans="1:5" x14ac:dyDescent="0.2">
      <c r="A4977" s="22"/>
      <c r="E4977" s="26"/>
    </row>
    <row r="4978" spans="1:5" x14ac:dyDescent="0.2">
      <c r="A4978" s="22"/>
      <c r="E4978" s="26"/>
    </row>
    <row r="4979" spans="1:5" x14ac:dyDescent="0.2">
      <c r="A4979" s="22"/>
      <c r="E4979" s="26"/>
    </row>
    <row r="4980" spans="1:5" x14ac:dyDescent="0.2">
      <c r="A4980" s="22"/>
      <c r="E4980" s="26"/>
    </row>
    <row r="4981" spans="1:5" x14ac:dyDescent="0.2">
      <c r="A4981" s="22"/>
      <c r="E4981" s="26"/>
    </row>
    <row r="4982" spans="1:5" x14ac:dyDescent="0.2">
      <c r="A4982" s="22"/>
      <c r="E4982" s="26"/>
    </row>
    <row r="4983" spans="1:5" x14ac:dyDescent="0.2">
      <c r="A4983" s="22"/>
      <c r="E4983" s="26"/>
    </row>
    <row r="4984" spans="1:5" x14ac:dyDescent="0.2">
      <c r="A4984" s="22"/>
      <c r="E4984" s="26"/>
    </row>
    <row r="4985" spans="1:5" x14ac:dyDescent="0.2">
      <c r="A4985" s="22"/>
      <c r="E4985" s="26"/>
    </row>
    <row r="4986" spans="1:5" x14ac:dyDescent="0.2">
      <c r="A4986" s="22"/>
      <c r="E4986" s="26"/>
    </row>
    <row r="4987" spans="1:5" x14ac:dyDescent="0.2">
      <c r="A4987" s="22"/>
      <c r="E4987" s="26"/>
    </row>
    <row r="4988" spans="1:5" x14ac:dyDescent="0.2">
      <c r="A4988" s="22"/>
      <c r="E4988" s="26"/>
    </row>
    <row r="4989" spans="1:5" x14ac:dyDescent="0.2">
      <c r="A4989" s="22"/>
      <c r="E4989" s="26"/>
    </row>
    <row r="4990" spans="1:5" x14ac:dyDescent="0.2">
      <c r="A4990" s="22"/>
      <c r="E4990" s="26"/>
    </row>
    <row r="4991" spans="1:5" x14ac:dyDescent="0.2">
      <c r="A4991" s="22"/>
      <c r="E4991" s="26"/>
    </row>
    <row r="4992" spans="1:5" x14ac:dyDescent="0.2">
      <c r="A4992" s="22"/>
      <c r="E4992" s="26"/>
    </row>
    <row r="4993" spans="1:5" x14ac:dyDescent="0.2">
      <c r="A4993" s="22"/>
      <c r="E4993" s="26"/>
    </row>
    <row r="4994" spans="1:5" x14ac:dyDescent="0.2">
      <c r="A4994" s="22"/>
      <c r="E4994" s="26"/>
    </row>
    <row r="4995" spans="1:5" x14ac:dyDescent="0.2">
      <c r="A4995" s="22"/>
      <c r="E4995" s="26"/>
    </row>
    <row r="4996" spans="1:5" x14ac:dyDescent="0.2">
      <c r="A4996" s="22"/>
      <c r="E4996" s="26"/>
    </row>
    <row r="4997" spans="1:5" x14ac:dyDescent="0.2">
      <c r="A4997" s="22"/>
      <c r="E4997" s="26"/>
    </row>
    <row r="4998" spans="1:5" x14ac:dyDescent="0.2">
      <c r="A4998" s="22"/>
      <c r="E4998" s="26"/>
    </row>
    <row r="4999" spans="1:5" x14ac:dyDescent="0.2">
      <c r="A4999" s="22"/>
      <c r="E4999" s="26"/>
    </row>
    <row r="5000" spans="1:5" x14ac:dyDescent="0.2">
      <c r="A5000" s="22"/>
      <c r="E5000" s="26"/>
    </row>
    <row r="5001" spans="1:5" x14ac:dyDescent="0.2">
      <c r="A5001" s="22"/>
      <c r="E5001" s="26"/>
    </row>
    <row r="5002" spans="1:5" x14ac:dyDescent="0.2">
      <c r="A5002" s="22"/>
      <c r="E5002" s="26"/>
    </row>
    <row r="5003" spans="1:5" x14ac:dyDescent="0.2">
      <c r="A5003" s="22"/>
      <c r="E5003" s="26"/>
    </row>
    <row r="5004" spans="1:5" x14ac:dyDescent="0.2">
      <c r="A5004" s="22"/>
      <c r="E5004" s="26"/>
    </row>
    <row r="5005" spans="1:5" x14ac:dyDescent="0.2">
      <c r="A5005" s="22"/>
      <c r="E5005" s="26"/>
    </row>
    <row r="5006" spans="1:5" x14ac:dyDescent="0.2">
      <c r="A5006" s="22"/>
      <c r="E5006" s="26"/>
    </row>
    <row r="5007" spans="1:5" x14ac:dyDescent="0.2">
      <c r="A5007" s="22"/>
      <c r="E5007" s="26"/>
    </row>
    <row r="5008" spans="1:5" x14ac:dyDescent="0.2">
      <c r="A5008" s="22"/>
      <c r="E5008" s="26"/>
    </row>
    <row r="5009" spans="1:5" x14ac:dyDescent="0.2">
      <c r="A5009" s="22"/>
      <c r="E5009" s="26"/>
    </row>
    <row r="5010" spans="1:5" x14ac:dyDescent="0.2">
      <c r="A5010" s="22"/>
      <c r="E5010" s="26"/>
    </row>
    <row r="5011" spans="1:5" x14ac:dyDescent="0.2">
      <c r="A5011" s="22"/>
      <c r="E5011" s="26"/>
    </row>
    <row r="5012" spans="1:5" x14ac:dyDescent="0.2">
      <c r="A5012" s="22"/>
      <c r="E5012" s="26"/>
    </row>
    <row r="5013" spans="1:5" x14ac:dyDescent="0.2">
      <c r="A5013" s="22"/>
      <c r="E5013" s="26"/>
    </row>
    <row r="5014" spans="1:5" x14ac:dyDescent="0.2">
      <c r="A5014" s="22"/>
      <c r="E5014" s="26"/>
    </row>
    <row r="5015" spans="1:5" x14ac:dyDescent="0.2">
      <c r="A5015" s="22"/>
      <c r="E5015" s="26"/>
    </row>
    <row r="5016" spans="1:5" x14ac:dyDescent="0.2">
      <c r="A5016" s="22"/>
      <c r="E5016" s="26"/>
    </row>
    <row r="5017" spans="1:5" x14ac:dyDescent="0.2">
      <c r="A5017" s="22"/>
      <c r="E5017" s="26"/>
    </row>
    <row r="5018" spans="1:5" x14ac:dyDescent="0.2">
      <c r="A5018" s="22"/>
      <c r="E5018" s="26"/>
    </row>
    <row r="5019" spans="1:5" x14ac:dyDescent="0.2">
      <c r="A5019" s="22"/>
      <c r="E5019" s="26"/>
    </row>
    <row r="5020" spans="1:5" x14ac:dyDescent="0.2">
      <c r="A5020" s="22"/>
      <c r="E5020" s="26"/>
    </row>
    <row r="5021" spans="1:5" x14ac:dyDescent="0.2">
      <c r="A5021" s="22"/>
      <c r="E502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Pricelist SK</vt:lpstr>
      <vt:lpstr>Rea - SK</vt:lpstr>
      <vt:lpstr>KPL - SK</vt:lpstr>
      <vt:lpstr>AKCESORIA - SK</vt:lpstr>
      <vt:lpstr>----------</vt:lpstr>
      <vt:lpstr>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Objednavky</dc:creator>
  <cp:lastModifiedBy>Hydro, s.r.o. Juraj Kvoch</cp:lastModifiedBy>
  <dcterms:created xsi:type="dcterms:W3CDTF">2025-03-21T07:26:39Z</dcterms:created>
  <dcterms:modified xsi:type="dcterms:W3CDTF">2025-04-22T09:15:24Z</dcterms:modified>
</cp:coreProperties>
</file>